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drawings/drawing8.xml" ContentType="application/vnd.openxmlformats-officedocument.drawing+xml"/>
  <Override PartName="/xl/worksheets/sheet20.xml" ContentType="application/vnd.openxmlformats-officedocument.spreadsheetml.worksheet+xml"/>
  <Override PartName="/xl/drawings/drawing9.xml" ContentType="application/vnd.openxmlformats-officedocument.drawing+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0" yWindow="255" windowWidth="7830" windowHeight="8100" tabRatio="410" firstSheet="20" activeTab="21"/>
  </bookViews>
  <sheets>
    <sheet name="Dec.30-Jan.1(we1)" sheetId="1" r:id="rId1"/>
    <sheet name="Jan.6-8(we2)" sheetId="2" r:id="rId2"/>
    <sheet name="Jan.13-15(we3)" sheetId="3" r:id="rId3"/>
    <sheet name="Jan.20-22(we4)" sheetId="4" r:id="rId4"/>
    <sheet name="Jan.27-29(we5)" sheetId="5" r:id="rId5"/>
    <sheet name="Feb.3-5(we6)" sheetId="6" r:id="rId6"/>
    <sheet name="Feb.10-12(we7)" sheetId="7" r:id="rId7"/>
    <sheet name="Feb17-19(we8)" sheetId="8" r:id="rId8"/>
    <sheet name="Feb.24-26(we9)" sheetId="9" r:id="rId9"/>
    <sheet name="March,3-5(we10)" sheetId="10" r:id="rId10"/>
    <sheet name="March,10-12(we11)" sheetId="11" r:id="rId11"/>
    <sheet name=" March, 17- 19 (we12)" sheetId="12" r:id="rId12"/>
    <sheet name="March, 24 -26 (we 13) ALL" sheetId="13" r:id="rId13"/>
    <sheet name="March, 24 - 26 (we13) TOP TEN" sheetId="14" r:id="rId14"/>
    <sheet name="March,31-Apr.2 (we 14)" sheetId="15" r:id="rId15"/>
    <sheet name="March,31-Apr.2 (we 14) TOP TEN" sheetId="16" r:id="rId16"/>
    <sheet name="April,7-9 (we15ALL)" sheetId="17" r:id="rId17"/>
    <sheet name="April,7-9 (TOP TEN)" sheetId="18" r:id="rId18"/>
    <sheet name="April,14-16 (weeknd16)" sheetId="19" r:id="rId19"/>
    <sheet name="April,14-16 (weekend top 10)" sheetId="20" r:id="rId20"/>
    <sheet name="April,21-23 (we 17)" sheetId="21" r:id="rId21"/>
    <sheet name="April,21-23 (TOP 10)" sheetId="22" r:id="rId22"/>
    <sheet name="April, 28-30 (we 18)" sheetId="23" r:id="rId23"/>
    <sheet name="May,5-7 (we19)" sheetId="24" r:id="rId24"/>
    <sheet name="May,12-14(we20)" sheetId="25" r:id="rId25"/>
    <sheet name="May,19-21 (we21)" sheetId="26" r:id="rId26"/>
    <sheet name="May,26-28 (we22)" sheetId="27" r:id="rId27"/>
    <sheet name="June,2-4 (we23)" sheetId="28" r:id="rId28"/>
    <sheet name="June,9-11 (we24)" sheetId="29" r:id="rId29"/>
    <sheet name="June,16-18(we25)" sheetId="30" r:id="rId30"/>
    <sheet name="June23-25 (we26)" sheetId="31" r:id="rId31"/>
    <sheet name="June 30-July,2 (we27)" sheetId="32" r:id="rId32"/>
    <sheet name="July7-9 (we28)" sheetId="33" r:id="rId33"/>
    <sheet name="July 14-16 (we29)" sheetId="34" r:id="rId34"/>
    <sheet name="July 21-23 (we30)" sheetId="35" r:id="rId35"/>
    <sheet name="July 28-30 (we 31)" sheetId="36" r:id="rId36"/>
    <sheet name="Aug.4-6 (we32)" sheetId="37" r:id="rId37"/>
    <sheet name="Aug.11-13 (we33)" sheetId="38" r:id="rId38"/>
    <sheet name="Aug.18-20 (we34)" sheetId="39" r:id="rId39"/>
    <sheet name="Aug.25-27 (we35)" sheetId="40" r:id="rId40"/>
    <sheet name="Sep.1-3 (we36)" sheetId="41" r:id="rId41"/>
    <sheet name="Sep.8-10 (we37)" sheetId="42" r:id="rId42"/>
    <sheet name="Sep.15-17 (we38)" sheetId="43" r:id="rId43"/>
    <sheet name="Sep.22-24 (we39)" sheetId="44" r:id="rId44"/>
    <sheet name="Sep.29-Oct.1(we40)" sheetId="45" r:id="rId45"/>
    <sheet name="Oct.6-8 (we41)" sheetId="46" r:id="rId46"/>
    <sheet name="Oct.13-15 (we42)" sheetId="47" r:id="rId47"/>
    <sheet name="Oct 20-22 (we43)" sheetId="48" r:id="rId48"/>
    <sheet name="Oct.27-29 (we44)" sheetId="49" r:id="rId49"/>
    <sheet name="Nov.3-5 (we45)" sheetId="50" r:id="rId50"/>
    <sheet name="Nov.10-12 (we46)" sheetId="51" r:id="rId51"/>
    <sheet name="Nov.17-19 (we47)" sheetId="52" r:id="rId52"/>
    <sheet name="Nov.24-26 (we48)" sheetId="53" r:id="rId53"/>
    <sheet name="Dec.1-3 (we49)" sheetId="54" r:id="rId54"/>
    <sheet name="Dec.8-10 (we50)" sheetId="55" r:id="rId55"/>
    <sheet name="Dec.15-17 (we51)" sheetId="56" r:id="rId56"/>
    <sheet name="Dec.22-24 (we52)" sheetId="57" r:id="rId57"/>
    <sheet name="Distributor Master" sheetId="58" r:id="rId58"/>
    <sheet name="Sheet22" sheetId="59" r:id="rId59"/>
    <sheet name="Sheet23" sheetId="60" r:id="rId60"/>
    <sheet name="Sheet24" sheetId="61" r:id="rId61"/>
    <sheet name="Sheet3" sheetId="62" r:id="rId62"/>
  </sheets>
  <definedNames>
    <definedName name="_xlnm.Print_Area" localSheetId="11">' March, 17- 19 (we12)'!$A$1:$W$59</definedName>
    <definedName name="_xlnm.Print_Area" localSheetId="19">'April,14-16 (weekend top 10)'!$A$1:$X$27</definedName>
    <definedName name="_xlnm.Print_Area" localSheetId="21">'April,21-23 (TOP 10)'!$A$1:$V$25</definedName>
    <definedName name="_xlnm.Print_Area" localSheetId="20">'April,21-23 (we 17)'!$A$1:$X$94</definedName>
    <definedName name="_xlnm.Print_Area" localSheetId="16">'April,7-9 (we15ALL)'!$A$5:$X$73</definedName>
    <definedName name="_xlnm.Print_Area" localSheetId="12">'March, 24 -26 (we 13) ALL'!$A$1:$W$80</definedName>
  </definedNames>
  <calcPr fullCalcOnLoad="1"/>
</workbook>
</file>

<file path=xl/sharedStrings.xml><?xml version="1.0" encoding="utf-8"?>
<sst xmlns="http://schemas.openxmlformats.org/spreadsheetml/2006/main" count="3416" uniqueCount="444">
  <si>
    <t>Title</t>
  </si>
  <si>
    <t>Release date</t>
  </si>
  <si>
    <t>Distributor</t>
  </si>
  <si>
    <t># of Prints</t>
  </si>
  <si>
    <t>Friday</t>
  </si>
  <si>
    <t>G.B.O</t>
  </si>
  <si>
    <t>Admission</t>
  </si>
  <si>
    <t>Saturday</t>
  </si>
  <si>
    <t>Sunday</t>
  </si>
  <si>
    <t>Total</t>
  </si>
  <si>
    <t>Weekend Result</t>
  </si>
  <si>
    <t>Change</t>
  </si>
  <si>
    <t>Screen Av.(Adm.)</t>
  </si>
  <si>
    <t>Av.Ticket Price</t>
  </si>
  <si>
    <t>Cum.G.B.O</t>
  </si>
  <si>
    <t>Cum. Admission</t>
  </si>
  <si>
    <t>Adm.</t>
  </si>
  <si>
    <t xml:space="preserve">Last week </t>
  </si>
  <si>
    <t xml:space="preserve"> G.B.O</t>
  </si>
  <si>
    <t>Week in Rel.</t>
  </si>
  <si>
    <t># of Scr.</t>
  </si>
  <si>
    <t>Rank</t>
  </si>
  <si>
    <t>Turkey Weekend Total</t>
  </si>
  <si>
    <t>WEEKLY ANTRAKT CINEMA NEWSPAPER PRESENTS-HAFTALIK ANTRAKT SİNEMA GAZETESİ SUNAR</t>
  </si>
  <si>
    <t>WEEKEND NO:                                    PERIOD:</t>
  </si>
  <si>
    <t>TURKEY WEEKEND TOP RANKING</t>
  </si>
  <si>
    <t>WEEKEND NO: 18                                   PERIOD: April, 28- 30</t>
  </si>
  <si>
    <t>WEEKEND NO: 19                                    PERIOD: May, 5- 7</t>
  </si>
  <si>
    <t>WEEKEND NO: 20                                   PERIOD: May, 12- 14</t>
  </si>
  <si>
    <t>WEEKEND NO: 21                                   PERIOD: May,19- 21</t>
  </si>
  <si>
    <t>WEEKEND NO: 22                                   PERIOD: May, 26- 28</t>
  </si>
  <si>
    <t>WEEKEND NO: 23                                   PERIOD: June, 2- 4</t>
  </si>
  <si>
    <t>WEEKEND NO: 24                                    PERIOD: June, 9- 11</t>
  </si>
  <si>
    <t>WEEKEND NO: 25                                    PERIOD: June, 16- 18</t>
  </si>
  <si>
    <t>WEEKEND NO: 26                                   PERIOD: June, 23- 25</t>
  </si>
  <si>
    <t>WEEKEND NO: 27                                    PERIOD: June, 30 -  July, 2</t>
  </si>
  <si>
    <t>WEEKEND NO: 28                                    PERIOD: July , 7- 9</t>
  </si>
  <si>
    <t>WEEKEND NO: 29                                   PERIOD: July, 14- 16</t>
  </si>
  <si>
    <t>WEEKEND NO: 30                                    PERIOD: July, 21- 23</t>
  </si>
  <si>
    <t>WEEKEND NO: 31                                   PERIOD: July, 28- 30</t>
  </si>
  <si>
    <t>WEEKEND NO: 32                                   PERIOD: August, 4- 6</t>
  </si>
  <si>
    <t>WEEKEND NO: 33                                   PERIOD: August, 11- 13</t>
  </si>
  <si>
    <t>WEEKEND NO: 34                                   PERIOD:August, 18 - 20</t>
  </si>
  <si>
    <t>WEEKEND NO: 35                                    PERIOD: August, 25 - 27</t>
  </si>
  <si>
    <t>WEEKEND NO: 36                                   PERIOD:September, 1- 3</t>
  </si>
  <si>
    <t>WEEKEND NO: 37                                   PERIOD: September, 8 - 10</t>
  </si>
  <si>
    <t>WEEKEND NO: 38                                   PERIOD: September, 15 - 17</t>
  </si>
  <si>
    <t>WEEKEND NO: 39                                   PERIOD: September, 22 - 24</t>
  </si>
  <si>
    <t>WEEKEND NO:40                                   PERIOD: September, 29 - October, 1</t>
  </si>
  <si>
    <t>WEEKEND NO: 41                                    PERIOD: October, 6 - 8</t>
  </si>
  <si>
    <t>WEEKEND NO: 42                                   PERIOD: October, 13 - 15</t>
  </si>
  <si>
    <t>WEEKEND NO: 43                                   PERIOD: October, 20 - 22</t>
  </si>
  <si>
    <t>WEEKEND NO: 44                                    PERIOD: October, 27 - 29</t>
  </si>
  <si>
    <t>WEEKEND NO: 45                                   PERIOD: November, 3 - 5</t>
  </si>
  <si>
    <t>WEEKEND NO: 46                                   PERIOD: November, 10 - 12</t>
  </si>
  <si>
    <t>WEEKEND NO: 47                                   PERIOD: November, 17 - 19</t>
  </si>
  <si>
    <t>WEEKEND NO: 48                                   PERIOD: Nov.,24-26</t>
  </si>
  <si>
    <t>WEEKEND NO: 49                                    PERIOD: Dec., 1-3</t>
  </si>
  <si>
    <t>WEEKEND NO: 50                                   PERIOD: December, 8 - 10</t>
  </si>
  <si>
    <t>WEEKEND NO: 51                                   PERIOD: December, 15 - 17</t>
  </si>
  <si>
    <t>WEEKEND NO: 52                                   PERIOD: December, 22 - 24</t>
  </si>
  <si>
    <r>
      <t xml:space="preserve">2006 - </t>
    </r>
    <r>
      <rPr>
        <b/>
        <sz val="11"/>
        <color indexed="9"/>
        <rFont val="Arial"/>
        <family val="2"/>
      </rPr>
      <t>TURKEY WEEKEND TOP RANKING</t>
    </r>
  </si>
  <si>
    <r>
      <t>TURKEY WEEKEND TOP 20</t>
    </r>
    <r>
      <rPr>
        <sz val="30"/>
        <color indexed="9"/>
        <rFont val="Albertus Extra Bold"/>
        <family val="2"/>
      </rPr>
      <t xml:space="preserve">
</t>
    </r>
    <r>
      <rPr>
        <sz val="20"/>
        <color indexed="9"/>
        <rFont val="Albertus Extra Bold"/>
        <family val="0"/>
      </rPr>
      <t xml:space="preserve">10 - 12 Mar '06 Weekend 11 </t>
    </r>
    <r>
      <rPr>
        <sz val="30"/>
        <color indexed="9"/>
        <rFont val="Albertus Extra Bold"/>
        <family val="2"/>
      </rPr>
      <t xml:space="preserve">                                                                                                                                                              </t>
    </r>
  </si>
  <si>
    <t>Weekly Antrakt Cinema Newspaper presents - Haftalık Antrakt Sinema Gazetesi sunar</t>
  </si>
  <si>
    <t>HOSTEL</t>
  </si>
  <si>
    <t>KURTLAR VADISI IRAK</t>
  </si>
  <si>
    <t>HACIVAT KARAGOZ NEDEN OLDURULDU?</t>
  </si>
  <si>
    <t>BABAM VE OGLUM</t>
  </si>
  <si>
    <t>DABBE</t>
  </si>
  <si>
    <t>FUN WITH DICK &amp; JANE</t>
  </si>
  <si>
    <t>BAMBI 2</t>
  </si>
  <si>
    <t>WEATHER MAN, THE</t>
  </si>
  <si>
    <t>NEW WORLD, THE</t>
  </si>
  <si>
    <t>NANNY MCPHEE</t>
  </si>
  <si>
    <t>CRASH</t>
  </si>
  <si>
    <t>SAINT ANGE</t>
  </si>
  <si>
    <t>MATCH POINT</t>
  </si>
  <si>
    <t>BIG MOMMA'S HOUSE 2</t>
  </si>
  <si>
    <t>PRIDE &amp;    PREJUDICE</t>
  </si>
  <si>
    <t>CACHE</t>
  </si>
  <si>
    <t>ME AND YOU AND EVERYONE WE KNOW</t>
  </si>
  <si>
    <t>TIGER &amp; THE SNOW, THE</t>
  </si>
  <si>
    <t>AEON FLUX</t>
  </si>
  <si>
    <t>SQUID AND THE WHALE, THE</t>
  </si>
  <si>
    <t>RELEASE DATE</t>
  </si>
  <si>
    <t>02.24.2006</t>
  </si>
  <si>
    <t xml:space="preserve">  </t>
  </si>
  <si>
    <t>DISTRIBUTOR</t>
  </si>
  <si>
    <t>WB</t>
  </si>
  <si>
    <t>KENDA</t>
  </si>
  <si>
    <t>OZEN</t>
  </si>
  <si>
    <t>WARNER BROS.</t>
  </si>
  <si>
    <t>UIP</t>
  </si>
  <si>
    <t>35 MM.</t>
  </si>
  <si>
    <t>CHANTIER</t>
  </si>
  <si>
    <t>ÖZEN/UMUT</t>
  </si>
  <si>
    <t>BARBAR FILM</t>
  </si>
  <si>
    <t>(COLUMBIA)</t>
  </si>
  <si>
    <t>(PANA)</t>
  </si>
  <si>
    <t>(IFR)</t>
  </si>
  <si>
    <t>(AVSAR)</t>
  </si>
  <si>
    <t>( J PLAN)</t>
  </si>
  <si>
    <t>(BUENA VISTA)</t>
  </si>
  <si>
    <t>(PARAMOUNT)</t>
  </si>
  <si>
    <t>(PRA)</t>
  </si>
  <si>
    <t>(UNIVERSAL)</t>
  </si>
  <si>
    <t>(FRANCE)</t>
  </si>
  <si>
    <t>(CHANTIER)</t>
  </si>
  <si>
    <t>(FOX)</t>
  </si>
  <si>
    <t>(BELGE)</t>
  </si>
  <si>
    <t>(CELLULOID)</t>
  </si>
  <si>
    <t>(ÖZEN)</t>
  </si>
  <si>
    <t>(SONY)</t>
  </si>
  <si>
    <t>WEEKS IN RELEASE</t>
  </si>
  <si>
    <t># OF SCREEN</t>
  </si>
  <si>
    <t>FRIDAY</t>
  </si>
  <si>
    <t>G.B.O.</t>
  </si>
  <si>
    <t>ADMISSION</t>
  </si>
  <si>
    <t>SATURDAY</t>
  </si>
  <si>
    <t>SUNDAY</t>
  </si>
  <si>
    <t>WEEKEND</t>
  </si>
  <si>
    <t>LAST W/E ADMISSION</t>
  </si>
  <si>
    <t>CHANGE %</t>
  </si>
  <si>
    <t>SCREEN AVG. (ADM)</t>
  </si>
  <si>
    <t>AVG.TICKET PRICE</t>
  </si>
  <si>
    <t>CUM. G.B.O.</t>
  </si>
  <si>
    <t>CUM. ADM.</t>
  </si>
  <si>
    <r>
      <t xml:space="preserve">TURKEY WEEKEND TOP 10
</t>
    </r>
    <r>
      <rPr>
        <sz val="14"/>
        <color indexed="9"/>
        <rFont val="Albertus Extra Bold"/>
        <family val="2"/>
      </rPr>
      <t>03 MAR '06 ~ 05 MAR '06</t>
    </r>
  </si>
  <si>
    <t>TOTAL</t>
  </si>
  <si>
    <t>HACIVAT KARAGOZ NEDEN OLDURULDU ?</t>
  </si>
  <si>
    <t>FUN WITH      DICK &amp; JANE</t>
  </si>
  <si>
    <t>NEW WORLD</t>
  </si>
  <si>
    <t># OF PRINTS</t>
  </si>
  <si>
    <t>SHARE IN TOP 10</t>
  </si>
  <si>
    <r>
      <t xml:space="preserve">TURKEY WEEKEND TOP 10
</t>
    </r>
    <r>
      <rPr>
        <sz val="14"/>
        <color indexed="9"/>
        <rFont val="Albertus Extra Bold"/>
        <family val="2"/>
      </rPr>
      <t>24 FEB '06 ~ 26 FEB '06</t>
    </r>
  </si>
  <si>
    <t>NANNY McPHEE</t>
  </si>
  <si>
    <t>MEMOIRS OF A GEISHA</t>
  </si>
  <si>
    <t>MATCHPOINT</t>
  </si>
  <si>
    <t>PRIDE &amp; PREJUDICE</t>
  </si>
  <si>
    <t>Bu rapor; 35mm, Barbar, Bir Film, Chantier, Kenda, Mars, Medyavizyon, Özen Film, Sır Film, UIP, Umut Sanat ve Warner Bros.'un beyan etmiş oldukları bilgiler doğrultusunda hazırlanmıştır.</t>
  </si>
  <si>
    <r>
      <t xml:space="preserve">TURKEY WEEKEND TOP 10
</t>
    </r>
    <r>
      <rPr>
        <sz val="14"/>
        <color indexed="9"/>
        <rFont val="Albertus Extra Bold"/>
        <family val="2"/>
      </rPr>
      <t>17 FEB '06 ~ 19 FEB '06</t>
    </r>
  </si>
  <si>
    <t>MUNICH</t>
  </si>
  <si>
    <t>DUN GECE BIR RUYA GORDUM</t>
  </si>
  <si>
    <t>(DREAMWORKS)</t>
  </si>
  <si>
    <t>(TRAVMA)</t>
  </si>
  <si>
    <r>
      <t xml:space="preserve">TURKEY WEEKEND TOP 10
</t>
    </r>
    <r>
      <rPr>
        <sz val="14"/>
        <color indexed="9"/>
        <rFont val="Albertus Extra Bold"/>
        <family val="2"/>
      </rPr>
      <t>10 FEB '06 ~ 12 FEB '06</t>
    </r>
  </si>
  <si>
    <t>HABABAM SINIFI 3½</t>
  </si>
  <si>
    <t>PROOF, THE</t>
  </si>
  <si>
    <t>JARHEAD</t>
  </si>
  <si>
    <t>CHRONICLES OF NARNIA</t>
  </si>
  <si>
    <t>(ARZU-FIDA)</t>
  </si>
  <si>
    <t>(PINEMA-METRO)</t>
  </si>
  <si>
    <t>Bu rapor; 35mm, Barbar, Bir Film, Chantier, Kenda, Mars, Medyavizyon, Özen Film, Sır Film, UIP, Umut Sanat ve Warner Bros.'un sağlamış olduğu bilgiler doğrultusunda hazırlanmıştır.</t>
  </si>
  <si>
    <r>
      <t xml:space="preserve">TURKEY WEEKEND TOP 10
</t>
    </r>
    <r>
      <rPr>
        <sz val="14"/>
        <color indexed="9"/>
        <rFont val="Albertus Extra Bold"/>
        <family val="2"/>
      </rPr>
      <t>03 FEB '06 ~ 05 FEB '06</t>
    </r>
  </si>
  <si>
    <t>KELOGLAN KARA PRENS'E KARSI</t>
  </si>
  <si>
    <t>FOG, THE</t>
  </si>
  <si>
    <t>FAMILY STONE</t>
  </si>
  <si>
    <t>(ENERGY)</t>
  </si>
  <si>
    <r>
      <t xml:space="preserve">TURKEY WEEKEND TOP 10
</t>
    </r>
    <r>
      <rPr>
        <sz val="14"/>
        <color indexed="9"/>
        <rFont val="Albertus Extra Bold"/>
        <family val="2"/>
      </rPr>
      <t>27 JAN '06 ~ 29 JAN '06</t>
    </r>
  </si>
  <si>
    <t>ORGANIZE ISLER</t>
  </si>
  <si>
    <r>
      <t xml:space="preserve">LA TIGRE E LA NEVE
</t>
    </r>
    <r>
      <rPr>
        <sz val="7"/>
        <rFont val="Albertus Extra Bold"/>
        <family val="2"/>
      </rPr>
      <t>(TIGER &amp; SNOW)</t>
    </r>
  </si>
  <si>
    <t>RUMOR HAS IT</t>
  </si>
  <si>
    <t>DREAMER</t>
  </si>
  <si>
    <t>(BKM)</t>
  </si>
  <si>
    <t>(OZEN-UMUT)</t>
  </si>
  <si>
    <t>(WARNER BROS.)</t>
  </si>
  <si>
    <r>
      <t xml:space="preserve">TURKEY WEEKEND TOP 10
</t>
    </r>
    <r>
      <rPr>
        <sz val="14"/>
        <color indexed="9"/>
        <rFont val="Albertus Extra Bold"/>
        <family val="2"/>
      </rPr>
      <t>20 JAN '06 ~ 22 JAN '06</t>
    </r>
  </si>
  <si>
    <t>CHICKEN LITTLE</t>
  </si>
  <si>
    <t>Bu rapor; 35mm, Avşar Film, Bir Film, Chantier, Kenda, Mars, Medyavizyon, Özen Film, Sır Film, UIP, Umut Sanat ve Warner Bros.'un sağlamış olduğu bilgiler doğrultusunda hazırlanmıştır.</t>
  </si>
  <si>
    <r>
      <t xml:space="preserve">TURKEY WEEKEND TOP 10
</t>
    </r>
    <r>
      <rPr>
        <sz val="14"/>
        <color indexed="9"/>
        <rFont val="Albertus Extra Bold"/>
        <family val="2"/>
      </rPr>
      <t>13 JAN '06 ~ 15 JAN '06</t>
    </r>
  </si>
  <si>
    <t>ZATHURA</t>
  </si>
  <si>
    <t>KING KONG</t>
  </si>
  <si>
    <t>SPY KIDS 3D
GAME OVER</t>
  </si>
  <si>
    <t>MARS</t>
  </si>
  <si>
    <t>Bu rapor; 35 Milim, Avşar Film, Bir Film, Chantier, Kenda, Medyavizyon, Özen Film, Pinema, Sır Film, UIP, Umut Sanat ve Warner Bros.'un sağlamış olduğu bilgiler doğrultusunda hazırlanmıştır.</t>
  </si>
  <si>
    <r>
      <t xml:space="preserve">TURKEY WEEKEND TOP 10
</t>
    </r>
    <r>
      <rPr>
        <sz val="14"/>
        <color indexed="9"/>
        <rFont val="Albertus Extra Bold"/>
        <family val="2"/>
      </rPr>
      <t>06 JAN '06 ~ 08 JAN '06</t>
    </r>
  </si>
  <si>
    <r>
      <t xml:space="preserve">VOKSNE MENNESKER
</t>
    </r>
    <r>
      <rPr>
        <sz val="8"/>
        <rFont val="Albertus Extra Bold"/>
        <family val="2"/>
      </rPr>
      <t>(DARK HORSE)</t>
    </r>
  </si>
  <si>
    <t>EXORCISM OF EMILY ROSE</t>
  </si>
  <si>
    <t>BIR FILM</t>
  </si>
  <si>
    <t>(TRUST)</t>
  </si>
  <si>
    <r>
      <t xml:space="preserve">TURKEY WEEKEND TOP 10
</t>
    </r>
    <r>
      <rPr>
        <sz val="14"/>
        <color indexed="9"/>
        <rFont val="Albertus Extra Bold"/>
        <family val="2"/>
      </rPr>
      <t>30 DEC '05 ~ 01 JAN '06</t>
    </r>
  </si>
  <si>
    <t>HARRY POTTER 4</t>
  </si>
  <si>
    <t>THE WEDDING DATE</t>
  </si>
  <si>
    <t>THE GREAT CHALLANGE</t>
  </si>
  <si>
    <t>FLIGHT PLAN</t>
  </si>
  <si>
    <t>35 MILIM</t>
  </si>
  <si>
    <t>(WB)</t>
  </si>
  <si>
    <t>(GOLD CIRCLE)</t>
  </si>
  <si>
    <t>(TF1)</t>
  </si>
  <si>
    <t>(BUENA VISYA)</t>
  </si>
  <si>
    <t>Weekly Antrakt Cinema Newspaper Presents - Haftalık Antrakt Sinema Gazetesi Sunar</t>
  </si>
  <si>
    <t>Release
Date</t>
  </si>
  <si>
    <t>Distributor &amp; 
Company</t>
  </si>
  <si>
    <t># of
Prints</t>
  </si>
  <si>
    <t># of
Screen</t>
  </si>
  <si>
    <t>Weeks in Release</t>
  </si>
  <si>
    <t>Weekend Total</t>
  </si>
  <si>
    <t>Last Weekend</t>
  </si>
  <si>
    <t>Cumulative</t>
  </si>
  <si>
    <t>Scr.Avg.
(Adm.)</t>
  </si>
  <si>
    <t>Avg.
Ticket</t>
  </si>
  <si>
    <t>BEYZA'NIN KADINLARI</t>
  </si>
  <si>
    <t>UIP / ALTIOKLAR</t>
  </si>
  <si>
    <t>WB / COLUMBIA</t>
  </si>
  <si>
    <t>SYRIANA</t>
  </si>
  <si>
    <t>WB / WARNER BROS.</t>
  </si>
  <si>
    <t>OZEN / AVSAR</t>
  </si>
  <si>
    <t>KENDA / IFR.</t>
  </si>
  <si>
    <t>16 BLOKS</t>
  </si>
  <si>
    <t>OZEN / ALCON</t>
  </si>
  <si>
    <t>UIP / BUENA VISTA</t>
  </si>
  <si>
    <t>OZEN / J PLAN</t>
  </si>
  <si>
    <t>KENDA / PANA</t>
  </si>
  <si>
    <t>UIP / PARAMOUNT</t>
  </si>
  <si>
    <t>CRY WOLF</t>
  </si>
  <si>
    <t>MEDYAVIZYON / FOCUS</t>
  </si>
  <si>
    <t>WB / PRA</t>
  </si>
  <si>
    <t>UIP / UNIVERSAL</t>
  </si>
  <si>
    <t>KORKUYORUM ANNE</t>
  </si>
  <si>
    <t>KENDA / ATLANTIK</t>
  </si>
  <si>
    <t>OZEN / FRANCE</t>
  </si>
  <si>
    <t>WB / CHANTIER</t>
  </si>
  <si>
    <t>WHAT THE BLEEP DO WE KNOW</t>
  </si>
  <si>
    <t>35 MM / PI FILMCILIK</t>
  </si>
  <si>
    <t>BIG MOMMA'S HOUSE</t>
  </si>
  <si>
    <t>OZEN / FOX</t>
  </si>
  <si>
    <t>LADIES IN LAVANDER</t>
  </si>
  <si>
    <t>MEDYAVIZYON / LAKESHORE</t>
  </si>
  <si>
    <t>CHANTIER / CELLULOID</t>
  </si>
  <si>
    <t>35 MM / BELGE FILM</t>
  </si>
  <si>
    <t>OZEN / UMUT SANAT</t>
  </si>
  <si>
    <t>SQUID AN THE WHALE, THE</t>
  </si>
  <si>
    <t>BARBAR / SONY</t>
  </si>
  <si>
    <t>KENDA / ENERGY</t>
  </si>
  <si>
    <t>KENDA / BKM</t>
  </si>
  <si>
    <t>OZEN / TRAVMA</t>
  </si>
  <si>
    <t>PLAY, THE</t>
  </si>
  <si>
    <t>UMUT SANAT / SINE FILM</t>
  </si>
  <si>
    <t>TIM BURTON'S CORPSE BRIDE</t>
  </si>
  <si>
    <t>HISTORY OF VIOLENCE</t>
  </si>
  <si>
    <t>SAW 2</t>
  </si>
  <si>
    <t>WB / FIDA</t>
  </si>
  <si>
    <t>SIN CITY</t>
  </si>
  <si>
    <t>WB / FILMPOP</t>
  </si>
  <si>
    <t>WEDDING DATE, THE</t>
  </si>
  <si>
    <t>35 MM / AVSAR</t>
  </si>
  <si>
    <t>CUORE SACRO</t>
  </si>
  <si>
    <t>WB / AFS</t>
  </si>
  <si>
    <t>WEEKEND TOTAL</t>
  </si>
  <si>
    <t>.</t>
  </si>
  <si>
    <t>*Sorted according to Weekend Total G.B.O. - Hafta sonu toplam hasılat sütununa göre sıralanmıştır.</t>
  </si>
  <si>
    <t>*Admissions and box office numbers of Bir Film can not  be displayed this weekend. - Bir Film'in hafta sonu bilgileri yetişemediğinden listede yeralmamıştır.</t>
  </si>
  <si>
    <r>
      <t xml:space="preserve">Yukarıdaki Turkey's Weekly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 </t>
    </r>
    <r>
      <rPr>
        <b/>
        <sz val="6"/>
        <rFont val="Arial"/>
        <family val="2"/>
      </rPr>
      <t>"Turkey's Weekly Market Datas" chart which is given above displays the number of admmissions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r>
  </si>
  <si>
    <t>LES TEMPS QUI CHANGENT</t>
  </si>
  <si>
    <t>R FILM / FRANCE</t>
  </si>
  <si>
    <t>BROKEBACK MOUNTAIN</t>
  </si>
  <si>
    <t>CAPOTE</t>
  </si>
  <si>
    <t>DEUCE BIGALOW 2</t>
  </si>
  <si>
    <t>OYUN</t>
  </si>
  <si>
    <t>KENDA / IFR</t>
  </si>
  <si>
    <t>STOLEN EYES</t>
  </si>
  <si>
    <t>BIR FILM / YAKA FILM</t>
  </si>
  <si>
    <t>YOUNG ADAM</t>
  </si>
  <si>
    <t>BIR FILM / LIMON</t>
  </si>
  <si>
    <t>STRAY DOGS</t>
  </si>
  <si>
    <t>BIR FILM / WILD BUNCH</t>
  </si>
  <si>
    <t>RED SHOES</t>
  </si>
  <si>
    <t>BIR FILM / CINECLICK</t>
  </si>
  <si>
    <t>SEX &amp; PHILOSOPHY</t>
  </si>
  <si>
    <t>LES TEXTILES</t>
  </si>
  <si>
    <t>BIR FILM / ERMAN</t>
  </si>
  <si>
    <t>RABBIT ON THE MOON</t>
  </si>
  <si>
    <t>BIR FILM / CAPITOL</t>
  </si>
  <si>
    <t>FATELESS</t>
  </si>
  <si>
    <t>BIR FILM / H20</t>
  </si>
  <si>
    <t>OZEN / SINETEL</t>
  </si>
  <si>
    <t>PINK PANTHER</t>
  </si>
  <si>
    <t>WALK THE LINE</t>
  </si>
  <si>
    <t>SQUID AND TEH WHALE, THE</t>
  </si>
  <si>
    <t>HOODWINKED</t>
  </si>
  <si>
    <t>MEDYAVIZYON / WEINSTEIN CO.</t>
  </si>
  <si>
    <t>CRY_WOLF</t>
  </si>
  <si>
    <t>WEATHER MAN</t>
  </si>
  <si>
    <t>NANNY MC PHEE</t>
  </si>
  <si>
    <t>PRIDE&amp;PREJUDICE</t>
  </si>
  <si>
    <t>UIP / DREAMWORKS</t>
  </si>
  <si>
    <t>PROOF</t>
  </si>
  <si>
    <t>UIP / UNP</t>
  </si>
  <si>
    <t>CRONICLES OF NARNIA</t>
  </si>
  <si>
    <t>GOOD NIGHT&amp;GOODLUCK</t>
  </si>
  <si>
    <t>HEFFALUMP MOVIE</t>
  </si>
  <si>
    <t>WALLACE&amp;GROMITE</t>
  </si>
  <si>
    <t>BASIC INSTINCT 2</t>
  </si>
  <si>
    <t>UNP / C2 PICTURES</t>
  </si>
  <si>
    <t>V FOR VENDETTA</t>
  </si>
  <si>
    <t>MEDYAVIZYON / WEINSTEIN</t>
  </si>
  <si>
    <t>CASANOVA</t>
  </si>
  <si>
    <t>WB / FILM POP</t>
  </si>
  <si>
    <t>BEE SEASON</t>
  </si>
  <si>
    <t>18.11 05</t>
  </si>
  <si>
    <t>OZEN / AVŞAR</t>
  </si>
  <si>
    <t>16 BLOCKS</t>
  </si>
  <si>
    <t>KURTLAR VADİSİ IRAK</t>
  </si>
  <si>
    <t>VOZVRASHCHENIYE</t>
  </si>
  <si>
    <t>BARBAR FILM / CINEMA ART</t>
  </si>
  <si>
    <t>DANDELION</t>
  </si>
  <si>
    <t xml:space="preserve">BIR FILM / SUGARWORKZ </t>
  </si>
  <si>
    <t>GOOD NIGHT &amp; GOOD LUCK</t>
  </si>
  <si>
    <t>UMUT / SINE FILM</t>
  </si>
  <si>
    <t>MANDERLAY</t>
  </si>
  <si>
    <t>BIR FILM / BIR F. - ERMAN F.</t>
  </si>
  <si>
    <t>CERTI BAMBINI</t>
  </si>
  <si>
    <t>ONE MISSED CALL 2</t>
  </si>
  <si>
    <t>35 MM / 35 MM</t>
  </si>
  <si>
    <t>LADIES IN LAVENDER</t>
  </si>
  <si>
    <t>LE GRAND VOYAGE</t>
  </si>
  <si>
    <t>BIR FILM / ASKD - PYRAMIDE</t>
  </si>
  <si>
    <t>PARADISE NOW</t>
  </si>
  <si>
    <t>MEDYAVIZYON / CELLULOID</t>
  </si>
  <si>
    <t>BARBAR FILM / SONY</t>
  </si>
  <si>
    <t>BIR FILM / CINECLICK ASIA</t>
  </si>
  <si>
    <t>BROTHERS GRIMM</t>
  </si>
  <si>
    <t>MY SUMMER OF LOVE</t>
  </si>
  <si>
    <t>CHANTIER / APOCALYPSO</t>
  </si>
  <si>
    <t>WALLACE &amp; GROMITE</t>
  </si>
  <si>
    <t>35 MM / AVSAR FILM</t>
  </si>
  <si>
    <t>UNP</t>
  </si>
  <si>
    <t>C2 PICTURES</t>
  </si>
  <si>
    <t>GEN</t>
  </si>
  <si>
    <t>TIGLON</t>
  </si>
  <si>
    <t>OZEN FILM</t>
  </si>
  <si>
    <t>FOX</t>
  </si>
  <si>
    <t>WOLF CREEK</t>
  </si>
  <si>
    <t>MEDYAVIZYON</t>
  </si>
  <si>
    <t>WEINSTEIN CO.</t>
  </si>
  <si>
    <t>BUENA VISTA</t>
  </si>
  <si>
    <t>THE WILD</t>
  </si>
  <si>
    <t>THE PHANTOM OF THE OPERA</t>
  </si>
  <si>
    <t>ALTIOKLAR</t>
  </si>
  <si>
    <t>FILMPOP</t>
  </si>
  <si>
    <t>JOYEUX NOEL</t>
  </si>
  <si>
    <t>FILMS DIST.</t>
  </si>
  <si>
    <t>BABAM VE OĞLUM</t>
  </si>
  <si>
    <t>AVSAR</t>
  </si>
  <si>
    <t>J PLAN</t>
  </si>
  <si>
    <t>PANA</t>
  </si>
  <si>
    <t>COLUMBIA</t>
  </si>
  <si>
    <t>SINETEL</t>
  </si>
  <si>
    <t>IFR</t>
  </si>
  <si>
    <t>ATLANTIK</t>
  </si>
  <si>
    <t>FRANCE</t>
  </si>
  <si>
    <t>35 MM</t>
  </si>
  <si>
    <t>PI FILMCILIK</t>
  </si>
  <si>
    <t>FOCUS</t>
  </si>
  <si>
    <t>UNIVERSAL</t>
  </si>
  <si>
    <t>BKM</t>
  </si>
  <si>
    <t>PRA</t>
  </si>
  <si>
    <t>PARAMOUNT</t>
  </si>
  <si>
    <t>ME AND YOU AND EVERY BODY WE KNOW</t>
  </si>
  <si>
    <t>CELLULOID</t>
  </si>
  <si>
    <t>PRIDE &amp; PRIDJUDICE</t>
  </si>
  <si>
    <t>ASKD - PYRAMIDE</t>
  </si>
  <si>
    <t>SUGARWORKZ - WILD B.</t>
  </si>
  <si>
    <t>BELGE</t>
  </si>
  <si>
    <t>YAKA FILM</t>
  </si>
  <si>
    <t>FIDA</t>
  </si>
  <si>
    <t>LAKESHORE</t>
  </si>
  <si>
    <t>UMUT SANAT</t>
  </si>
  <si>
    <t>SINE FILM</t>
  </si>
  <si>
    <t>OLIVER TWIST</t>
  </si>
  <si>
    <t>PINEMA</t>
  </si>
  <si>
    <t>MUNIC</t>
  </si>
  <si>
    <t>DREAMWORKS</t>
  </si>
  <si>
    <t>VA, VIE &amp; DEVIENS</t>
  </si>
  <si>
    <t>BIR F. - ERMAN F.</t>
  </si>
  <si>
    <t>R FILM</t>
  </si>
  <si>
    <t>BARBAR</t>
  </si>
  <si>
    <t>SONY</t>
  </si>
  <si>
    <t>HYPNOS</t>
  </si>
  <si>
    <t>FILMAX</t>
  </si>
  <si>
    <t>LOONEY TUNES : BACK IN ACTION</t>
  </si>
  <si>
    <t>KELOGLAN KARA PRENS'E KARŞI</t>
  </si>
  <si>
    <t>ENERGY</t>
  </si>
  <si>
    <t>Company</t>
  </si>
  <si>
    <t>WILD BUNCH</t>
  </si>
  <si>
    <t>WILD, THE</t>
  </si>
  <si>
    <t>PHANTOM OF THE OPERA, THE</t>
  </si>
  <si>
    <t>LOONEY TUNES: BACK IN ACTION</t>
  </si>
  <si>
    <t>DOUCHES FROIDES</t>
  </si>
  <si>
    <t>AMITYTVILLE HORROR, THE</t>
  </si>
  <si>
    <t>ASK THE DUST</t>
  </si>
  <si>
    <t>WHEN THE STRANGERS CALLS</t>
  </si>
  <si>
    <t>ENEL MUNDO E CADA RATO</t>
  </si>
  <si>
    <t>UNICEF</t>
  </si>
  <si>
    <t>ZOZO</t>
  </si>
  <si>
    <t>HAYAL EVI</t>
  </si>
  <si>
    <t>TROUBLE</t>
  </si>
  <si>
    <t>TF1</t>
  </si>
  <si>
    <t>SAMARITAN GIRL</t>
  </si>
  <si>
    <t>CINECLICK-ASIA</t>
  </si>
  <si>
    <t>DARK HORSE</t>
  </si>
  <si>
    <t>TRUST</t>
  </si>
  <si>
    <t>DEAR WENDY</t>
  </si>
  <si>
    <t>SIR - TRUST</t>
  </si>
  <si>
    <t>MADAGASCAR</t>
  </si>
  <si>
    <t>ICE AGE 2: THE MELTDOWN</t>
  </si>
  <si>
    <t>Weekly Movie Magazine Antrakt  Presents - Haftalık Antrakt Sinema Gazetesi Sunar</t>
  </si>
  <si>
    <t>LUCKY NUMBER SLEVIN</t>
  </si>
  <si>
    <t>DESCENT, THE</t>
  </si>
  <si>
    <t>OZEN - UMUT</t>
  </si>
  <si>
    <t>EIGHT BELOW</t>
  </si>
  <si>
    <t>WHEN A STRANGER CALLS</t>
  </si>
  <si>
    <t>SLITHER</t>
  </si>
  <si>
    <t>ODSSEY</t>
  </si>
  <si>
    <t>JE NE SUIS PAS LA POUR ETRE AIME</t>
  </si>
  <si>
    <t>REZO</t>
  </si>
  <si>
    <t>MON ANGE</t>
  </si>
  <si>
    <t>MK2</t>
  </si>
  <si>
    <t>UMUT</t>
  </si>
  <si>
    <t>CHARLIE &amp; THE CHOCOLATE FACTORY</t>
  </si>
  <si>
    <t>NARNIA</t>
  </si>
  <si>
    <t>WEATHERMAN, THE</t>
  </si>
  <si>
    <t>HAYALEVI</t>
  </si>
  <si>
    <t>CINECLICK ASIA</t>
  </si>
  <si>
    <t>UPSIDE OF ANGER, THE</t>
  </si>
  <si>
    <t>MEDIA 8</t>
  </si>
  <si>
    <t>ME AND YOU AND EVERYBODY WE KNOW</t>
  </si>
  <si>
    <t>TRUST FILMS</t>
  </si>
  <si>
    <t>SEPTEMBER 11</t>
  </si>
  <si>
    <t>SEARCHING FOR DEBRA WINGER</t>
  </si>
  <si>
    <t>LIMELIGHT</t>
  </si>
  <si>
    <t>SUPER SIZE ME</t>
  </si>
  <si>
    <t>MUST LOVE DOGS</t>
  </si>
  <si>
    <t>SONY PICTURES</t>
  </si>
  <si>
    <t>SUGARWORKZ</t>
  </si>
  <si>
    <t>PYRAMIDE</t>
  </si>
  <si>
    <t>BIR - ERMAN</t>
  </si>
  <si>
    <t>CAPITOL</t>
  </si>
  <si>
    <t xml:space="preserve">TURKEY'S WEEKEND MARKET DATAS </t>
  </si>
  <si>
    <t>WEEKEND BOX OFFICE &amp; ADMISSION REPORT</t>
  </si>
  <si>
    <t>WEEKEND: 17       21 - 23 APR 2005</t>
  </si>
  <si>
    <t>TOP 10</t>
  </si>
  <si>
    <t>WEEKEND: 17  21 - 23 APR 2005</t>
  </si>
  <si>
    <t>TOP ALL</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</si>
</sst>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_-* #,##0.0\ _T_L_-;\-* #,##0.0\ _T_L_-;_-* &quot;-&quot;??\ _T_L_-;_-@_-"/>
    <numFmt numFmtId="165" formatCode="_-* #,##0\ _T_L_-;\-* #,##0\ _T_L_-;_-* &quot;-&quot;??\ _T_L_-;_-@_-"/>
    <numFmt numFmtId="166" formatCode="[$-41F]dd\ mmmm\ yyyy\ dddd"/>
    <numFmt numFmtId="167" formatCode="[$-41F]d\ mmmm\ yy;@"/>
    <numFmt numFmtId="168" formatCode="mm/dd/yy"/>
    <numFmt numFmtId="169" formatCode="#,##0.00\ "/>
    <numFmt numFmtId="170" formatCode="_(* #,##0_);_(* \(#,##0\);_(* &quot;-&quot;??_);_(@_)"/>
    <numFmt numFmtId="171" formatCode="\%\ 0\ "/>
    <numFmt numFmtId="172" formatCode="#,##0\ "/>
    <numFmt numFmtId="173" formatCode="\%\ 0"/>
    <numFmt numFmtId="174" formatCode="dd/mm/yy"/>
    <numFmt numFmtId="175" formatCode="#,##0.00\ \ "/>
    <numFmt numFmtId="176" formatCode="0\ %\ "/>
    <numFmt numFmtId="177" formatCode="0.00\ "/>
    <numFmt numFmtId="178" formatCode="dd/mm/yy;@"/>
    <numFmt numFmtId="179" formatCode="#,##0_-"/>
  </numFmts>
  <fonts count="83">
    <font>
      <sz val="10"/>
      <name val="Arial"/>
      <family val="0"/>
    </font>
    <font>
      <sz val="9"/>
      <name val="Arial"/>
      <family val="0"/>
    </font>
    <font>
      <b/>
      <sz val="9"/>
      <name val="Arial"/>
      <family val="2"/>
    </font>
    <font>
      <sz val="8"/>
      <name val="Arial"/>
      <family val="0"/>
    </font>
    <font>
      <sz val="9"/>
      <color indexed="9"/>
      <name val="Arial"/>
      <family val="0"/>
    </font>
    <font>
      <b/>
      <sz val="11"/>
      <color indexed="9"/>
      <name val="Arial"/>
      <family val="2"/>
    </font>
    <font>
      <u val="single"/>
      <sz val="10"/>
      <color indexed="12"/>
      <name val="Arial"/>
      <family val="0"/>
    </font>
    <font>
      <u val="single"/>
      <sz val="10"/>
      <color indexed="36"/>
      <name val="Arial"/>
      <family val="0"/>
    </font>
    <font>
      <b/>
      <sz val="12"/>
      <color indexed="9"/>
      <name val="Arial"/>
      <family val="2"/>
    </font>
    <font>
      <sz val="25"/>
      <color indexed="9"/>
      <name val="Albertus Extra Bold"/>
      <family val="0"/>
    </font>
    <font>
      <sz val="30"/>
      <color indexed="9"/>
      <name val="Albertus Extra Bold"/>
      <family val="2"/>
    </font>
    <font>
      <sz val="20"/>
      <color indexed="9"/>
      <name val="Albertus Extra Bold"/>
      <family val="0"/>
    </font>
    <font>
      <b/>
      <sz val="8"/>
      <name val="Arial"/>
      <family val="2"/>
    </font>
    <font>
      <b/>
      <sz val="12"/>
      <name val="Arial"/>
      <family val="2"/>
    </font>
    <font>
      <sz val="8"/>
      <color indexed="9"/>
      <name val="Albertus Extra Bold"/>
      <family val="2"/>
    </font>
    <font>
      <sz val="8"/>
      <name val="Albertus Extra Bold"/>
      <family val="2"/>
    </font>
    <font>
      <sz val="8"/>
      <name val="Century Gothic"/>
      <family val="2"/>
    </font>
    <font>
      <b/>
      <sz val="8"/>
      <color indexed="9"/>
      <name val="Century Gothic"/>
      <family val="2"/>
    </font>
    <font>
      <b/>
      <sz val="8"/>
      <name val="Century Gothic"/>
      <family val="2"/>
    </font>
    <font>
      <sz val="8"/>
      <color indexed="8"/>
      <name val="Century Gothic"/>
      <family val="2"/>
    </font>
    <font>
      <b/>
      <u val="single"/>
      <sz val="8"/>
      <name val="Arial"/>
      <family val="2"/>
    </font>
    <font>
      <sz val="36"/>
      <color indexed="9"/>
      <name val="Albertus Extra Bold"/>
      <family val="2"/>
    </font>
    <font>
      <sz val="14"/>
      <color indexed="9"/>
      <name val="Albertus Extra Bold"/>
      <family val="2"/>
    </font>
    <font>
      <sz val="10"/>
      <color indexed="9"/>
      <name val="Albertus Extra Bold"/>
      <family val="2"/>
    </font>
    <font>
      <sz val="10"/>
      <name val="Albertus Extra Bold"/>
      <family val="2"/>
    </font>
    <font>
      <sz val="9"/>
      <name val="Albertus Extra Bold"/>
      <family val="2"/>
    </font>
    <font>
      <sz val="9"/>
      <name val="Century Gothic"/>
      <family val="2"/>
    </font>
    <font>
      <sz val="7.5"/>
      <name val="Century Gothic"/>
      <family val="2"/>
    </font>
    <font>
      <sz val="7.5"/>
      <name val="Albertus Extra Bold"/>
      <family val="2"/>
    </font>
    <font>
      <b/>
      <sz val="9"/>
      <name val="Century Gothic"/>
      <family val="2"/>
    </font>
    <font>
      <sz val="9"/>
      <color indexed="9"/>
      <name val="Albertus Extra Bold"/>
      <family val="2"/>
    </font>
    <font>
      <sz val="7.5"/>
      <color indexed="9"/>
      <name val="Albertus Extra Bold"/>
      <family val="2"/>
    </font>
    <font>
      <b/>
      <sz val="9.5"/>
      <color indexed="9"/>
      <name val="Century Gothic"/>
      <family val="2"/>
    </font>
    <font>
      <b/>
      <sz val="9.5"/>
      <name val="Century Gothic"/>
      <family val="2"/>
    </font>
    <font>
      <sz val="9"/>
      <color indexed="8"/>
      <name val="Century Gothic"/>
      <family val="2"/>
    </font>
    <font>
      <b/>
      <sz val="9"/>
      <color indexed="8"/>
      <name val="Century Gothic"/>
      <family val="2"/>
    </font>
    <font>
      <b/>
      <sz val="9"/>
      <color indexed="9"/>
      <name val="Century Gothic"/>
      <family val="2"/>
    </font>
    <font>
      <b/>
      <sz val="8"/>
      <name val="Monotype Sorts"/>
      <family val="0"/>
    </font>
    <font>
      <b/>
      <u val="single"/>
      <sz val="9"/>
      <name val="Century Gothic"/>
      <family val="2"/>
    </font>
    <font>
      <sz val="7"/>
      <name val="Albertus Extra Bold"/>
      <family val="2"/>
    </font>
    <font>
      <i/>
      <sz val="9"/>
      <name val="Century Gothic"/>
      <family val="2"/>
    </font>
    <font>
      <b/>
      <i/>
      <sz val="9.5"/>
      <color indexed="22"/>
      <name val="Century Gothic"/>
      <family val="2"/>
    </font>
    <font>
      <b/>
      <i/>
      <sz val="9"/>
      <name val="Century Gothic"/>
      <family val="2"/>
    </font>
    <font>
      <sz val="40"/>
      <color indexed="9"/>
      <name val="Impact"/>
      <family val="2"/>
    </font>
    <font>
      <sz val="26"/>
      <color indexed="9"/>
      <name val="Impact"/>
      <family val="2"/>
    </font>
    <font>
      <sz val="20"/>
      <color indexed="9"/>
      <name val="Impact"/>
      <family val="2"/>
    </font>
    <font>
      <sz val="16"/>
      <color indexed="9"/>
      <name val="Impact"/>
      <family val="2"/>
    </font>
    <font>
      <sz val="14"/>
      <name val="Impact"/>
      <family val="2"/>
    </font>
    <font>
      <sz val="12"/>
      <name val="Impact"/>
      <family val="2"/>
    </font>
    <font>
      <sz val="9"/>
      <name val="Trebuchet MS"/>
      <family val="2"/>
    </font>
    <font>
      <sz val="20"/>
      <color indexed="44"/>
      <name val="GoudyLight"/>
      <family val="0"/>
    </font>
    <font>
      <sz val="20"/>
      <name val="Impact"/>
      <family val="2"/>
    </font>
    <font>
      <b/>
      <sz val="10"/>
      <name val="Century Gothic"/>
      <family val="2"/>
    </font>
    <font>
      <sz val="14"/>
      <color indexed="9"/>
      <name val="Impact"/>
      <family val="2"/>
    </font>
    <font>
      <sz val="10"/>
      <name val="Trebuchet MS"/>
      <family val="2"/>
    </font>
    <font>
      <sz val="14"/>
      <name val="Arial"/>
      <family val="2"/>
    </font>
    <font>
      <sz val="14"/>
      <name val="Trebuchet MS"/>
      <family val="2"/>
    </font>
    <font>
      <sz val="12"/>
      <name val="Tahoma"/>
      <family val="2"/>
    </font>
    <font>
      <sz val="10"/>
      <name val="Impact"/>
      <family val="2"/>
    </font>
    <font>
      <b/>
      <sz val="10"/>
      <color indexed="9"/>
      <name val="Century Gothic"/>
      <family val="2"/>
    </font>
    <font>
      <i/>
      <sz val="9"/>
      <name val="Arial"/>
      <family val="2"/>
    </font>
    <font>
      <sz val="6"/>
      <name val="Arial"/>
      <family val="2"/>
    </font>
    <font>
      <b/>
      <sz val="6"/>
      <name val="Arial"/>
      <family val="2"/>
    </font>
    <font>
      <b/>
      <sz val="14"/>
      <name val="Impact"/>
      <family val="2"/>
    </font>
    <font>
      <b/>
      <sz val="10"/>
      <name val="Trebuchet MS"/>
      <family val="2"/>
    </font>
    <font>
      <b/>
      <sz val="12"/>
      <name val="Tahoma"/>
      <family val="2"/>
    </font>
    <font>
      <b/>
      <sz val="14"/>
      <name val="Arial"/>
      <family val="2"/>
    </font>
    <font>
      <sz val="10"/>
      <color indexed="9"/>
      <name val="Impact"/>
      <family val="2"/>
    </font>
    <font>
      <sz val="10"/>
      <color indexed="9"/>
      <name val="Trebuchet MS"/>
      <family val="2"/>
    </font>
    <font>
      <b/>
      <sz val="14"/>
      <color indexed="9"/>
      <name val="Impact"/>
      <family val="2"/>
    </font>
    <font>
      <b/>
      <sz val="10"/>
      <color indexed="9"/>
      <name val="Impact"/>
      <family val="2"/>
    </font>
    <font>
      <sz val="30"/>
      <name val="Batang"/>
      <family val="1"/>
    </font>
    <font>
      <b/>
      <sz val="40"/>
      <name val="Batang"/>
      <family val="1"/>
    </font>
    <font>
      <b/>
      <sz val="40"/>
      <name val="Arial"/>
      <family val="0"/>
    </font>
    <font>
      <sz val="20"/>
      <name val="Batang"/>
      <family val="1"/>
    </font>
    <font>
      <sz val="10"/>
      <name val="Batang"/>
      <family val="1"/>
    </font>
    <font>
      <b/>
      <sz val="30"/>
      <name val="Batang"/>
      <family val="1"/>
    </font>
    <font>
      <b/>
      <sz val="25"/>
      <name val="Batang"/>
      <family val="1"/>
    </font>
    <font>
      <b/>
      <sz val="50"/>
      <name val="Arial"/>
      <family val="2"/>
    </font>
    <font>
      <b/>
      <sz val="50"/>
      <color indexed="9"/>
      <name val="Arial"/>
      <family val="2"/>
    </font>
    <font>
      <b/>
      <sz val="20"/>
      <name val="Batang"/>
      <family val="1"/>
    </font>
    <font>
      <b/>
      <sz val="30"/>
      <color indexed="10"/>
      <name val="Arial"/>
      <family val="2"/>
    </font>
    <font>
      <b/>
      <sz val="30"/>
      <name val="Arial"/>
      <family val="0"/>
    </font>
  </fonts>
  <fills count="13">
    <fill>
      <patternFill/>
    </fill>
    <fill>
      <patternFill patternType="gray125"/>
    </fill>
    <fill>
      <patternFill patternType="solid">
        <fgColor indexed="9"/>
        <bgColor indexed="64"/>
      </patternFill>
    </fill>
    <fill>
      <patternFill patternType="solid">
        <fgColor indexed="23"/>
        <bgColor indexed="64"/>
      </patternFill>
    </fill>
    <fill>
      <patternFill patternType="solid">
        <fgColor indexed="18"/>
        <bgColor indexed="64"/>
      </patternFill>
    </fill>
    <fill>
      <patternFill patternType="solid">
        <fgColor indexed="40"/>
        <bgColor indexed="64"/>
      </patternFill>
    </fill>
    <fill>
      <patternFill patternType="solid">
        <fgColor indexed="56"/>
        <bgColor indexed="64"/>
      </patternFill>
    </fill>
    <fill>
      <patternFill patternType="solid">
        <fgColor indexed="22"/>
        <bgColor indexed="64"/>
      </patternFill>
    </fill>
    <fill>
      <patternFill patternType="solid">
        <fgColor indexed="8"/>
        <bgColor indexed="64"/>
      </patternFill>
    </fill>
    <fill>
      <patternFill patternType="solid">
        <fgColor indexed="44"/>
        <bgColor indexed="64"/>
      </patternFill>
    </fill>
    <fill>
      <patternFill patternType="solid">
        <fgColor indexed="41"/>
        <bgColor indexed="64"/>
      </patternFill>
    </fill>
    <fill>
      <patternFill patternType="solid">
        <fgColor indexed="12"/>
        <bgColor indexed="64"/>
      </patternFill>
    </fill>
    <fill>
      <patternFill patternType="solid">
        <fgColor indexed="48"/>
        <bgColor indexed="64"/>
      </patternFill>
    </fill>
  </fills>
  <borders count="157">
    <border>
      <left/>
      <right/>
      <top/>
      <bottom/>
      <diagonal/>
    </border>
    <border>
      <left>
        <color indexed="63"/>
      </left>
      <right style="thin"/>
      <top>
        <color indexed="63"/>
      </top>
      <bottom style="thin"/>
    </border>
    <border>
      <left style="thin"/>
      <right style="thin"/>
      <top style="hair"/>
      <bottom style="hair"/>
    </border>
    <border>
      <left style="thin"/>
      <right style="thin"/>
      <top style="hair"/>
      <bottom style="medium"/>
    </border>
    <border>
      <left style="thin"/>
      <right style="thin"/>
      <top style="thin"/>
      <bottom style="hair"/>
    </border>
    <border>
      <left style="thin"/>
      <right>
        <color indexed="63"/>
      </right>
      <top style="medium"/>
      <bottom>
        <color indexed="63"/>
      </bottom>
    </border>
    <border>
      <left>
        <color indexed="63"/>
      </left>
      <right style="thin"/>
      <top style="medium"/>
      <bottom>
        <color indexed="63"/>
      </bottom>
    </border>
    <border>
      <left style="thin"/>
      <right style="dashDotDot"/>
      <top style="thin"/>
      <bottom style="thin"/>
    </border>
    <border>
      <left>
        <color indexed="63"/>
      </left>
      <right>
        <color indexed="63"/>
      </right>
      <top style="thin"/>
      <bottom style="hair"/>
    </border>
    <border>
      <left style="thin"/>
      <right style="dashDotDot"/>
      <top style="thin"/>
      <bottom style="hair"/>
    </border>
    <border>
      <left>
        <color indexed="63"/>
      </left>
      <right style="thin"/>
      <top style="thin"/>
      <bottom style="hair"/>
    </border>
    <border>
      <left>
        <color indexed="63"/>
      </left>
      <right style="medium"/>
      <top style="thin"/>
      <bottom style="hair"/>
    </border>
    <border>
      <left>
        <color indexed="63"/>
      </left>
      <right>
        <color indexed="63"/>
      </right>
      <top style="hair"/>
      <bottom style="hair"/>
    </border>
    <border>
      <left style="thin"/>
      <right style="dashDotDot"/>
      <top style="hair"/>
      <bottom style="hair"/>
    </border>
    <border>
      <left>
        <color indexed="63"/>
      </left>
      <right style="thin"/>
      <top style="hair"/>
      <bottom style="hair"/>
    </border>
    <border>
      <left>
        <color indexed="63"/>
      </left>
      <right style="medium"/>
      <top style="hair"/>
      <bottom style="hair"/>
    </border>
    <border>
      <left>
        <color indexed="63"/>
      </left>
      <right>
        <color indexed="63"/>
      </right>
      <top style="hair"/>
      <bottom style="medium"/>
    </border>
    <border>
      <left style="thin"/>
      <right style="dashDotDot"/>
      <top style="hair"/>
      <bottom style="medium"/>
    </border>
    <border>
      <left>
        <color indexed="63"/>
      </left>
      <right style="thin"/>
      <top style="hair"/>
      <bottom style="medium"/>
    </border>
    <border>
      <left>
        <color indexed="63"/>
      </left>
      <right style="medium"/>
      <top style="hair"/>
      <bottom style="medium"/>
    </border>
    <border>
      <left>
        <color indexed="63"/>
      </left>
      <right style="medium"/>
      <top>
        <color indexed="63"/>
      </top>
      <bottom>
        <color indexed="63"/>
      </bottom>
    </border>
    <border>
      <left style="thin">
        <color indexed="9"/>
      </left>
      <right style="thin">
        <color indexed="9"/>
      </right>
      <top style="medium"/>
      <bottom>
        <color indexed="63"/>
      </bottom>
    </border>
    <border>
      <left style="thin"/>
      <right style="thin"/>
      <top>
        <color indexed="63"/>
      </top>
      <bottom style="medium"/>
    </border>
    <border>
      <left>
        <color indexed="63"/>
      </left>
      <right style="thin"/>
      <top style="thin"/>
      <bottom style="thin"/>
    </border>
    <border>
      <left>
        <color indexed="63"/>
      </left>
      <right style="medium"/>
      <top style="thin"/>
      <bottom>
        <color indexed="63"/>
      </bottom>
    </border>
    <border>
      <left>
        <color indexed="63"/>
      </left>
      <right style="thin"/>
      <top style="thin"/>
      <bottom>
        <color indexed="63"/>
      </bottom>
    </border>
    <border>
      <left>
        <color indexed="63"/>
      </left>
      <right style="thin"/>
      <top style="thin"/>
      <bottom style="dashed"/>
    </border>
    <border>
      <left>
        <color indexed="63"/>
      </left>
      <right style="thin"/>
      <top style="dashed"/>
      <bottom style="thin"/>
    </border>
    <border>
      <left>
        <color indexed="63"/>
      </left>
      <right style="medium">
        <color indexed="9"/>
      </right>
      <top style="thin"/>
      <bottom>
        <color indexed="63"/>
      </bottom>
    </border>
    <border>
      <left>
        <color indexed="63"/>
      </left>
      <right style="thin">
        <color indexed="9"/>
      </right>
      <top style="thin"/>
      <bottom style="dashed">
        <color indexed="9"/>
      </bottom>
    </border>
    <border>
      <left>
        <color indexed="63"/>
      </left>
      <right style="medium">
        <color indexed="9"/>
      </right>
      <top>
        <color indexed="63"/>
      </top>
      <bottom style="thin"/>
    </border>
    <border>
      <left>
        <color indexed="63"/>
      </left>
      <right style="thin">
        <color indexed="9"/>
      </right>
      <top style="dashed">
        <color indexed="9"/>
      </top>
      <bottom style="thin"/>
    </border>
    <border>
      <left style="thin"/>
      <right style="thin"/>
      <top style="thin"/>
      <bottom style="dashed"/>
    </border>
    <border>
      <left>
        <color indexed="63"/>
      </left>
      <right style="thin"/>
      <top style="dashed"/>
      <bottom style="dashed"/>
    </border>
    <border>
      <left>
        <color indexed="63"/>
      </left>
      <right style="thin"/>
      <top style="dashed"/>
      <bottom style="medium"/>
    </border>
    <border>
      <left style="medium"/>
      <right style="medium"/>
      <top style="medium"/>
      <bottom style="dashed"/>
    </border>
    <border>
      <left style="medium"/>
      <right style="medium"/>
      <top style="dashed"/>
      <bottom style="thin"/>
    </border>
    <border>
      <left style="medium"/>
      <right style="medium"/>
      <top>
        <color indexed="63"/>
      </top>
      <bottom style="dashed"/>
    </border>
    <border>
      <left style="medium"/>
      <right style="medium"/>
      <top>
        <color indexed="63"/>
      </top>
      <bottom style="thin"/>
    </border>
    <border>
      <left style="medium"/>
      <right style="medium"/>
      <top style="thin"/>
      <bottom style="dashed"/>
    </border>
    <border>
      <left style="medium"/>
      <right style="medium"/>
      <top style="dashed"/>
      <bottom style="dashed"/>
    </border>
    <border>
      <left style="medium"/>
      <right style="medium"/>
      <top style="dashed"/>
      <bottom style="mediu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
      <left style="medium"/>
      <right>
        <color indexed="63"/>
      </right>
      <top style="medium"/>
      <bottom>
        <color indexed="63"/>
      </bottom>
    </border>
    <border>
      <left style="medium"/>
      <right>
        <color indexed="63"/>
      </right>
      <top>
        <color indexed="63"/>
      </top>
      <bottom>
        <color indexed="63"/>
      </bottom>
    </border>
    <border>
      <left style="thin"/>
      <right style="hair"/>
      <top style="hair"/>
      <bottom>
        <color indexed="63"/>
      </bottom>
    </border>
    <border>
      <left style="hair"/>
      <right style="thin"/>
      <top style="hair"/>
      <bottom>
        <color indexed="63"/>
      </bottom>
    </border>
    <border>
      <left>
        <color indexed="63"/>
      </left>
      <right style="hair"/>
      <top style="hair"/>
      <bottom>
        <color indexed="63"/>
      </bottom>
    </border>
    <border>
      <left style="hair"/>
      <right style="hair"/>
      <top style="hair"/>
      <bottom>
        <color indexed="63"/>
      </bottom>
    </border>
    <border>
      <left style="hair"/>
      <right style="medium"/>
      <top style="hair"/>
      <bottom>
        <color indexed="63"/>
      </bottom>
    </border>
    <border>
      <left style="medium"/>
      <right>
        <color indexed="63"/>
      </right>
      <top style="medium"/>
      <bottom style="hair"/>
    </border>
    <border>
      <left>
        <color indexed="63"/>
      </left>
      <right style="hair"/>
      <top style="medium"/>
      <bottom style="hair"/>
    </border>
    <border>
      <left style="hair"/>
      <right style="thin"/>
      <top style="medium"/>
      <bottom style="hair"/>
    </border>
    <border>
      <left style="thin"/>
      <right style="thin"/>
      <top style="medium"/>
      <bottom style="hair"/>
    </border>
    <border>
      <left>
        <color indexed="63"/>
      </left>
      <right style="thin"/>
      <top style="medium"/>
      <bottom style="hair"/>
    </border>
    <border>
      <left style="hair"/>
      <right style="hair"/>
      <top style="medium"/>
      <bottom style="hair"/>
    </border>
    <border>
      <left style="hair"/>
      <right style="medium"/>
      <top style="medium"/>
      <bottom style="hair"/>
    </border>
    <border>
      <left style="medium"/>
      <right>
        <color indexed="63"/>
      </right>
      <top style="hair"/>
      <bottom style="hair"/>
    </border>
    <border>
      <left>
        <color indexed="63"/>
      </left>
      <right style="hair"/>
      <top style="hair"/>
      <bottom style="hair"/>
    </border>
    <border>
      <left style="hair"/>
      <right style="thin"/>
      <top style="hair"/>
      <bottom style="hair"/>
    </border>
    <border>
      <left style="hair"/>
      <right style="hair"/>
      <top style="hair"/>
      <bottom style="hair"/>
    </border>
    <border>
      <left style="hair"/>
      <right style="medium"/>
      <top style="hair"/>
      <bottom style="hair"/>
    </border>
    <border>
      <left style="thin"/>
      <right style="hair"/>
      <top style="hair"/>
      <bottom style="hair"/>
    </border>
    <border>
      <left style="medium"/>
      <right>
        <color indexed="63"/>
      </right>
      <top style="hair"/>
      <bottom style="medium"/>
    </border>
    <border>
      <left style="thin"/>
      <right style="hair"/>
      <top style="hair"/>
      <bottom style="medium"/>
    </border>
    <border>
      <left style="hair"/>
      <right style="thin"/>
      <top style="hair"/>
      <bottom style="medium"/>
    </border>
    <border>
      <left style="hair"/>
      <right style="hair"/>
      <top style="hair"/>
      <bottom style="medium"/>
    </border>
    <border>
      <left style="hair"/>
      <right style="medium"/>
      <top style="hair"/>
      <bottom style="medium"/>
    </border>
    <border>
      <left>
        <color indexed="63"/>
      </left>
      <right>
        <color indexed="63"/>
      </right>
      <top style="medium"/>
      <bottom style="thin">
        <color indexed="56"/>
      </bottom>
    </border>
    <border>
      <left>
        <color indexed="63"/>
      </left>
      <right style="thin">
        <color indexed="9"/>
      </right>
      <top style="thin">
        <color indexed="56"/>
      </top>
      <bottom style="thin">
        <color indexed="56"/>
      </bottom>
    </border>
    <border>
      <left style="thin">
        <color indexed="9"/>
      </left>
      <right style="hair">
        <color indexed="9"/>
      </right>
      <top style="thin">
        <color indexed="56"/>
      </top>
      <bottom style="thin">
        <color indexed="56"/>
      </bottom>
    </border>
    <border>
      <left style="hair">
        <color indexed="9"/>
      </left>
      <right style="thin">
        <color indexed="9"/>
      </right>
      <top style="thin">
        <color indexed="56"/>
      </top>
      <bottom style="thin">
        <color indexed="56"/>
      </bottom>
    </border>
    <border>
      <left style="hair">
        <color indexed="9"/>
      </left>
      <right style="hair">
        <color indexed="9"/>
      </right>
      <top style="thin">
        <color indexed="56"/>
      </top>
      <bottom style="thin">
        <color indexed="56"/>
      </bottom>
    </border>
    <border>
      <left style="thin">
        <color indexed="9"/>
      </left>
      <right>
        <color indexed="63"/>
      </right>
      <top style="thin">
        <color indexed="56"/>
      </top>
      <bottom style="thin">
        <color indexed="56"/>
      </bottom>
    </border>
    <border>
      <left>
        <color indexed="63"/>
      </left>
      <right>
        <color indexed="63"/>
      </right>
      <top style="thin">
        <color indexed="56"/>
      </top>
      <bottom style="thin">
        <color indexed="56"/>
      </bottom>
    </border>
    <border>
      <left>
        <color indexed="63"/>
      </left>
      <right style="thin">
        <color indexed="56"/>
      </right>
      <top style="thin">
        <color indexed="56"/>
      </top>
      <bottom style="thin">
        <color indexed="56"/>
      </bottom>
    </border>
    <border>
      <left style="thin">
        <color indexed="9"/>
      </left>
      <right style="thin">
        <color indexed="9"/>
      </right>
      <top style="thin">
        <color indexed="56"/>
      </top>
      <bottom style="thin">
        <color indexed="56"/>
      </bottom>
    </border>
    <border>
      <left style="medium"/>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hair"/>
      <top style="medium"/>
      <bottom style="hair"/>
    </border>
    <border>
      <left style="medium"/>
      <right style="hair"/>
      <top style="hair"/>
      <bottom style="hair"/>
    </border>
    <border>
      <left style="medium"/>
      <right style="hair"/>
      <top style="hair"/>
      <bottom style="medium"/>
    </border>
    <border>
      <left style="thin">
        <color indexed="9"/>
      </left>
      <right style="thin">
        <color indexed="9"/>
      </right>
      <top style="medium"/>
      <bottom style="medium"/>
    </border>
    <border>
      <left>
        <color indexed="63"/>
      </left>
      <right style="thin">
        <color indexed="9"/>
      </right>
      <top style="medium"/>
      <bottom style="medium"/>
    </border>
    <border>
      <left style="thin">
        <color indexed="9"/>
      </left>
      <right style="hair">
        <color indexed="9"/>
      </right>
      <top style="medium"/>
      <bottom style="medium"/>
    </border>
    <border>
      <left style="hair">
        <color indexed="9"/>
      </left>
      <right style="thin">
        <color indexed="9"/>
      </right>
      <top style="medium"/>
      <bottom style="medium"/>
    </border>
    <border>
      <left style="hair">
        <color indexed="9"/>
      </left>
      <right style="hair">
        <color indexed="9"/>
      </right>
      <top style="medium"/>
      <bottom style="medium"/>
    </border>
    <border>
      <left style="thin">
        <color indexed="9"/>
      </left>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hair"/>
      <top style="hair"/>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style="medium"/>
    </border>
    <border>
      <left style="hair"/>
      <right>
        <color indexed="63"/>
      </right>
      <top style="hair"/>
      <bottom style="hair"/>
    </border>
    <border>
      <left style="hair"/>
      <right style="hair"/>
      <top style="medium"/>
      <bottom style="medium"/>
    </border>
    <border>
      <left style="hair"/>
      <right style="medium"/>
      <top style="medium"/>
      <bottom style="medium"/>
    </border>
    <border>
      <left style="hair"/>
      <right style="hair"/>
      <top>
        <color indexed="63"/>
      </top>
      <bottom>
        <color indexed="63"/>
      </bottom>
    </border>
    <border>
      <left style="hair"/>
      <right>
        <color indexed="63"/>
      </right>
      <top>
        <color indexed="63"/>
      </top>
      <bottom style="hair"/>
    </border>
    <border>
      <left style="medium"/>
      <right style="thin"/>
      <top>
        <color indexed="63"/>
      </top>
      <bottom style="thin"/>
    </border>
    <border>
      <left style="medium"/>
      <right>
        <color indexed="63"/>
      </right>
      <top style="thin"/>
      <bottom>
        <color indexed="63"/>
      </bottom>
    </border>
    <border>
      <left>
        <color indexed="63"/>
      </left>
      <right style="medium"/>
      <top style="thin"/>
      <bottom style="thin"/>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medium"/>
      <bottom style="medium"/>
    </border>
    <border>
      <left style="medium"/>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dashed"/>
    </border>
    <border>
      <left>
        <color indexed="63"/>
      </left>
      <right style="medium"/>
      <top style="thin"/>
      <bottom style="dashed"/>
    </border>
    <border>
      <left style="medium"/>
      <right>
        <color indexed="63"/>
      </right>
      <top style="dashed"/>
      <bottom style="thin"/>
    </border>
    <border>
      <left>
        <color indexed="63"/>
      </left>
      <right style="medium"/>
      <top style="dashed"/>
      <bottom style="thin"/>
    </border>
    <border>
      <left style="medium"/>
      <right>
        <color indexed="63"/>
      </right>
      <top style="dashed"/>
      <bottom style="dashed"/>
    </border>
    <border>
      <left>
        <color indexed="63"/>
      </left>
      <right style="medium"/>
      <top style="dashed"/>
      <bottom style="dashed"/>
    </border>
    <border>
      <left style="medium"/>
      <right>
        <color indexed="63"/>
      </right>
      <top style="dashed"/>
      <bottom style="medium"/>
    </border>
    <border>
      <left>
        <color indexed="63"/>
      </left>
      <right style="medium"/>
      <top style="dashed"/>
      <bottom style="medium"/>
    </border>
    <border>
      <left>
        <color indexed="63"/>
      </left>
      <right>
        <color indexed="63"/>
      </right>
      <top style="medium"/>
      <bottom>
        <color indexed="63"/>
      </bottom>
    </border>
    <border>
      <left>
        <color indexed="63"/>
      </left>
      <right>
        <color indexed="63"/>
      </right>
      <top style="thin">
        <color indexed="56"/>
      </top>
      <bottom>
        <color indexed="63"/>
      </bottom>
    </border>
    <border>
      <left>
        <color indexed="63"/>
      </left>
      <right>
        <color indexed="63"/>
      </right>
      <top style="medium"/>
      <bottom style="hair"/>
    </border>
    <border>
      <left>
        <color indexed="63"/>
      </left>
      <right style="medium"/>
      <top style="medium"/>
      <bottom>
        <color indexed="63"/>
      </bottom>
    </border>
    <border>
      <left style="thin">
        <color indexed="56"/>
      </left>
      <right>
        <color indexed="63"/>
      </right>
      <top style="thin">
        <color indexed="56"/>
      </top>
      <bottom style="thin">
        <color indexed="56"/>
      </bottom>
    </border>
    <border>
      <left>
        <color indexed="63"/>
      </left>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hair"/>
      <top style="medium"/>
      <bottom>
        <color indexed="63"/>
      </bottom>
    </border>
    <border>
      <left style="thin"/>
      <right style="hair"/>
      <top>
        <color indexed="63"/>
      </top>
      <bottom>
        <color indexed="63"/>
      </bottom>
    </border>
    <border>
      <left style="hair"/>
      <right style="thin"/>
      <top style="medium"/>
      <bottom>
        <color indexed="63"/>
      </bottom>
    </border>
    <border>
      <left style="hair"/>
      <right style="thin"/>
      <top>
        <color indexed="63"/>
      </top>
      <bottom>
        <color indexed="63"/>
      </bottom>
    </border>
    <border>
      <left style="thin"/>
      <right>
        <color indexed="63"/>
      </right>
      <top style="medium"/>
      <bottom style="hair"/>
    </border>
    <border>
      <left style="thin"/>
      <right style="thin"/>
      <top style="medium"/>
      <bottom style="thin"/>
    </border>
    <border>
      <left style="thin"/>
      <right style="medium"/>
      <top style="medium"/>
      <bottom style="thin"/>
    </border>
    <border>
      <left style="medium"/>
      <right style="hair"/>
      <top style="medium"/>
      <bottom style="medium"/>
    </border>
    <border>
      <left style="thin"/>
      <right style="thin"/>
      <top>
        <color indexed="63"/>
      </top>
      <bottom style="thin"/>
    </border>
    <border>
      <left style="thin"/>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81">
    <xf numFmtId="0" fontId="0" fillId="0" borderId="0" xfId="0" applyAlignment="1">
      <alignment/>
    </xf>
    <xf numFmtId="0" fontId="1" fillId="2" borderId="0" xfId="0" applyFont="1" applyFill="1" applyAlignment="1">
      <alignment/>
    </xf>
    <xf numFmtId="165" fontId="1" fillId="2" borderId="0" xfId="15" applyNumberFormat="1" applyFont="1" applyFill="1" applyAlignment="1">
      <alignment/>
    </xf>
    <xf numFmtId="165" fontId="1" fillId="2" borderId="1" xfId="15"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xf>
    <xf numFmtId="0" fontId="1" fillId="2" borderId="3" xfId="0" applyFont="1" applyFill="1" applyBorder="1" applyAlignment="1">
      <alignment/>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4" xfId="0" applyFont="1" applyFill="1" applyBorder="1" applyAlignment="1">
      <alignment horizontal="center"/>
    </xf>
    <xf numFmtId="0" fontId="2" fillId="2" borderId="4" xfId="0" applyFont="1" applyFill="1" applyBorder="1" applyAlignment="1">
      <alignment/>
    </xf>
    <xf numFmtId="0" fontId="2" fillId="2" borderId="0" xfId="0" applyFont="1" applyFill="1" applyAlignment="1">
      <alignment/>
    </xf>
    <xf numFmtId="0" fontId="2" fillId="2" borderId="2" xfId="0" applyFont="1" applyFill="1" applyBorder="1" applyAlignment="1">
      <alignment horizontal="center"/>
    </xf>
    <xf numFmtId="0" fontId="2" fillId="2" borderId="2" xfId="0" applyFont="1" applyFill="1" applyBorder="1" applyAlignment="1">
      <alignment/>
    </xf>
    <xf numFmtId="165" fontId="1" fillId="2" borderId="5" xfId="15"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165" fontId="1" fillId="2" borderId="7" xfId="15" applyNumberFormat="1" applyFont="1" applyFill="1" applyBorder="1" applyAlignment="1">
      <alignment horizontal="center" vertical="center" wrapText="1"/>
    </xf>
    <xf numFmtId="0" fontId="4" fillId="3" borderId="0" xfId="0" applyFont="1" applyFill="1" applyAlignment="1">
      <alignment/>
    </xf>
    <xf numFmtId="165" fontId="4" fillId="3" borderId="0" xfId="15" applyNumberFormat="1" applyFont="1" applyFill="1" applyAlignment="1">
      <alignment/>
    </xf>
    <xf numFmtId="167" fontId="4" fillId="3" borderId="0" xfId="0" applyNumberFormat="1" applyFont="1" applyFill="1" applyAlignment="1">
      <alignment/>
    </xf>
    <xf numFmtId="167" fontId="1" fillId="2" borderId="0" xfId="0" applyNumberFormat="1" applyFont="1" applyFill="1" applyAlignment="1">
      <alignment/>
    </xf>
    <xf numFmtId="0" fontId="2" fillId="2" borderId="8" xfId="0" applyFont="1" applyFill="1" applyBorder="1" applyAlignment="1">
      <alignment horizontal="center"/>
    </xf>
    <xf numFmtId="165" fontId="2" fillId="2" borderId="9" xfId="15" applyNumberFormat="1" applyFont="1" applyFill="1" applyBorder="1" applyAlignment="1">
      <alignment horizontal="center"/>
    </xf>
    <xf numFmtId="165" fontId="2" fillId="2" borderId="10" xfId="15" applyNumberFormat="1" applyFont="1" applyFill="1" applyBorder="1" applyAlignment="1">
      <alignment horizontal="center"/>
    </xf>
    <xf numFmtId="0" fontId="2" fillId="2" borderId="10" xfId="21" applyFont="1" applyFill="1" applyBorder="1" applyAlignment="1">
      <alignment horizontal="center"/>
    </xf>
    <xf numFmtId="165" fontId="2" fillId="2" borderId="4" xfId="15" applyNumberFormat="1" applyFont="1" applyFill="1" applyBorder="1" applyAlignment="1">
      <alignment horizontal="center"/>
    </xf>
    <xf numFmtId="0" fontId="2" fillId="2" borderId="4" xfId="15" applyFont="1" applyFill="1" applyBorder="1" applyAlignment="1">
      <alignment horizontal="center"/>
    </xf>
    <xf numFmtId="0" fontId="2" fillId="2" borderId="11" xfId="15" applyFont="1" applyFill="1" applyBorder="1" applyAlignment="1">
      <alignment horizontal="center"/>
    </xf>
    <xf numFmtId="0" fontId="1" fillId="2" borderId="12" xfId="0" applyFont="1" applyFill="1" applyBorder="1" applyAlignment="1">
      <alignment horizontal="center"/>
    </xf>
    <xf numFmtId="165" fontId="1" fillId="2" borderId="13" xfId="15" applyNumberFormat="1" applyFont="1" applyFill="1" applyBorder="1" applyAlignment="1">
      <alignment horizontal="center"/>
    </xf>
    <xf numFmtId="165" fontId="1" fillId="2" borderId="14" xfId="15" applyNumberFormat="1" applyFont="1" applyFill="1" applyBorder="1" applyAlignment="1">
      <alignment horizontal="center"/>
    </xf>
    <xf numFmtId="9" fontId="1" fillId="2" borderId="14" xfId="21" applyFont="1" applyFill="1" applyBorder="1" applyAlignment="1">
      <alignment horizontal="center"/>
    </xf>
    <xf numFmtId="165" fontId="1" fillId="2" borderId="2" xfId="15" applyNumberFormat="1" applyFont="1" applyFill="1" applyBorder="1" applyAlignment="1">
      <alignment horizontal="center"/>
    </xf>
    <xf numFmtId="43" fontId="1" fillId="2" borderId="2" xfId="15" applyFont="1" applyFill="1" applyBorder="1" applyAlignment="1">
      <alignment horizontal="center"/>
    </xf>
    <xf numFmtId="43" fontId="1" fillId="2" borderId="15" xfId="15" applyFont="1" applyFill="1" applyBorder="1" applyAlignment="1">
      <alignment horizontal="center"/>
    </xf>
    <xf numFmtId="0" fontId="2" fillId="2" borderId="12" xfId="0" applyFont="1" applyFill="1" applyBorder="1" applyAlignment="1">
      <alignment horizontal="center"/>
    </xf>
    <xf numFmtId="165" fontId="2" fillId="2" borderId="13" xfId="15" applyNumberFormat="1" applyFont="1" applyFill="1" applyBorder="1" applyAlignment="1">
      <alignment horizontal="center"/>
    </xf>
    <xf numFmtId="165" fontId="2" fillId="2" borderId="14" xfId="15" applyNumberFormat="1" applyFont="1" applyFill="1" applyBorder="1" applyAlignment="1">
      <alignment horizontal="center"/>
    </xf>
    <xf numFmtId="9" fontId="2" fillId="2" borderId="14" xfId="21" applyFont="1" applyFill="1" applyBorder="1" applyAlignment="1">
      <alignment horizontal="center"/>
    </xf>
    <xf numFmtId="165" fontId="2" fillId="2" borderId="2" xfId="15" applyNumberFormat="1" applyFont="1" applyFill="1" applyBorder="1" applyAlignment="1">
      <alignment horizontal="center"/>
    </xf>
    <xf numFmtId="43" fontId="2" fillId="2" borderId="2" xfId="15" applyFont="1" applyFill="1" applyBorder="1" applyAlignment="1">
      <alignment horizontal="center"/>
    </xf>
    <xf numFmtId="43" fontId="2" fillId="2" borderId="15" xfId="15" applyFont="1" applyFill="1" applyBorder="1" applyAlignment="1">
      <alignment horizontal="center"/>
    </xf>
    <xf numFmtId="0" fontId="1" fillId="2" borderId="16" xfId="0" applyFont="1" applyFill="1" applyBorder="1" applyAlignment="1">
      <alignment horizontal="center"/>
    </xf>
    <xf numFmtId="165" fontId="1" fillId="2" borderId="17" xfId="15" applyNumberFormat="1" applyFont="1" applyFill="1" applyBorder="1" applyAlignment="1">
      <alignment horizontal="center"/>
    </xf>
    <xf numFmtId="165" fontId="1" fillId="2" borderId="18" xfId="15" applyNumberFormat="1" applyFont="1" applyFill="1" applyBorder="1" applyAlignment="1">
      <alignment horizontal="center"/>
    </xf>
    <xf numFmtId="9" fontId="1" fillId="2" borderId="18" xfId="21" applyFont="1" applyFill="1" applyBorder="1" applyAlignment="1">
      <alignment horizontal="center"/>
    </xf>
    <xf numFmtId="165" fontId="1" fillId="2" borderId="3" xfId="15" applyNumberFormat="1" applyFont="1" applyFill="1" applyBorder="1" applyAlignment="1">
      <alignment horizontal="center"/>
    </xf>
    <xf numFmtId="43" fontId="1" fillId="2" borderId="3" xfId="15" applyFont="1" applyFill="1" applyBorder="1" applyAlignment="1">
      <alignment horizontal="center"/>
    </xf>
    <xf numFmtId="43" fontId="1" fillId="2" borderId="19" xfId="15" applyFont="1" applyFill="1" applyBorder="1" applyAlignment="1">
      <alignment horizontal="center"/>
    </xf>
    <xf numFmtId="167" fontId="2" fillId="2" borderId="4" xfId="0" applyNumberFormat="1" applyFont="1" applyFill="1" applyBorder="1" applyAlignment="1">
      <alignment horizontal="center"/>
    </xf>
    <xf numFmtId="167" fontId="1" fillId="2" borderId="2" xfId="0" applyNumberFormat="1" applyFont="1" applyFill="1" applyBorder="1" applyAlignment="1">
      <alignment horizontal="center"/>
    </xf>
    <xf numFmtId="167" fontId="2" fillId="2" borderId="2" xfId="0" applyNumberFormat="1" applyFont="1" applyFill="1" applyBorder="1" applyAlignment="1">
      <alignment horizontal="center"/>
    </xf>
    <xf numFmtId="167" fontId="1" fillId="2" borderId="3" xfId="0" applyNumberFormat="1" applyFont="1" applyFill="1" applyBorder="1" applyAlignment="1">
      <alignment horizontal="center"/>
    </xf>
    <xf numFmtId="0" fontId="3" fillId="0" borderId="0" xfId="0" applyFont="1" applyAlignment="1">
      <alignment vertical="center"/>
    </xf>
    <xf numFmtId="0" fontId="12" fillId="0" borderId="0" xfId="0" applyFont="1" applyAlignment="1">
      <alignment vertical="center"/>
    </xf>
    <xf numFmtId="0" fontId="3" fillId="0" borderId="0" xfId="0" applyFont="1" applyFill="1" applyAlignment="1">
      <alignment vertical="center"/>
    </xf>
    <xf numFmtId="0" fontId="12" fillId="0" borderId="0" xfId="0" applyFont="1" applyFill="1" applyBorder="1" applyAlignment="1">
      <alignment horizontal="center" vertical="center"/>
    </xf>
    <xf numFmtId="0" fontId="12" fillId="0" borderId="20" xfId="0" applyFont="1" applyFill="1" applyBorder="1" applyAlignment="1">
      <alignment horizontal="center" vertical="center"/>
    </xf>
    <xf numFmtId="0" fontId="14" fillId="4" borderId="21" xfId="0" applyFont="1" applyFill="1" applyBorder="1" applyAlignment="1">
      <alignment horizontal="center" vertical="center"/>
    </xf>
    <xf numFmtId="168" fontId="12" fillId="0" borderId="0" xfId="0" applyNumberFormat="1" applyFont="1" applyFill="1" applyBorder="1" applyAlignment="1">
      <alignment horizontal="center" vertical="center"/>
    </xf>
    <xf numFmtId="168" fontId="12" fillId="0" borderId="20" xfId="0" applyNumberFormat="1" applyFont="1" applyFill="1" applyBorder="1" applyAlignment="1">
      <alignment horizontal="center" vertical="center"/>
    </xf>
    <xf numFmtId="0" fontId="15" fillId="0" borderId="22" xfId="0" applyFont="1" applyFill="1" applyBorder="1" applyAlignment="1">
      <alignment horizontal="center" vertical="center" wrapText="1"/>
    </xf>
    <xf numFmtId="168" fontId="16" fillId="0" borderId="1" xfId="0" applyNumberFormat="1" applyFont="1" applyFill="1" applyBorder="1" applyAlignment="1">
      <alignment horizontal="center" vertical="center"/>
    </xf>
    <xf numFmtId="0" fontId="16" fillId="0" borderId="23" xfId="0" applyFont="1" applyFill="1" applyBorder="1" applyAlignment="1">
      <alignment horizontal="center" vertical="center"/>
    </xf>
    <xf numFmtId="0" fontId="15" fillId="0" borderId="24" xfId="0" applyFont="1" applyBorder="1" applyAlignment="1">
      <alignment horizontal="center" vertical="center"/>
    </xf>
    <xf numFmtId="0" fontId="16" fillId="0" borderId="25" xfId="0" applyFont="1" applyFill="1" applyBorder="1" applyAlignment="1">
      <alignment horizontal="center" vertical="justify"/>
    </xf>
    <xf numFmtId="0" fontId="3" fillId="0" borderId="0" xfId="0" applyFont="1" applyAlignment="1">
      <alignment vertical="justify"/>
    </xf>
    <xf numFmtId="0" fontId="16" fillId="0" borderId="1" xfId="0" applyFont="1" applyFill="1" applyBorder="1" applyAlignment="1">
      <alignment horizontal="center" vertical="justify"/>
    </xf>
    <xf numFmtId="0" fontId="16" fillId="0" borderId="26" xfId="0" applyFont="1" applyFill="1" applyBorder="1" applyAlignment="1">
      <alignment horizontal="center" vertical="center"/>
    </xf>
    <xf numFmtId="0" fontId="3" fillId="0" borderId="0" xfId="0" applyFont="1" applyBorder="1" applyAlignment="1">
      <alignment vertical="center"/>
    </xf>
    <xf numFmtId="169" fontId="16" fillId="0" borderId="26" xfId="0" applyNumberFormat="1" applyFont="1" applyFill="1" applyBorder="1" applyAlignment="1">
      <alignment horizontal="right" vertical="center"/>
    </xf>
    <xf numFmtId="0" fontId="15" fillId="0" borderId="20" xfId="0" applyFont="1" applyBorder="1" applyAlignment="1">
      <alignment horizontal="center" vertical="center"/>
    </xf>
    <xf numFmtId="170" fontId="16" fillId="0" borderId="27" xfId="0" applyNumberFormat="1" applyFont="1" applyFill="1" applyBorder="1" applyAlignment="1">
      <alignment horizontal="right" vertical="center"/>
    </xf>
    <xf numFmtId="0" fontId="14" fillId="4" borderId="28" xfId="0" applyFont="1" applyFill="1" applyBorder="1" applyAlignment="1">
      <alignment horizontal="center" vertical="center"/>
    </xf>
    <xf numFmtId="169" fontId="17" fillId="4" borderId="29" xfId="0" applyNumberFormat="1" applyFont="1" applyFill="1" applyBorder="1" applyAlignment="1">
      <alignment vertical="center"/>
    </xf>
    <xf numFmtId="0" fontId="14" fillId="4" borderId="30" xfId="0" applyFont="1" applyFill="1" applyBorder="1" applyAlignment="1">
      <alignment horizontal="center" vertical="center"/>
    </xf>
    <xf numFmtId="170" fontId="18" fillId="5" borderId="31" xfId="0" applyNumberFormat="1" applyFont="1" applyFill="1" applyBorder="1" applyAlignment="1">
      <alignment vertical="center"/>
    </xf>
    <xf numFmtId="170" fontId="16" fillId="0" borderId="32" xfId="0" applyNumberFormat="1" applyFont="1" applyBorder="1" applyAlignment="1">
      <alignment horizontal="right" vertical="center"/>
    </xf>
    <xf numFmtId="171" fontId="19" fillId="0" borderId="1" xfId="0" applyNumberFormat="1" applyFont="1" applyBorder="1" applyAlignment="1">
      <alignment horizontal="right" vertical="center"/>
    </xf>
    <xf numFmtId="170" fontId="16" fillId="0" borderId="26" xfId="0" applyNumberFormat="1" applyFont="1" applyBorder="1" applyAlignment="1">
      <alignment horizontal="right" vertical="center"/>
    </xf>
    <xf numFmtId="169" fontId="16" fillId="0" borderId="1" xfId="15" applyNumberFormat="1" applyFont="1" applyBorder="1" applyAlignment="1">
      <alignment horizontal="right" vertical="center"/>
    </xf>
    <xf numFmtId="169" fontId="17" fillId="4" borderId="26" xfId="15" applyNumberFormat="1" applyFont="1" applyFill="1" applyBorder="1" applyAlignment="1">
      <alignment horizontal="right" vertical="center"/>
    </xf>
    <xf numFmtId="172" fontId="18" fillId="5" borderId="33" xfId="15" applyNumberFormat="1" applyFont="1" applyFill="1" applyBorder="1" applyAlignment="1">
      <alignment horizontal="right" vertical="center"/>
    </xf>
    <xf numFmtId="169" fontId="16" fillId="0" borderId="34" xfId="15" applyNumberFormat="1" applyFont="1" applyBorder="1" applyAlignment="1">
      <alignment horizontal="right" vertical="center"/>
    </xf>
    <xf numFmtId="0" fontId="20" fillId="0" borderId="0" xfId="0" applyFont="1" applyAlignment="1">
      <alignment vertical="center"/>
    </xf>
    <xf numFmtId="0" fontId="23" fillId="4" borderId="21" xfId="0" applyFont="1" applyFill="1" applyBorder="1" applyAlignment="1">
      <alignment horizontal="center" vertical="center"/>
    </xf>
    <xf numFmtId="0" fontId="25" fillId="0" borderId="22" xfId="0" applyFont="1" applyFill="1" applyBorder="1" applyAlignment="1">
      <alignment horizontal="center" vertical="center" wrapText="1"/>
    </xf>
    <xf numFmtId="168" fontId="26" fillId="0" borderId="1" xfId="0" applyNumberFormat="1" applyFont="1" applyFill="1" applyBorder="1" applyAlignment="1">
      <alignment horizontal="center" vertical="center"/>
    </xf>
    <xf numFmtId="0" fontId="26" fillId="0" borderId="23" xfId="0" applyFont="1" applyFill="1" applyBorder="1" applyAlignment="1">
      <alignment horizontal="center" vertical="center"/>
    </xf>
    <xf numFmtId="0" fontId="26" fillId="0" borderId="25" xfId="0" applyFont="1" applyFill="1" applyBorder="1" applyAlignment="1">
      <alignment horizontal="center" vertical="justify"/>
    </xf>
    <xf numFmtId="0" fontId="27" fillId="0" borderId="1" xfId="0" applyFont="1" applyFill="1" applyBorder="1" applyAlignment="1">
      <alignment horizontal="center" vertical="justify"/>
    </xf>
    <xf numFmtId="0" fontId="26" fillId="0" borderId="26" xfId="0" applyFont="1" applyFill="1" applyBorder="1" applyAlignment="1">
      <alignment horizontal="center" vertical="center"/>
    </xf>
    <xf numFmtId="0" fontId="28" fillId="0" borderId="24" xfId="0" applyFont="1" applyBorder="1" applyAlignment="1">
      <alignment horizontal="center" vertical="center"/>
    </xf>
    <xf numFmtId="169" fontId="26" fillId="0" borderId="26" xfId="0" applyNumberFormat="1" applyFont="1" applyFill="1" applyBorder="1" applyAlignment="1">
      <alignment horizontal="right" vertical="center"/>
    </xf>
    <xf numFmtId="169" fontId="29" fillId="0" borderId="35" xfId="15" applyNumberFormat="1" applyFont="1" applyBorder="1" applyAlignment="1">
      <alignment vertical="center"/>
    </xf>
    <xf numFmtId="0" fontId="28" fillId="0" borderId="20" xfId="0" applyFont="1" applyBorder="1" applyAlignment="1">
      <alignment horizontal="center" vertical="center"/>
    </xf>
    <xf numFmtId="170" fontId="26" fillId="0" borderId="27" xfId="0" applyNumberFormat="1" applyFont="1" applyFill="1" applyBorder="1" applyAlignment="1">
      <alignment horizontal="right" vertical="center"/>
    </xf>
    <xf numFmtId="170" fontId="29" fillId="0" borderId="36" xfId="15" applyNumberFormat="1" applyFont="1" applyBorder="1" applyAlignment="1">
      <alignment vertical="center"/>
    </xf>
    <xf numFmtId="169" fontId="29" fillId="0" borderId="37" xfId="15" applyNumberFormat="1" applyFont="1" applyBorder="1" applyAlignment="1">
      <alignment vertical="center"/>
    </xf>
    <xf numFmtId="170" fontId="29" fillId="0" borderId="38" xfId="15" applyNumberFormat="1" applyFont="1" applyBorder="1" applyAlignment="1">
      <alignment vertical="center"/>
    </xf>
    <xf numFmtId="0" fontId="31" fillId="4" borderId="28" xfId="0" applyFont="1" applyFill="1" applyBorder="1" applyAlignment="1">
      <alignment horizontal="center" vertical="center"/>
    </xf>
    <xf numFmtId="169" fontId="32" fillId="4" borderId="29" xfId="0" applyNumberFormat="1" applyFont="1" applyFill="1" applyBorder="1" applyAlignment="1">
      <alignment vertical="center"/>
    </xf>
    <xf numFmtId="169" fontId="33" fillId="0" borderId="39" xfId="15" applyNumberFormat="1" applyFont="1" applyFill="1" applyBorder="1" applyAlignment="1">
      <alignment vertical="center"/>
    </xf>
    <xf numFmtId="0" fontId="31" fillId="4" borderId="30" xfId="0" applyFont="1" applyFill="1" applyBorder="1" applyAlignment="1">
      <alignment horizontal="center" vertical="center"/>
    </xf>
    <xf numFmtId="170" fontId="33" fillId="5" borderId="31" xfId="0" applyNumberFormat="1" applyFont="1" applyFill="1" applyBorder="1" applyAlignment="1">
      <alignment vertical="center"/>
    </xf>
    <xf numFmtId="172" fontId="33" fillId="0" borderId="39" xfId="15" applyNumberFormat="1" applyFont="1" applyFill="1" applyBorder="1" applyAlignment="1">
      <alignment vertical="center"/>
    </xf>
    <xf numFmtId="173" fontId="26" fillId="0" borderId="32" xfId="21" applyNumberFormat="1" applyFont="1" applyBorder="1" applyAlignment="1">
      <alignment horizontal="right" vertical="center"/>
    </xf>
    <xf numFmtId="9" fontId="29" fillId="0" borderId="39" xfId="21" applyFont="1" applyBorder="1" applyAlignment="1">
      <alignment vertical="center"/>
    </xf>
    <xf numFmtId="9" fontId="3" fillId="0" borderId="0" xfId="21" applyFont="1" applyAlignment="1">
      <alignment vertical="center"/>
    </xf>
    <xf numFmtId="170" fontId="26" fillId="0" borderId="32" xfId="0" applyNumberFormat="1" applyFont="1" applyBorder="1" applyAlignment="1">
      <alignment horizontal="right" vertical="center"/>
    </xf>
    <xf numFmtId="170" fontId="29" fillId="0" borderId="39" xfId="15" applyNumberFormat="1" applyFont="1" applyBorder="1" applyAlignment="1">
      <alignment vertical="center"/>
    </xf>
    <xf numFmtId="171" fontId="34" fillId="0" borderId="1" xfId="0" applyNumberFormat="1" applyFont="1" applyBorder="1" applyAlignment="1">
      <alignment horizontal="right" vertical="center"/>
    </xf>
    <xf numFmtId="171" fontId="35" fillId="0" borderId="38" xfId="0" applyNumberFormat="1" applyFont="1" applyBorder="1" applyAlignment="1">
      <alignment vertical="center"/>
    </xf>
    <xf numFmtId="170" fontId="26" fillId="0" borderId="26" xfId="0" applyNumberFormat="1" applyFont="1" applyBorder="1" applyAlignment="1">
      <alignment horizontal="right" vertical="center"/>
    </xf>
    <xf numFmtId="170" fontId="29" fillId="0" borderId="39" xfId="0" applyNumberFormat="1" applyFont="1" applyBorder="1" applyAlignment="1">
      <alignment horizontal="right" vertical="center"/>
    </xf>
    <xf numFmtId="169" fontId="26" fillId="0" borderId="1" xfId="15" applyNumberFormat="1" applyFont="1" applyBorder="1" applyAlignment="1">
      <alignment horizontal="right" vertical="center"/>
    </xf>
    <xf numFmtId="169" fontId="29" fillId="0" borderId="38" xfId="15" applyNumberFormat="1" applyFont="1" applyBorder="1" applyAlignment="1">
      <alignment horizontal="right" vertical="center"/>
    </xf>
    <xf numFmtId="169" fontId="36" fillId="4" borderId="26" xfId="15" applyNumberFormat="1" applyFont="1" applyFill="1" applyBorder="1" applyAlignment="1">
      <alignment horizontal="right" vertical="center"/>
    </xf>
    <xf numFmtId="169" fontId="29" fillId="0" borderId="39" xfId="0" applyNumberFormat="1" applyFont="1" applyBorder="1" applyAlignment="1">
      <alignment vertical="center"/>
    </xf>
    <xf numFmtId="172" fontId="29" fillId="5" borderId="33" xfId="15" applyNumberFormat="1" applyFont="1" applyFill="1" applyBorder="1" applyAlignment="1">
      <alignment horizontal="right" vertical="center"/>
    </xf>
    <xf numFmtId="170" fontId="29" fillId="0" borderId="40" xfId="0" applyNumberFormat="1" applyFont="1" applyBorder="1" applyAlignment="1">
      <alignment vertical="center"/>
    </xf>
    <xf numFmtId="169" fontId="26" fillId="0" borderId="34" xfId="15" applyNumberFormat="1" applyFont="1" applyBorder="1" applyAlignment="1">
      <alignment horizontal="right" vertical="center"/>
    </xf>
    <xf numFmtId="169" fontId="29" fillId="0" borderId="41" xfId="15" applyNumberFormat="1" applyFont="1" applyBorder="1" applyAlignment="1">
      <alignment horizontal="right" vertical="center"/>
    </xf>
    <xf numFmtId="0" fontId="23" fillId="3" borderId="21" xfId="0" applyFont="1" applyFill="1" applyBorder="1" applyAlignment="1">
      <alignment horizontal="center" vertical="center"/>
    </xf>
    <xf numFmtId="0" fontId="31" fillId="3" borderId="28" xfId="0" applyFont="1" applyFill="1" applyBorder="1" applyAlignment="1">
      <alignment horizontal="center" vertical="center"/>
    </xf>
    <xf numFmtId="169" fontId="32" fillId="3" borderId="29" xfId="0" applyNumberFormat="1" applyFont="1" applyFill="1" applyBorder="1" applyAlignment="1">
      <alignment vertical="center"/>
    </xf>
    <xf numFmtId="0" fontId="31" fillId="3" borderId="30" xfId="0" applyFont="1" applyFill="1" applyBorder="1" applyAlignment="1">
      <alignment horizontal="center" vertical="center"/>
    </xf>
    <xf numFmtId="170" fontId="32" fillId="3" borderId="31" xfId="0" applyNumberFormat="1" applyFont="1" applyFill="1" applyBorder="1" applyAlignment="1">
      <alignment vertical="center"/>
    </xf>
    <xf numFmtId="169" fontId="29" fillId="0" borderId="26" xfId="15" applyNumberFormat="1" applyFont="1" applyBorder="1" applyAlignment="1">
      <alignment horizontal="right" vertical="center"/>
    </xf>
    <xf numFmtId="172" fontId="29" fillId="0" borderId="33" xfId="15" applyNumberFormat="1" applyFont="1" applyBorder="1" applyAlignment="1">
      <alignment horizontal="right" vertical="center"/>
    </xf>
    <xf numFmtId="0" fontId="37" fillId="0" borderId="0" xfId="0" applyFont="1" applyAlignment="1">
      <alignment horizontal="left" vertical="center"/>
    </xf>
    <xf numFmtId="0" fontId="12" fillId="0" borderId="0" xfId="0" applyFont="1" applyAlignment="1">
      <alignment vertical="center"/>
    </xf>
    <xf numFmtId="0" fontId="26" fillId="0" borderId="0" xfId="0" applyFont="1" applyAlignment="1">
      <alignment horizontal="center" vertical="center"/>
    </xf>
    <xf numFmtId="0" fontId="26" fillId="0" borderId="0" xfId="0" applyFont="1" applyAlignment="1">
      <alignment horizontal="left" vertical="center"/>
    </xf>
    <xf numFmtId="0" fontId="26" fillId="0" borderId="0" xfId="0" applyFont="1" applyAlignment="1">
      <alignment vertical="center"/>
    </xf>
    <xf numFmtId="0" fontId="38" fillId="0" borderId="0" xfId="0" applyFont="1" applyAlignment="1">
      <alignment vertical="center"/>
    </xf>
    <xf numFmtId="170" fontId="40" fillId="0" borderId="32" xfId="0" applyNumberFormat="1" applyFont="1" applyBorder="1" applyAlignment="1">
      <alignment horizontal="right" vertical="center"/>
    </xf>
    <xf numFmtId="169" fontId="40" fillId="0" borderId="26" xfId="0" applyNumberFormat="1" applyFont="1" applyFill="1" applyBorder="1" applyAlignment="1">
      <alignment horizontal="right" vertical="center"/>
    </xf>
    <xf numFmtId="170" fontId="40" fillId="0" borderId="27" xfId="0" applyNumberFormat="1" applyFont="1" applyFill="1" applyBorder="1" applyAlignment="1">
      <alignment horizontal="right" vertical="center"/>
    </xf>
    <xf numFmtId="169" fontId="41" fillId="3" borderId="29" xfId="0" applyNumberFormat="1" applyFont="1" applyFill="1" applyBorder="1" applyAlignment="1">
      <alignment vertical="center"/>
    </xf>
    <xf numFmtId="170" fontId="41" fillId="3" borderId="31" xfId="0" applyNumberFormat="1" applyFont="1" applyFill="1" applyBorder="1" applyAlignment="1">
      <alignment vertical="center"/>
    </xf>
    <xf numFmtId="169" fontId="42" fillId="0" borderId="26" xfId="15" applyNumberFormat="1" applyFont="1" applyBorder="1" applyAlignment="1">
      <alignment horizontal="right" vertical="center"/>
    </xf>
    <xf numFmtId="172" fontId="42" fillId="0" borderId="33" xfId="15" applyNumberFormat="1" applyFont="1" applyBorder="1" applyAlignment="1">
      <alignment horizontal="right" vertical="center"/>
    </xf>
    <xf numFmtId="0" fontId="47" fillId="0" borderId="0" xfId="0" applyFont="1" applyAlignment="1" applyProtection="1">
      <alignment horizontal="right" vertical="center"/>
      <protection locked="0"/>
    </xf>
    <xf numFmtId="0" fontId="47" fillId="6" borderId="42" xfId="0" applyFont="1" applyFill="1" applyBorder="1" applyAlignment="1" applyProtection="1">
      <alignment horizontal="center" vertical="center"/>
      <protection locked="0"/>
    </xf>
    <xf numFmtId="43" fontId="47" fillId="6" borderId="43" xfId="15" applyFont="1" applyFill="1" applyBorder="1" applyAlignment="1" applyProtection="1">
      <alignment vertical="center"/>
      <protection locked="0"/>
    </xf>
    <xf numFmtId="0" fontId="47" fillId="6" borderId="43" xfId="0" applyFont="1" applyFill="1" applyBorder="1" applyAlignment="1" applyProtection="1">
      <alignment vertical="center"/>
      <protection locked="0"/>
    </xf>
    <xf numFmtId="0" fontId="47" fillId="6" borderId="43" xfId="0" applyFont="1" applyFill="1" applyBorder="1" applyAlignment="1" applyProtection="1">
      <alignment horizontal="left" vertical="center"/>
      <protection locked="0"/>
    </xf>
    <xf numFmtId="0" fontId="47" fillId="6" borderId="43" xfId="0" applyFont="1" applyFill="1" applyBorder="1" applyAlignment="1" applyProtection="1">
      <alignment horizontal="center" vertical="center"/>
      <protection locked="0"/>
    </xf>
    <xf numFmtId="0" fontId="48" fillId="6" borderId="43" xfId="0" applyFont="1" applyFill="1" applyBorder="1" applyAlignment="1" applyProtection="1">
      <alignment horizontal="right" vertical="center"/>
      <protection locked="0"/>
    </xf>
    <xf numFmtId="0" fontId="47" fillId="6" borderId="44" xfId="0" applyFont="1" applyFill="1" applyBorder="1" applyAlignment="1" applyProtection="1">
      <alignment vertical="center"/>
      <protection locked="0"/>
    </xf>
    <xf numFmtId="0" fontId="47" fillId="0" borderId="0" xfId="0" applyFont="1" applyAlignment="1" applyProtection="1">
      <alignment vertical="center"/>
      <protection locked="0"/>
    </xf>
    <xf numFmtId="0" fontId="49" fillId="0" borderId="0" xfId="0" applyFont="1" applyAlignment="1" applyProtection="1">
      <alignment vertical="center"/>
      <protection locked="0"/>
    </xf>
    <xf numFmtId="0" fontId="51" fillId="0" borderId="0" xfId="0" applyFont="1" applyFill="1" applyBorder="1" applyAlignment="1" applyProtection="1">
      <alignment vertical="center"/>
      <protection locked="0"/>
    </xf>
    <xf numFmtId="0" fontId="47" fillId="0" borderId="0" xfId="0" applyFont="1" applyAlignment="1" applyProtection="1">
      <alignment horizontal="center" vertical="center"/>
      <protection/>
    </xf>
    <xf numFmtId="0" fontId="52" fillId="0" borderId="45" xfId="0" applyFont="1" applyFill="1" applyBorder="1" applyAlignment="1" applyProtection="1">
      <alignment horizontal="center" vertical="center"/>
      <protection/>
    </xf>
    <xf numFmtId="0" fontId="49" fillId="0" borderId="0" xfId="0" applyFont="1" applyAlignment="1" applyProtection="1">
      <alignment horizontal="center" vertical="center"/>
      <protection/>
    </xf>
    <xf numFmtId="0" fontId="53" fillId="0" borderId="0" xfId="0" applyFont="1" applyAlignment="1" applyProtection="1">
      <alignment horizontal="center" vertical="center"/>
      <protection/>
    </xf>
    <xf numFmtId="0" fontId="52" fillId="0" borderId="46" xfId="0" applyFont="1" applyBorder="1" applyAlignment="1" applyProtection="1">
      <alignment horizontal="center" vertical="center"/>
      <protection/>
    </xf>
    <xf numFmtId="0" fontId="52" fillId="0" borderId="47" xfId="0" applyFont="1" applyBorder="1" applyAlignment="1" applyProtection="1">
      <alignment horizontal="center" vertical="center"/>
      <protection/>
    </xf>
    <xf numFmtId="0" fontId="52" fillId="0" borderId="48" xfId="0" applyFont="1" applyBorder="1" applyAlignment="1" applyProtection="1">
      <alignment horizontal="center" vertical="center"/>
      <protection/>
    </xf>
    <xf numFmtId="0" fontId="52" fillId="7" borderId="49" xfId="0" applyFont="1" applyFill="1" applyBorder="1" applyAlignment="1" applyProtection="1">
      <alignment horizontal="center" vertical="center"/>
      <protection/>
    </xf>
    <xf numFmtId="0" fontId="52" fillId="0" borderId="50" xfId="0" applyFont="1" applyFill="1" applyBorder="1" applyAlignment="1" applyProtection="1">
      <alignment horizontal="center" vertical="center"/>
      <protection/>
    </xf>
    <xf numFmtId="0" fontId="29" fillId="0" borderId="50" xfId="0" applyFont="1" applyFill="1" applyBorder="1" applyAlignment="1" applyProtection="1">
      <alignment horizontal="center" vertical="center" wrapText="1"/>
      <protection/>
    </xf>
    <xf numFmtId="0" fontId="29" fillId="0" borderId="48" xfId="0" applyFont="1" applyFill="1" applyBorder="1" applyAlignment="1" applyProtection="1">
      <alignment horizontal="center" vertical="center" wrapText="1"/>
      <protection/>
    </xf>
    <xf numFmtId="0" fontId="52" fillId="0" borderId="49" xfId="0" applyFont="1" applyBorder="1" applyAlignment="1" applyProtection="1">
      <alignment horizontal="center" vertical="center"/>
      <protection/>
    </xf>
    <xf numFmtId="0" fontId="29" fillId="0" borderId="48" xfId="0" applyFont="1" applyBorder="1" applyAlignment="1" applyProtection="1">
      <alignment horizontal="center" vertical="center"/>
      <protection/>
    </xf>
    <xf numFmtId="0" fontId="52" fillId="0" borderId="50" xfId="0" applyFont="1" applyBorder="1" applyAlignment="1" applyProtection="1">
      <alignment horizontal="center" vertical="center"/>
      <protection/>
    </xf>
    <xf numFmtId="0" fontId="29" fillId="0" borderId="51" xfId="0" applyFont="1" applyFill="1" applyBorder="1" applyAlignment="1" applyProtection="1">
      <alignment horizontal="center" vertical="center" wrapText="1"/>
      <protection/>
    </xf>
    <xf numFmtId="0" fontId="52" fillId="0" borderId="0" xfId="0" applyFont="1" applyAlignment="1" applyProtection="1">
      <alignment horizontal="right" vertical="center"/>
      <protection/>
    </xf>
    <xf numFmtId="0" fontId="52" fillId="0" borderId="52" xfId="0" applyFont="1" applyBorder="1" applyAlignment="1" applyProtection="1">
      <alignment horizontal="center" vertical="center"/>
      <protection/>
    </xf>
    <xf numFmtId="0" fontId="54" fillId="0" borderId="53" xfId="0" applyFont="1" applyFill="1" applyBorder="1" applyAlignment="1" applyProtection="1">
      <alignment vertical="center"/>
      <protection locked="0"/>
    </xf>
    <xf numFmtId="174" fontId="54" fillId="0" borderId="54" xfId="0" applyNumberFormat="1" applyFont="1" applyBorder="1" applyAlignment="1" applyProtection="1">
      <alignment horizontal="center" vertical="center"/>
      <protection locked="0"/>
    </xf>
    <xf numFmtId="0" fontId="54" fillId="0" borderId="55" xfId="0" applyFont="1" applyBorder="1" applyAlignment="1" applyProtection="1">
      <alignment horizontal="left" vertical="center"/>
      <protection locked="0"/>
    </xf>
    <xf numFmtId="0" fontId="54" fillId="0" borderId="55" xfId="0" applyFont="1" applyBorder="1" applyAlignment="1" applyProtection="1">
      <alignment horizontal="center" vertical="center"/>
      <protection locked="0"/>
    </xf>
    <xf numFmtId="0" fontId="54" fillId="0" borderId="56" xfId="0" applyFont="1" applyBorder="1" applyAlignment="1" applyProtection="1">
      <alignment horizontal="center" vertical="center"/>
      <protection locked="0"/>
    </xf>
    <xf numFmtId="175" fontId="54" fillId="0" borderId="53" xfId="15" applyNumberFormat="1" applyFont="1" applyBorder="1" applyAlignment="1" applyProtection="1">
      <alignment vertical="center"/>
      <protection locked="0"/>
    </xf>
    <xf numFmtId="172" fontId="54" fillId="0" borderId="54" xfId="15" applyNumberFormat="1" applyFont="1" applyBorder="1" applyAlignment="1" applyProtection="1">
      <alignment vertical="center"/>
      <protection locked="0"/>
    </xf>
    <xf numFmtId="175" fontId="54" fillId="7" borderId="53" xfId="15" applyNumberFormat="1" applyFont="1" applyFill="1" applyBorder="1" applyAlignment="1" applyProtection="1">
      <alignment vertical="center"/>
      <protection/>
    </xf>
    <xf numFmtId="172" fontId="54" fillId="0" borderId="57" xfId="15" applyNumberFormat="1" applyFont="1" applyFill="1" applyBorder="1" applyAlignment="1" applyProtection="1">
      <alignment vertical="center"/>
      <protection/>
    </xf>
    <xf numFmtId="172" fontId="54" fillId="0" borderId="57" xfId="21" applyNumberFormat="1" applyFont="1" applyBorder="1" applyAlignment="1" applyProtection="1">
      <alignment horizontal="right" vertical="center"/>
      <protection/>
    </xf>
    <xf numFmtId="169" fontId="54" fillId="0" borderId="54" xfId="21" applyNumberFormat="1" applyFont="1" applyBorder="1" applyAlignment="1" applyProtection="1">
      <alignment vertical="center"/>
      <protection/>
    </xf>
    <xf numFmtId="176" fontId="54" fillId="0" borderId="54" xfId="21" applyNumberFormat="1" applyFont="1" applyBorder="1" applyAlignment="1" applyProtection="1">
      <alignment vertical="center"/>
      <protection/>
    </xf>
    <xf numFmtId="172" fontId="54" fillId="0" borderId="57" xfId="15" applyNumberFormat="1" applyFont="1" applyBorder="1" applyAlignment="1" applyProtection="1">
      <alignment vertical="center"/>
      <protection locked="0"/>
    </xf>
    <xf numFmtId="177" fontId="54" fillId="0" borderId="58" xfId="21" applyNumberFormat="1" applyFont="1" applyBorder="1" applyAlignment="1" applyProtection="1">
      <alignment vertical="center"/>
      <protection/>
    </xf>
    <xf numFmtId="0" fontId="47" fillId="0" borderId="59" xfId="0" applyFont="1" applyBorder="1" applyAlignment="1" applyProtection="1">
      <alignment horizontal="center" vertical="center"/>
      <protection locked="0"/>
    </xf>
    <xf numFmtId="0" fontId="54" fillId="0" borderId="60" xfId="0" applyFont="1" applyFill="1" applyBorder="1" applyAlignment="1" applyProtection="1">
      <alignment vertical="center"/>
      <protection locked="0"/>
    </xf>
    <xf numFmtId="174" fontId="54" fillId="0" borderId="61" xfId="0" applyNumberFormat="1" applyFont="1" applyBorder="1" applyAlignment="1" applyProtection="1">
      <alignment horizontal="center" vertical="center"/>
      <protection locked="0"/>
    </xf>
    <xf numFmtId="0" fontId="54" fillId="0" borderId="2" xfId="0" applyFont="1" applyBorder="1" applyAlignment="1" applyProtection="1">
      <alignment horizontal="left" vertical="center"/>
      <protection locked="0"/>
    </xf>
    <xf numFmtId="0" fontId="54" fillId="0" borderId="2" xfId="0" applyFont="1" applyBorder="1" applyAlignment="1" applyProtection="1">
      <alignment horizontal="center" vertical="center"/>
      <protection locked="0"/>
    </xf>
    <xf numFmtId="0" fontId="54" fillId="0" borderId="14" xfId="0" applyFont="1" applyBorder="1" applyAlignment="1" applyProtection="1">
      <alignment horizontal="center" vertical="center"/>
      <protection locked="0"/>
    </xf>
    <xf numFmtId="175" fontId="54" fillId="0" borderId="60" xfId="15" applyNumberFormat="1" applyFont="1" applyBorder="1" applyAlignment="1" applyProtection="1">
      <alignment vertical="center"/>
      <protection locked="0"/>
    </xf>
    <xf numFmtId="172" fontId="54" fillId="0" borderId="61" xfId="15" applyNumberFormat="1" applyFont="1" applyBorder="1" applyAlignment="1" applyProtection="1">
      <alignment vertical="center"/>
      <protection locked="0"/>
    </xf>
    <xf numFmtId="175" fontId="54" fillId="7" borderId="60" xfId="15" applyNumberFormat="1" applyFont="1" applyFill="1" applyBorder="1" applyAlignment="1" applyProtection="1">
      <alignment vertical="center"/>
      <protection/>
    </xf>
    <xf numFmtId="172" fontId="54" fillId="0" borderId="62" xfId="15" applyNumberFormat="1" applyFont="1" applyFill="1" applyBorder="1" applyAlignment="1" applyProtection="1">
      <alignment vertical="center"/>
      <protection/>
    </xf>
    <xf numFmtId="172" fontId="54" fillId="0" borderId="62" xfId="21" applyNumberFormat="1" applyFont="1" applyBorder="1" applyAlignment="1" applyProtection="1">
      <alignment horizontal="right" vertical="center"/>
      <protection/>
    </xf>
    <xf numFmtId="169" fontId="54" fillId="0" borderId="61" xfId="21" applyNumberFormat="1" applyFont="1" applyBorder="1" applyAlignment="1" applyProtection="1">
      <alignment vertical="center"/>
      <protection/>
    </xf>
    <xf numFmtId="176" fontId="54" fillId="0" borderId="61" xfId="21" applyNumberFormat="1" applyFont="1" applyBorder="1" applyAlignment="1" applyProtection="1">
      <alignment vertical="center"/>
      <protection/>
    </xf>
    <xf numFmtId="172" fontId="54" fillId="0" borderId="62" xfId="15" applyNumberFormat="1" applyFont="1" applyBorder="1" applyAlignment="1" applyProtection="1">
      <alignment vertical="center"/>
      <protection locked="0"/>
    </xf>
    <xf numFmtId="177" fontId="54" fillId="0" borderId="63" xfId="21" applyNumberFormat="1" applyFont="1" applyBorder="1" applyAlignment="1" applyProtection="1">
      <alignment vertical="center"/>
      <protection/>
    </xf>
    <xf numFmtId="0" fontId="55" fillId="0" borderId="0" xfId="0" applyFont="1" applyAlignment="1" applyProtection="1">
      <alignment vertical="center"/>
      <protection locked="0"/>
    </xf>
    <xf numFmtId="0" fontId="54" fillId="0" borderId="14" xfId="0" applyFont="1" applyFill="1" applyBorder="1" applyAlignment="1" applyProtection="1">
      <alignment vertical="center"/>
      <protection locked="0"/>
    </xf>
    <xf numFmtId="174" fontId="54" fillId="0" borderId="2" xfId="0" applyNumberFormat="1" applyFont="1" applyBorder="1" applyAlignment="1" applyProtection="1">
      <alignment horizontal="center" vertical="center"/>
      <protection locked="0"/>
    </xf>
    <xf numFmtId="175" fontId="54" fillId="0" borderId="64" xfId="15" applyNumberFormat="1" applyFont="1" applyBorder="1" applyAlignment="1" applyProtection="1">
      <alignment vertical="center"/>
      <protection locked="0"/>
    </xf>
    <xf numFmtId="175" fontId="54" fillId="7" borderId="64" xfId="15" applyNumberFormat="1" applyFont="1" applyFill="1" applyBorder="1" applyAlignment="1" applyProtection="1">
      <alignment vertical="center"/>
      <protection/>
    </xf>
    <xf numFmtId="0" fontId="54" fillId="0" borderId="14" xfId="0" applyFont="1" applyBorder="1" applyAlignment="1" applyProtection="1">
      <alignment vertical="center"/>
      <protection locked="0"/>
    </xf>
    <xf numFmtId="0" fontId="56" fillId="0" borderId="0" xfId="0" applyFont="1" applyAlignment="1" applyProtection="1">
      <alignment vertical="center"/>
      <protection locked="0"/>
    </xf>
    <xf numFmtId="0" fontId="47" fillId="0" borderId="65" xfId="0" applyFont="1" applyBorder="1" applyAlignment="1" applyProtection="1">
      <alignment horizontal="center" vertical="center"/>
      <protection locked="0"/>
    </xf>
    <xf numFmtId="0" fontId="54" fillId="0" borderId="18" xfId="0" applyFont="1" applyBorder="1" applyAlignment="1" applyProtection="1">
      <alignment vertical="center"/>
      <protection locked="0"/>
    </xf>
    <xf numFmtId="174" fontId="54" fillId="0" borderId="3" xfId="0" applyNumberFormat="1" applyFont="1" applyBorder="1" applyAlignment="1" applyProtection="1">
      <alignment horizontal="center" vertical="center"/>
      <protection locked="0"/>
    </xf>
    <xf numFmtId="0" fontId="54" fillId="0" borderId="3" xfId="0" applyFont="1" applyBorder="1" applyAlignment="1" applyProtection="1">
      <alignment horizontal="left" vertical="center"/>
      <protection locked="0"/>
    </xf>
    <xf numFmtId="0" fontId="54" fillId="0" borderId="3" xfId="0" applyFont="1" applyBorder="1" applyAlignment="1" applyProtection="1">
      <alignment horizontal="center" vertical="center"/>
      <protection locked="0"/>
    </xf>
    <xf numFmtId="0" fontId="54" fillId="0" borderId="18" xfId="0" applyFont="1" applyBorder="1" applyAlignment="1" applyProtection="1">
      <alignment horizontal="center" vertical="center"/>
      <protection locked="0"/>
    </xf>
    <xf numFmtId="175" fontId="54" fillId="0" borderId="66" xfId="15" applyNumberFormat="1" applyFont="1" applyBorder="1" applyAlignment="1" applyProtection="1">
      <alignment vertical="center"/>
      <protection locked="0"/>
    </xf>
    <xf numFmtId="172" fontId="54" fillId="0" borderId="67" xfId="15" applyNumberFormat="1" applyFont="1" applyBorder="1" applyAlignment="1" applyProtection="1">
      <alignment vertical="center"/>
      <protection locked="0"/>
    </xf>
    <xf numFmtId="175" fontId="54" fillId="7" borderId="66" xfId="15" applyNumberFormat="1" applyFont="1" applyFill="1" applyBorder="1" applyAlignment="1" applyProtection="1">
      <alignment vertical="center"/>
      <protection/>
    </xf>
    <xf numFmtId="172" fontId="54" fillId="0" borderId="68" xfId="15" applyNumberFormat="1" applyFont="1" applyFill="1" applyBorder="1" applyAlignment="1" applyProtection="1">
      <alignment vertical="center"/>
      <protection/>
    </xf>
    <xf numFmtId="172" fontId="54" fillId="0" borderId="68" xfId="21" applyNumberFormat="1" applyFont="1" applyBorder="1" applyAlignment="1" applyProtection="1">
      <alignment horizontal="right" vertical="center"/>
      <protection/>
    </xf>
    <xf numFmtId="169" fontId="54" fillId="0" borderId="67" xfId="21" applyNumberFormat="1" applyFont="1" applyBorder="1" applyAlignment="1" applyProtection="1">
      <alignment vertical="center"/>
      <protection/>
    </xf>
    <xf numFmtId="176" fontId="54" fillId="0" borderId="67" xfId="21" applyNumberFormat="1" applyFont="1" applyBorder="1" applyAlignment="1" applyProtection="1">
      <alignment vertical="center"/>
      <protection/>
    </xf>
    <xf numFmtId="170" fontId="54" fillId="0" borderId="68" xfId="15" applyNumberFormat="1" applyFont="1" applyBorder="1" applyAlignment="1" applyProtection="1">
      <alignment vertical="center"/>
      <protection locked="0"/>
    </xf>
    <xf numFmtId="177" fontId="54" fillId="0" borderId="69" xfId="21" applyNumberFormat="1" applyFont="1" applyBorder="1" applyAlignment="1" applyProtection="1">
      <alignment vertical="center"/>
      <protection/>
    </xf>
    <xf numFmtId="0" fontId="47" fillId="0" borderId="0" xfId="0" applyFont="1" applyAlignment="1" applyProtection="1">
      <alignment horizontal="right" vertical="center"/>
      <protection/>
    </xf>
    <xf numFmtId="0" fontId="47" fillId="0" borderId="70" xfId="0" applyFont="1" applyBorder="1" applyAlignment="1" applyProtection="1">
      <alignment horizontal="center" vertical="center"/>
      <protection/>
    </xf>
    <xf numFmtId="0" fontId="57" fillId="0" borderId="70" xfId="0" applyFont="1" applyBorder="1" applyAlignment="1" applyProtection="1">
      <alignment vertical="center"/>
      <protection/>
    </xf>
    <xf numFmtId="174" fontId="57" fillId="0" borderId="70" xfId="0" applyNumberFormat="1" applyFont="1" applyBorder="1" applyAlignment="1" applyProtection="1">
      <alignment horizontal="center" vertical="center"/>
      <protection/>
    </xf>
    <xf numFmtId="0" fontId="57" fillId="0" borderId="70" xfId="0" applyFont="1" applyBorder="1" applyAlignment="1" applyProtection="1">
      <alignment horizontal="left" vertical="center"/>
      <protection/>
    </xf>
    <xf numFmtId="0" fontId="57" fillId="0" borderId="70" xfId="0" applyFont="1" applyBorder="1" applyAlignment="1" applyProtection="1">
      <alignment horizontal="center" vertical="center"/>
      <protection/>
    </xf>
    <xf numFmtId="175" fontId="57" fillId="0" borderId="70" xfId="15" applyNumberFormat="1" applyFont="1" applyBorder="1" applyAlignment="1" applyProtection="1">
      <alignment vertical="center"/>
      <protection/>
    </xf>
    <xf numFmtId="172" fontId="57" fillId="0" borderId="70" xfId="15" applyNumberFormat="1" applyFont="1" applyBorder="1" applyAlignment="1" applyProtection="1">
      <alignment vertical="center"/>
      <protection/>
    </xf>
    <xf numFmtId="175" fontId="57" fillId="0" borderId="70" xfId="15" applyNumberFormat="1" applyFont="1" applyFill="1" applyBorder="1" applyAlignment="1" applyProtection="1">
      <alignment vertical="center"/>
      <protection/>
    </xf>
    <xf numFmtId="172" fontId="57" fillId="0" borderId="70" xfId="15" applyNumberFormat="1" applyFont="1" applyFill="1" applyBorder="1" applyAlignment="1" applyProtection="1">
      <alignment vertical="center"/>
      <protection/>
    </xf>
    <xf numFmtId="172" fontId="57" fillId="0" borderId="70" xfId="15" applyNumberFormat="1" applyFont="1" applyBorder="1" applyAlignment="1" applyProtection="1">
      <alignment horizontal="right" vertical="center"/>
      <protection/>
    </xf>
    <xf numFmtId="169" fontId="57" fillId="0" borderId="70" xfId="15" applyNumberFormat="1" applyFont="1" applyBorder="1" applyAlignment="1" applyProtection="1">
      <alignment vertical="center"/>
      <protection/>
    </xf>
    <xf numFmtId="170" fontId="57" fillId="0" borderId="70" xfId="15" applyNumberFormat="1" applyFont="1" applyBorder="1" applyAlignment="1" applyProtection="1">
      <alignment vertical="center"/>
      <protection/>
    </xf>
    <xf numFmtId="0" fontId="56" fillId="0" borderId="0" xfId="0" applyFont="1" applyAlignment="1" applyProtection="1">
      <alignment vertical="center"/>
      <protection/>
    </xf>
    <xf numFmtId="0" fontId="49" fillId="0" borderId="0" xfId="0" applyFont="1" applyAlignment="1" applyProtection="1">
      <alignment vertical="center"/>
      <protection/>
    </xf>
    <xf numFmtId="0" fontId="55" fillId="0" borderId="0" xfId="0" applyFont="1" applyAlignment="1" applyProtection="1">
      <alignment vertical="center"/>
      <protection/>
    </xf>
    <xf numFmtId="0" fontId="58" fillId="0" borderId="0" xfId="0" applyFont="1" applyAlignment="1" applyProtection="1">
      <alignment horizontal="right" vertical="center"/>
      <protection/>
    </xf>
    <xf numFmtId="0" fontId="59" fillId="6" borderId="71" xfId="0" applyFont="1" applyFill="1" applyBorder="1" applyAlignment="1" applyProtection="1">
      <alignment horizontal="center" vertical="center"/>
      <protection/>
    </xf>
    <xf numFmtId="175" fontId="59" fillId="6" borderId="72" xfId="0" applyNumberFormat="1" applyFont="1" applyFill="1" applyBorder="1" applyAlignment="1" applyProtection="1">
      <alignment vertical="center"/>
      <protection/>
    </xf>
    <xf numFmtId="172" fontId="59" fillId="6" borderId="73" xfId="0" applyNumberFormat="1" applyFont="1" applyFill="1" applyBorder="1" applyAlignment="1" applyProtection="1">
      <alignment vertical="center"/>
      <protection/>
    </xf>
    <xf numFmtId="175" fontId="59" fillId="7" borderId="72" xfId="0" applyNumberFormat="1" applyFont="1" applyFill="1" applyBorder="1" applyAlignment="1" applyProtection="1">
      <alignment vertical="center"/>
      <protection/>
    </xf>
    <xf numFmtId="172" fontId="59" fillId="6" borderId="74" xfId="0" applyNumberFormat="1" applyFont="1" applyFill="1" applyBorder="1" applyAlignment="1" applyProtection="1">
      <alignment vertical="center"/>
      <protection/>
    </xf>
    <xf numFmtId="172" fontId="59" fillId="6" borderId="74" xfId="0" applyNumberFormat="1" applyFont="1" applyFill="1" applyBorder="1" applyAlignment="1" applyProtection="1">
      <alignment horizontal="right" vertical="center"/>
      <protection/>
    </xf>
    <xf numFmtId="169" fontId="59" fillId="6" borderId="73" xfId="0" applyNumberFormat="1" applyFont="1" applyFill="1" applyBorder="1" applyAlignment="1" applyProtection="1">
      <alignment vertical="center"/>
      <protection/>
    </xf>
    <xf numFmtId="176" fontId="59" fillId="6" borderId="73" xfId="21" applyNumberFormat="1" applyFont="1" applyFill="1" applyBorder="1" applyAlignment="1" applyProtection="1">
      <alignment vertical="center"/>
      <protection/>
    </xf>
    <xf numFmtId="170" fontId="59" fillId="6" borderId="75" xfId="0" applyNumberFormat="1" applyFont="1" applyFill="1" applyBorder="1" applyAlignment="1" applyProtection="1">
      <alignment horizontal="right" vertical="center"/>
      <protection/>
    </xf>
    <xf numFmtId="1" fontId="59" fillId="6" borderId="76" xfId="0" applyNumberFormat="1" applyFont="1" applyFill="1" applyBorder="1" applyAlignment="1" applyProtection="1">
      <alignment horizontal="center" vertical="center"/>
      <protection/>
    </xf>
    <xf numFmtId="170" fontId="59" fillId="6" borderId="77" xfId="0" applyNumberFormat="1" applyFont="1" applyFill="1" applyBorder="1" applyAlignment="1" applyProtection="1">
      <alignment vertical="center"/>
      <protection/>
    </xf>
    <xf numFmtId="0" fontId="58" fillId="0" borderId="0" xfId="0" applyFont="1" applyAlignment="1" applyProtection="1">
      <alignment vertical="center"/>
      <protection/>
    </xf>
    <xf numFmtId="0" fontId="54" fillId="0" borderId="0" xfId="0" applyFont="1" applyAlignment="1" applyProtection="1">
      <alignment vertical="center"/>
      <protection/>
    </xf>
    <xf numFmtId="0" fontId="55" fillId="0" borderId="0" xfId="0" applyFont="1" applyAlignment="1" applyProtection="1">
      <alignment horizontal="right" vertical="center"/>
      <protection locked="0"/>
    </xf>
    <xf numFmtId="0" fontId="47" fillId="0" borderId="0" xfId="0" applyFont="1" applyAlignment="1" applyProtection="1">
      <alignment horizontal="center" vertical="center"/>
      <protection locked="0"/>
    </xf>
    <xf numFmtId="0" fontId="55" fillId="0" borderId="0" xfId="0" applyFont="1" applyAlignment="1" applyProtection="1">
      <alignment horizontal="left" vertical="center"/>
      <protection locked="0"/>
    </xf>
    <xf numFmtId="0" fontId="55" fillId="0" borderId="0" xfId="0" applyFont="1" applyAlignment="1" applyProtection="1">
      <alignment horizontal="center" vertical="center"/>
      <protection locked="0"/>
    </xf>
    <xf numFmtId="3" fontId="59" fillId="6" borderId="78" xfId="0" applyNumberFormat="1" applyFont="1" applyFill="1" applyBorder="1" applyAlignment="1" applyProtection="1">
      <alignment horizontal="center" vertical="center"/>
      <protection/>
    </xf>
    <xf numFmtId="0" fontId="47" fillId="0" borderId="79" xfId="0" applyFont="1" applyBorder="1" applyAlignment="1" applyProtection="1">
      <alignment horizontal="center" vertical="center"/>
      <protection locked="0"/>
    </xf>
    <xf numFmtId="0" fontId="54" fillId="0" borderId="80" xfId="0" applyFont="1" applyFill="1" applyBorder="1" applyAlignment="1" applyProtection="1">
      <alignment vertical="center"/>
      <protection locked="0"/>
    </xf>
    <xf numFmtId="174" fontId="54" fillId="0" borderId="81" xfId="0" applyNumberFormat="1" applyFont="1" applyBorder="1" applyAlignment="1" applyProtection="1">
      <alignment horizontal="center" vertical="center"/>
      <protection locked="0"/>
    </xf>
    <xf numFmtId="0" fontId="54" fillId="0" borderId="81" xfId="0" applyFont="1" applyBorder="1" applyAlignment="1" applyProtection="1">
      <alignment horizontal="left" vertical="center"/>
      <protection locked="0"/>
    </xf>
    <xf numFmtId="0" fontId="54" fillId="0" borderId="81" xfId="0" applyFont="1" applyBorder="1" applyAlignment="1" applyProtection="1">
      <alignment horizontal="center" vertical="center"/>
      <protection locked="0"/>
    </xf>
    <xf numFmtId="0" fontId="54" fillId="0" borderId="80" xfId="0" applyFont="1" applyBorder="1" applyAlignment="1" applyProtection="1">
      <alignment horizontal="center" vertical="center"/>
      <protection locked="0"/>
    </xf>
    <xf numFmtId="175" fontId="54" fillId="0" borderId="47" xfId="15" applyNumberFormat="1" applyFont="1" applyBorder="1" applyAlignment="1" applyProtection="1">
      <alignment vertical="center"/>
      <protection locked="0"/>
    </xf>
    <xf numFmtId="172" fontId="54" fillId="0" borderId="48" xfId="15" applyNumberFormat="1" applyFont="1" applyBorder="1" applyAlignment="1" applyProtection="1">
      <alignment vertical="center"/>
      <protection locked="0"/>
    </xf>
    <xf numFmtId="175" fontId="54" fillId="7" borderId="47" xfId="15" applyNumberFormat="1" applyFont="1" applyFill="1" applyBorder="1" applyAlignment="1" applyProtection="1">
      <alignment vertical="center"/>
      <protection/>
    </xf>
    <xf numFmtId="172" fontId="54" fillId="0" borderId="50" xfId="15" applyNumberFormat="1" applyFont="1" applyFill="1" applyBorder="1" applyAlignment="1" applyProtection="1">
      <alignment vertical="center"/>
      <protection/>
    </xf>
    <xf numFmtId="172" fontId="54" fillId="0" borderId="50" xfId="21" applyNumberFormat="1" applyFont="1" applyBorder="1" applyAlignment="1" applyProtection="1">
      <alignment horizontal="right" vertical="center"/>
      <protection/>
    </xf>
    <xf numFmtId="169" fontId="54" fillId="0" borderId="48" xfId="21" applyNumberFormat="1" applyFont="1" applyBorder="1" applyAlignment="1" applyProtection="1">
      <alignment vertical="center"/>
      <protection/>
    </xf>
    <xf numFmtId="176" fontId="54" fillId="0" borderId="48" xfId="21" applyNumberFormat="1" applyFont="1" applyBorder="1" applyAlignment="1" applyProtection="1">
      <alignment vertical="center"/>
      <protection/>
    </xf>
    <xf numFmtId="172" fontId="54" fillId="0" borderId="50" xfId="15" applyNumberFormat="1" applyFont="1" applyBorder="1" applyAlignment="1" applyProtection="1">
      <alignment vertical="center"/>
      <protection locked="0"/>
    </xf>
    <xf numFmtId="177" fontId="54" fillId="0" borderId="51" xfId="21" applyNumberFormat="1" applyFont="1" applyBorder="1" applyAlignment="1" applyProtection="1">
      <alignment vertical="center"/>
      <protection/>
    </xf>
    <xf numFmtId="0" fontId="54" fillId="0" borderId="54" xfId="0" applyFont="1" applyBorder="1" applyAlignment="1" applyProtection="1">
      <alignment horizontal="center" vertical="center"/>
      <protection locked="0"/>
    </xf>
    <xf numFmtId="0" fontId="54" fillId="0" borderId="61" xfId="0" applyFont="1" applyBorder="1" applyAlignment="1" applyProtection="1">
      <alignment horizontal="center" vertical="center"/>
      <protection locked="0"/>
    </xf>
    <xf numFmtId="170" fontId="54" fillId="0" borderId="62" xfId="15" applyNumberFormat="1" applyFont="1" applyBorder="1" applyAlignment="1" applyProtection="1">
      <alignment vertical="center"/>
      <protection locked="0"/>
    </xf>
    <xf numFmtId="0" fontId="54" fillId="0" borderId="67" xfId="0" applyFont="1" applyBorder="1" applyAlignment="1" applyProtection="1">
      <alignment horizontal="center" vertical="center"/>
      <protection locked="0"/>
    </xf>
    <xf numFmtId="172" fontId="54" fillId="0" borderId="68" xfId="15" applyNumberFormat="1" applyFont="1" applyBorder="1" applyAlignment="1" applyProtection="1">
      <alignment vertical="center"/>
      <protection locked="0"/>
    </xf>
    <xf numFmtId="0" fontId="47" fillId="0" borderId="0" xfId="0" applyFont="1" applyBorder="1" applyAlignment="1" applyProtection="1">
      <alignment horizontal="center" vertical="center"/>
      <protection/>
    </xf>
    <xf numFmtId="0" fontId="49" fillId="0" borderId="0" xfId="0" applyFont="1" applyBorder="1" applyAlignment="1" applyProtection="1">
      <alignment horizontal="center" vertical="center"/>
      <protection/>
    </xf>
    <xf numFmtId="0" fontId="52" fillId="0" borderId="0" xfId="0" applyFont="1" applyBorder="1" applyAlignment="1" applyProtection="1">
      <alignment horizontal="right" vertical="center"/>
      <protection/>
    </xf>
    <xf numFmtId="0" fontId="49" fillId="0" borderId="0" xfId="0" applyFont="1" applyBorder="1" applyAlignment="1" applyProtection="1">
      <alignment vertical="center"/>
      <protection locked="0"/>
    </xf>
    <xf numFmtId="0" fontId="55" fillId="0" borderId="0" xfId="0" applyFont="1" applyBorder="1" applyAlignment="1" applyProtection="1">
      <alignment vertical="center"/>
      <protection locked="0"/>
    </xf>
    <xf numFmtId="0" fontId="47" fillId="0" borderId="0" xfId="0" applyFont="1" applyBorder="1" applyAlignment="1" applyProtection="1">
      <alignment vertical="center"/>
      <protection locked="0"/>
    </xf>
    <xf numFmtId="0" fontId="56" fillId="0" borderId="0" xfId="0" applyFont="1" applyBorder="1" applyAlignment="1" applyProtection="1">
      <alignment vertical="center"/>
      <protection locked="0"/>
    </xf>
    <xf numFmtId="0" fontId="54" fillId="0" borderId="62" xfId="0" applyFont="1" applyBorder="1" applyAlignment="1" applyProtection="1">
      <alignment horizontal="center" vertical="center"/>
      <protection locked="0"/>
    </xf>
    <xf numFmtId="0" fontId="52" fillId="0" borderId="82" xfId="0" applyFont="1" applyFill="1" applyBorder="1" applyAlignment="1" applyProtection="1">
      <alignment horizontal="center" vertical="center"/>
      <protection/>
    </xf>
    <xf numFmtId="0" fontId="52" fillId="0" borderId="83" xfId="0" applyFont="1" applyBorder="1" applyAlignment="1" applyProtection="1">
      <alignment horizontal="center" vertical="center"/>
      <protection/>
    </xf>
    <xf numFmtId="0" fontId="52" fillId="0" borderId="84" xfId="0" applyFont="1" applyFill="1" applyBorder="1" applyAlignment="1" applyProtection="1">
      <alignment horizontal="center" vertical="center"/>
      <protection/>
    </xf>
    <xf numFmtId="0" fontId="29" fillId="0" borderId="84" xfId="0" applyFont="1" applyFill="1" applyBorder="1" applyAlignment="1" applyProtection="1">
      <alignment horizontal="center" vertical="center" wrapText="1"/>
      <protection/>
    </xf>
    <xf numFmtId="0" fontId="52" fillId="0" borderId="84" xfId="0" applyFont="1" applyBorder="1" applyAlignment="1" applyProtection="1">
      <alignment horizontal="center" vertical="center"/>
      <protection/>
    </xf>
    <xf numFmtId="0" fontId="52" fillId="7" borderId="84" xfId="0" applyFont="1" applyFill="1" applyBorder="1" applyAlignment="1" applyProtection="1">
      <alignment horizontal="center" vertical="center"/>
      <protection/>
    </xf>
    <xf numFmtId="0" fontId="29" fillId="0" borderId="84" xfId="0" applyFont="1" applyBorder="1" applyAlignment="1" applyProtection="1">
      <alignment horizontal="center" vertical="center"/>
      <protection/>
    </xf>
    <xf numFmtId="0" fontId="29" fillId="0" borderId="85" xfId="0" applyFont="1" applyFill="1" applyBorder="1" applyAlignment="1" applyProtection="1">
      <alignment horizontal="center" vertical="center" wrapText="1"/>
      <protection/>
    </xf>
    <xf numFmtId="0" fontId="52" fillId="0" borderId="86" xfId="0" applyFont="1" applyBorder="1" applyAlignment="1" applyProtection="1">
      <alignment horizontal="center" vertical="center"/>
      <protection/>
    </xf>
    <xf numFmtId="0" fontId="54" fillId="0" borderId="57" xfId="0" applyFont="1" applyBorder="1" applyAlignment="1" applyProtection="1">
      <alignment horizontal="center" vertical="center"/>
      <protection locked="0"/>
    </xf>
    <xf numFmtId="0" fontId="52" fillId="0" borderId="87" xfId="0" applyFont="1" applyBorder="1" applyAlignment="1" applyProtection="1">
      <alignment horizontal="center" vertical="center"/>
      <protection/>
    </xf>
    <xf numFmtId="0" fontId="47" fillId="0" borderId="87" xfId="0" applyFont="1" applyBorder="1" applyAlignment="1" applyProtection="1">
      <alignment horizontal="center" vertical="center"/>
      <protection locked="0"/>
    </xf>
    <xf numFmtId="0" fontId="47" fillId="0" borderId="88" xfId="0" applyFont="1" applyBorder="1" applyAlignment="1" applyProtection="1">
      <alignment horizontal="center" vertical="center"/>
      <protection locked="0"/>
    </xf>
    <xf numFmtId="0" fontId="54" fillId="0" borderId="68" xfId="0" applyFont="1" applyBorder="1" applyAlignment="1" applyProtection="1">
      <alignment horizontal="center" vertical="center"/>
      <protection locked="0"/>
    </xf>
    <xf numFmtId="0" fontId="57" fillId="0" borderId="0" xfId="0" applyFont="1" applyBorder="1" applyAlignment="1" applyProtection="1">
      <alignment vertical="center"/>
      <protection/>
    </xf>
    <xf numFmtId="174" fontId="57" fillId="0" borderId="0" xfId="0" applyNumberFormat="1" applyFont="1" applyBorder="1" applyAlignment="1" applyProtection="1">
      <alignment horizontal="center" vertical="center"/>
      <protection/>
    </xf>
    <xf numFmtId="0" fontId="57" fillId="0" borderId="0" xfId="0" applyFont="1" applyBorder="1" applyAlignment="1" applyProtection="1">
      <alignment horizontal="left" vertical="center"/>
      <protection/>
    </xf>
    <xf numFmtId="0" fontId="57" fillId="0" borderId="0" xfId="0" applyFont="1" applyBorder="1" applyAlignment="1" applyProtection="1">
      <alignment horizontal="center" vertical="center"/>
      <protection/>
    </xf>
    <xf numFmtId="175" fontId="57" fillId="0" borderId="0" xfId="15" applyNumberFormat="1" applyFont="1" applyBorder="1" applyAlignment="1" applyProtection="1">
      <alignment vertical="center"/>
      <protection/>
    </xf>
    <xf numFmtId="172" fontId="57" fillId="0" borderId="0" xfId="15" applyNumberFormat="1" applyFont="1" applyBorder="1" applyAlignment="1" applyProtection="1">
      <alignment vertical="center"/>
      <protection/>
    </xf>
    <xf numFmtId="172" fontId="57" fillId="0" borderId="0" xfId="15" applyNumberFormat="1" applyFont="1" applyFill="1" applyBorder="1" applyAlignment="1" applyProtection="1">
      <alignment vertical="center"/>
      <protection/>
    </xf>
    <xf numFmtId="172" fontId="57" fillId="0" borderId="0" xfId="15" applyNumberFormat="1" applyFont="1" applyBorder="1" applyAlignment="1" applyProtection="1">
      <alignment horizontal="right" vertical="center"/>
      <protection/>
    </xf>
    <xf numFmtId="169" fontId="57" fillId="0" borderId="0" xfId="15" applyNumberFormat="1" applyFont="1" applyBorder="1" applyAlignment="1" applyProtection="1">
      <alignment vertical="center"/>
      <protection/>
    </xf>
    <xf numFmtId="170" fontId="57" fillId="0" borderId="0" xfId="15" applyNumberFormat="1" applyFont="1" applyBorder="1" applyAlignment="1" applyProtection="1">
      <alignment vertical="center"/>
      <protection/>
    </xf>
    <xf numFmtId="3" fontId="59" fillId="6" borderId="89" xfId="0" applyNumberFormat="1" applyFont="1" applyFill="1" applyBorder="1" applyAlignment="1" applyProtection="1">
      <alignment horizontal="center" vertical="center"/>
      <protection/>
    </xf>
    <xf numFmtId="0" fontId="59" fillId="6" borderId="90" xfId="0" applyFont="1" applyFill="1" applyBorder="1" applyAlignment="1" applyProtection="1">
      <alignment horizontal="center" vertical="center"/>
      <protection/>
    </xf>
    <xf numFmtId="175" fontId="59" fillId="6" borderId="91" xfId="0" applyNumberFormat="1" applyFont="1" applyFill="1" applyBorder="1" applyAlignment="1" applyProtection="1">
      <alignment vertical="center"/>
      <protection/>
    </xf>
    <xf numFmtId="172" fontId="59" fillId="6" borderId="92" xfId="0" applyNumberFormat="1" applyFont="1" applyFill="1" applyBorder="1" applyAlignment="1" applyProtection="1">
      <alignment vertical="center"/>
      <protection/>
    </xf>
    <xf numFmtId="172" fontId="59" fillId="6" borderId="93" xfId="0" applyNumberFormat="1" applyFont="1" applyFill="1" applyBorder="1" applyAlignment="1" applyProtection="1">
      <alignment vertical="center"/>
      <protection/>
    </xf>
    <xf numFmtId="172" fontId="59" fillId="6" borderId="93" xfId="0" applyNumberFormat="1" applyFont="1" applyFill="1" applyBorder="1" applyAlignment="1" applyProtection="1">
      <alignment horizontal="right" vertical="center"/>
      <protection/>
    </xf>
    <xf numFmtId="169" fontId="59" fillId="6" borderId="92" xfId="0" applyNumberFormat="1" applyFont="1" applyFill="1" applyBorder="1" applyAlignment="1" applyProtection="1">
      <alignment vertical="center"/>
      <protection/>
    </xf>
    <xf numFmtId="176" fontId="59" fillId="6" borderId="92" xfId="21" applyNumberFormat="1" applyFont="1" applyFill="1" applyBorder="1" applyAlignment="1" applyProtection="1">
      <alignment vertical="center"/>
      <protection/>
    </xf>
    <xf numFmtId="170" fontId="59" fillId="6" borderId="94" xfId="0" applyNumberFormat="1" applyFont="1" applyFill="1" applyBorder="1" applyAlignment="1" applyProtection="1">
      <alignment horizontal="right" vertical="center"/>
      <protection/>
    </xf>
    <xf numFmtId="1" fontId="59" fillId="6" borderId="95" xfId="0" applyNumberFormat="1" applyFont="1" applyFill="1" applyBorder="1" applyAlignment="1" applyProtection="1">
      <alignment horizontal="center" vertical="center"/>
      <protection/>
    </xf>
    <xf numFmtId="170" fontId="59" fillId="6" borderId="96" xfId="0" applyNumberFormat="1" applyFont="1" applyFill="1" applyBorder="1" applyAlignment="1" applyProtection="1">
      <alignment vertical="center"/>
      <protection/>
    </xf>
    <xf numFmtId="175" fontId="54" fillId="0" borderId="97" xfId="15" applyNumberFormat="1" applyFont="1" applyBorder="1" applyAlignment="1" applyProtection="1">
      <alignment vertical="center"/>
      <protection locked="0"/>
    </xf>
    <xf numFmtId="175" fontId="54" fillId="7" borderId="97" xfId="15" applyNumberFormat="1" applyFont="1" applyFill="1" applyBorder="1" applyAlignment="1" applyProtection="1">
      <alignment vertical="center"/>
      <protection/>
    </xf>
    <xf numFmtId="0" fontId="54" fillId="0" borderId="53" xfId="0" applyFont="1" applyBorder="1" applyAlignment="1" applyProtection="1">
      <alignment horizontal="center" vertical="center"/>
      <protection locked="0"/>
    </xf>
    <xf numFmtId="0" fontId="54" fillId="0" borderId="60" xfId="0" applyFont="1" applyBorder="1" applyAlignment="1" applyProtection="1">
      <alignment horizontal="center" vertical="center"/>
      <protection locked="0"/>
    </xf>
    <xf numFmtId="0" fontId="54" fillId="0" borderId="97" xfId="0" applyFont="1" applyBorder="1" applyAlignment="1" applyProtection="1">
      <alignment horizontal="center" vertical="center"/>
      <protection locked="0"/>
    </xf>
    <xf numFmtId="0" fontId="54" fillId="0" borderId="54" xfId="0" applyFont="1" applyBorder="1" applyAlignment="1" applyProtection="1">
      <alignment horizontal="left" vertical="center"/>
      <protection locked="0"/>
    </xf>
    <xf numFmtId="0" fontId="54" fillId="0" borderId="61" xfId="0" applyFont="1" applyBorder="1" applyAlignment="1" applyProtection="1">
      <alignment horizontal="left" vertical="center"/>
      <protection locked="0"/>
    </xf>
    <xf numFmtId="0" fontId="54" fillId="0" borderId="67" xfId="0" applyFont="1" applyBorder="1" applyAlignment="1" applyProtection="1">
      <alignment horizontal="left" vertical="center"/>
      <protection locked="0"/>
    </xf>
    <xf numFmtId="174" fontId="54" fillId="0" borderId="53" xfId="0" applyNumberFormat="1" applyFont="1" applyBorder="1" applyAlignment="1" applyProtection="1">
      <alignment horizontal="center" vertical="center"/>
      <protection locked="0"/>
    </xf>
    <xf numFmtId="174" fontId="54" fillId="0" borderId="60" xfId="0" applyNumberFormat="1" applyFont="1" applyBorder="1" applyAlignment="1" applyProtection="1">
      <alignment horizontal="center" vertical="center"/>
      <protection locked="0"/>
    </xf>
    <xf numFmtId="174" fontId="54" fillId="0" borderId="97" xfId="0" applyNumberFormat="1" applyFont="1" applyBorder="1" applyAlignment="1" applyProtection="1">
      <alignment horizontal="center" vertical="center"/>
      <protection locked="0"/>
    </xf>
    <xf numFmtId="0" fontId="54" fillId="0" borderId="54" xfId="0" applyFont="1" applyBorder="1" applyAlignment="1" applyProtection="1">
      <alignment vertical="center"/>
      <protection locked="0"/>
    </xf>
    <xf numFmtId="0" fontId="54" fillId="0" borderId="61" xfId="0" applyFont="1" applyBorder="1" applyAlignment="1" applyProtection="1">
      <alignment vertical="center"/>
      <protection locked="0"/>
    </xf>
    <xf numFmtId="0" fontId="54" fillId="0" borderId="61" xfId="0" applyFont="1" applyFill="1" applyBorder="1" applyAlignment="1" applyProtection="1">
      <alignment vertical="center"/>
      <protection locked="0"/>
    </xf>
    <xf numFmtId="0" fontId="54" fillId="0" borderId="67" xfId="0" applyFont="1" applyBorder="1" applyAlignment="1" applyProtection="1">
      <alignment vertical="center"/>
      <protection locked="0"/>
    </xf>
    <xf numFmtId="175" fontId="52" fillId="7" borderId="91" xfId="0" applyNumberFormat="1" applyFont="1" applyFill="1" applyBorder="1" applyAlignment="1" applyProtection="1">
      <alignment vertical="center"/>
      <protection/>
    </xf>
    <xf numFmtId="0" fontId="63" fillId="6" borderId="43" xfId="0" applyFont="1" applyFill="1" applyBorder="1" applyAlignment="1" applyProtection="1">
      <alignment vertical="center"/>
      <protection locked="0"/>
    </xf>
    <xf numFmtId="175" fontId="64" fillId="7" borderId="53" xfId="15" applyNumberFormat="1" applyFont="1" applyFill="1" applyBorder="1" applyAlignment="1" applyProtection="1">
      <alignment vertical="center"/>
      <protection/>
    </xf>
    <xf numFmtId="175" fontId="64" fillId="7" borderId="60" xfId="15" applyNumberFormat="1" applyFont="1" applyFill="1" applyBorder="1" applyAlignment="1" applyProtection="1">
      <alignment vertical="center"/>
      <protection/>
    </xf>
    <xf numFmtId="175" fontId="64" fillId="7" borderId="97" xfId="15" applyNumberFormat="1" applyFont="1" applyFill="1" applyBorder="1" applyAlignment="1" applyProtection="1">
      <alignment vertical="center"/>
      <protection/>
    </xf>
    <xf numFmtId="175" fontId="65" fillId="0" borderId="0" xfId="15" applyNumberFormat="1" applyFont="1" applyFill="1" applyBorder="1" applyAlignment="1" applyProtection="1">
      <alignment vertical="center"/>
      <protection/>
    </xf>
    <xf numFmtId="0" fontId="66" fillId="0" borderId="0" xfId="0" applyFont="1" applyAlignment="1" applyProtection="1">
      <alignment vertical="center"/>
      <protection locked="0"/>
    </xf>
    <xf numFmtId="0" fontId="52" fillId="0" borderId="98" xfId="0" applyFont="1" applyBorder="1" applyAlignment="1" applyProtection="1">
      <alignment horizontal="center" vertical="center"/>
      <protection/>
    </xf>
    <xf numFmtId="0" fontId="52" fillId="0" borderId="99" xfId="0" applyFont="1" applyFill="1" applyBorder="1" applyAlignment="1" applyProtection="1">
      <alignment horizontal="center" vertical="center"/>
      <protection/>
    </xf>
    <xf numFmtId="0" fontId="29" fillId="0" borderId="99" xfId="0" applyFont="1" applyFill="1" applyBorder="1" applyAlignment="1" applyProtection="1">
      <alignment horizontal="center" vertical="center" wrapText="1"/>
      <protection/>
    </xf>
    <xf numFmtId="0" fontId="52" fillId="0" borderId="99" xfId="0" applyFont="1" applyBorder="1" applyAlignment="1" applyProtection="1">
      <alignment horizontal="center" vertical="center"/>
      <protection/>
    </xf>
    <xf numFmtId="0" fontId="29" fillId="0" borderId="99" xfId="0" applyFont="1" applyBorder="1" applyAlignment="1" applyProtection="1">
      <alignment horizontal="center" vertical="center"/>
      <protection/>
    </xf>
    <xf numFmtId="0" fontId="29" fillId="0" borderId="100" xfId="0" applyFont="1" applyFill="1" applyBorder="1" applyAlignment="1" applyProtection="1">
      <alignment horizontal="center" vertical="center" wrapText="1"/>
      <protection/>
    </xf>
    <xf numFmtId="0" fontId="54" fillId="0" borderId="62" xfId="0" applyFont="1" applyFill="1" applyBorder="1" applyAlignment="1" applyProtection="1">
      <alignment vertical="center"/>
      <protection locked="0"/>
    </xf>
    <xf numFmtId="174" fontId="54" fillId="0" borderId="62" xfId="0" applyNumberFormat="1" applyFont="1" applyFill="1" applyBorder="1" applyAlignment="1" applyProtection="1">
      <alignment horizontal="center" vertical="center"/>
      <protection locked="0"/>
    </xf>
    <xf numFmtId="0" fontId="54" fillId="0" borderId="62" xfId="0" applyFont="1" applyFill="1" applyBorder="1" applyAlignment="1" applyProtection="1">
      <alignment horizontal="left" vertical="center"/>
      <protection locked="0"/>
    </xf>
    <xf numFmtId="172" fontId="54" fillId="0" borderId="62" xfId="15" applyNumberFormat="1" applyFont="1" applyFill="1" applyBorder="1" applyAlignment="1" applyProtection="1">
      <alignment vertical="center"/>
      <protection locked="0"/>
    </xf>
    <xf numFmtId="172" fontId="54" fillId="0" borderId="62" xfId="21" applyNumberFormat="1" applyFont="1" applyFill="1" applyBorder="1" applyAlignment="1" applyProtection="1">
      <alignment horizontal="right" vertical="center"/>
      <protection/>
    </xf>
    <xf numFmtId="172" fontId="54" fillId="0" borderId="62" xfId="15" applyNumberFormat="1" applyFont="1" applyFill="1" applyBorder="1" applyAlignment="1" applyProtection="1">
      <alignment horizontal="right" vertical="center"/>
      <protection/>
    </xf>
    <xf numFmtId="0" fontId="54" fillId="0" borderId="62" xfId="0" applyFont="1" applyFill="1" applyBorder="1" applyAlignment="1">
      <alignment/>
    </xf>
    <xf numFmtId="174" fontId="54" fillId="0" borderId="62" xfId="0" applyNumberFormat="1" applyFont="1" applyFill="1" applyBorder="1" applyAlignment="1">
      <alignment horizontal="center"/>
    </xf>
    <xf numFmtId="0" fontId="54" fillId="0" borderId="62" xfId="0" applyFont="1" applyFill="1" applyBorder="1" applyAlignment="1">
      <alignment horizontal="left"/>
    </xf>
    <xf numFmtId="172" fontId="54" fillId="0" borderId="62" xfId="15" applyNumberFormat="1" applyFont="1" applyFill="1" applyBorder="1" applyAlignment="1">
      <alignment horizontal="right"/>
    </xf>
    <xf numFmtId="172" fontId="54" fillId="0" borderId="62" xfId="0" applyNumberFormat="1" applyFont="1" applyFill="1" applyBorder="1" applyAlignment="1">
      <alignment vertical="center"/>
    </xf>
    <xf numFmtId="172" fontId="54" fillId="0" borderId="62" xfId="15" applyNumberFormat="1" applyFont="1" applyFill="1" applyBorder="1" applyAlignment="1">
      <alignment/>
    </xf>
    <xf numFmtId="0" fontId="54" fillId="0" borderId="62" xfId="0" applyFont="1" applyFill="1" applyBorder="1" applyAlignment="1">
      <alignment horizontal="left" vertical="center" wrapText="1"/>
    </xf>
    <xf numFmtId="172" fontId="54" fillId="0" borderId="62" xfId="0" applyNumberFormat="1" applyFont="1" applyFill="1" applyBorder="1" applyAlignment="1" applyProtection="1">
      <alignment horizontal="right" vertical="center"/>
      <protection locked="0"/>
    </xf>
    <xf numFmtId="172" fontId="54" fillId="0" borderId="62" xfId="0" applyNumberFormat="1" applyFont="1" applyFill="1" applyBorder="1" applyAlignment="1" applyProtection="1">
      <alignment vertical="center"/>
      <protection locked="0"/>
    </xf>
    <xf numFmtId="0" fontId="54" fillId="0" borderId="62" xfId="0" applyFont="1" applyFill="1" applyBorder="1" applyAlignment="1">
      <alignment horizontal="left" vertical="center"/>
    </xf>
    <xf numFmtId="174" fontId="54" fillId="0" borderId="62" xfId="0" applyNumberFormat="1" applyFont="1" applyFill="1" applyBorder="1" applyAlignment="1">
      <alignment horizontal="center" vertical="center"/>
    </xf>
    <xf numFmtId="172" fontId="54" fillId="0" borderId="62" xfId="0" applyNumberFormat="1" applyFont="1" applyFill="1" applyBorder="1" applyAlignment="1">
      <alignment horizontal="right" vertical="center"/>
    </xf>
    <xf numFmtId="14" fontId="54" fillId="0" borderId="62" xfId="0" applyNumberFormat="1" applyFont="1" applyFill="1" applyBorder="1" applyAlignment="1" applyProtection="1">
      <alignment horizontal="left" vertical="center"/>
      <protection locked="0"/>
    </xf>
    <xf numFmtId="0" fontId="54" fillId="0" borderId="57" xfId="0" applyFont="1" applyFill="1" applyBorder="1" applyAlignment="1" applyProtection="1">
      <alignment vertical="center"/>
      <protection locked="0"/>
    </xf>
    <xf numFmtId="174" fontId="54" fillId="0" borderId="57" xfId="0" applyNumberFormat="1" applyFont="1" applyFill="1" applyBorder="1" applyAlignment="1" applyProtection="1">
      <alignment horizontal="center" vertical="center"/>
      <protection locked="0"/>
    </xf>
    <xf numFmtId="0" fontId="54" fillId="0" borderId="57" xfId="0" applyFont="1" applyFill="1" applyBorder="1" applyAlignment="1" applyProtection="1">
      <alignment horizontal="left" vertical="center"/>
      <protection locked="0"/>
    </xf>
    <xf numFmtId="172" fontId="54" fillId="0" borderId="57" xfId="15" applyNumberFormat="1" applyFont="1" applyFill="1" applyBorder="1" applyAlignment="1" applyProtection="1">
      <alignment vertical="center"/>
      <protection locked="0"/>
    </xf>
    <xf numFmtId="172" fontId="54" fillId="0" borderId="57" xfId="21" applyNumberFormat="1" applyFont="1" applyFill="1" applyBorder="1" applyAlignment="1" applyProtection="1">
      <alignment horizontal="right" vertical="center"/>
      <protection/>
    </xf>
    <xf numFmtId="2" fontId="54" fillId="0" borderId="58" xfId="21" applyNumberFormat="1" applyFont="1" applyFill="1" applyBorder="1" applyAlignment="1" applyProtection="1">
      <alignment vertical="center"/>
      <protection/>
    </xf>
    <xf numFmtId="2" fontId="54" fillId="0" borderId="63" xfId="21" applyNumberFormat="1" applyFont="1" applyFill="1" applyBorder="1" applyAlignment="1" applyProtection="1">
      <alignment horizontal="right" vertical="center"/>
      <protection/>
    </xf>
    <xf numFmtId="2" fontId="54" fillId="0" borderId="63" xfId="15" applyNumberFormat="1" applyFont="1" applyFill="1" applyBorder="1" applyAlignment="1">
      <alignment horizontal="right"/>
    </xf>
    <xf numFmtId="2" fontId="54" fillId="0" borderId="63" xfId="0" applyNumberFormat="1" applyFont="1" applyFill="1" applyBorder="1" applyAlignment="1">
      <alignment horizontal="right" vertical="center"/>
    </xf>
    <xf numFmtId="2" fontId="54" fillId="0" borderId="63" xfId="0" applyNumberFormat="1" applyFont="1" applyFill="1" applyBorder="1" applyAlignment="1" applyProtection="1">
      <alignment horizontal="right" vertical="center"/>
      <protection locked="0"/>
    </xf>
    <xf numFmtId="175" fontId="47" fillId="6" borderId="43" xfId="0" applyNumberFormat="1" applyFont="1" applyFill="1" applyBorder="1" applyAlignment="1" applyProtection="1">
      <alignment vertical="center"/>
      <protection locked="0"/>
    </xf>
    <xf numFmtId="175" fontId="52" fillId="0" borderId="99" xfId="0" applyNumberFormat="1" applyFont="1" applyBorder="1" applyAlignment="1" applyProtection="1">
      <alignment horizontal="center" vertical="center"/>
      <protection/>
    </xf>
    <xf numFmtId="175" fontId="55" fillId="0" borderId="0" xfId="0" applyNumberFormat="1" applyFont="1" applyAlignment="1" applyProtection="1">
      <alignment vertical="center"/>
      <protection locked="0"/>
    </xf>
    <xf numFmtId="0" fontId="63" fillId="0" borderId="43" xfId="0" applyFont="1" applyFill="1" applyBorder="1" applyAlignment="1" applyProtection="1">
      <alignment vertical="center"/>
      <protection locked="0"/>
    </xf>
    <xf numFmtId="0" fontId="66" fillId="0" borderId="0" xfId="0" applyFont="1" applyFill="1" applyAlignment="1" applyProtection="1">
      <alignment vertical="center"/>
      <protection locked="0"/>
    </xf>
    <xf numFmtId="0" fontId="67" fillId="0" borderId="0" xfId="0" applyFont="1" applyAlignment="1" applyProtection="1">
      <alignment vertical="center"/>
      <protection/>
    </xf>
    <xf numFmtId="0" fontId="68" fillId="0" borderId="0" xfId="0" applyFont="1" applyAlignment="1" applyProtection="1">
      <alignment vertical="center"/>
      <protection/>
    </xf>
    <xf numFmtId="0" fontId="54" fillId="0" borderId="53" xfId="0" applyFont="1" applyFill="1" applyBorder="1" applyAlignment="1" applyProtection="1">
      <alignment horizontal="center" vertical="center"/>
      <protection locked="0"/>
    </xf>
    <xf numFmtId="0" fontId="54" fillId="0" borderId="60" xfId="0" applyFont="1" applyFill="1" applyBorder="1" applyAlignment="1" applyProtection="1">
      <alignment horizontal="center" vertical="center"/>
      <protection locked="0"/>
    </xf>
    <xf numFmtId="0" fontId="54" fillId="0" borderId="60" xfId="0" applyFont="1" applyFill="1" applyBorder="1" applyAlignment="1">
      <alignment horizontal="center"/>
    </xf>
    <xf numFmtId="0" fontId="54" fillId="0" borderId="60" xfId="0" applyFont="1" applyFill="1" applyBorder="1" applyAlignment="1">
      <alignment horizontal="center" vertical="center"/>
    </xf>
    <xf numFmtId="0" fontId="54" fillId="0" borderId="54" xfId="0" applyFont="1" applyFill="1" applyBorder="1" applyAlignment="1" applyProtection="1">
      <alignment horizontal="center" vertical="center"/>
      <protection locked="0"/>
    </xf>
    <xf numFmtId="0" fontId="54" fillId="0" borderId="61" xfId="0" applyFont="1" applyFill="1" applyBorder="1" applyAlignment="1" applyProtection="1">
      <alignment horizontal="center" vertical="center"/>
      <protection locked="0"/>
    </xf>
    <xf numFmtId="0" fontId="54" fillId="0" borderId="61" xfId="0" applyFont="1" applyFill="1" applyBorder="1" applyAlignment="1">
      <alignment horizontal="center"/>
    </xf>
    <xf numFmtId="0" fontId="54" fillId="0" borderId="61" xfId="0" applyFont="1" applyFill="1" applyBorder="1" applyAlignment="1">
      <alignment horizontal="center" vertical="center"/>
    </xf>
    <xf numFmtId="175" fontId="54" fillId="0" borderId="53" xfId="15" applyNumberFormat="1" applyFont="1" applyFill="1" applyBorder="1" applyAlignment="1" applyProtection="1">
      <alignment vertical="center"/>
      <protection locked="0"/>
    </xf>
    <xf numFmtId="175" fontId="54" fillId="0" borderId="60" xfId="15" applyNumberFormat="1" applyFont="1" applyFill="1" applyBorder="1" applyAlignment="1" applyProtection="1">
      <alignment horizontal="right" vertical="center"/>
      <protection locked="0"/>
    </xf>
    <xf numFmtId="175" fontId="54" fillId="0" borderId="60" xfId="15" applyNumberFormat="1" applyFont="1" applyFill="1" applyBorder="1" applyAlignment="1">
      <alignment horizontal="right"/>
    </xf>
    <xf numFmtId="175" fontId="54" fillId="0" borderId="60" xfId="0" applyNumberFormat="1" applyFont="1" applyFill="1" applyBorder="1" applyAlignment="1" applyProtection="1">
      <alignment horizontal="right" vertical="center"/>
      <protection locked="0"/>
    </xf>
    <xf numFmtId="175" fontId="54" fillId="0" borderId="60" xfId="0" applyNumberFormat="1" applyFont="1" applyFill="1" applyBorder="1" applyAlignment="1">
      <alignment horizontal="right" vertical="center"/>
    </xf>
    <xf numFmtId="175" fontId="54" fillId="0" borderId="60" xfId="15" applyNumberFormat="1" applyFont="1" applyFill="1" applyBorder="1" applyAlignment="1" applyProtection="1">
      <alignment vertical="center"/>
      <protection locked="0"/>
    </xf>
    <xf numFmtId="175" fontId="54" fillId="0" borderId="60" xfId="15" applyNumberFormat="1" applyFont="1" applyFill="1" applyBorder="1" applyAlignment="1">
      <alignment/>
    </xf>
    <xf numFmtId="175" fontId="54" fillId="0" borderId="60" xfId="0" applyNumberFormat="1" applyFont="1" applyFill="1" applyBorder="1" applyAlignment="1" applyProtection="1">
      <alignment vertical="center"/>
      <protection locked="0"/>
    </xf>
    <xf numFmtId="175" fontId="54" fillId="0" borderId="60" xfId="0" applyNumberFormat="1" applyFont="1" applyFill="1" applyBorder="1" applyAlignment="1">
      <alignment vertical="center"/>
    </xf>
    <xf numFmtId="172" fontId="54" fillId="0" borderId="54" xfId="15" applyNumberFormat="1" applyFont="1" applyFill="1" applyBorder="1" applyAlignment="1" applyProtection="1">
      <alignment vertical="center"/>
      <protection locked="0"/>
    </xf>
    <xf numFmtId="172" fontId="54" fillId="0" borderId="61" xfId="15" applyNumberFormat="1" applyFont="1" applyFill="1" applyBorder="1" applyAlignment="1" applyProtection="1">
      <alignment horizontal="right" vertical="center"/>
      <protection locked="0"/>
    </xf>
    <xf numFmtId="172" fontId="54" fillId="0" borderId="61" xfId="15" applyNumberFormat="1" applyFont="1" applyFill="1" applyBorder="1" applyAlignment="1">
      <alignment horizontal="right"/>
    </xf>
    <xf numFmtId="172" fontId="54" fillId="0" borderId="61" xfId="0" applyNumberFormat="1" applyFont="1" applyFill="1" applyBorder="1" applyAlignment="1" applyProtection="1">
      <alignment horizontal="right" vertical="center"/>
      <protection locked="0"/>
    </xf>
    <xf numFmtId="172" fontId="54" fillId="0" borderId="61" xfId="0" applyNumberFormat="1" applyFont="1" applyFill="1" applyBorder="1" applyAlignment="1">
      <alignment horizontal="right" vertical="center"/>
    </xf>
    <xf numFmtId="175" fontId="64" fillId="0" borderId="53" xfId="15" applyNumberFormat="1" applyFont="1" applyFill="1" applyBorder="1" applyAlignment="1" applyProtection="1">
      <alignment vertical="center"/>
      <protection/>
    </xf>
    <xf numFmtId="175" fontId="64" fillId="0" borderId="60" xfId="15" applyNumberFormat="1" applyFont="1" applyFill="1" applyBorder="1" applyAlignment="1" applyProtection="1">
      <alignment vertical="center"/>
      <protection/>
    </xf>
    <xf numFmtId="175" fontId="64" fillId="0" borderId="60" xfId="15" applyNumberFormat="1" applyFont="1" applyFill="1" applyBorder="1" applyAlignment="1">
      <alignment/>
    </xf>
    <xf numFmtId="175" fontId="64" fillId="0" borderId="60" xfId="0" applyNumberFormat="1" applyFont="1" applyFill="1" applyBorder="1" applyAlignment="1">
      <alignment vertical="center"/>
    </xf>
    <xf numFmtId="175" fontId="64" fillId="0" borderId="60" xfId="0" applyNumberFormat="1" applyFont="1" applyFill="1" applyBorder="1" applyAlignment="1" applyProtection="1">
      <alignment vertical="center"/>
      <protection locked="0"/>
    </xf>
    <xf numFmtId="175" fontId="64" fillId="0" borderId="97" xfId="15" applyNumberFormat="1" applyFont="1" applyFill="1" applyBorder="1" applyAlignment="1" applyProtection="1">
      <alignment vertical="center"/>
      <protection/>
    </xf>
    <xf numFmtId="175" fontId="54" fillId="0" borderId="53" xfId="15" applyNumberFormat="1" applyFont="1" applyFill="1" applyBorder="1" applyAlignment="1" applyProtection="1">
      <alignment vertical="center"/>
      <protection/>
    </xf>
    <xf numFmtId="175" fontId="54" fillId="0" borderId="60" xfId="15" applyNumberFormat="1" applyFont="1" applyFill="1" applyBorder="1" applyAlignment="1" applyProtection="1">
      <alignment vertical="center"/>
      <protection/>
    </xf>
    <xf numFmtId="2" fontId="54" fillId="0" borderId="54" xfId="21" applyNumberFormat="1" applyFont="1" applyFill="1" applyBorder="1" applyAlignment="1" applyProtection="1">
      <alignment horizontal="right" vertical="center"/>
      <protection/>
    </xf>
    <xf numFmtId="2" fontId="54" fillId="0" borderId="61" xfId="21" applyNumberFormat="1" applyFont="1" applyFill="1" applyBorder="1" applyAlignment="1" applyProtection="1">
      <alignment horizontal="right" vertical="center"/>
      <protection/>
    </xf>
    <xf numFmtId="2" fontId="54" fillId="0" borderId="61" xfId="0" applyNumberFormat="1" applyFont="1" applyFill="1" applyBorder="1" applyAlignment="1">
      <alignment horizontal="right" vertical="center"/>
    </xf>
    <xf numFmtId="2" fontId="54" fillId="0" borderId="61" xfId="15" applyNumberFormat="1" applyFont="1" applyFill="1" applyBorder="1" applyAlignment="1">
      <alignment horizontal="right"/>
    </xf>
    <xf numFmtId="176" fontId="54" fillId="0" borderId="54" xfId="21" applyNumberFormat="1" applyFont="1" applyFill="1" applyBorder="1" applyAlignment="1" applyProtection="1">
      <alignment vertical="center"/>
      <protection/>
    </xf>
    <xf numFmtId="176" fontId="54" fillId="0" borderId="61" xfId="21" applyNumberFormat="1" applyFont="1" applyFill="1" applyBorder="1" applyAlignment="1" applyProtection="1">
      <alignment vertical="center"/>
      <protection/>
    </xf>
    <xf numFmtId="176" fontId="54" fillId="0" borderId="61" xfId="0" applyNumberFormat="1" applyFont="1" applyFill="1" applyBorder="1" applyAlignment="1" applyProtection="1">
      <alignment vertical="center"/>
      <protection locked="0"/>
    </xf>
    <xf numFmtId="0" fontId="54" fillId="0" borderId="68" xfId="0" applyFont="1" applyFill="1" applyBorder="1" applyAlignment="1" applyProtection="1">
      <alignment vertical="center"/>
      <protection locked="0"/>
    </xf>
    <xf numFmtId="174" fontId="54" fillId="0" borderId="68" xfId="0" applyNumberFormat="1" applyFont="1" applyFill="1" applyBorder="1" applyAlignment="1" applyProtection="1">
      <alignment horizontal="center" vertical="center"/>
      <protection locked="0"/>
    </xf>
    <xf numFmtId="0" fontId="54" fillId="0" borderId="68" xfId="0" applyFont="1" applyFill="1" applyBorder="1" applyAlignment="1" applyProtection="1">
      <alignment horizontal="left" vertical="center"/>
      <protection locked="0"/>
    </xf>
    <xf numFmtId="0" fontId="54" fillId="0" borderId="67" xfId="0" applyFont="1" applyFill="1" applyBorder="1" applyAlignment="1" applyProtection="1">
      <alignment horizontal="center" vertical="center"/>
      <protection locked="0"/>
    </xf>
    <xf numFmtId="0" fontId="54" fillId="0" borderId="97" xfId="0" applyFont="1" applyFill="1" applyBorder="1" applyAlignment="1" applyProtection="1">
      <alignment horizontal="center" vertical="center"/>
      <protection locked="0"/>
    </xf>
    <xf numFmtId="175" fontId="54" fillId="0" borderId="97" xfId="15" applyNumberFormat="1" applyFont="1" applyFill="1" applyBorder="1" applyAlignment="1" applyProtection="1">
      <alignment horizontal="right" vertical="center"/>
      <protection locked="0"/>
    </xf>
    <xf numFmtId="172" fontId="54" fillId="0" borderId="67" xfId="15" applyNumberFormat="1" applyFont="1" applyFill="1" applyBorder="1" applyAlignment="1" applyProtection="1">
      <alignment horizontal="right" vertical="center"/>
      <protection locked="0"/>
    </xf>
    <xf numFmtId="175" fontId="54" fillId="0" borderId="97" xfId="15" applyNumberFormat="1" applyFont="1" applyFill="1" applyBorder="1" applyAlignment="1" applyProtection="1">
      <alignment vertical="center"/>
      <protection locked="0"/>
    </xf>
    <xf numFmtId="172" fontId="54" fillId="0" borderId="68" xfId="15" applyNumberFormat="1" applyFont="1" applyFill="1" applyBorder="1" applyAlignment="1" applyProtection="1">
      <alignment horizontal="right" vertical="center"/>
      <protection/>
    </xf>
    <xf numFmtId="172" fontId="54" fillId="0" borderId="68" xfId="21" applyNumberFormat="1" applyFont="1" applyFill="1" applyBorder="1" applyAlignment="1" applyProtection="1">
      <alignment horizontal="right" vertical="center"/>
      <protection/>
    </xf>
    <xf numFmtId="2" fontId="54" fillId="0" borderId="67" xfId="21" applyNumberFormat="1" applyFont="1" applyFill="1" applyBorder="1" applyAlignment="1" applyProtection="1">
      <alignment horizontal="right" vertical="center"/>
      <protection/>
    </xf>
    <xf numFmtId="176" fontId="54" fillId="0" borderId="67" xfId="21" applyNumberFormat="1" applyFont="1" applyFill="1" applyBorder="1" applyAlignment="1" applyProtection="1">
      <alignment vertical="center"/>
      <protection/>
    </xf>
    <xf numFmtId="172" fontId="54" fillId="0" borderId="68" xfId="15" applyNumberFormat="1" applyFont="1" applyFill="1" applyBorder="1" applyAlignment="1" applyProtection="1">
      <alignment vertical="center"/>
      <protection locked="0"/>
    </xf>
    <xf numFmtId="2" fontId="54" fillId="0" borderId="69" xfId="21" applyNumberFormat="1" applyFont="1" applyFill="1" applyBorder="1" applyAlignment="1" applyProtection="1">
      <alignment horizontal="right" vertical="center"/>
      <protection/>
    </xf>
    <xf numFmtId="0" fontId="63" fillId="0" borderId="0" xfId="0" applyFont="1" applyAlignment="1" applyProtection="1">
      <alignment horizontal="right" vertical="center"/>
      <protection locked="0"/>
    </xf>
    <xf numFmtId="0" fontId="63" fillId="0" borderId="0" xfId="0" applyFont="1" applyAlignment="1" applyProtection="1">
      <alignment horizontal="center" vertical="center"/>
      <protection/>
    </xf>
    <xf numFmtId="0" fontId="69" fillId="0" borderId="0" xfId="0" applyFont="1" applyAlignment="1" applyProtection="1">
      <alignment horizontal="center" vertical="center"/>
      <protection/>
    </xf>
    <xf numFmtId="0" fontId="63" fillId="0" borderId="0" xfId="0" applyFont="1" applyAlignment="1" applyProtection="1">
      <alignment horizontal="right" vertical="center"/>
      <protection/>
    </xf>
    <xf numFmtId="0" fontId="70" fillId="0" borderId="0" xfId="0" applyFont="1" applyAlignment="1" applyProtection="1">
      <alignment horizontal="right" vertical="center"/>
      <protection/>
    </xf>
    <xf numFmtId="0" fontId="66" fillId="0" borderId="0" xfId="0" applyFont="1" applyAlignment="1" applyProtection="1">
      <alignment horizontal="right" vertical="center"/>
      <protection locked="0"/>
    </xf>
    <xf numFmtId="0" fontId="54" fillId="0" borderId="68" xfId="0" applyFont="1" applyFill="1" applyBorder="1" applyAlignment="1">
      <alignment horizontal="left" vertical="center"/>
    </xf>
    <xf numFmtId="174" fontId="54" fillId="0" borderId="68" xfId="0" applyNumberFormat="1" applyFont="1" applyFill="1" applyBorder="1" applyAlignment="1">
      <alignment horizontal="center" vertical="center"/>
    </xf>
    <xf numFmtId="0" fontId="54" fillId="0" borderId="67" xfId="0" applyFont="1" applyFill="1" applyBorder="1" applyAlignment="1">
      <alignment horizontal="center" vertical="center"/>
    </xf>
    <xf numFmtId="0" fontId="54" fillId="0" borderId="97" xfId="0" applyFont="1" applyFill="1" applyBorder="1" applyAlignment="1">
      <alignment horizontal="center" vertical="center"/>
    </xf>
    <xf numFmtId="175" fontId="54" fillId="0" borderId="97" xfId="0" applyNumberFormat="1" applyFont="1" applyFill="1" applyBorder="1" applyAlignment="1">
      <alignment horizontal="right" vertical="center"/>
    </xf>
    <xf numFmtId="172" fontId="54" fillId="0" borderId="67" xfId="0" applyNumberFormat="1" applyFont="1" applyFill="1" applyBorder="1" applyAlignment="1">
      <alignment horizontal="right" vertical="center"/>
    </xf>
    <xf numFmtId="175" fontId="54" fillId="0" borderId="97" xfId="0" applyNumberFormat="1" applyFont="1" applyFill="1" applyBorder="1" applyAlignment="1">
      <alignment vertical="center"/>
    </xf>
    <xf numFmtId="175" fontId="64" fillId="0" borderId="97" xfId="0" applyNumberFormat="1" applyFont="1" applyFill="1" applyBorder="1" applyAlignment="1">
      <alignment vertical="center"/>
    </xf>
    <xf numFmtId="172" fontId="54" fillId="0" borderId="68" xfId="0" applyNumberFormat="1" applyFont="1" applyFill="1" applyBorder="1" applyAlignment="1">
      <alignment horizontal="right" vertical="center"/>
    </xf>
    <xf numFmtId="2" fontId="54" fillId="0" borderId="67" xfId="0" applyNumberFormat="1" applyFont="1" applyFill="1" applyBorder="1" applyAlignment="1">
      <alignment horizontal="right" vertical="center"/>
    </xf>
    <xf numFmtId="172" fontId="54" fillId="0" borderId="68" xfId="0" applyNumberFormat="1" applyFont="1" applyFill="1" applyBorder="1" applyAlignment="1">
      <alignment vertical="center"/>
    </xf>
    <xf numFmtId="2" fontId="54" fillId="0" borderId="69" xfId="0" applyNumberFormat="1" applyFont="1" applyFill="1" applyBorder="1" applyAlignment="1">
      <alignment horizontal="right" vertical="center"/>
    </xf>
    <xf numFmtId="172" fontId="54" fillId="0" borderId="61" xfId="15" applyNumberFormat="1" applyFont="1" applyFill="1" applyBorder="1" applyAlignment="1" applyProtection="1">
      <alignment vertical="center"/>
      <protection locked="0"/>
    </xf>
    <xf numFmtId="169" fontId="54" fillId="0" borderId="61" xfId="21" applyNumberFormat="1" applyFont="1" applyFill="1" applyBorder="1" applyAlignment="1" applyProtection="1">
      <alignment vertical="center"/>
      <protection/>
    </xf>
    <xf numFmtId="174" fontId="54" fillId="0" borderId="62" xfId="0" applyNumberFormat="1" applyFont="1" applyFill="1" applyBorder="1" applyAlignment="1" applyProtection="1">
      <alignment horizontal="left" vertical="center"/>
      <protection locked="0"/>
    </xf>
    <xf numFmtId="175" fontId="64" fillId="0" borderId="60" xfId="15" applyNumberFormat="1" applyFont="1" applyFill="1" applyBorder="1" applyAlignment="1" applyProtection="1">
      <alignment horizontal="right" vertical="center"/>
      <protection/>
    </xf>
    <xf numFmtId="169" fontId="54" fillId="0" borderId="61" xfId="21" applyNumberFormat="1" applyFont="1" applyFill="1" applyBorder="1" applyAlignment="1" applyProtection="1">
      <alignment horizontal="right" vertical="center"/>
      <protection/>
    </xf>
    <xf numFmtId="176" fontId="54" fillId="0" borderId="61" xfId="21" applyNumberFormat="1" applyFont="1" applyFill="1" applyBorder="1" applyAlignment="1" applyProtection="1">
      <alignment horizontal="right" vertical="center"/>
      <protection/>
    </xf>
    <xf numFmtId="172" fontId="54" fillId="0" borderId="62" xfId="15" applyNumberFormat="1" applyFont="1" applyFill="1" applyBorder="1" applyAlignment="1" applyProtection="1">
      <alignment horizontal="right" vertical="center"/>
      <protection locked="0"/>
    </xf>
    <xf numFmtId="0" fontId="54" fillId="2" borderId="62" xfId="0" applyFont="1" applyFill="1" applyBorder="1" applyAlignment="1">
      <alignment horizontal="left"/>
    </xf>
    <xf numFmtId="174" fontId="54" fillId="2" borderId="62" xfId="0" applyNumberFormat="1" applyFont="1" applyFill="1" applyBorder="1" applyAlignment="1">
      <alignment horizontal="center"/>
    </xf>
    <xf numFmtId="0" fontId="54" fillId="2" borderId="61" xfId="0" applyFont="1" applyFill="1" applyBorder="1" applyAlignment="1">
      <alignment horizontal="center"/>
    </xf>
    <xf numFmtId="0" fontId="54" fillId="2" borderId="60" xfId="0" applyFont="1" applyFill="1" applyBorder="1" applyAlignment="1">
      <alignment horizontal="center"/>
    </xf>
    <xf numFmtId="175" fontId="54" fillId="2" borderId="60" xfId="15" applyNumberFormat="1" applyFont="1" applyFill="1" applyBorder="1" applyAlignment="1">
      <alignment horizontal="right"/>
    </xf>
    <xf numFmtId="172" fontId="54" fillId="2" borderId="61" xfId="15" applyNumberFormat="1" applyFont="1" applyFill="1" applyBorder="1" applyAlignment="1">
      <alignment horizontal="right"/>
    </xf>
    <xf numFmtId="175" fontId="64" fillId="2" borderId="60" xfId="15" applyNumberFormat="1" applyFont="1" applyFill="1" applyBorder="1" applyAlignment="1">
      <alignment horizontal="right"/>
    </xf>
    <xf numFmtId="172" fontId="54" fillId="2" borderId="62" xfId="15" applyNumberFormat="1" applyFont="1" applyFill="1" applyBorder="1" applyAlignment="1">
      <alignment horizontal="right"/>
    </xf>
    <xf numFmtId="172" fontId="54" fillId="0" borderId="62" xfId="0" applyNumberFormat="1" applyFont="1" applyBorder="1" applyAlignment="1">
      <alignment horizontal="right" vertical="center"/>
    </xf>
    <xf numFmtId="169" fontId="54" fillId="0" borderId="61" xfId="0" applyNumberFormat="1" applyFont="1" applyBorder="1" applyAlignment="1">
      <alignment horizontal="right" vertical="center"/>
    </xf>
    <xf numFmtId="43" fontId="54" fillId="2" borderId="60" xfId="15" applyNumberFormat="1" applyFont="1" applyFill="1" applyBorder="1" applyAlignment="1">
      <alignment horizontal="right"/>
    </xf>
    <xf numFmtId="175" fontId="54" fillId="0" borderId="60" xfId="15" applyNumberFormat="1" applyFont="1" applyFill="1" applyBorder="1" applyAlignment="1" applyProtection="1">
      <alignment horizontal="right" vertical="center"/>
      <protection/>
    </xf>
    <xf numFmtId="43" fontId="54" fillId="2" borderId="60" xfId="15" applyFont="1" applyFill="1" applyBorder="1" applyAlignment="1">
      <alignment horizontal="right"/>
    </xf>
    <xf numFmtId="178" fontId="54" fillId="0" borderId="62" xfId="0" applyNumberFormat="1" applyFont="1" applyFill="1" applyBorder="1" applyAlignment="1">
      <alignment horizontal="left" vertical="center"/>
    </xf>
    <xf numFmtId="175" fontId="64" fillId="0" borderId="60" xfId="0" applyNumberFormat="1" applyFont="1" applyFill="1" applyBorder="1" applyAlignment="1">
      <alignment horizontal="right" vertical="center"/>
    </xf>
    <xf numFmtId="169" fontId="54" fillId="0" borderId="61" xfId="0" applyNumberFormat="1" applyFont="1" applyFill="1" applyBorder="1" applyAlignment="1">
      <alignment horizontal="right" vertical="center"/>
    </xf>
    <xf numFmtId="0" fontId="54" fillId="2" borderId="62" xfId="0" applyFont="1" applyFill="1" applyBorder="1" applyAlignment="1">
      <alignment horizontal="left" vertical="center"/>
    </xf>
    <xf numFmtId="174" fontId="54" fillId="2" borderId="62" xfId="0" applyNumberFormat="1" applyFont="1" applyFill="1" applyBorder="1" applyAlignment="1">
      <alignment horizontal="center" vertical="center"/>
    </xf>
    <xf numFmtId="0" fontId="54" fillId="2" borderId="61" xfId="0" applyFont="1" applyFill="1" applyBorder="1" applyAlignment="1">
      <alignment horizontal="center" vertical="center"/>
    </xf>
    <xf numFmtId="0" fontId="54" fillId="2" borderId="60" xfId="0" applyFont="1" applyFill="1" applyBorder="1" applyAlignment="1">
      <alignment horizontal="center" vertical="center"/>
    </xf>
    <xf numFmtId="175" fontId="54" fillId="2" borderId="60" xfId="15" applyNumberFormat="1" applyFont="1" applyFill="1" applyBorder="1" applyAlignment="1">
      <alignment horizontal="right" vertical="center"/>
    </xf>
    <xf numFmtId="172" fontId="54" fillId="2" borderId="61" xfId="15" applyNumberFormat="1" applyFont="1" applyFill="1" applyBorder="1" applyAlignment="1">
      <alignment horizontal="right" vertical="center"/>
    </xf>
    <xf numFmtId="175" fontId="64" fillId="2" borderId="60" xfId="15" applyNumberFormat="1" applyFont="1" applyFill="1" applyBorder="1" applyAlignment="1">
      <alignment horizontal="right" vertical="center"/>
    </xf>
    <xf numFmtId="172" fontId="54" fillId="2" borderId="62" xfId="15" applyNumberFormat="1" applyFont="1" applyFill="1" applyBorder="1" applyAlignment="1">
      <alignment horizontal="right" vertical="center"/>
    </xf>
    <xf numFmtId="0" fontId="54" fillId="0" borderId="62" xfId="0" applyFont="1" applyBorder="1" applyAlignment="1">
      <alignment horizontal="left" vertical="center" wrapText="1"/>
    </xf>
    <xf numFmtId="43" fontId="54" fillId="0" borderId="60" xfId="0" applyNumberFormat="1" applyFont="1" applyBorder="1" applyAlignment="1">
      <alignment horizontal="right" vertical="center"/>
    </xf>
    <xf numFmtId="165" fontId="54" fillId="2" borderId="60" xfId="15" applyNumberFormat="1" applyFont="1" applyFill="1" applyBorder="1" applyAlignment="1">
      <alignment horizontal="right"/>
    </xf>
    <xf numFmtId="0" fontId="52" fillId="0" borderId="45" xfId="0" applyFont="1" applyBorder="1" applyAlignment="1" applyProtection="1">
      <alignment horizontal="right" vertical="center"/>
      <protection/>
    </xf>
    <xf numFmtId="169" fontId="54" fillId="0" borderId="54" xfId="21" applyNumberFormat="1" applyFont="1" applyFill="1" applyBorder="1" applyAlignment="1" applyProtection="1">
      <alignment vertical="center"/>
      <protection/>
    </xf>
    <xf numFmtId="177" fontId="54" fillId="0" borderId="58" xfId="21" applyNumberFormat="1" applyFont="1" applyFill="1" applyBorder="1" applyAlignment="1" applyProtection="1">
      <alignment vertical="center"/>
      <protection/>
    </xf>
    <xf numFmtId="0" fontId="52" fillId="0" borderId="46" xfId="0" applyFont="1" applyBorder="1" applyAlignment="1" applyProtection="1">
      <alignment horizontal="right" vertical="center"/>
      <protection/>
    </xf>
    <xf numFmtId="169" fontId="54" fillId="0" borderId="63" xfId="21" applyNumberFormat="1" applyFont="1" applyFill="1" applyBorder="1" applyAlignment="1" applyProtection="1">
      <alignment horizontal="right" vertical="center"/>
      <protection/>
    </xf>
    <xf numFmtId="169" fontId="54" fillId="0" borderId="63" xfId="0" applyNumberFormat="1" applyFont="1" applyBorder="1" applyAlignment="1">
      <alignment horizontal="right" vertical="center"/>
    </xf>
    <xf numFmtId="169" fontId="54" fillId="0" borderId="63" xfId="0" applyNumberFormat="1" applyFont="1" applyFill="1" applyBorder="1" applyAlignment="1">
      <alignment horizontal="right" vertical="center"/>
    </xf>
    <xf numFmtId="169" fontId="54" fillId="2" borderId="63" xfId="15" applyNumberFormat="1" applyFont="1" applyFill="1" applyBorder="1" applyAlignment="1">
      <alignment horizontal="right" vertical="center"/>
    </xf>
    <xf numFmtId="169" fontId="54" fillId="2" borderId="63" xfId="15" applyNumberFormat="1" applyFont="1" applyFill="1" applyBorder="1" applyAlignment="1">
      <alignment horizontal="right"/>
    </xf>
    <xf numFmtId="177" fontId="54" fillId="0" borderId="63" xfId="21" applyNumberFormat="1" applyFont="1" applyFill="1" applyBorder="1" applyAlignment="1" applyProtection="1">
      <alignment vertical="center"/>
      <protection/>
    </xf>
    <xf numFmtId="0" fontId="52" fillId="0" borderId="101" xfId="0" applyFont="1" applyBorder="1" applyAlignment="1" applyProtection="1">
      <alignment horizontal="right" vertical="center"/>
      <protection/>
    </xf>
    <xf numFmtId="0" fontId="54" fillId="2" borderId="68" xfId="0" applyFont="1" applyFill="1" applyBorder="1" applyAlignment="1">
      <alignment horizontal="left" vertical="center"/>
    </xf>
    <xf numFmtId="174" fontId="54" fillId="2" borderId="68" xfId="0" applyNumberFormat="1" applyFont="1" applyFill="1" applyBorder="1" applyAlignment="1">
      <alignment horizontal="center" vertical="center"/>
    </xf>
    <xf numFmtId="0" fontId="54" fillId="2" borderId="67" xfId="0" applyFont="1" applyFill="1" applyBorder="1" applyAlignment="1">
      <alignment horizontal="center" vertical="center"/>
    </xf>
    <xf numFmtId="0" fontId="54" fillId="2" borderId="97" xfId="0" applyFont="1" applyFill="1" applyBorder="1" applyAlignment="1">
      <alignment horizontal="center" vertical="center"/>
    </xf>
    <xf numFmtId="175" fontId="54" fillId="2" borderId="97" xfId="15" applyNumberFormat="1" applyFont="1" applyFill="1" applyBorder="1" applyAlignment="1">
      <alignment horizontal="right" vertical="center"/>
    </xf>
    <xf numFmtId="172" fontId="54" fillId="2" borderId="67" xfId="15" applyNumberFormat="1" applyFont="1" applyFill="1" applyBorder="1" applyAlignment="1">
      <alignment horizontal="right" vertical="center"/>
    </xf>
    <xf numFmtId="175" fontId="64" fillId="2" borderId="97" xfId="15" applyNumberFormat="1" applyFont="1" applyFill="1" applyBorder="1" applyAlignment="1">
      <alignment horizontal="right" vertical="center"/>
    </xf>
    <xf numFmtId="172" fontId="54" fillId="2" borderId="68" xfId="15" applyNumberFormat="1" applyFont="1" applyFill="1" applyBorder="1" applyAlignment="1">
      <alignment horizontal="right" vertical="center"/>
    </xf>
    <xf numFmtId="169" fontId="54" fillId="0" borderId="67" xfId="21" applyNumberFormat="1" applyFont="1" applyFill="1" applyBorder="1" applyAlignment="1" applyProtection="1">
      <alignment horizontal="right" vertical="center"/>
      <protection/>
    </xf>
    <xf numFmtId="176" fontId="54" fillId="0" borderId="67" xfId="21" applyNumberFormat="1" applyFont="1" applyFill="1" applyBorder="1" applyAlignment="1" applyProtection="1">
      <alignment horizontal="right" vertical="center"/>
      <protection/>
    </xf>
    <xf numFmtId="169" fontId="54" fillId="2" borderId="69" xfId="15" applyNumberFormat="1" applyFont="1" applyFill="1" applyBorder="1" applyAlignment="1">
      <alignment horizontal="right" vertical="center"/>
    </xf>
    <xf numFmtId="175" fontId="64" fillId="0" borderId="97" xfId="15" applyNumberFormat="1" applyFont="1" applyFill="1" applyBorder="1" applyAlignment="1" applyProtection="1">
      <alignment horizontal="right" vertical="center"/>
      <protection/>
    </xf>
    <xf numFmtId="175" fontId="54" fillId="0" borderId="97" xfId="15" applyNumberFormat="1" applyFont="1" applyFill="1" applyBorder="1" applyAlignment="1" applyProtection="1">
      <alignment horizontal="right" vertical="center"/>
      <protection/>
    </xf>
    <xf numFmtId="172" fontId="54" fillId="0" borderId="68" xfId="15" applyNumberFormat="1" applyFont="1" applyFill="1" applyBorder="1" applyAlignment="1" applyProtection="1">
      <alignment horizontal="right" vertical="center"/>
      <protection locked="0"/>
    </xf>
    <xf numFmtId="169" fontId="54" fillId="0" borderId="69" xfId="21" applyNumberFormat="1" applyFont="1" applyFill="1" applyBorder="1" applyAlignment="1" applyProtection="1">
      <alignment horizontal="right" vertical="center"/>
      <protection/>
    </xf>
    <xf numFmtId="0" fontId="54" fillId="0" borderId="62" xfId="0" applyFont="1" applyFill="1" applyBorder="1" applyAlignment="1" applyProtection="1">
      <alignment horizontal="center" vertical="center"/>
      <protection locked="0"/>
    </xf>
    <xf numFmtId="0" fontId="63" fillId="0" borderId="62" xfId="0" applyFont="1" applyBorder="1" applyAlignment="1" applyProtection="1">
      <alignment horizontal="right" vertical="center"/>
      <protection/>
    </xf>
    <xf numFmtId="0" fontId="63" fillId="0" borderId="102" xfId="0" applyFont="1" applyBorder="1" applyAlignment="1" applyProtection="1">
      <alignment horizontal="center" vertical="center"/>
      <protection/>
    </xf>
    <xf numFmtId="0" fontId="69" fillId="0" borderId="102" xfId="0" applyFont="1" applyBorder="1" applyAlignment="1" applyProtection="1">
      <alignment horizontal="center" vertical="center"/>
      <protection/>
    </xf>
    <xf numFmtId="175" fontId="52" fillId="0" borderId="84" xfId="0" applyNumberFormat="1" applyFont="1" applyBorder="1" applyAlignment="1" applyProtection="1">
      <alignment horizontal="center" vertical="center"/>
      <protection/>
    </xf>
    <xf numFmtId="0" fontId="70" fillId="0" borderId="102" xfId="0" applyFont="1" applyBorder="1" applyAlignment="1" applyProtection="1">
      <alignment horizontal="right" vertical="center"/>
      <protection/>
    </xf>
    <xf numFmtId="0" fontId="59" fillId="6" borderId="103" xfId="0" applyFont="1" applyFill="1" applyBorder="1" applyAlignment="1" applyProtection="1">
      <alignment horizontal="center" vertical="center"/>
      <protection/>
    </xf>
    <xf numFmtId="3" fontId="59" fillId="6" borderId="103" xfId="0" applyNumberFormat="1" applyFont="1" applyFill="1" applyBorder="1" applyAlignment="1" applyProtection="1">
      <alignment horizontal="center" vertical="center"/>
      <protection/>
    </xf>
    <xf numFmtId="175" fontId="59" fillId="6" borderId="103" xfId="0" applyNumberFormat="1" applyFont="1" applyFill="1" applyBorder="1" applyAlignment="1" applyProtection="1">
      <alignment vertical="center"/>
      <protection/>
    </xf>
    <xf numFmtId="172" fontId="59" fillId="6" borderId="103" xfId="0" applyNumberFormat="1" applyFont="1" applyFill="1" applyBorder="1" applyAlignment="1" applyProtection="1">
      <alignment vertical="center"/>
      <protection/>
    </xf>
    <xf numFmtId="172" fontId="59" fillId="6" borderId="103" xfId="0" applyNumberFormat="1" applyFont="1" applyFill="1" applyBorder="1" applyAlignment="1" applyProtection="1">
      <alignment horizontal="right" vertical="center"/>
      <protection/>
    </xf>
    <xf numFmtId="169" fontId="59" fillId="6" borderId="103" xfId="0" applyNumberFormat="1" applyFont="1" applyFill="1" applyBorder="1" applyAlignment="1" applyProtection="1">
      <alignment vertical="center"/>
      <protection/>
    </xf>
    <xf numFmtId="176" fontId="59" fillId="6" borderId="103" xfId="21" applyNumberFormat="1" applyFont="1" applyFill="1" applyBorder="1" applyAlignment="1" applyProtection="1">
      <alignment vertical="center"/>
      <protection/>
    </xf>
    <xf numFmtId="1" fontId="59" fillId="6" borderId="103" xfId="0" applyNumberFormat="1" applyFont="1" applyFill="1" applyBorder="1" applyAlignment="1" applyProtection="1">
      <alignment horizontal="center" vertical="center"/>
      <protection/>
    </xf>
    <xf numFmtId="170" fontId="59" fillId="6" borderId="104" xfId="0" applyNumberFormat="1" applyFont="1" applyFill="1" applyBorder="1" applyAlignment="1" applyProtection="1">
      <alignment vertical="center"/>
      <protection/>
    </xf>
    <xf numFmtId="179" fontId="54" fillId="0" borderId="62" xfId="0" applyNumberFormat="1" applyFont="1" applyFill="1" applyBorder="1" applyAlignment="1">
      <alignment horizontal="right" vertical="center"/>
    </xf>
    <xf numFmtId="0" fontId="54" fillId="0" borderId="62" xfId="0" applyFont="1" applyFill="1" applyBorder="1" applyAlignment="1">
      <alignment horizontal="center" vertical="center"/>
    </xf>
    <xf numFmtId="0" fontId="47" fillId="0" borderId="0" xfId="0" applyFont="1" applyFill="1" applyBorder="1" applyAlignment="1" applyProtection="1">
      <alignment horizontal="center" vertical="center"/>
      <protection/>
    </xf>
    <xf numFmtId="0" fontId="49" fillId="0" borderId="0" xfId="0" applyFont="1" applyFill="1" applyBorder="1" applyAlignment="1" applyProtection="1">
      <alignment horizontal="center" vertical="center"/>
      <protection/>
    </xf>
    <xf numFmtId="0" fontId="49" fillId="0" borderId="0" xfId="0" applyFont="1" applyFill="1" applyBorder="1" applyAlignment="1" applyProtection="1">
      <alignment vertical="center"/>
      <protection locked="0"/>
    </xf>
    <xf numFmtId="0" fontId="55" fillId="0" borderId="0" xfId="0" applyFont="1" applyFill="1" applyBorder="1" applyAlignment="1" applyProtection="1">
      <alignment vertical="center"/>
      <protection locked="0"/>
    </xf>
    <xf numFmtId="0" fontId="47" fillId="0" borderId="0" xfId="0" applyFont="1" applyFill="1" applyBorder="1" applyAlignment="1" applyProtection="1">
      <alignment vertical="center"/>
      <protection locked="0"/>
    </xf>
    <xf numFmtId="0" fontId="54" fillId="0" borderId="62" xfId="0" applyFont="1" applyFill="1" applyBorder="1" applyAlignment="1">
      <alignment horizontal="center"/>
    </xf>
    <xf numFmtId="172" fontId="54" fillId="0" borderId="62" xfId="15" applyNumberFormat="1" applyFont="1" applyFill="1" applyBorder="1" applyAlignment="1">
      <alignment horizontal="right" vertical="center"/>
    </xf>
    <xf numFmtId="0" fontId="54" fillId="0" borderId="0" xfId="0" applyFont="1" applyFill="1" applyBorder="1" applyAlignment="1" applyProtection="1">
      <alignment vertical="center"/>
      <protection locked="0"/>
    </xf>
    <xf numFmtId="0" fontId="56" fillId="0" borderId="0" xfId="0" applyFont="1" applyFill="1" applyBorder="1" applyAlignment="1" applyProtection="1">
      <alignment vertical="center"/>
      <protection locked="0"/>
    </xf>
    <xf numFmtId="170" fontId="54" fillId="0" borderId="62" xfId="15" applyNumberFormat="1" applyFont="1" applyFill="1" applyBorder="1" applyAlignment="1" applyProtection="1">
      <alignment vertical="center"/>
      <protection locked="0"/>
    </xf>
    <xf numFmtId="175" fontId="48" fillId="6" borderId="43" xfId="0" applyNumberFormat="1" applyFont="1" applyFill="1" applyBorder="1" applyAlignment="1" applyProtection="1">
      <alignment horizontal="right" vertical="center"/>
      <protection locked="0"/>
    </xf>
    <xf numFmtId="175" fontId="59" fillId="6" borderId="103" xfId="0" applyNumberFormat="1" applyFont="1" applyFill="1" applyBorder="1" applyAlignment="1" applyProtection="1">
      <alignment horizontal="right" vertical="center"/>
      <protection/>
    </xf>
    <xf numFmtId="0" fontId="52" fillId="0" borderId="102" xfId="0" applyFont="1" applyFill="1" applyBorder="1" applyAlignment="1" applyProtection="1">
      <alignment horizontal="right" vertical="center"/>
      <protection/>
    </xf>
    <xf numFmtId="0" fontId="47" fillId="0" borderId="105" xfId="0" applyFont="1" applyBorder="1" applyAlignment="1" applyProtection="1">
      <alignment horizontal="center" vertical="center"/>
      <protection/>
    </xf>
    <xf numFmtId="0" fontId="57" fillId="0" borderId="105" xfId="0" applyFont="1" applyBorder="1" applyAlignment="1" applyProtection="1">
      <alignment vertical="center"/>
      <protection/>
    </xf>
    <xf numFmtId="174" fontId="57" fillId="0" borderId="105" xfId="0" applyNumberFormat="1" applyFont="1" applyBorder="1" applyAlignment="1" applyProtection="1">
      <alignment horizontal="center" vertical="center"/>
      <protection/>
    </xf>
    <xf numFmtId="0" fontId="57" fillId="0" borderId="105" xfId="0" applyFont="1" applyBorder="1" applyAlignment="1" applyProtection="1">
      <alignment horizontal="left" vertical="center"/>
      <protection/>
    </xf>
    <xf numFmtId="0" fontId="57" fillId="0" borderId="105" xfId="0" applyFont="1" applyBorder="1" applyAlignment="1" applyProtection="1">
      <alignment horizontal="center" vertical="center"/>
      <protection/>
    </xf>
    <xf numFmtId="175" fontId="57" fillId="0" borderId="105" xfId="15" applyNumberFormat="1" applyFont="1" applyBorder="1" applyAlignment="1" applyProtection="1">
      <alignment vertical="center"/>
      <protection/>
    </xf>
    <xf numFmtId="172" fontId="57" fillId="0" borderId="105" xfId="15" applyNumberFormat="1" applyFont="1" applyBorder="1" applyAlignment="1" applyProtection="1">
      <alignment vertical="center"/>
      <protection/>
    </xf>
    <xf numFmtId="175" fontId="65" fillId="0" borderId="105" xfId="15" applyNumberFormat="1" applyFont="1" applyFill="1" applyBorder="1" applyAlignment="1" applyProtection="1">
      <alignment vertical="center"/>
      <protection/>
    </xf>
    <xf numFmtId="172" fontId="57" fillId="0" borderId="105" xfId="15" applyNumberFormat="1" applyFont="1" applyFill="1" applyBorder="1" applyAlignment="1" applyProtection="1">
      <alignment vertical="center"/>
      <protection/>
    </xf>
    <xf numFmtId="172" fontId="57" fillId="0" borderId="105" xfId="15" applyNumberFormat="1" applyFont="1" applyBorder="1" applyAlignment="1" applyProtection="1">
      <alignment horizontal="right" vertical="center"/>
      <protection/>
    </xf>
    <xf numFmtId="169" fontId="57" fillId="0" borderId="105" xfId="15" applyNumberFormat="1" applyFont="1" applyBorder="1" applyAlignment="1" applyProtection="1">
      <alignment vertical="center"/>
      <protection/>
    </xf>
    <xf numFmtId="170" fontId="57" fillId="0" borderId="105" xfId="15" applyNumberFormat="1" applyFont="1" applyBorder="1" applyAlignment="1" applyProtection="1">
      <alignment vertical="center"/>
      <protection/>
    </xf>
    <xf numFmtId="0" fontId="54" fillId="0" borderId="57" xfId="0" applyFont="1" applyFill="1" applyBorder="1" applyAlignment="1">
      <alignment horizontal="left"/>
    </xf>
    <xf numFmtId="174" fontId="54" fillId="0" borderId="57" xfId="0" applyNumberFormat="1" applyFont="1" applyFill="1" applyBorder="1" applyAlignment="1">
      <alignment horizontal="center"/>
    </xf>
    <xf numFmtId="0" fontId="54" fillId="0" borderId="57" xfId="0" applyFont="1" applyFill="1" applyBorder="1" applyAlignment="1">
      <alignment horizontal="center"/>
    </xf>
    <xf numFmtId="172" fontId="54" fillId="0" borderId="57" xfId="15" applyNumberFormat="1" applyFont="1" applyFill="1" applyBorder="1" applyAlignment="1">
      <alignment horizontal="right"/>
    </xf>
    <xf numFmtId="0" fontId="52" fillId="0" borderId="87" xfId="0" applyFont="1" applyFill="1" applyBorder="1" applyAlignment="1" applyProtection="1">
      <alignment horizontal="center" vertical="center"/>
      <protection/>
    </xf>
    <xf numFmtId="0" fontId="47" fillId="0" borderId="87" xfId="0" applyFont="1" applyFill="1" applyBorder="1" applyAlignment="1" applyProtection="1">
      <alignment horizontal="center" vertical="center"/>
      <protection locked="0"/>
    </xf>
    <xf numFmtId="0" fontId="54" fillId="0" borderId="87" xfId="0" applyFont="1" applyFill="1" applyBorder="1" applyAlignment="1" applyProtection="1">
      <alignment horizontal="center" vertical="center"/>
      <protection locked="0"/>
    </xf>
    <xf numFmtId="0" fontId="47" fillId="0" borderId="88" xfId="0" applyFont="1" applyFill="1" applyBorder="1" applyAlignment="1" applyProtection="1">
      <alignment horizontal="center" vertical="center"/>
      <protection locked="0"/>
    </xf>
    <xf numFmtId="174" fontId="54" fillId="0" borderId="68" xfId="0" applyNumberFormat="1" applyFont="1" applyFill="1" applyBorder="1" applyAlignment="1" applyProtection="1">
      <alignment horizontal="left" vertical="center"/>
      <protection locked="0"/>
    </xf>
    <xf numFmtId="0" fontId="54" fillId="0" borderId="68" xfId="0" applyFont="1" applyFill="1" applyBorder="1" applyAlignment="1" applyProtection="1">
      <alignment horizontal="center" vertical="center"/>
      <protection locked="0"/>
    </xf>
    <xf numFmtId="170" fontId="54" fillId="0" borderId="68" xfId="15" applyNumberFormat="1" applyFont="1" applyFill="1" applyBorder="1" applyAlignment="1" applyProtection="1">
      <alignment vertical="center"/>
      <protection locked="0"/>
    </xf>
    <xf numFmtId="177" fontId="54" fillId="0" borderId="69" xfId="21" applyNumberFormat="1" applyFont="1" applyFill="1" applyBorder="1" applyAlignment="1" applyProtection="1">
      <alignment vertical="center"/>
      <protection/>
    </xf>
    <xf numFmtId="0" fontId="29" fillId="7" borderId="84" xfId="0" applyFont="1" applyFill="1" applyBorder="1" applyAlignment="1" applyProtection="1">
      <alignment horizontal="center" vertical="center" wrapText="1"/>
      <protection/>
    </xf>
    <xf numFmtId="172" fontId="54" fillId="7" borderId="57" xfId="15" applyNumberFormat="1" applyFont="1" applyFill="1" applyBorder="1" applyAlignment="1" applyProtection="1">
      <alignment horizontal="right" vertical="center"/>
      <protection/>
    </xf>
    <xf numFmtId="172" fontId="54" fillId="7" borderId="57" xfId="0" applyNumberFormat="1" applyFont="1" applyFill="1" applyBorder="1" applyAlignment="1">
      <alignment horizontal="right" vertical="center"/>
    </xf>
    <xf numFmtId="172" fontId="54" fillId="7" borderId="62" xfId="15" applyNumberFormat="1" applyFont="1" applyFill="1" applyBorder="1" applyAlignment="1" applyProtection="1">
      <alignment vertical="center"/>
      <protection/>
    </xf>
    <xf numFmtId="172" fontId="54" fillId="7" borderId="62" xfId="21" applyNumberFormat="1" applyFont="1" applyFill="1" applyBorder="1" applyAlignment="1" applyProtection="1">
      <alignment horizontal="right" vertical="center"/>
      <protection/>
    </xf>
    <xf numFmtId="172" fontId="54" fillId="7" borderId="62" xfId="0" applyNumberFormat="1" applyFont="1" applyFill="1" applyBorder="1" applyAlignment="1">
      <alignment horizontal="right" vertical="center"/>
    </xf>
    <xf numFmtId="172" fontId="54" fillId="7" borderId="62" xfId="15" applyNumberFormat="1" applyFont="1" applyFill="1" applyBorder="1" applyAlignment="1" applyProtection="1">
      <alignment horizontal="right" vertical="center"/>
      <protection/>
    </xf>
    <xf numFmtId="172" fontId="54" fillId="7" borderId="68" xfId="15" applyNumberFormat="1" applyFont="1" applyFill="1" applyBorder="1" applyAlignment="1" applyProtection="1">
      <alignment vertical="center"/>
      <protection/>
    </xf>
    <xf numFmtId="172" fontId="54" fillId="7" borderId="68" xfId="21" applyNumberFormat="1" applyFont="1" applyFill="1" applyBorder="1" applyAlignment="1" applyProtection="1">
      <alignment horizontal="right" vertical="center"/>
      <protection/>
    </xf>
    <xf numFmtId="175" fontId="54" fillId="0" borderId="53" xfId="15" applyNumberFormat="1" applyFont="1" applyFill="1" applyBorder="1" applyAlignment="1">
      <alignment horizontal="right"/>
    </xf>
    <xf numFmtId="175" fontId="54" fillId="0" borderId="60" xfId="15" applyNumberFormat="1" applyFont="1" applyFill="1" applyBorder="1" applyAlignment="1">
      <alignment horizontal="right" vertical="center"/>
    </xf>
    <xf numFmtId="0" fontId="54" fillId="0" borderId="54" xfId="0" applyFont="1" applyFill="1" applyBorder="1" applyAlignment="1">
      <alignment horizontal="center"/>
    </xf>
    <xf numFmtId="172" fontId="54" fillId="0" borderId="54" xfId="15" applyNumberFormat="1" applyFont="1" applyFill="1" applyBorder="1" applyAlignment="1">
      <alignment horizontal="right"/>
    </xf>
    <xf numFmtId="172" fontId="54" fillId="0" borderId="61" xfId="15" applyNumberFormat="1" applyFont="1" applyFill="1" applyBorder="1" applyAlignment="1">
      <alignment horizontal="right" vertical="center"/>
    </xf>
    <xf numFmtId="172" fontId="54" fillId="0" borderId="67" xfId="15" applyNumberFormat="1" applyFont="1" applyFill="1" applyBorder="1" applyAlignment="1" applyProtection="1">
      <alignment vertical="center"/>
      <protection locked="0"/>
    </xf>
    <xf numFmtId="169" fontId="54" fillId="7" borderId="54" xfId="0" applyNumberFormat="1" applyFont="1" applyFill="1" applyBorder="1" applyAlignment="1">
      <alignment horizontal="right" vertical="center"/>
    </xf>
    <xf numFmtId="169" fontId="54" fillId="7" borderId="61" xfId="21" applyNumberFormat="1" applyFont="1" applyFill="1" applyBorder="1" applyAlignment="1" applyProtection="1">
      <alignment vertical="center"/>
      <protection/>
    </xf>
    <xf numFmtId="169" fontId="54" fillId="7" borderId="61" xfId="0" applyNumberFormat="1" applyFont="1" applyFill="1" applyBorder="1" applyAlignment="1">
      <alignment horizontal="right" vertical="center"/>
    </xf>
    <xf numFmtId="169" fontId="54" fillId="7" borderId="67" xfId="21" applyNumberFormat="1" applyFont="1" applyFill="1" applyBorder="1" applyAlignment="1" applyProtection="1">
      <alignment vertical="center"/>
      <protection/>
    </xf>
    <xf numFmtId="176" fontId="54" fillId="0" borderId="54" xfId="21" applyNumberFormat="1" applyFont="1" applyFill="1" applyBorder="1" applyAlignment="1" applyProtection="1">
      <alignment horizontal="right" vertical="center"/>
      <protection/>
    </xf>
    <xf numFmtId="175" fontId="54" fillId="0" borderId="97" xfId="15" applyNumberFormat="1" applyFont="1" applyFill="1" applyBorder="1" applyAlignment="1" applyProtection="1">
      <alignment vertical="center"/>
      <protection/>
    </xf>
    <xf numFmtId="0" fontId="49" fillId="0" borderId="0" xfId="0" applyFont="1" applyFill="1" applyBorder="1" applyAlignment="1" applyProtection="1">
      <alignment vertical="center" wrapText="1"/>
      <protection locked="0"/>
    </xf>
    <xf numFmtId="167" fontId="54" fillId="0" borderId="62" xfId="0" applyNumberFormat="1" applyFont="1" applyFill="1" applyBorder="1" applyAlignment="1">
      <alignment/>
    </xf>
    <xf numFmtId="0" fontId="54" fillId="0" borderId="62" xfId="0" applyFont="1" applyFill="1" applyBorder="1" applyAlignment="1">
      <alignment/>
    </xf>
    <xf numFmtId="175" fontId="54" fillId="0" borderId="62" xfId="15" applyNumberFormat="1" applyFont="1" applyFill="1" applyBorder="1" applyAlignment="1">
      <alignment horizontal="right"/>
    </xf>
    <xf numFmtId="175" fontId="54" fillId="0" borderId="62" xfId="0" applyNumberFormat="1" applyFont="1" applyFill="1" applyBorder="1" applyAlignment="1">
      <alignment horizontal="right" vertical="center"/>
    </xf>
    <xf numFmtId="176" fontId="54" fillId="0" borderId="62" xfId="21" applyNumberFormat="1" applyFont="1" applyFill="1" applyBorder="1" applyAlignment="1" applyProtection="1">
      <alignment horizontal="right" vertical="center"/>
      <protection/>
    </xf>
    <xf numFmtId="174" fontId="54" fillId="0" borderId="62" xfId="0" applyNumberFormat="1" applyFont="1" applyFill="1" applyBorder="1" applyAlignment="1" applyProtection="1">
      <alignment vertical="center"/>
      <protection locked="0"/>
    </xf>
    <xf numFmtId="175" fontId="54" fillId="0" borderId="62" xfId="15" applyNumberFormat="1" applyFont="1" applyFill="1" applyBorder="1" applyAlignment="1" applyProtection="1">
      <alignment horizontal="right" vertical="center"/>
      <protection locked="0"/>
    </xf>
    <xf numFmtId="178" fontId="54" fillId="0" borderId="62" xfId="0" applyNumberFormat="1" applyFont="1" applyFill="1" applyBorder="1" applyAlignment="1">
      <alignment vertical="center"/>
    </xf>
    <xf numFmtId="0" fontId="54" fillId="0" borderId="62" xfId="0" applyFont="1" applyFill="1" applyBorder="1" applyAlignment="1">
      <alignment vertical="center"/>
    </xf>
    <xf numFmtId="175" fontId="54" fillId="0" borderId="62" xfId="0" applyNumberFormat="1" applyFont="1" applyFill="1" applyBorder="1" applyAlignment="1">
      <alignment horizontal="right"/>
    </xf>
    <xf numFmtId="172" fontId="54" fillId="0" borderId="62" xfId="0" applyNumberFormat="1" applyFont="1" applyFill="1" applyBorder="1" applyAlignment="1">
      <alignment horizontal="right"/>
    </xf>
    <xf numFmtId="167" fontId="54" fillId="0" borderId="57" xfId="0" applyNumberFormat="1" applyFont="1" applyFill="1" applyBorder="1" applyAlignment="1">
      <alignment/>
    </xf>
    <xf numFmtId="0" fontId="54" fillId="0" borderId="57" xfId="0" applyFont="1" applyFill="1" applyBorder="1" applyAlignment="1">
      <alignment/>
    </xf>
    <xf numFmtId="175" fontId="54" fillId="0" borderId="57" xfId="15" applyNumberFormat="1" applyFont="1" applyFill="1" applyBorder="1" applyAlignment="1">
      <alignment horizontal="right"/>
    </xf>
    <xf numFmtId="172" fontId="54" fillId="0" borderId="57" xfId="0" applyNumberFormat="1" applyFont="1" applyFill="1" applyBorder="1" applyAlignment="1">
      <alignment horizontal="right" vertical="center"/>
    </xf>
    <xf numFmtId="176" fontId="54" fillId="0" borderId="57" xfId="21" applyNumberFormat="1" applyFont="1" applyFill="1" applyBorder="1" applyAlignment="1" applyProtection="1">
      <alignment horizontal="right" vertical="center"/>
      <protection/>
    </xf>
    <xf numFmtId="169" fontId="54" fillId="0" borderId="58" xfId="0" applyNumberFormat="1" applyFont="1" applyFill="1" applyBorder="1" applyAlignment="1">
      <alignment vertical="center"/>
    </xf>
    <xf numFmtId="169" fontId="54" fillId="0" borderId="63" xfId="21" applyNumberFormat="1" applyFont="1" applyFill="1" applyBorder="1" applyAlignment="1" applyProtection="1">
      <alignment vertical="center"/>
      <protection/>
    </xf>
    <xf numFmtId="169" fontId="54" fillId="0" borderId="63" xfId="0" applyNumberFormat="1" applyFont="1" applyFill="1" applyBorder="1" applyAlignment="1">
      <alignment vertical="center"/>
    </xf>
    <xf numFmtId="169" fontId="54" fillId="0" borderId="63" xfId="15" applyNumberFormat="1" applyFont="1" applyFill="1" applyBorder="1" applyAlignment="1">
      <alignment/>
    </xf>
    <xf numFmtId="175" fontId="54" fillId="0" borderId="68" xfId="15" applyNumberFormat="1" applyFont="1" applyFill="1" applyBorder="1" applyAlignment="1" applyProtection="1">
      <alignment horizontal="right" vertical="center"/>
      <protection locked="0"/>
    </xf>
    <xf numFmtId="176" fontId="54" fillId="0" borderId="68" xfId="21" applyNumberFormat="1" applyFont="1" applyFill="1" applyBorder="1" applyAlignment="1" applyProtection="1">
      <alignment horizontal="right" vertical="center"/>
      <protection/>
    </xf>
    <xf numFmtId="169" fontId="54" fillId="0" borderId="69" xfId="21" applyNumberFormat="1" applyFont="1" applyFill="1" applyBorder="1" applyAlignment="1" applyProtection="1">
      <alignment vertical="center"/>
      <protection/>
    </xf>
    <xf numFmtId="0" fontId="63" fillId="0" borderId="106" xfId="0" applyFont="1" applyBorder="1" applyAlignment="1" applyProtection="1">
      <alignment horizontal="center" vertical="center"/>
      <protection/>
    </xf>
    <xf numFmtId="0" fontId="52" fillId="0" borderId="107" xfId="0" applyFont="1" applyFill="1" applyBorder="1" applyAlignment="1" applyProtection="1">
      <alignment horizontal="center" vertical="center"/>
      <protection/>
    </xf>
    <xf numFmtId="0" fontId="0" fillId="0" borderId="46" xfId="0" applyBorder="1" applyAlignment="1">
      <alignment vertical="center" wrapText="1"/>
    </xf>
    <xf numFmtId="0" fontId="0" fillId="0" borderId="0" xfId="0" applyBorder="1" applyAlignment="1">
      <alignment vertical="center" wrapText="1"/>
    </xf>
    <xf numFmtId="0" fontId="79"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81" fillId="0" borderId="0" xfId="0" applyFont="1" applyBorder="1" applyAlignment="1">
      <alignment horizontal="center" vertical="center" wrapText="1"/>
    </xf>
    <xf numFmtId="175" fontId="54" fillId="0" borderId="60" xfId="0" applyNumberFormat="1" applyFont="1" applyFill="1" applyBorder="1" applyAlignment="1">
      <alignment horizontal="right"/>
    </xf>
    <xf numFmtId="172" fontId="54" fillId="0" borderId="61" xfId="0" applyNumberFormat="1" applyFont="1" applyFill="1" applyBorder="1" applyAlignment="1">
      <alignment horizontal="right"/>
    </xf>
    <xf numFmtId="175" fontId="54" fillId="0" borderId="53" xfId="0" applyNumberFormat="1" applyFont="1" applyFill="1" applyBorder="1" applyAlignment="1">
      <alignment horizontal="right" vertical="center"/>
    </xf>
    <xf numFmtId="169" fontId="54" fillId="0" borderId="54" xfId="0" applyNumberFormat="1" applyFont="1" applyFill="1" applyBorder="1" applyAlignment="1">
      <alignment vertical="center"/>
    </xf>
    <xf numFmtId="169" fontId="54" fillId="0" borderId="61" xfId="0" applyNumberFormat="1" applyFont="1" applyFill="1" applyBorder="1" applyAlignment="1">
      <alignment vertical="center"/>
    </xf>
    <xf numFmtId="169" fontId="54" fillId="0" borderId="67" xfId="0" applyNumberFormat="1" applyFont="1" applyFill="1" applyBorder="1" applyAlignment="1">
      <alignment vertical="center"/>
    </xf>
    <xf numFmtId="0" fontId="15" fillId="0" borderId="108" xfId="0" applyFont="1" applyBorder="1" applyAlignment="1">
      <alignment horizontal="center" vertical="center"/>
    </xf>
    <xf numFmtId="0" fontId="15" fillId="0" borderId="109" xfId="0" applyFont="1" applyBorder="1" applyAlignment="1">
      <alignment horizontal="center" vertical="center"/>
    </xf>
    <xf numFmtId="0" fontId="24" fillId="0" borderId="110" xfId="0" applyFont="1" applyBorder="1" applyAlignment="1">
      <alignment horizontal="center" vertical="center" textRotation="255" wrapText="1"/>
    </xf>
    <xf numFmtId="0" fontId="24" fillId="0" borderId="111" xfId="0" applyFont="1" applyBorder="1" applyAlignment="1">
      <alignment horizontal="center" vertical="center" textRotation="255" wrapText="1"/>
    </xf>
    <xf numFmtId="0" fontId="15" fillId="0" borderId="112" xfId="0" applyFont="1" applyBorder="1" applyAlignment="1">
      <alignment horizontal="center" vertical="center"/>
    </xf>
    <xf numFmtId="0" fontId="15" fillId="0" borderId="113" xfId="0" applyFont="1" applyBorder="1" applyAlignment="1">
      <alignment horizontal="center" vertical="center"/>
    </xf>
    <xf numFmtId="0" fontId="15" fillId="0" borderId="114" xfId="0" applyFont="1" applyBorder="1" applyAlignment="1">
      <alignment horizontal="center" vertical="center"/>
    </xf>
    <xf numFmtId="0" fontId="21" fillId="3" borderId="115" xfId="0" applyFont="1" applyFill="1" applyBorder="1" applyAlignment="1">
      <alignment horizontal="center" vertical="center" wrapText="1"/>
    </xf>
    <xf numFmtId="0" fontId="21" fillId="3" borderId="95" xfId="0" applyFont="1" applyFill="1" applyBorder="1" applyAlignment="1">
      <alignment horizontal="center" vertical="center" wrapText="1"/>
    </xf>
    <xf numFmtId="0" fontId="21" fillId="3" borderId="96" xfId="0" applyFont="1" applyFill="1" applyBorder="1" applyAlignment="1">
      <alignment horizontal="center" vertical="center" wrapText="1"/>
    </xf>
    <xf numFmtId="0" fontId="24" fillId="0" borderId="116" xfId="0" applyFont="1" applyFill="1" applyBorder="1" applyAlignment="1">
      <alignment horizontal="center" vertical="center" textRotation="255" wrapText="1"/>
    </xf>
    <xf numFmtId="0" fontId="15" fillId="0" borderId="24" xfId="0" applyFont="1" applyBorder="1" applyAlignment="1">
      <alignment horizontal="center" vertical="center"/>
    </xf>
    <xf numFmtId="0" fontId="15" fillId="0" borderId="117" xfId="0" applyFont="1" applyBorder="1" applyAlignment="1">
      <alignment horizontal="center" vertical="center"/>
    </xf>
    <xf numFmtId="0" fontId="15" fillId="0" borderId="118" xfId="0" applyFont="1" applyBorder="1" applyAlignment="1">
      <alignment horizontal="center" vertical="center"/>
    </xf>
    <xf numFmtId="0" fontId="30" fillId="3" borderId="108" xfId="0" applyFont="1" applyFill="1" applyBorder="1" applyAlignment="1">
      <alignment horizontal="center" vertical="center"/>
    </xf>
    <xf numFmtId="0" fontId="30" fillId="3" borderId="117" xfId="0" applyFont="1" applyFill="1" applyBorder="1" applyAlignment="1">
      <alignment horizontal="center" vertical="center"/>
    </xf>
    <xf numFmtId="9" fontId="15" fillId="0" borderId="114" xfId="21" applyFont="1" applyBorder="1" applyAlignment="1">
      <alignment horizontal="center" vertical="center"/>
    </xf>
    <xf numFmtId="9" fontId="15" fillId="0" borderId="109" xfId="21" applyFont="1" applyBorder="1" applyAlignment="1">
      <alignment horizontal="center" vertical="center"/>
    </xf>
    <xf numFmtId="0" fontId="15" fillId="0" borderId="119" xfId="0" applyFont="1" applyBorder="1" applyAlignment="1">
      <alignment horizontal="center" vertical="center"/>
    </xf>
    <xf numFmtId="0" fontId="15" fillId="0" borderId="120" xfId="0" applyFont="1" applyBorder="1" applyAlignment="1">
      <alignment horizontal="center" vertical="center"/>
    </xf>
    <xf numFmtId="0" fontId="15" fillId="0" borderId="121" xfId="0" applyFont="1" applyBorder="1" applyAlignment="1">
      <alignment horizontal="center" vertical="center"/>
    </xf>
    <xf numFmtId="0" fontId="15" fillId="0" borderId="122" xfId="0" applyFont="1" applyBorder="1" applyAlignment="1">
      <alignment horizontal="center" vertical="center"/>
    </xf>
    <xf numFmtId="0" fontId="26" fillId="0" borderId="0" xfId="0" applyFont="1" applyAlignment="1">
      <alignment horizontal="center" vertical="center"/>
    </xf>
    <xf numFmtId="43" fontId="15" fillId="0" borderId="121" xfId="15" applyFont="1" applyBorder="1" applyAlignment="1">
      <alignment horizontal="center" vertical="center"/>
    </xf>
    <xf numFmtId="43" fontId="15" fillId="0" borderId="122" xfId="15" applyFont="1" applyBorder="1" applyAlignment="1">
      <alignment horizontal="center" vertical="center"/>
    </xf>
    <xf numFmtId="0" fontId="15" fillId="0" borderId="123" xfId="0" applyFont="1" applyBorder="1" applyAlignment="1">
      <alignment horizontal="center" vertical="center"/>
    </xf>
    <xf numFmtId="0" fontId="15" fillId="0" borderId="124" xfId="0" applyFont="1" applyBorder="1" applyAlignment="1">
      <alignment horizontal="center" vertical="center"/>
    </xf>
    <xf numFmtId="0" fontId="15" fillId="0" borderId="125" xfId="0" applyFont="1" applyBorder="1" applyAlignment="1">
      <alignment horizontal="center" vertical="center"/>
    </xf>
    <xf numFmtId="0" fontId="15" fillId="0" borderId="126" xfId="0" applyFont="1" applyBorder="1" applyAlignment="1">
      <alignment horizontal="center" vertical="center"/>
    </xf>
    <xf numFmtId="0" fontId="21" fillId="4" borderId="115" xfId="0" applyFont="1" applyFill="1" applyBorder="1" applyAlignment="1">
      <alignment horizontal="center" vertical="center" wrapText="1"/>
    </xf>
    <xf numFmtId="0" fontId="21" fillId="4" borderId="95" xfId="0" applyFont="1" applyFill="1" applyBorder="1" applyAlignment="1">
      <alignment horizontal="center" vertical="center" wrapText="1"/>
    </xf>
    <xf numFmtId="0" fontId="21" fillId="4" borderId="96" xfId="0" applyFont="1" applyFill="1" applyBorder="1" applyAlignment="1">
      <alignment horizontal="center" vertical="center" wrapText="1"/>
    </xf>
    <xf numFmtId="0" fontId="2" fillId="0" borderId="95" xfId="0" applyFont="1" applyFill="1" applyBorder="1" applyAlignment="1">
      <alignment horizontal="center" vertical="center"/>
    </xf>
    <xf numFmtId="0" fontId="30" fillId="4" borderId="108" xfId="0" applyFont="1" applyFill="1" applyBorder="1" applyAlignment="1">
      <alignment horizontal="center" vertical="center"/>
    </xf>
    <xf numFmtId="0" fontId="30" fillId="4" borderId="117" xfId="0" applyFont="1" applyFill="1" applyBorder="1" applyAlignment="1">
      <alignment horizontal="center" vertical="center"/>
    </xf>
    <xf numFmtId="0" fontId="9" fillId="4" borderId="115" xfId="0" applyFont="1" applyFill="1" applyBorder="1" applyAlignment="1">
      <alignment horizontal="center" vertical="center" wrapText="1"/>
    </xf>
    <xf numFmtId="0" fontId="10" fillId="4" borderId="95" xfId="0" applyFont="1" applyFill="1" applyBorder="1" applyAlignment="1">
      <alignment horizontal="center" vertical="center" wrapText="1"/>
    </xf>
    <xf numFmtId="0" fontId="13" fillId="0" borderId="127" xfId="0" applyNumberFormat="1" applyFont="1" applyFill="1" applyBorder="1" applyAlignment="1">
      <alignment horizontal="center" vertical="center"/>
    </xf>
    <xf numFmtId="0" fontId="0" fillId="0" borderId="127" xfId="0" applyNumberFormat="1" applyBorder="1" applyAlignment="1">
      <alignment horizontal="center" vertical="center"/>
    </xf>
    <xf numFmtId="0" fontId="14" fillId="4" borderId="108" xfId="0" applyFont="1" applyFill="1" applyBorder="1" applyAlignment="1">
      <alignment horizontal="center" vertical="center"/>
    </xf>
    <xf numFmtId="0" fontId="14" fillId="4" borderId="117" xfId="0" applyFont="1" applyFill="1" applyBorder="1" applyAlignment="1">
      <alignment horizontal="center" vertical="center"/>
    </xf>
    <xf numFmtId="0" fontId="60" fillId="0" borderId="128" xfId="0" applyFont="1" applyBorder="1" applyAlignment="1" applyProtection="1">
      <alignment vertical="center" wrapText="1"/>
      <protection locked="0"/>
    </xf>
    <xf numFmtId="0" fontId="60" fillId="0" borderId="0" xfId="0" applyFont="1" applyAlignment="1" applyProtection="1">
      <alignment vertical="center" wrapText="1"/>
      <protection locked="0"/>
    </xf>
    <xf numFmtId="0" fontId="61" fillId="0" borderId="0" xfId="0" applyFont="1" applyAlignment="1" applyProtection="1">
      <alignment horizontal="left" vertical="center" wrapText="1"/>
      <protection locked="0"/>
    </xf>
    <xf numFmtId="0" fontId="61" fillId="0" borderId="0" xfId="0" applyFont="1" applyAlignment="1">
      <alignment horizontal="left" vertical="center" wrapText="1"/>
    </xf>
    <xf numFmtId="0" fontId="52" fillId="0" borderId="5" xfId="0" applyFont="1" applyFill="1" applyBorder="1" applyAlignment="1" applyProtection="1">
      <alignment horizontal="center" vertical="center"/>
      <protection/>
    </xf>
    <xf numFmtId="0" fontId="52" fillId="0" borderId="127" xfId="0" applyFont="1" applyFill="1" applyBorder="1" applyAlignment="1" applyProtection="1">
      <alignment horizontal="center" vertical="center"/>
      <protection/>
    </xf>
    <xf numFmtId="0" fontId="52" fillId="0" borderId="6" xfId="0" applyFont="1" applyFill="1" applyBorder="1" applyAlignment="1" applyProtection="1">
      <alignment horizontal="center" vertical="center"/>
      <protection/>
    </xf>
    <xf numFmtId="0" fontId="52" fillId="0" borderId="129" xfId="0" applyFont="1" applyFill="1" applyBorder="1" applyAlignment="1" applyProtection="1">
      <alignment horizontal="center" vertical="center"/>
      <protection/>
    </xf>
    <xf numFmtId="0" fontId="52" fillId="0" borderId="56" xfId="0" applyFont="1" applyFill="1" applyBorder="1" applyAlignment="1" applyProtection="1">
      <alignment horizontal="center" vertical="center"/>
      <protection/>
    </xf>
    <xf numFmtId="0" fontId="52" fillId="0" borderId="130" xfId="0" applyFont="1" applyFill="1" applyBorder="1" applyAlignment="1" applyProtection="1">
      <alignment horizontal="center" vertical="center"/>
      <protection/>
    </xf>
    <xf numFmtId="0" fontId="59" fillId="6" borderId="131" xfId="0" applyFont="1" applyFill="1" applyBorder="1" applyAlignment="1" applyProtection="1">
      <alignment horizontal="left" vertical="center"/>
      <protection/>
    </xf>
    <xf numFmtId="0" fontId="59" fillId="6" borderId="76" xfId="0" applyFont="1" applyFill="1" applyBorder="1" applyAlignment="1" applyProtection="1">
      <alignment horizontal="left" vertical="center"/>
      <protection/>
    </xf>
    <xf numFmtId="0" fontId="59" fillId="6" borderId="71" xfId="0" applyFont="1" applyFill="1" applyBorder="1" applyAlignment="1" applyProtection="1">
      <alignment horizontal="left" vertical="center"/>
      <protection/>
    </xf>
    <xf numFmtId="0" fontId="50" fillId="8" borderId="0" xfId="0" applyFont="1" applyFill="1" applyBorder="1" applyAlignment="1" applyProtection="1">
      <alignment horizontal="center" vertical="center"/>
      <protection/>
    </xf>
    <xf numFmtId="43" fontId="52" fillId="0" borderId="6" xfId="15" applyFont="1" applyFill="1" applyBorder="1" applyAlignment="1" applyProtection="1">
      <alignment horizontal="center" vertical="center"/>
      <protection/>
    </xf>
    <xf numFmtId="43" fontId="52" fillId="0" borderId="132" xfId="15" applyFont="1" applyFill="1" applyBorder="1" applyAlignment="1" applyProtection="1">
      <alignment horizontal="center" vertical="center"/>
      <protection/>
    </xf>
    <xf numFmtId="0" fontId="52" fillId="0" borderId="133" xfId="0" applyFont="1" applyFill="1" applyBorder="1" applyAlignment="1" applyProtection="1">
      <alignment horizontal="center" vertical="center" wrapText="1"/>
      <protection/>
    </xf>
    <xf numFmtId="0" fontId="52" fillId="0" borderId="134" xfId="0" applyFont="1" applyFill="1" applyBorder="1" applyAlignment="1" applyProtection="1">
      <alignment horizontal="center" vertical="center" wrapText="1"/>
      <protection/>
    </xf>
    <xf numFmtId="0" fontId="52" fillId="0" borderId="134" xfId="0" applyFont="1" applyFill="1" applyBorder="1" applyAlignment="1" applyProtection="1">
      <alignment horizontal="center" vertical="center"/>
      <protection/>
    </xf>
    <xf numFmtId="0" fontId="29" fillId="0" borderId="135" xfId="0" applyFont="1" applyFill="1" applyBorder="1" applyAlignment="1" applyProtection="1">
      <alignment horizontal="center" vertical="center" wrapText="1"/>
      <protection/>
    </xf>
    <xf numFmtId="0" fontId="29" fillId="0" borderId="136" xfId="0" applyFont="1" applyFill="1" applyBorder="1" applyAlignment="1" applyProtection="1">
      <alignment horizontal="center" vertical="center" wrapText="1"/>
      <protection/>
    </xf>
    <xf numFmtId="0" fontId="29" fillId="0" borderId="137" xfId="0" applyFont="1" applyFill="1" applyBorder="1" applyAlignment="1" applyProtection="1">
      <alignment horizontal="center" vertical="center" wrapText="1"/>
      <protection/>
    </xf>
    <xf numFmtId="0" fontId="29" fillId="0" borderId="138" xfId="0" applyFont="1" applyFill="1" applyBorder="1" applyAlignment="1" applyProtection="1">
      <alignment horizontal="center" vertical="center" wrapText="1"/>
      <protection/>
    </xf>
    <xf numFmtId="0" fontId="29" fillId="0" borderId="133" xfId="0" applyFont="1" applyFill="1" applyBorder="1" applyAlignment="1" applyProtection="1">
      <alignment horizontal="center" vertical="center" wrapText="1"/>
      <protection/>
    </xf>
    <xf numFmtId="0" fontId="29" fillId="0" borderId="134" xfId="0" applyFont="1" applyFill="1" applyBorder="1" applyAlignment="1" applyProtection="1">
      <alignment horizontal="center" vertical="center" wrapText="1"/>
      <protection/>
    </xf>
    <xf numFmtId="0" fontId="52" fillId="0" borderId="139" xfId="0" applyFont="1" applyFill="1" applyBorder="1" applyAlignment="1" applyProtection="1">
      <alignment horizontal="center" vertical="center"/>
      <protection/>
    </xf>
    <xf numFmtId="0" fontId="50" fillId="8" borderId="0" xfId="0" applyFont="1" applyFill="1" applyAlignment="1">
      <alignment horizontal="center" vertical="center"/>
    </xf>
    <xf numFmtId="0" fontId="0" fillId="0" borderId="0" xfId="0" applyAlignment="1">
      <alignment vertical="center"/>
    </xf>
    <xf numFmtId="43" fontId="52" fillId="0" borderId="140" xfId="15" applyFont="1" applyFill="1" applyBorder="1" applyAlignment="1" applyProtection="1">
      <alignment horizontal="center" vertical="center"/>
      <protection/>
    </xf>
    <xf numFmtId="43" fontId="52" fillId="0" borderId="84" xfId="15" applyFont="1" applyFill="1" applyBorder="1" applyAlignment="1" applyProtection="1">
      <alignment horizontal="center" vertical="center"/>
      <protection/>
    </xf>
    <xf numFmtId="0" fontId="52" fillId="0" borderId="140" xfId="0" applyFont="1" applyFill="1" applyBorder="1" applyAlignment="1" applyProtection="1">
      <alignment horizontal="center" vertical="center" wrapText="1"/>
      <protection/>
    </xf>
    <xf numFmtId="0" fontId="52" fillId="0" borderId="84" xfId="0" applyFont="1" applyFill="1" applyBorder="1" applyAlignment="1" applyProtection="1">
      <alignment horizontal="center" vertical="center" wrapText="1"/>
      <protection/>
    </xf>
    <xf numFmtId="0" fontId="52" fillId="0" borderId="84" xfId="0" applyFont="1" applyFill="1" applyBorder="1" applyAlignment="1" applyProtection="1">
      <alignment horizontal="center" vertical="center"/>
      <protection/>
    </xf>
    <xf numFmtId="0" fontId="29" fillId="0" borderId="140" xfId="0" applyFont="1" applyFill="1" applyBorder="1" applyAlignment="1" applyProtection="1">
      <alignment horizontal="center" vertical="center" wrapText="1"/>
      <protection/>
    </xf>
    <xf numFmtId="0" fontId="29" fillId="0" borderId="84" xfId="0" applyFont="1" applyFill="1" applyBorder="1" applyAlignment="1" applyProtection="1">
      <alignment horizontal="center" vertical="center" wrapText="1"/>
      <protection/>
    </xf>
    <xf numFmtId="0" fontId="52" fillId="0" borderId="140" xfId="0" applyFont="1" applyFill="1" applyBorder="1" applyAlignment="1" applyProtection="1">
      <alignment horizontal="center" vertical="center"/>
      <protection/>
    </xf>
    <xf numFmtId="0" fontId="60" fillId="0" borderId="0" xfId="0" applyFont="1" applyBorder="1" applyAlignment="1" applyProtection="1">
      <alignment vertical="center" wrapText="1"/>
      <protection locked="0"/>
    </xf>
    <xf numFmtId="0" fontId="52" fillId="0" borderId="141" xfId="0" applyFont="1" applyFill="1" applyBorder="1" applyAlignment="1" applyProtection="1">
      <alignment horizontal="center" vertical="center"/>
      <protection/>
    </xf>
    <xf numFmtId="0" fontId="59" fillId="6" borderId="115" xfId="0" applyFont="1" applyFill="1" applyBorder="1" applyAlignment="1" applyProtection="1">
      <alignment horizontal="left" vertical="center"/>
      <protection/>
    </xf>
    <xf numFmtId="0" fontId="59" fillId="6" borderId="95" xfId="0" applyFont="1" applyFill="1" applyBorder="1" applyAlignment="1" applyProtection="1">
      <alignment horizontal="left" vertical="center"/>
      <protection/>
    </xf>
    <xf numFmtId="0" fontId="59" fillId="6" borderId="90" xfId="0" applyFont="1" applyFill="1" applyBorder="1" applyAlignment="1" applyProtection="1">
      <alignment horizontal="left" vertical="center"/>
      <protection/>
    </xf>
    <xf numFmtId="43" fontId="52" fillId="0" borderId="99" xfId="15" applyFont="1" applyFill="1" applyBorder="1" applyAlignment="1" applyProtection="1">
      <alignment horizontal="center" vertical="center"/>
      <protection/>
    </xf>
    <xf numFmtId="0" fontId="52" fillId="0" borderId="99" xfId="0" applyFont="1" applyFill="1" applyBorder="1" applyAlignment="1" applyProtection="1">
      <alignment horizontal="center" vertical="center" wrapText="1"/>
      <protection/>
    </xf>
    <xf numFmtId="0" fontId="52" fillId="0" borderId="99" xfId="0" applyFont="1" applyFill="1" applyBorder="1" applyAlignment="1" applyProtection="1">
      <alignment horizontal="center" vertical="center"/>
      <protection/>
    </xf>
    <xf numFmtId="0" fontId="29" fillId="0" borderId="99" xfId="0" applyFont="1" applyFill="1" applyBorder="1" applyAlignment="1" applyProtection="1">
      <alignment horizontal="center" vertical="center" wrapText="1"/>
      <protection/>
    </xf>
    <xf numFmtId="0" fontId="59" fillId="6" borderId="115" xfId="0" applyFont="1" applyFill="1" applyBorder="1" applyAlignment="1" applyProtection="1">
      <alignment horizontal="center" vertical="center"/>
      <protection/>
    </xf>
    <xf numFmtId="0" fontId="59" fillId="6" borderId="95" xfId="0" applyFont="1" applyFill="1" applyBorder="1" applyAlignment="1" applyProtection="1">
      <alignment horizontal="center" vertical="center"/>
      <protection/>
    </xf>
    <xf numFmtId="0" fontId="59" fillId="6" borderId="90" xfId="0" applyFont="1" applyFill="1" applyBorder="1" applyAlignment="1" applyProtection="1">
      <alignment horizontal="center" vertical="center"/>
      <protection/>
    </xf>
    <xf numFmtId="0" fontId="59" fillId="6" borderId="142" xfId="0" applyFont="1" applyFill="1" applyBorder="1" applyAlignment="1" applyProtection="1">
      <alignment horizontal="center" vertical="center"/>
      <protection/>
    </xf>
    <xf numFmtId="0" fontId="59" fillId="6" borderId="103" xfId="0" applyFont="1" applyFill="1" applyBorder="1" applyAlignment="1" applyProtection="1">
      <alignment horizontal="center" vertical="center"/>
      <protection/>
    </xf>
    <xf numFmtId="0" fontId="52" fillId="7" borderId="140" xfId="0" applyFont="1" applyFill="1" applyBorder="1" applyAlignment="1" applyProtection="1">
      <alignment horizontal="center" vertical="center"/>
      <protection/>
    </xf>
    <xf numFmtId="0" fontId="52" fillId="0" borderId="143" xfId="0" applyFont="1" applyFill="1" applyBorder="1" applyAlignment="1" applyProtection="1">
      <alignment horizontal="center" vertical="center"/>
      <protection/>
    </xf>
    <xf numFmtId="0" fontId="52" fillId="0" borderId="144" xfId="0" applyFont="1" applyFill="1" applyBorder="1" applyAlignment="1" applyProtection="1">
      <alignment horizontal="center" vertical="center"/>
      <protection/>
    </xf>
    <xf numFmtId="43" fontId="52" fillId="0" borderId="143" xfId="15" applyFont="1" applyFill="1" applyBorder="1" applyAlignment="1" applyProtection="1">
      <alignment horizontal="center" vertical="center"/>
      <protection/>
    </xf>
    <xf numFmtId="0" fontId="52" fillId="0" borderId="143" xfId="0" applyFont="1" applyFill="1" applyBorder="1" applyAlignment="1" applyProtection="1">
      <alignment horizontal="center" vertical="center" wrapText="1"/>
      <protection/>
    </xf>
    <xf numFmtId="0" fontId="74" fillId="5" borderId="101" xfId="0" applyFont="1" applyFill="1" applyBorder="1" applyAlignment="1" applyProtection="1">
      <alignment horizontal="center" vertical="center"/>
      <protection/>
    </xf>
    <xf numFmtId="0" fontId="74" fillId="5" borderId="145" xfId="0" applyFont="1" applyFill="1" applyBorder="1" applyAlignment="1">
      <alignment horizontal="center" vertical="center"/>
    </xf>
    <xf numFmtId="0" fontId="75" fillId="5" borderId="145" xfId="0" applyFont="1" applyFill="1" applyBorder="1" applyAlignment="1">
      <alignment horizontal="center" vertical="center"/>
    </xf>
    <xf numFmtId="0" fontId="75" fillId="5" borderId="146" xfId="0" applyFont="1" applyFill="1" applyBorder="1" applyAlignment="1">
      <alignment horizontal="center" vertical="center"/>
    </xf>
    <xf numFmtId="0" fontId="29" fillId="0" borderId="143" xfId="0" applyFont="1" applyFill="1" applyBorder="1" applyAlignment="1" applyProtection="1">
      <alignment horizontal="center" vertical="center" wrapText="1"/>
      <protection/>
    </xf>
    <xf numFmtId="0" fontId="74" fillId="9" borderId="45" xfId="0" applyFont="1" applyFill="1" applyBorder="1" applyAlignment="1" applyProtection="1">
      <alignment horizontal="center" vertical="center" wrapText="1"/>
      <protection locked="0"/>
    </xf>
    <xf numFmtId="0" fontId="74" fillId="9" borderId="127" xfId="0" applyFont="1" applyFill="1" applyBorder="1" applyAlignment="1">
      <alignment horizontal="center" vertical="center" wrapText="1"/>
    </xf>
    <xf numFmtId="0" fontId="74" fillId="9" borderId="130" xfId="0" applyFont="1" applyFill="1" applyBorder="1" applyAlignment="1">
      <alignment horizontal="center" vertical="center" wrapText="1"/>
    </xf>
    <xf numFmtId="0" fontId="76" fillId="9" borderId="46" xfId="0" applyFont="1" applyFill="1" applyBorder="1" applyAlignment="1" applyProtection="1">
      <alignment horizontal="center" vertical="center" wrapText="1"/>
      <protection locked="0"/>
    </xf>
    <xf numFmtId="0" fontId="82" fillId="0" borderId="0" xfId="0" applyFont="1" applyBorder="1" applyAlignment="1">
      <alignment horizontal="center" vertical="center" wrapText="1"/>
    </xf>
    <xf numFmtId="0" fontId="82" fillId="0" borderId="20" xfId="0" applyFont="1" applyBorder="1" applyAlignment="1">
      <alignment horizontal="center" vertical="center" wrapText="1"/>
    </xf>
    <xf numFmtId="0" fontId="80" fillId="10" borderId="0" xfId="0" applyFont="1" applyFill="1" applyBorder="1" applyAlignment="1">
      <alignment horizontal="center" vertical="center" wrapText="1"/>
    </xf>
    <xf numFmtId="0" fontId="80" fillId="10" borderId="20" xfId="0" applyFont="1" applyFill="1" applyBorder="1" applyAlignment="1">
      <alignment horizontal="center" vertical="center" wrapText="1"/>
    </xf>
    <xf numFmtId="0" fontId="79" fillId="0" borderId="0" xfId="0" applyFont="1" applyFill="1" applyBorder="1" applyAlignment="1">
      <alignment horizontal="center" vertical="center" wrapText="1"/>
    </xf>
    <xf numFmtId="43" fontId="1" fillId="2" borderId="147" xfId="15" applyFont="1" applyFill="1" applyBorder="1" applyAlignment="1">
      <alignment horizontal="center" vertical="center" wrapText="1"/>
    </xf>
    <xf numFmtId="0" fontId="0" fillId="0" borderId="148" xfId="0" applyBorder="1" applyAlignment="1">
      <alignment horizontal="center" vertical="center"/>
    </xf>
    <xf numFmtId="0" fontId="0" fillId="0" borderId="144" xfId="0" applyBorder="1" applyAlignment="1">
      <alignment horizontal="center" vertical="center"/>
    </xf>
    <xf numFmtId="165" fontId="1" fillId="2" borderId="149" xfId="15" applyNumberFormat="1" applyFont="1" applyFill="1" applyBorder="1" applyAlignment="1">
      <alignment horizontal="center"/>
    </xf>
    <xf numFmtId="165" fontId="1" fillId="2" borderId="23" xfId="15" applyNumberFormat="1" applyFont="1" applyFill="1" applyBorder="1" applyAlignment="1">
      <alignment horizontal="center"/>
    </xf>
    <xf numFmtId="165" fontId="1" fillId="2" borderId="150" xfId="15" applyNumberFormat="1" applyFont="1" applyFill="1" applyBorder="1" applyAlignment="1">
      <alignment horizontal="center" vertical="center" wrapText="1"/>
    </xf>
    <xf numFmtId="165" fontId="1" fillId="2" borderId="1" xfId="15" applyNumberFormat="1" applyFont="1" applyFill="1" applyBorder="1" applyAlignment="1">
      <alignment horizontal="center" vertical="center" wrapText="1"/>
    </xf>
    <xf numFmtId="165" fontId="1" fillId="2" borderId="151" xfId="15" applyNumberFormat="1" applyFont="1" applyFill="1" applyBorder="1" applyAlignment="1">
      <alignment horizontal="center"/>
    </xf>
    <xf numFmtId="165" fontId="1" fillId="2" borderId="152" xfId="15" applyNumberFormat="1" applyFont="1" applyFill="1" applyBorder="1" applyAlignment="1">
      <alignment horizontal="center"/>
    </xf>
    <xf numFmtId="165" fontId="1" fillId="2" borderId="153" xfId="15" applyNumberFormat="1" applyFont="1" applyFill="1" applyBorder="1" applyAlignment="1">
      <alignment horizontal="center"/>
    </xf>
    <xf numFmtId="0" fontId="5" fillId="4" borderId="0" xfId="0" applyFont="1" applyFill="1" applyAlignment="1">
      <alignment horizontal="center"/>
    </xf>
    <xf numFmtId="0" fontId="5" fillId="11" borderId="0" xfId="0" applyFont="1" applyFill="1" applyAlignment="1">
      <alignment horizontal="center"/>
    </xf>
    <xf numFmtId="0" fontId="8" fillId="12" borderId="0" xfId="0" applyFont="1" applyFill="1" applyAlignment="1">
      <alignment horizontal="center"/>
    </xf>
    <xf numFmtId="0" fontId="5" fillId="12" borderId="0" xfId="0" applyFont="1" applyFill="1" applyAlignment="1">
      <alignment horizontal="center"/>
    </xf>
    <xf numFmtId="0" fontId="1" fillId="2" borderId="133" xfId="0" applyFont="1" applyFill="1" applyBorder="1" applyAlignment="1">
      <alignment horizontal="center" vertical="center"/>
    </xf>
    <xf numFmtId="0" fontId="0" fillId="0" borderId="134" xfId="0" applyBorder="1" applyAlignment="1">
      <alignment horizontal="center" vertical="center"/>
    </xf>
    <xf numFmtId="0" fontId="0" fillId="0" borderId="143" xfId="0" applyBorder="1" applyAlignment="1">
      <alignment horizontal="center" vertical="center"/>
    </xf>
    <xf numFmtId="0" fontId="1" fillId="2" borderId="133" xfId="0" applyFont="1" applyFill="1" applyBorder="1" applyAlignment="1">
      <alignment horizontal="center" vertical="center" wrapText="1"/>
    </xf>
    <xf numFmtId="0" fontId="0" fillId="0" borderId="134" xfId="0" applyBorder="1" applyAlignment="1">
      <alignment horizontal="center" vertical="center" wrapText="1"/>
    </xf>
    <xf numFmtId="0" fontId="0" fillId="0" borderId="143" xfId="0" applyBorder="1" applyAlignment="1">
      <alignment horizontal="center" vertical="center" wrapText="1"/>
    </xf>
    <xf numFmtId="167" fontId="1" fillId="2" borderId="133" xfId="0" applyNumberFormat="1" applyFont="1" applyFill="1" applyBorder="1" applyAlignment="1">
      <alignment horizontal="center" vertical="center" wrapText="1"/>
    </xf>
    <xf numFmtId="167" fontId="0" fillId="0" borderId="134" xfId="0" applyNumberFormat="1" applyBorder="1" applyAlignment="1">
      <alignment horizontal="center" vertical="center"/>
    </xf>
    <xf numFmtId="167" fontId="0" fillId="0" borderId="143" xfId="0" applyNumberFormat="1" applyBorder="1" applyAlignment="1">
      <alignment horizontal="center" vertical="center"/>
    </xf>
    <xf numFmtId="175" fontId="64" fillId="7" borderId="53" xfId="15" applyNumberFormat="1" applyFont="1" applyFill="1" applyBorder="1" applyAlignment="1">
      <alignment horizontal="right"/>
    </xf>
    <xf numFmtId="175" fontId="64" fillId="7" borderId="60" xfId="15" applyNumberFormat="1" applyFont="1" applyFill="1" applyBorder="1" applyAlignment="1" applyProtection="1">
      <alignment horizontal="right" vertical="center"/>
      <protection/>
    </xf>
    <xf numFmtId="175" fontId="64" fillId="7" borderId="60" xfId="15" applyNumberFormat="1" applyFont="1" applyFill="1" applyBorder="1" applyAlignment="1">
      <alignment horizontal="right"/>
    </xf>
    <xf numFmtId="175" fontId="64" fillId="7" borderId="60" xfId="0" applyNumberFormat="1" applyFont="1" applyFill="1" applyBorder="1" applyAlignment="1">
      <alignment horizontal="right" vertical="center"/>
    </xf>
    <xf numFmtId="175" fontId="64" fillId="7" borderId="60" xfId="0" applyNumberFormat="1" applyFont="1" applyFill="1" applyBorder="1" applyAlignment="1">
      <alignment horizontal="right"/>
    </xf>
    <xf numFmtId="175" fontId="64" fillId="7" borderId="97" xfId="15" applyNumberFormat="1" applyFont="1" applyFill="1" applyBorder="1" applyAlignment="1" applyProtection="1">
      <alignment horizontal="right" vertical="center"/>
      <protection/>
    </xf>
    <xf numFmtId="175" fontId="64" fillId="7" borderId="57" xfId="15" applyNumberFormat="1" applyFont="1" applyFill="1" applyBorder="1" applyAlignment="1">
      <alignment horizontal="right"/>
    </xf>
    <xf numFmtId="175" fontId="64" fillId="7" borderId="62" xfId="15" applyNumberFormat="1" applyFont="1" applyFill="1" applyBorder="1" applyAlignment="1" applyProtection="1">
      <alignment horizontal="right" vertical="center"/>
      <protection/>
    </xf>
    <xf numFmtId="175" fontId="64" fillId="7" borderId="62" xfId="15" applyNumberFormat="1" applyFont="1" applyFill="1" applyBorder="1" applyAlignment="1">
      <alignment horizontal="right"/>
    </xf>
    <xf numFmtId="175" fontId="64" fillId="7" borderId="68" xfId="15" applyNumberFormat="1" applyFont="1" applyFill="1" applyBorder="1" applyAlignment="1" applyProtection="1">
      <alignment horizontal="right" vertical="center"/>
      <protection/>
    </xf>
    <xf numFmtId="0" fontId="81" fillId="0" borderId="134" xfId="0" applyFont="1" applyBorder="1" applyAlignment="1">
      <alignment horizontal="center" vertical="center" wrapText="1"/>
    </xf>
    <xf numFmtId="0" fontId="77" fillId="10" borderId="134" xfId="0" applyFont="1" applyFill="1" applyBorder="1" applyAlignment="1">
      <alignment horizontal="center" vertical="center" wrapText="1"/>
    </xf>
    <xf numFmtId="0" fontId="73" fillId="0" borderId="154" xfId="0" applyFont="1" applyBorder="1" applyAlignment="1">
      <alignment horizontal="center" vertical="center" wrapText="1"/>
    </xf>
    <xf numFmtId="0" fontId="71" fillId="9" borderId="82" xfId="0" applyFont="1" applyFill="1" applyBorder="1" applyAlignment="1" applyProtection="1">
      <alignment horizontal="center" vertical="center" wrapText="1"/>
      <protection locked="0"/>
    </xf>
    <xf numFmtId="0" fontId="71" fillId="9" borderId="140" xfId="0" applyFont="1" applyFill="1" applyBorder="1" applyAlignment="1">
      <alignment horizontal="center" vertical="center" wrapText="1"/>
    </xf>
    <xf numFmtId="0" fontId="71" fillId="9" borderId="141" xfId="0" applyFont="1" applyFill="1" applyBorder="1" applyAlignment="1">
      <alignment horizontal="center" vertical="center" wrapText="1"/>
    </xf>
    <xf numFmtId="0" fontId="72" fillId="9" borderId="155" xfId="0" applyFont="1" applyFill="1" applyBorder="1" applyAlignment="1" applyProtection="1">
      <alignment horizontal="center" vertical="center" wrapText="1"/>
      <protection locked="0"/>
    </xf>
    <xf numFmtId="0" fontId="73" fillId="0" borderId="156" xfId="0" applyFont="1" applyBorder="1" applyAlignment="1">
      <alignment horizontal="center" vertical="center" wrapText="1"/>
    </xf>
    <xf numFmtId="0" fontId="77" fillId="10" borderId="148" xfId="0" applyFont="1" applyFill="1" applyBorder="1" applyAlignment="1">
      <alignment horizontal="center" vertical="center" wrapText="1"/>
    </xf>
    <xf numFmtId="0" fontId="74" fillId="5" borderId="83" xfId="0" applyFont="1" applyFill="1" applyBorder="1" applyAlignment="1" applyProtection="1">
      <alignment horizontal="center" vertical="center"/>
      <protection/>
    </xf>
    <xf numFmtId="0" fontId="74" fillId="5" borderId="84" xfId="0" applyFont="1" applyFill="1" applyBorder="1" applyAlignment="1">
      <alignment horizontal="center" vertical="center"/>
    </xf>
    <xf numFmtId="0" fontId="75" fillId="5" borderId="84" xfId="0" applyFont="1" applyFill="1" applyBorder="1" applyAlignment="1">
      <alignment horizontal="center" vertical="center"/>
    </xf>
    <xf numFmtId="0" fontId="75" fillId="5" borderId="85" xfId="0" applyFont="1" applyFill="1" applyBorder="1" applyAlignment="1">
      <alignment horizontal="center" vertical="center"/>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1</xdr:row>
      <xdr:rowOff>0</xdr:rowOff>
    </xdr:to>
    <xdr:sp>
      <xdr:nvSpPr>
        <xdr:cNvPr id="1" name="TextBox 1"/>
        <xdr:cNvSpPr txBox="1">
          <a:spLocks noChangeArrowheads="1"/>
        </xdr:cNvSpPr>
      </xdr:nvSpPr>
      <xdr:spPr>
        <a:xfrm>
          <a:off x="0" y="0"/>
          <a:ext cx="16640175" cy="1123950"/>
        </a:xfrm>
        <a:prstGeom prst="rect">
          <a:avLst/>
        </a:prstGeom>
        <a:solidFill>
          <a:srgbClr val="003366"/>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TURKEY'S WEEKEND MARKET DATAS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19</xdr:col>
      <xdr:colOff>133350</xdr:colOff>
      <xdr:row>0</xdr:row>
      <xdr:rowOff>447675</xdr:rowOff>
    </xdr:from>
    <xdr:to>
      <xdr:col>22</xdr:col>
      <xdr:colOff>400050</xdr:colOff>
      <xdr:row>0</xdr:row>
      <xdr:rowOff>1095375</xdr:rowOff>
    </xdr:to>
    <xdr:sp fLocksText="0">
      <xdr:nvSpPr>
        <xdr:cNvPr id="2" name="TextBox 2"/>
        <xdr:cNvSpPr txBox="1">
          <a:spLocks noChangeArrowheads="1"/>
        </xdr:cNvSpPr>
      </xdr:nvSpPr>
      <xdr:spPr>
        <a:xfrm>
          <a:off x="14154150" y="447675"/>
          <a:ext cx="2486025" cy="647700"/>
        </a:xfrm>
        <a:prstGeom prst="rect">
          <a:avLst/>
        </a:prstGeom>
        <a:solidFill>
          <a:srgbClr val="003366"/>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WEEKEND : 12
</a:t>
          </a:r>
          <a:r>
            <a:rPr lang="en-US" cap="none" sz="1600" b="0" i="0" u="none" baseline="0">
              <a:solidFill>
                <a:srgbClr val="FFFFFF"/>
              </a:solidFill>
              <a:latin typeface="Impact"/>
              <a:ea typeface="Impact"/>
              <a:cs typeface="Impact"/>
            </a:rPr>
            <a:t> 17  - 19 MAR 2006</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81737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447675</xdr:colOff>
      <xdr:row>0</xdr:row>
      <xdr:rowOff>0</xdr:rowOff>
    </xdr:to>
    <xdr:sp fLocksText="0">
      <xdr:nvSpPr>
        <xdr:cNvPr id="2" name="TextBox 2"/>
        <xdr:cNvSpPr txBox="1">
          <a:spLocks noChangeArrowheads="1"/>
        </xdr:cNvSpPr>
      </xdr:nvSpPr>
      <xdr:spPr>
        <a:xfrm>
          <a:off x="15363825" y="0"/>
          <a:ext cx="28098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xdr:nvSpPr>
        <xdr:cNvPr id="1" name="TextBox 1"/>
        <xdr:cNvSpPr txBox="1">
          <a:spLocks noChangeArrowheads="1"/>
        </xdr:cNvSpPr>
      </xdr:nvSpPr>
      <xdr:spPr>
        <a:xfrm>
          <a:off x="0" y="0"/>
          <a:ext cx="105727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2" name="TextBox 2"/>
        <xdr:cNvSpPr txBox="1">
          <a:spLocks noChangeArrowheads="1"/>
        </xdr:cNvSpPr>
      </xdr:nvSpPr>
      <xdr:spPr>
        <a:xfrm>
          <a:off x="8201025" y="0"/>
          <a:ext cx="2371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1</xdr:row>
      <xdr:rowOff>0</xdr:rowOff>
    </xdr:to>
    <xdr:sp>
      <xdr:nvSpPr>
        <xdr:cNvPr id="1" name="TextBox 1"/>
        <xdr:cNvSpPr txBox="1">
          <a:spLocks noChangeArrowheads="1"/>
        </xdr:cNvSpPr>
      </xdr:nvSpPr>
      <xdr:spPr>
        <a:xfrm>
          <a:off x="0" y="0"/>
          <a:ext cx="17840325" cy="1123950"/>
        </a:xfrm>
        <a:prstGeom prst="rect">
          <a:avLst/>
        </a:prstGeom>
        <a:solidFill>
          <a:srgbClr val="003366"/>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TURKEY'S WEEKEND MARKET DATAS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19</xdr:col>
      <xdr:colOff>133350</xdr:colOff>
      <xdr:row>0</xdr:row>
      <xdr:rowOff>447675</xdr:rowOff>
    </xdr:from>
    <xdr:to>
      <xdr:col>22</xdr:col>
      <xdr:colOff>409575</xdr:colOff>
      <xdr:row>0</xdr:row>
      <xdr:rowOff>1095375</xdr:rowOff>
    </xdr:to>
    <xdr:sp fLocksText="0">
      <xdr:nvSpPr>
        <xdr:cNvPr id="2" name="TextBox 2"/>
        <xdr:cNvSpPr txBox="1">
          <a:spLocks noChangeArrowheads="1"/>
        </xdr:cNvSpPr>
      </xdr:nvSpPr>
      <xdr:spPr>
        <a:xfrm>
          <a:off x="15116175" y="447675"/>
          <a:ext cx="2724150" cy="647700"/>
        </a:xfrm>
        <a:prstGeom prst="rect">
          <a:avLst/>
        </a:prstGeom>
        <a:solidFill>
          <a:srgbClr val="003366"/>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WEEKEND : 14
</a:t>
          </a:r>
          <a:r>
            <a:rPr lang="en-US" cap="none" sz="1600" b="0" i="0" u="none" baseline="0">
              <a:solidFill>
                <a:srgbClr val="FFFFFF"/>
              </a:solidFill>
              <a:latin typeface="Impact"/>
              <a:ea typeface="Impact"/>
              <a:cs typeface="Impact"/>
            </a:rPr>
            <a:t>24 - 26  MAR  2006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1</xdr:row>
      <xdr:rowOff>0</xdr:rowOff>
    </xdr:to>
    <xdr:sp>
      <xdr:nvSpPr>
        <xdr:cNvPr id="1" name="TextBox 1"/>
        <xdr:cNvSpPr txBox="1">
          <a:spLocks noChangeArrowheads="1"/>
        </xdr:cNvSpPr>
      </xdr:nvSpPr>
      <xdr:spPr>
        <a:xfrm>
          <a:off x="0" y="0"/>
          <a:ext cx="12792075" cy="1514475"/>
        </a:xfrm>
        <a:prstGeom prst="rect">
          <a:avLst/>
        </a:prstGeom>
        <a:solidFill>
          <a:srgbClr val="003366"/>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TURKEY'S WEEKEND MARKET DATAS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19</xdr:col>
      <xdr:colOff>133350</xdr:colOff>
      <xdr:row>0</xdr:row>
      <xdr:rowOff>447675</xdr:rowOff>
    </xdr:from>
    <xdr:to>
      <xdr:col>22</xdr:col>
      <xdr:colOff>409575</xdr:colOff>
      <xdr:row>0</xdr:row>
      <xdr:rowOff>1095375</xdr:rowOff>
    </xdr:to>
    <xdr:sp fLocksText="0">
      <xdr:nvSpPr>
        <xdr:cNvPr id="2" name="TextBox 2"/>
        <xdr:cNvSpPr txBox="1">
          <a:spLocks noChangeArrowheads="1"/>
        </xdr:cNvSpPr>
      </xdr:nvSpPr>
      <xdr:spPr>
        <a:xfrm>
          <a:off x="10496550" y="447675"/>
          <a:ext cx="2295525" cy="647700"/>
        </a:xfrm>
        <a:prstGeom prst="rect">
          <a:avLst/>
        </a:prstGeom>
        <a:solidFill>
          <a:srgbClr val="003366"/>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WEEKEND : 13
</a:t>
          </a:r>
          <a:r>
            <a:rPr lang="en-US" cap="none" sz="1600" b="0" i="0" u="none" baseline="0">
              <a:solidFill>
                <a:srgbClr val="FFFFFF"/>
              </a:solidFill>
              <a:latin typeface="Impact"/>
              <a:ea typeface="Impact"/>
              <a:cs typeface="Impact"/>
            </a:rPr>
            <a:t>24 - 26  MAR 2006</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1</xdr:row>
      <xdr:rowOff>0</xdr:rowOff>
    </xdr:to>
    <xdr:sp>
      <xdr:nvSpPr>
        <xdr:cNvPr id="1" name="TextBox 1"/>
        <xdr:cNvSpPr txBox="1">
          <a:spLocks noChangeArrowheads="1"/>
        </xdr:cNvSpPr>
      </xdr:nvSpPr>
      <xdr:spPr>
        <a:xfrm>
          <a:off x="0" y="0"/>
          <a:ext cx="18249900" cy="1304925"/>
        </a:xfrm>
        <a:prstGeom prst="rect">
          <a:avLst/>
        </a:prstGeom>
        <a:solidFill>
          <a:srgbClr val="003366"/>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TURKEY'S WEEKEND MARKET DATAS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19</xdr:col>
      <xdr:colOff>133350</xdr:colOff>
      <xdr:row>0</xdr:row>
      <xdr:rowOff>447675</xdr:rowOff>
    </xdr:from>
    <xdr:to>
      <xdr:col>22</xdr:col>
      <xdr:colOff>409575</xdr:colOff>
      <xdr:row>0</xdr:row>
      <xdr:rowOff>1095375</xdr:rowOff>
    </xdr:to>
    <xdr:sp fLocksText="0">
      <xdr:nvSpPr>
        <xdr:cNvPr id="2" name="TextBox 2"/>
        <xdr:cNvSpPr txBox="1">
          <a:spLocks noChangeArrowheads="1"/>
        </xdr:cNvSpPr>
      </xdr:nvSpPr>
      <xdr:spPr>
        <a:xfrm>
          <a:off x="15525750" y="447675"/>
          <a:ext cx="2724150" cy="647700"/>
        </a:xfrm>
        <a:prstGeom prst="rect">
          <a:avLst/>
        </a:prstGeom>
        <a:solidFill>
          <a:srgbClr val="003366"/>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WEEKEND : 15
</a:t>
          </a:r>
          <a:r>
            <a:rPr lang="en-US" cap="none" sz="1600" b="0" i="0" u="none" baseline="0">
              <a:solidFill>
                <a:srgbClr val="FFFFFF"/>
              </a:solidFill>
              <a:latin typeface="Impact"/>
              <a:ea typeface="Impact"/>
              <a:cs typeface="Impact"/>
            </a:rPr>
            <a:t>31 MAR - 02 APR 2006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1</xdr:row>
      <xdr:rowOff>0</xdr:rowOff>
    </xdr:to>
    <xdr:sp>
      <xdr:nvSpPr>
        <xdr:cNvPr id="1" name="TextBox 1"/>
        <xdr:cNvSpPr txBox="1">
          <a:spLocks noChangeArrowheads="1"/>
        </xdr:cNvSpPr>
      </xdr:nvSpPr>
      <xdr:spPr>
        <a:xfrm>
          <a:off x="0" y="0"/>
          <a:ext cx="11715750" cy="1304925"/>
        </a:xfrm>
        <a:prstGeom prst="rect">
          <a:avLst/>
        </a:prstGeom>
        <a:solidFill>
          <a:srgbClr val="003366"/>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TURKEY'S WEEKEND MARKET DATAS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19</xdr:col>
      <xdr:colOff>133350</xdr:colOff>
      <xdr:row>0</xdr:row>
      <xdr:rowOff>447675</xdr:rowOff>
    </xdr:from>
    <xdr:to>
      <xdr:col>22</xdr:col>
      <xdr:colOff>409575</xdr:colOff>
      <xdr:row>0</xdr:row>
      <xdr:rowOff>1095375</xdr:rowOff>
    </xdr:to>
    <xdr:sp fLocksText="0">
      <xdr:nvSpPr>
        <xdr:cNvPr id="2" name="TextBox 2"/>
        <xdr:cNvSpPr txBox="1">
          <a:spLocks noChangeArrowheads="1"/>
        </xdr:cNvSpPr>
      </xdr:nvSpPr>
      <xdr:spPr>
        <a:xfrm>
          <a:off x="9420225" y="447675"/>
          <a:ext cx="2295525" cy="647700"/>
        </a:xfrm>
        <a:prstGeom prst="rect">
          <a:avLst/>
        </a:prstGeom>
        <a:solidFill>
          <a:srgbClr val="003366"/>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WEEKEND : 14
</a:t>
          </a:r>
          <a:r>
            <a:rPr lang="en-US" cap="none" sz="1600" b="0" i="0" u="none" baseline="0">
              <a:solidFill>
                <a:srgbClr val="FFFFFF"/>
              </a:solidFill>
              <a:latin typeface="Impact"/>
              <a:ea typeface="Impact"/>
              <a:cs typeface="Impact"/>
            </a:rPr>
            <a:t>31  MAR - 02 APR 2006</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1</xdr:row>
      <xdr:rowOff>0</xdr:rowOff>
    </xdr:to>
    <xdr:sp>
      <xdr:nvSpPr>
        <xdr:cNvPr id="1" name="TextBox 1"/>
        <xdr:cNvSpPr txBox="1">
          <a:spLocks noChangeArrowheads="1"/>
        </xdr:cNvSpPr>
      </xdr:nvSpPr>
      <xdr:spPr>
        <a:xfrm>
          <a:off x="0" y="0"/>
          <a:ext cx="18545175" cy="1304925"/>
        </a:xfrm>
        <a:prstGeom prst="rect">
          <a:avLst/>
        </a:prstGeom>
        <a:solidFill>
          <a:srgbClr val="003366"/>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TURKEY'S WEEKEND MARKET DATAS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20</xdr:col>
      <xdr:colOff>133350</xdr:colOff>
      <xdr:row>0</xdr:row>
      <xdr:rowOff>447675</xdr:rowOff>
    </xdr:from>
    <xdr:to>
      <xdr:col>23</xdr:col>
      <xdr:colOff>409575</xdr:colOff>
      <xdr:row>0</xdr:row>
      <xdr:rowOff>1095375</xdr:rowOff>
    </xdr:to>
    <xdr:sp fLocksText="0">
      <xdr:nvSpPr>
        <xdr:cNvPr id="2" name="TextBox 2"/>
        <xdr:cNvSpPr txBox="1">
          <a:spLocks noChangeArrowheads="1"/>
        </xdr:cNvSpPr>
      </xdr:nvSpPr>
      <xdr:spPr>
        <a:xfrm>
          <a:off x="15573375" y="447675"/>
          <a:ext cx="2971800" cy="647700"/>
        </a:xfrm>
        <a:prstGeom prst="rect">
          <a:avLst/>
        </a:prstGeom>
        <a:solidFill>
          <a:srgbClr val="003366"/>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WEEKEND : 15
</a:t>
          </a:r>
          <a:r>
            <a:rPr lang="en-US" cap="none" sz="1600" b="0" i="0" u="none" baseline="0">
              <a:solidFill>
                <a:srgbClr val="FFFFFF"/>
              </a:solidFill>
              <a:latin typeface="Impact"/>
              <a:ea typeface="Impact"/>
              <a:cs typeface="Impact"/>
            </a:rPr>
            <a:t>07 - 09 APR 2006</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1</xdr:row>
      <xdr:rowOff>0</xdr:rowOff>
    </xdr:to>
    <xdr:sp>
      <xdr:nvSpPr>
        <xdr:cNvPr id="1" name="TextBox 1"/>
        <xdr:cNvSpPr txBox="1">
          <a:spLocks noChangeArrowheads="1"/>
        </xdr:cNvSpPr>
      </xdr:nvSpPr>
      <xdr:spPr>
        <a:xfrm>
          <a:off x="0" y="0"/>
          <a:ext cx="11125200" cy="1304925"/>
        </a:xfrm>
        <a:prstGeom prst="rect">
          <a:avLst/>
        </a:prstGeom>
        <a:solidFill>
          <a:srgbClr val="003366"/>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TURKEY'S WEEKEND MARKET DATAS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20</xdr:col>
      <xdr:colOff>628650</xdr:colOff>
      <xdr:row>0</xdr:row>
      <xdr:rowOff>447675</xdr:rowOff>
    </xdr:from>
    <xdr:to>
      <xdr:col>23</xdr:col>
      <xdr:colOff>0</xdr:colOff>
      <xdr:row>0</xdr:row>
      <xdr:rowOff>1095375</xdr:rowOff>
    </xdr:to>
    <xdr:sp fLocksText="0">
      <xdr:nvSpPr>
        <xdr:cNvPr id="2" name="TextBox 2"/>
        <xdr:cNvSpPr txBox="1">
          <a:spLocks noChangeArrowheads="1"/>
        </xdr:cNvSpPr>
      </xdr:nvSpPr>
      <xdr:spPr>
        <a:xfrm>
          <a:off x="9210675" y="447675"/>
          <a:ext cx="1914525" cy="647700"/>
        </a:xfrm>
        <a:prstGeom prst="rect">
          <a:avLst/>
        </a:prstGeom>
        <a:solidFill>
          <a:srgbClr val="003366"/>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WEEKEND : 15
</a:t>
          </a:r>
          <a:r>
            <a:rPr lang="en-US" cap="none" sz="1600" b="0" i="0" u="none" baseline="0">
              <a:solidFill>
                <a:srgbClr val="FFFFFF"/>
              </a:solidFill>
              <a:latin typeface="Impact"/>
              <a:ea typeface="Impact"/>
              <a:cs typeface="Impact"/>
            </a:rPr>
            <a:t>07 - 09 APR 2006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1</xdr:row>
      <xdr:rowOff>0</xdr:rowOff>
    </xdr:to>
    <xdr:sp>
      <xdr:nvSpPr>
        <xdr:cNvPr id="1" name="TextBox 1"/>
        <xdr:cNvSpPr txBox="1">
          <a:spLocks noChangeArrowheads="1"/>
        </xdr:cNvSpPr>
      </xdr:nvSpPr>
      <xdr:spPr>
        <a:xfrm>
          <a:off x="0" y="0"/>
          <a:ext cx="18583275" cy="1247775"/>
        </a:xfrm>
        <a:prstGeom prst="rect">
          <a:avLst/>
        </a:prstGeom>
        <a:solidFill>
          <a:srgbClr val="003366"/>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TURKEY'S WEEKEND MARKET DATAS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20</xdr:col>
      <xdr:colOff>133350</xdr:colOff>
      <xdr:row>0</xdr:row>
      <xdr:rowOff>447675</xdr:rowOff>
    </xdr:from>
    <xdr:to>
      <xdr:col>23</xdr:col>
      <xdr:colOff>485775</xdr:colOff>
      <xdr:row>0</xdr:row>
      <xdr:rowOff>1095375</xdr:rowOff>
    </xdr:to>
    <xdr:sp fLocksText="0">
      <xdr:nvSpPr>
        <xdr:cNvPr id="2" name="TextBox 2"/>
        <xdr:cNvSpPr txBox="1">
          <a:spLocks noChangeArrowheads="1"/>
        </xdr:cNvSpPr>
      </xdr:nvSpPr>
      <xdr:spPr>
        <a:xfrm>
          <a:off x="15773400" y="447675"/>
          <a:ext cx="2809875" cy="647700"/>
        </a:xfrm>
        <a:prstGeom prst="rect">
          <a:avLst/>
        </a:prstGeom>
        <a:solidFill>
          <a:srgbClr val="003366"/>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WEEKEND : 16
</a:t>
          </a:r>
          <a:r>
            <a:rPr lang="en-US" cap="none" sz="1600" b="0" i="0" u="none" baseline="0">
              <a:solidFill>
                <a:srgbClr val="FFFFFF"/>
              </a:solidFill>
              <a:latin typeface="Impact"/>
              <a:ea typeface="Impact"/>
              <a:cs typeface="Impact"/>
            </a:rPr>
            <a:t>14 - 16 APR 2006</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1</xdr:row>
      <xdr:rowOff>0</xdr:rowOff>
    </xdr:to>
    <xdr:sp>
      <xdr:nvSpPr>
        <xdr:cNvPr id="1" name="TextBox 1"/>
        <xdr:cNvSpPr txBox="1">
          <a:spLocks noChangeArrowheads="1"/>
        </xdr:cNvSpPr>
      </xdr:nvSpPr>
      <xdr:spPr>
        <a:xfrm>
          <a:off x="0" y="0"/>
          <a:ext cx="14154150" cy="1247775"/>
        </a:xfrm>
        <a:prstGeom prst="rect">
          <a:avLst/>
        </a:prstGeom>
        <a:solidFill>
          <a:srgbClr val="003366"/>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TURKEY'S WEEKEND MARKET DATAS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20</xdr:col>
      <xdr:colOff>133350</xdr:colOff>
      <xdr:row>0</xdr:row>
      <xdr:rowOff>447675</xdr:rowOff>
    </xdr:from>
    <xdr:to>
      <xdr:col>23</xdr:col>
      <xdr:colOff>485775</xdr:colOff>
      <xdr:row>0</xdr:row>
      <xdr:rowOff>1095375</xdr:rowOff>
    </xdr:to>
    <xdr:sp fLocksText="0">
      <xdr:nvSpPr>
        <xdr:cNvPr id="2" name="TextBox 2"/>
        <xdr:cNvSpPr txBox="1">
          <a:spLocks noChangeArrowheads="1"/>
        </xdr:cNvSpPr>
      </xdr:nvSpPr>
      <xdr:spPr>
        <a:xfrm>
          <a:off x="11344275" y="447675"/>
          <a:ext cx="2809875" cy="647700"/>
        </a:xfrm>
        <a:prstGeom prst="rect">
          <a:avLst/>
        </a:prstGeom>
        <a:solidFill>
          <a:srgbClr val="003366"/>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WEEKEND : 16
</a:t>
          </a:r>
          <a:r>
            <a:rPr lang="en-US" cap="none" sz="1600" b="0" i="0" u="none" baseline="0">
              <a:solidFill>
                <a:srgbClr val="FFFFFF"/>
              </a:solidFill>
              <a:latin typeface="Impact"/>
              <a:ea typeface="Impact"/>
              <a:cs typeface="Impact"/>
            </a:rPr>
            <a:t>14 - 16 APR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sheet1.xml><?xml version="1.0" encoding="utf-8"?>
<worksheet xmlns="http://schemas.openxmlformats.org/spreadsheetml/2006/main" xmlns:r="http://schemas.openxmlformats.org/officeDocument/2006/relationships">
  <dimension ref="A1:AF173"/>
  <sheetViews>
    <sheetView zoomScale="90" zoomScaleNormal="90" workbookViewId="0" topLeftCell="A1">
      <pane xSplit="7" ySplit="6" topLeftCell="H7" activePane="bottomRight" state="frozen"/>
      <selection pane="topLeft" activeCell="F38" sqref="F38"/>
      <selection pane="topRight" activeCell="F38" sqref="F38"/>
      <selection pane="bottomLeft" activeCell="F38" sqref="F38"/>
      <selection pane="bottomRight" activeCell="C31" sqref="C31"/>
    </sheetView>
  </sheetViews>
  <sheetFormatPr defaultColWidth="9.140625" defaultRowHeight="12.75"/>
  <cols>
    <col min="1" max="2" width="9.7109375" style="53" customWidth="1"/>
    <col min="3" max="20" width="13.57421875" style="53" customWidth="1"/>
    <col min="21" max="21" width="14.421875" style="53" customWidth="1"/>
    <col min="22" max="28" width="17.421875" style="53" customWidth="1"/>
    <col min="29" max="29" width="17.421875" style="54" customWidth="1"/>
    <col min="30" max="16384" width="17.421875" style="53" customWidth="1"/>
  </cols>
  <sheetData>
    <row r="1" spans="1:29" ht="90" customHeight="1" thickBot="1">
      <c r="A1" s="632" t="s">
        <v>180</v>
      </c>
      <c r="B1" s="633"/>
      <c r="C1" s="633"/>
      <c r="D1" s="633"/>
      <c r="E1" s="633"/>
      <c r="F1" s="633"/>
      <c r="G1" s="633"/>
      <c r="H1" s="633"/>
      <c r="I1" s="633"/>
      <c r="J1" s="633"/>
      <c r="K1" s="633"/>
      <c r="L1" s="633"/>
      <c r="M1" s="634"/>
      <c r="U1" s="54"/>
      <c r="AC1" s="53"/>
    </row>
    <row r="2" spans="1:21" ht="9" customHeight="1" thickBot="1">
      <c r="A2" s="55"/>
      <c r="B2" s="55"/>
      <c r="C2" s="55"/>
      <c r="D2" s="55"/>
      <c r="E2" s="55"/>
      <c r="F2" s="55"/>
      <c r="G2" s="55"/>
      <c r="H2" s="55"/>
      <c r="I2" s="55"/>
      <c r="J2" s="55"/>
      <c r="K2" s="55"/>
      <c r="L2" s="55"/>
      <c r="M2" s="55"/>
      <c r="N2" s="55"/>
      <c r="O2" s="55"/>
      <c r="P2" s="55"/>
      <c r="Q2" s="55"/>
      <c r="R2" s="55"/>
      <c r="S2" s="55"/>
      <c r="T2" s="55"/>
      <c r="U2" s="55"/>
    </row>
    <row r="3" spans="1:29" ht="18" customHeight="1">
      <c r="A3" s="56"/>
      <c r="B3" s="57"/>
      <c r="C3" s="123">
        <f aca="true" t="shared" si="0" ref="C3:L3">COLUMN()-2</f>
        <v>1</v>
      </c>
      <c r="D3" s="123">
        <f t="shared" si="0"/>
        <v>2</v>
      </c>
      <c r="E3" s="123">
        <f t="shared" si="0"/>
        <v>3</v>
      </c>
      <c r="F3" s="123">
        <f t="shared" si="0"/>
        <v>4</v>
      </c>
      <c r="G3" s="123">
        <f t="shared" si="0"/>
        <v>5</v>
      </c>
      <c r="H3" s="123">
        <f t="shared" si="0"/>
        <v>6</v>
      </c>
      <c r="I3" s="123">
        <f t="shared" si="0"/>
        <v>7</v>
      </c>
      <c r="J3" s="123">
        <f t="shared" si="0"/>
        <v>8</v>
      </c>
      <c r="K3" s="123">
        <f t="shared" si="0"/>
        <v>9</v>
      </c>
      <c r="L3" s="123">
        <f t="shared" si="0"/>
        <v>10</v>
      </c>
      <c r="M3" s="635" t="s">
        <v>128</v>
      </c>
      <c r="AC3" s="53"/>
    </row>
    <row r="4" spans="1:29" ht="45" customHeight="1" thickBot="1">
      <c r="A4" s="59"/>
      <c r="B4" s="60"/>
      <c r="C4" s="86" t="s">
        <v>159</v>
      </c>
      <c r="D4" s="86" t="s">
        <v>67</v>
      </c>
      <c r="E4" s="86" t="s">
        <v>171</v>
      </c>
      <c r="F4" s="86" t="s">
        <v>170</v>
      </c>
      <c r="G4" s="86" t="s">
        <v>167</v>
      </c>
      <c r="H4" s="86" t="s">
        <v>177</v>
      </c>
      <c r="I4" s="86" t="s">
        <v>181</v>
      </c>
      <c r="J4" s="86" t="s">
        <v>182</v>
      </c>
      <c r="K4" s="86" t="s">
        <v>183</v>
      </c>
      <c r="L4" s="86" t="s">
        <v>184</v>
      </c>
      <c r="M4" s="627"/>
      <c r="AC4" s="53"/>
    </row>
    <row r="5" spans="1:29" ht="19.5" customHeight="1">
      <c r="A5" s="629" t="s">
        <v>84</v>
      </c>
      <c r="B5" s="630"/>
      <c r="C5" s="87">
        <v>38709</v>
      </c>
      <c r="D5" s="87">
        <v>38674</v>
      </c>
      <c r="E5" s="87">
        <v>38702</v>
      </c>
      <c r="F5" s="87">
        <v>38716</v>
      </c>
      <c r="G5" s="87">
        <v>38695</v>
      </c>
      <c r="H5" s="87">
        <v>38688</v>
      </c>
      <c r="I5" s="87">
        <v>38674</v>
      </c>
      <c r="J5" s="87">
        <v>38702</v>
      </c>
      <c r="K5" s="87">
        <v>38709</v>
      </c>
      <c r="L5" s="87">
        <v>38667</v>
      </c>
      <c r="M5" s="627"/>
      <c r="AC5" s="53"/>
    </row>
    <row r="6" spans="1:29" ht="19.5" customHeight="1">
      <c r="A6" s="631" t="s">
        <v>132</v>
      </c>
      <c r="B6" s="626"/>
      <c r="C6" s="88">
        <v>233</v>
      </c>
      <c r="D6" s="88">
        <v>96</v>
      </c>
      <c r="E6" s="88">
        <v>131</v>
      </c>
      <c r="F6" s="88">
        <v>60</v>
      </c>
      <c r="G6" s="88">
        <v>77</v>
      </c>
      <c r="H6" s="88">
        <v>63</v>
      </c>
      <c r="I6" s="88">
        <v>161</v>
      </c>
      <c r="J6" s="88">
        <v>10</v>
      </c>
      <c r="K6" s="88">
        <v>20</v>
      </c>
      <c r="L6" s="88">
        <v>96</v>
      </c>
      <c r="M6" s="627"/>
      <c r="AC6" s="53"/>
    </row>
    <row r="7" spans="1:13" s="66" customFormat="1" ht="15" customHeight="1">
      <c r="A7" s="625" t="s">
        <v>87</v>
      </c>
      <c r="B7" s="636"/>
      <c r="C7" s="89" t="s">
        <v>89</v>
      </c>
      <c r="D7" s="89" t="s">
        <v>90</v>
      </c>
      <c r="E7" s="89" t="s">
        <v>92</v>
      </c>
      <c r="F7" s="89" t="s">
        <v>91</v>
      </c>
      <c r="G7" s="89" t="s">
        <v>92</v>
      </c>
      <c r="H7" s="89" t="s">
        <v>91</v>
      </c>
      <c r="I7" s="89" t="s">
        <v>91</v>
      </c>
      <c r="J7" s="89" t="s">
        <v>185</v>
      </c>
      <c r="K7" s="89" t="s">
        <v>90</v>
      </c>
      <c r="L7" s="89" t="s">
        <v>92</v>
      </c>
      <c r="M7" s="627"/>
    </row>
    <row r="8" spans="1:13" s="66" customFormat="1" ht="15" customHeight="1">
      <c r="A8" s="637"/>
      <c r="B8" s="638"/>
      <c r="C8" s="90" t="s">
        <v>163</v>
      </c>
      <c r="D8" s="90" t="s">
        <v>100</v>
      </c>
      <c r="E8" s="90" t="s">
        <v>105</v>
      </c>
      <c r="F8" s="90" t="s">
        <v>97</v>
      </c>
      <c r="G8" s="90" t="s">
        <v>102</v>
      </c>
      <c r="H8" s="90" t="s">
        <v>97</v>
      </c>
      <c r="I8" s="90" t="s">
        <v>186</v>
      </c>
      <c r="J8" s="90" t="s">
        <v>187</v>
      </c>
      <c r="K8" s="90" t="s">
        <v>188</v>
      </c>
      <c r="L8" s="90" t="s">
        <v>189</v>
      </c>
      <c r="M8" s="627"/>
    </row>
    <row r="9" spans="1:29" ht="19.5" customHeight="1">
      <c r="A9" s="631" t="s">
        <v>113</v>
      </c>
      <c r="B9" s="626"/>
      <c r="C9" s="88">
        <v>2</v>
      </c>
      <c r="D9" s="88">
        <v>7</v>
      </c>
      <c r="E9" s="88">
        <v>3</v>
      </c>
      <c r="F9" s="88">
        <v>1</v>
      </c>
      <c r="G9" s="88">
        <v>4</v>
      </c>
      <c r="H9" s="88">
        <v>5</v>
      </c>
      <c r="I9" s="88">
        <v>7</v>
      </c>
      <c r="J9" s="88">
        <v>3</v>
      </c>
      <c r="K9" s="88">
        <v>2</v>
      </c>
      <c r="L9" s="88">
        <v>7</v>
      </c>
      <c r="M9" s="627"/>
      <c r="AC9" s="53"/>
    </row>
    <row r="10" spans="1:29" ht="19.5" customHeight="1" thickBot="1">
      <c r="A10" s="631" t="s">
        <v>114</v>
      </c>
      <c r="B10" s="626"/>
      <c r="C10" s="91">
        <v>442</v>
      </c>
      <c r="D10" s="91">
        <v>96</v>
      </c>
      <c r="E10" s="91">
        <v>133</v>
      </c>
      <c r="F10" s="91">
        <v>65</v>
      </c>
      <c r="G10" s="91">
        <v>73</v>
      </c>
      <c r="H10" s="91">
        <v>52</v>
      </c>
      <c r="I10" s="91">
        <v>31</v>
      </c>
      <c r="J10" s="91">
        <v>10</v>
      </c>
      <c r="K10" s="91">
        <v>20</v>
      </c>
      <c r="L10" s="91">
        <v>8</v>
      </c>
      <c r="M10" s="628"/>
      <c r="N10" s="69"/>
      <c r="O10" s="69"/>
      <c r="P10" s="69"/>
      <c r="Q10" s="69"/>
      <c r="R10" s="69"/>
      <c r="S10" s="69"/>
      <c r="T10" s="69"/>
      <c r="U10" s="69"/>
      <c r="AC10" s="53"/>
    </row>
    <row r="11" spans="1:29" ht="19.5" customHeight="1">
      <c r="A11" s="625" t="s">
        <v>115</v>
      </c>
      <c r="B11" s="92" t="s">
        <v>116</v>
      </c>
      <c r="C11" s="93">
        <v>610899.3</v>
      </c>
      <c r="D11" s="93">
        <v>201092.5</v>
      </c>
      <c r="E11" s="93">
        <v>52888</v>
      </c>
      <c r="F11" s="93">
        <v>29789.5</v>
      </c>
      <c r="G11" s="93">
        <v>10485</v>
      </c>
      <c r="H11" s="93">
        <v>9705.5</v>
      </c>
      <c r="I11" s="93">
        <v>3400</v>
      </c>
      <c r="J11" s="93">
        <v>3260.5</v>
      </c>
      <c r="K11" s="93">
        <v>2441</v>
      </c>
      <c r="L11" s="93">
        <v>1070</v>
      </c>
      <c r="M11" s="94">
        <f aca="true" t="shared" si="1" ref="M11:M18">SUM($C11:$L11)</f>
        <v>925031.3</v>
      </c>
      <c r="AC11" s="53"/>
    </row>
    <row r="12" spans="1:29" ht="19.5" customHeight="1">
      <c r="A12" s="637"/>
      <c r="B12" s="95" t="s">
        <v>117</v>
      </c>
      <c r="C12" s="96">
        <v>92844</v>
      </c>
      <c r="D12" s="96">
        <v>28579</v>
      </c>
      <c r="E12" s="96">
        <v>7631</v>
      </c>
      <c r="F12" s="96">
        <v>4201</v>
      </c>
      <c r="G12" s="96">
        <v>1752</v>
      </c>
      <c r="H12" s="96">
        <v>1965</v>
      </c>
      <c r="I12" s="96">
        <v>814</v>
      </c>
      <c r="J12" s="96">
        <v>389</v>
      </c>
      <c r="K12" s="96">
        <v>320</v>
      </c>
      <c r="L12" s="96">
        <v>304</v>
      </c>
      <c r="M12" s="97">
        <f t="shared" si="1"/>
        <v>138799</v>
      </c>
      <c r="AC12" s="53"/>
    </row>
    <row r="13" spans="1:29" ht="19.5" customHeight="1">
      <c r="A13" s="625" t="s">
        <v>118</v>
      </c>
      <c r="B13" s="92" t="s">
        <v>116</v>
      </c>
      <c r="C13" s="93">
        <v>400815</v>
      </c>
      <c r="D13" s="93">
        <v>119005</v>
      </c>
      <c r="E13" s="93">
        <v>38003</v>
      </c>
      <c r="F13" s="93">
        <v>31154.5</v>
      </c>
      <c r="G13" s="93">
        <v>21003</v>
      </c>
      <c r="H13" s="93">
        <v>10745.5</v>
      </c>
      <c r="I13" s="93">
        <v>5107</v>
      </c>
      <c r="J13" s="93">
        <v>1709</v>
      </c>
      <c r="K13" s="93">
        <v>1227</v>
      </c>
      <c r="L13" s="93">
        <v>1262</v>
      </c>
      <c r="M13" s="98">
        <f t="shared" si="1"/>
        <v>630031</v>
      </c>
      <c r="AC13" s="53"/>
    </row>
    <row r="14" spans="1:29" ht="19.5" customHeight="1">
      <c r="A14" s="637"/>
      <c r="B14" s="95" t="s">
        <v>117</v>
      </c>
      <c r="C14" s="96">
        <v>62032</v>
      </c>
      <c r="D14" s="96">
        <v>16574</v>
      </c>
      <c r="E14" s="96">
        <v>5743</v>
      </c>
      <c r="F14" s="96">
        <v>4305</v>
      </c>
      <c r="G14" s="96">
        <v>3060</v>
      </c>
      <c r="H14" s="96">
        <v>2152</v>
      </c>
      <c r="I14" s="96">
        <v>1085</v>
      </c>
      <c r="J14" s="96">
        <v>228</v>
      </c>
      <c r="K14" s="96">
        <v>180</v>
      </c>
      <c r="L14" s="96">
        <v>330</v>
      </c>
      <c r="M14" s="97">
        <f t="shared" si="1"/>
        <v>95689</v>
      </c>
      <c r="AC14" s="53"/>
    </row>
    <row r="15" spans="1:29" ht="19.5" customHeight="1">
      <c r="A15" s="625" t="s">
        <v>119</v>
      </c>
      <c r="B15" s="92" t="s">
        <v>116</v>
      </c>
      <c r="C15" s="93">
        <v>1256644</v>
      </c>
      <c r="D15" s="93">
        <v>421207.5</v>
      </c>
      <c r="E15" s="93">
        <v>118507</v>
      </c>
      <c r="F15" s="93">
        <v>77614.5</v>
      </c>
      <c r="G15" s="93">
        <v>31800</v>
      </c>
      <c r="H15" s="93">
        <v>20913</v>
      </c>
      <c r="I15" s="93">
        <v>7323.5</v>
      </c>
      <c r="J15" s="93">
        <v>7000</v>
      </c>
      <c r="K15" s="93">
        <v>4840.5</v>
      </c>
      <c r="L15" s="93">
        <v>1570</v>
      </c>
      <c r="M15" s="98">
        <f t="shared" si="1"/>
        <v>1947420</v>
      </c>
      <c r="AC15" s="53"/>
    </row>
    <row r="16" spans="1:29" ht="19.5" customHeight="1">
      <c r="A16" s="637"/>
      <c r="B16" s="95" t="s">
        <v>117</v>
      </c>
      <c r="C16" s="96">
        <v>168984</v>
      </c>
      <c r="D16" s="96">
        <v>53907</v>
      </c>
      <c r="E16" s="96">
        <v>15691</v>
      </c>
      <c r="F16" s="96">
        <v>9883</v>
      </c>
      <c r="G16" s="96">
        <v>4512</v>
      </c>
      <c r="H16" s="96">
        <v>3922</v>
      </c>
      <c r="I16" s="96">
        <v>1501</v>
      </c>
      <c r="J16" s="96">
        <v>834</v>
      </c>
      <c r="K16" s="96">
        <v>600</v>
      </c>
      <c r="L16" s="96">
        <v>396</v>
      </c>
      <c r="M16" s="99">
        <f t="shared" si="1"/>
        <v>260230</v>
      </c>
      <c r="AC16" s="53"/>
    </row>
    <row r="17" spans="1:29" ht="19.5" customHeight="1">
      <c r="A17" s="639" t="s">
        <v>120</v>
      </c>
      <c r="B17" s="124" t="s">
        <v>116</v>
      </c>
      <c r="C17" s="125">
        <f aca="true" t="shared" si="2" ref="C17:L18">C11+C13+C15</f>
        <v>2268358.3</v>
      </c>
      <c r="D17" s="125">
        <f t="shared" si="2"/>
        <v>741305</v>
      </c>
      <c r="E17" s="125">
        <f t="shared" si="2"/>
        <v>209398</v>
      </c>
      <c r="F17" s="125">
        <f t="shared" si="2"/>
        <v>138558.5</v>
      </c>
      <c r="G17" s="125">
        <f t="shared" si="2"/>
        <v>63288</v>
      </c>
      <c r="H17" s="125">
        <f t="shared" si="2"/>
        <v>41364</v>
      </c>
      <c r="I17" s="125">
        <f t="shared" si="2"/>
        <v>15830.5</v>
      </c>
      <c r="J17" s="125">
        <f t="shared" si="2"/>
        <v>11969.5</v>
      </c>
      <c r="K17" s="125">
        <f t="shared" si="2"/>
        <v>8508.5</v>
      </c>
      <c r="L17" s="125">
        <f t="shared" si="2"/>
        <v>3902</v>
      </c>
      <c r="M17" s="102">
        <f t="shared" si="1"/>
        <v>3502482.3</v>
      </c>
      <c r="AC17" s="53"/>
    </row>
    <row r="18" spans="1:29" ht="19.5" customHeight="1">
      <c r="A18" s="640"/>
      <c r="B18" s="126" t="s">
        <v>117</v>
      </c>
      <c r="C18" s="127">
        <f t="shared" si="2"/>
        <v>323860</v>
      </c>
      <c r="D18" s="127">
        <f t="shared" si="2"/>
        <v>99060</v>
      </c>
      <c r="E18" s="127">
        <f t="shared" si="2"/>
        <v>29065</v>
      </c>
      <c r="F18" s="127">
        <f t="shared" si="2"/>
        <v>18389</v>
      </c>
      <c r="G18" s="127">
        <f t="shared" si="2"/>
        <v>9324</v>
      </c>
      <c r="H18" s="127">
        <f t="shared" si="2"/>
        <v>8039</v>
      </c>
      <c r="I18" s="127">
        <f t="shared" si="2"/>
        <v>3400</v>
      </c>
      <c r="J18" s="127">
        <f t="shared" si="2"/>
        <v>1451</v>
      </c>
      <c r="K18" s="127">
        <f t="shared" si="2"/>
        <v>1100</v>
      </c>
      <c r="L18" s="127">
        <f t="shared" si="2"/>
        <v>1030</v>
      </c>
      <c r="M18" s="105">
        <f t="shared" si="1"/>
        <v>494718</v>
      </c>
      <c r="AC18" s="53"/>
    </row>
    <row r="19" spans="1:13" s="108" customFormat="1" ht="19.5" customHeight="1">
      <c r="A19" s="641" t="s">
        <v>133</v>
      </c>
      <c r="B19" s="642"/>
      <c r="C19" s="106">
        <f aca="true" t="shared" si="3" ref="C19:L19">IF(C18&lt;&gt;0,C18/$M$18*100,"")</f>
        <v>65.46355701632041</v>
      </c>
      <c r="D19" s="106">
        <f t="shared" si="3"/>
        <v>20.02352855566201</v>
      </c>
      <c r="E19" s="106">
        <f t="shared" si="3"/>
        <v>5.87506417797614</v>
      </c>
      <c r="F19" s="106">
        <f t="shared" si="3"/>
        <v>3.7170670968107085</v>
      </c>
      <c r="G19" s="106">
        <f t="shared" si="3"/>
        <v>1.8847100772561336</v>
      </c>
      <c r="H19" s="106">
        <f t="shared" si="3"/>
        <v>1.6249661423275483</v>
      </c>
      <c r="I19" s="106">
        <f t="shared" si="3"/>
        <v>0.6872602169316662</v>
      </c>
      <c r="J19" s="106">
        <f t="shared" si="3"/>
        <v>0.29329840434348453</v>
      </c>
      <c r="K19" s="106">
        <f t="shared" si="3"/>
        <v>0.22234889371318609</v>
      </c>
      <c r="L19" s="106">
        <f t="shared" si="3"/>
        <v>0.2081994186587106</v>
      </c>
      <c r="M19" s="107"/>
    </row>
    <row r="20" spans="1:29" ht="19.5" customHeight="1">
      <c r="A20" s="643" t="s">
        <v>121</v>
      </c>
      <c r="B20" s="644"/>
      <c r="C20" s="109">
        <v>583870</v>
      </c>
      <c r="D20" s="109">
        <v>135120</v>
      </c>
      <c r="E20" s="109">
        <v>55165</v>
      </c>
      <c r="F20" s="109"/>
      <c r="G20" s="109">
        <v>24901</v>
      </c>
      <c r="H20" s="109">
        <v>8417</v>
      </c>
      <c r="I20" s="109">
        <v>11737</v>
      </c>
      <c r="J20" s="109">
        <v>3609</v>
      </c>
      <c r="K20" s="109">
        <v>2140</v>
      </c>
      <c r="L20" s="109">
        <v>2553</v>
      </c>
      <c r="M20" s="110">
        <f>SUM($C20:$L20)</f>
        <v>827512</v>
      </c>
      <c r="AC20" s="53"/>
    </row>
    <row r="21" spans="1:29" ht="19.5" customHeight="1">
      <c r="A21" s="645" t="s">
        <v>122</v>
      </c>
      <c r="B21" s="646"/>
      <c r="C21" s="111">
        <f aca="true" t="shared" si="4" ref="C21:L21">IF(C20&lt;&gt;0,(+C18-C20)/C20*100," ")</f>
        <v>-44.53217325774573</v>
      </c>
      <c r="D21" s="111">
        <f t="shared" si="4"/>
        <v>-26.687388987566607</v>
      </c>
      <c r="E21" s="111">
        <f t="shared" si="4"/>
        <v>-47.31260763165051</v>
      </c>
      <c r="F21" s="111" t="str">
        <f t="shared" si="4"/>
        <v> </v>
      </c>
      <c r="G21" s="111">
        <f t="shared" si="4"/>
        <v>-62.555720653789</v>
      </c>
      <c r="H21" s="111">
        <f t="shared" si="4"/>
        <v>-4.490911251039563</v>
      </c>
      <c r="I21" s="111">
        <f t="shared" si="4"/>
        <v>-71.0317798415268</v>
      </c>
      <c r="J21" s="111">
        <f t="shared" si="4"/>
        <v>-59.79495705181491</v>
      </c>
      <c r="K21" s="111">
        <f t="shared" si="4"/>
        <v>-48.598130841121495</v>
      </c>
      <c r="L21" s="111">
        <f t="shared" si="4"/>
        <v>-59.65530748139444</v>
      </c>
      <c r="M21" s="112">
        <f>(+M18-M20)/M20*100</f>
        <v>-40.21621438722339</v>
      </c>
      <c r="AC21" s="53"/>
    </row>
    <row r="22" spans="1:29" ht="19.5" customHeight="1">
      <c r="A22" s="643" t="s">
        <v>123</v>
      </c>
      <c r="B22" s="644"/>
      <c r="C22" s="113">
        <f aca="true" t="shared" si="5" ref="C22:L22">IF(C18&lt;&gt;0,+C18/C10," ")</f>
        <v>732.7149321266968</v>
      </c>
      <c r="D22" s="113">
        <f t="shared" si="5"/>
        <v>1031.875</v>
      </c>
      <c r="E22" s="113">
        <f t="shared" si="5"/>
        <v>218.53383458646616</v>
      </c>
      <c r="F22" s="113">
        <f t="shared" si="5"/>
        <v>282.9076923076923</v>
      </c>
      <c r="G22" s="113">
        <f t="shared" si="5"/>
        <v>127.72602739726027</v>
      </c>
      <c r="H22" s="113">
        <f t="shared" si="5"/>
        <v>154.59615384615384</v>
      </c>
      <c r="I22" s="113">
        <f t="shared" si="5"/>
        <v>109.6774193548387</v>
      </c>
      <c r="J22" s="113">
        <f t="shared" si="5"/>
        <v>145.1</v>
      </c>
      <c r="K22" s="113">
        <f t="shared" si="5"/>
        <v>55</v>
      </c>
      <c r="L22" s="113">
        <f t="shared" si="5"/>
        <v>128.75</v>
      </c>
      <c r="M22" s="114">
        <f>M18/(SUM(C10:L10))</f>
        <v>531.9548387096775</v>
      </c>
      <c r="AC22" s="53"/>
    </row>
    <row r="23" spans="1:29" ht="19.5" customHeight="1">
      <c r="A23" s="648" t="s">
        <v>124</v>
      </c>
      <c r="B23" s="649"/>
      <c r="C23" s="115">
        <f aca="true" t="shared" si="6" ref="C23:L23">IF(C17&lt;&gt;0,+C17/C18," ")</f>
        <v>7.004132341135058</v>
      </c>
      <c r="D23" s="115">
        <f t="shared" si="6"/>
        <v>7.483393902685242</v>
      </c>
      <c r="E23" s="115">
        <f t="shared" si="6"/>
        <v>7.2044727335282985</v>
      </c>
      <c r="F23" s="115">
        <f t="shared" si="6"/>
        <v>7.534857795421176</v>
      </c>
      <c r="G23" s="115">
        <f t="shared" si="6"/>
        <v>6.787644787644788</v>
      </c>
      <c r="H23" s="115">
        <f t="shared" si="6"/>
        <v>5.145416096529419</v>
      </c>
      <c r="I23" s="115">
        <f t="shared" si="6"/>
        <v>4.656029411764706</v>
      </c>
      <c r="J23" s="115">
        <f t="shared" si="6"/>
        <v>8.249138525155065</v>
      </c>
      <c r="K23" s="115">
        <f t="shared" si="6"/>
        <v>7.735</v>
      </c>
      <c r="L23" s="115">
        <f t="shared" si="6"/>
        <v>3.788349514563107</v>
      </c>
      <c r="M23" s="116">
        <f>M17/M18</f>
        <v>7.0797551332274145</v>
      </c>
      <c r="AC23" s="53"/>
    </row>
    <row r="24" spans="1:29" ht="19.5" customHeight="1">
      <c r="A24" s="643" t="s">
        <v>125</v>
      </c>
      <c r="B24" s="644"/>
      <c r="C24" s="128">
        <v>8632782.8</v>
      </c>
      <c r="D24" s="128">
        <v>13071348</v>
      </c>
      <c r="E24" s="128">
        <v>2482177</v>
      </c>
      <c r="F24" s="128">
        <v>138558.5</v>
      </c>
      <c r="G24" s="128">
        <v>1626877</v>
      </c>
      <c r="H24" s="128">
        <v>1658538</v>
      </c>
      <c r="I24" s="128">
        <v>5019946.5</v>
      </c>
      <c r="J24" s="128">
        <v>102435</v>
      </c>
      <c r="K24" s="128">
        <v>36503.5</v>
      </c>
      <c r="L24" s="128">
        <v>2569389</v>
      </c>
      <c r="M24" s="118">
        <f>SUM($C24:$L24)</f>
        <v>35338555.3</v>
      </c>
      <c r="AC24" s="53"/>
    </row>
    <row r="25" spans="1:29" ht="19.5" customHeight="1">
      <c r="A25" s="650" t="s">
        <v>126</v>
      </c>
      <c r="B25" s="651"/>
      <c r="C25" s="129">
        <v>1240324</v>
      </c>
      <c r="D25" s="129">
        <v>1784991</v>
      </c>
      <c r="E25" s="129">
        <v>334755</v>
      </c>
      <c r="F25" s="129">
        <v>18389</v>
      </c>
      <c r="G25" s="129">
        <v>226498</v>
      </c>
      <c r="H25" s="129">
        <v>242195</v>
      </c>
      <c r="I25" s="129">
        <v>753104</v>
      </c>
      <c r="J25" s="129">
        <v>11111</v>
      </c>
      <c r="K25" s="129">
        <v>4580</v>
      </c>
      <c r="L25" s="129">
        <v>334764</v>
      </c>
      <c r="M25" s="120">
        <f>SUM($C25:$L25)</f>
        <v>4950711</v>
      </c>
      <c r="AC25" s="53"/>
    </row>
    <row r="26" spans="1:29" ht="19.5" customHeight="1" thickBot="1">
      <c r="A26" s="652" t="s">
        <v>124</v>
      </c>
      <c r="B26" s="653"/>
      <c r="C26" s="121">
        <f aca="true" t="shared" si="7" ref="C26:L26">IF(C24&lt;&gt;0,+C24/C25," ")</f>
        <v>6.960103005343766</v>
      </c>
      <c r="D26" s="121">
        <f t="shared" si="7"/>
        <v>7.322920955903979</v>
      </c>
      <c r="E26" s="121">
        <f t="shared" si="7"/>
        <v>7.414906424101209</v>
      </c>
      <c r="F26" s="121">
        <f t="shared" si="7"/>
        <v>7.534857795421176</v>
      </c>
      <c r="G26" s="121">
        <f t="shared" si="7"/>
        <v>7.182743335481991</v>
      </c>
      <c r="H26" s="121">
        <f t="shared" si="7"/>
        <v>6.84794483783728</v>
      </c>
      <c r="I26" s="121">
        <f t="shared" si="7"/>
        <v>6.6656749930952435</v>
      </c>
      <c r="J26" s="121">
        <f t="shared" si="7"/>
        <v>9.219242192421925</v>
      </c>
      <c r="K26" s="121">
        <f t="shared" si="7"/>
        <v>7.970196506550218</v>
      </c>
      <c r="L26" s="121">
        <f t="shared" si="7"/>
        <v>7.675224934580779</v>
      </c>
      <c r="M26" s="122">
        <f>M24/M25</f>
        <v>7.138076793414117</v>
      </c>
      <c r="AC26" s="53"/>
    </row>
    <row r="27" spans="21:30" ht="9.75" customHeight="1">
      <c r="U27" s="130"/>
      <c r="V27" s="130"/>
      <c r="W27" s="131"/>
      <c r="X27" s="131"/>
      <c r="Y27" s="131"/>
      <c r="Z27" s="131"/>
      <c r="AC27" s="84"/>
      <c r="AD27" s="84"/>
    </row>
    <row r="28" spans="1:32" s="134" customFormat="1" ht="12" customHeight="1">
      <c r="A28" s="647" t="s">
        <v>174</v>
      </c>
      <c r="B28" s="647"/>
      <c r="C28" s="647"/>
      <c r="D28" s="647"/>
      <c r="E28" s="647"/>
      <c r="F28" s="647"/>
      <c r="G28" s="647"/>
      <c r="H28" s="647"/>
      <c r="I28" s="647"/>
      <c r="J28" s="647"/>
      <c r="K28" s="647"/>
      <c r="L28" s="647"/>
      <c r="M28" s="647"/>
      <c r="N28" s="133"/>
      <c r="O28" s="133"/>
      <c r="P28" s="132"/>
      <c r="Q28" s="132"/>
      <c r="R28" s="132"/>
      <c r="AC28" s="135"/>
      <c r="AD28" s="135"/>
      <c r="AE28" s="135"/>
      <c r="AF28" s="135"/>
    </row>
    <row r="29" spans="29:32" ht="11.25">
      <c r="AC29" s="84"/>
      <c r="AD29" s="84"/>
      <c r="AE29" s="84"/>
      <c r="AF29" s="84"/>
    </row>
    <row r="30" spans="29:32" ht="11.25">
      <c r="AC30" s="84"/>
      <c r="AD30" s="84"/>
      <c r="AE30" s="84"/>
      <c r="AF30" s="84"/>
    </row>
    <row r="31" spans="29:32" ht="11.25">
      <c r="AC31" s="84"/>
      <c r="AD31" s="84"/>
      <c r="AE31" s="84"/>
      <c r="AF31" s="84"/>
    </row>
    <row r="32" spans="29:32" ht="11.25">
      <c r="AC32" s="84"/>
      <c r="AD32" s="84"/>
      <c r="AE32" s="84"/>
      <c r="AF32" s="84"/>
    </row>
    <row r="33" spans="29:32" ht="11.25">
      <c r="AC33" s="84"/>
      <c r="AD33" s="84"/>
      <c r="AE33" s="84"/>
      <c r="AF33" s="84"/>
    </row>
    <row r="34" spans="29:32" ht="11.25">
      <c r="AC34" s="84"/>
      <c r="AD34" s="84"/>
      <c r="AE34" s="84"/>
      <c r="AF34" s="84"/>
    </row>
    <row r="35" spans="29:32" ht="11.25">
      <c r="AC35" s="84"/>
      <c r="AD35" s="84"/>
      <c r="AE35" s="84"/>
      <c r="AF35" s="84"/>
    </row>
    <row r="36" spans="29:32" ht="11.25">
      <c r="AC36" s="84"/>
      <c r="AD36" s="84"/>
      <c r="AE36" s="84"/>
      <c r="AF36" s="84"/>
    </row>
    <row r="37" spans="29:32" ht="11.25">
      <c r="AC37" s="84"/>
      <c r="AD37" s="84"/>
      <c r="AE37" s="84"/>
      <c r="AF37" s="84"/>
    </row>
    <row r="38" spans="29:32" ht="11.25">
      <c r="AC38" s="84"/>
      <c r="AD38" s="84"/>
      <c r="AE38" s="84"/>
      <c r="AF38" s="84"/>
    </row>
    <row r="39" spans="29:32" ht="11.25">
      <c r="AC39" s="84"/>
      <c r="AD39" s="84"/>
      <c r="AE39" s="84"/>
      <c r="AF39" s="84"/>
    </row>
    <row r="40" spans="29:32" ht="11.25">
      <c r="AC40" s="84"/>
      <c r="AD40" s="84"/>
      <c r="AE40" s="84"/>
      <c r="AF40" s="84"/>
    </row>
    <row r="41" spans="29:32" ht="11.25">
      <c r="AC41" s="84"/>
      <c r="AD41" s="84"/>
      <c r="AE41" s="84"/>
      <c r="AF41" s="84"/>
    </row>
    <row r="42" spans="29:32" ht="11.25">
      <c r="AC42" s="84"/>
      <c r="AD42" s="84"/>
      <c r="AE42" s="84"/>
      <c r="AF42" s="84"/>
    </row>
    <row r="43" spans="29:32" ht="11.25">
      <c r="AC43" s="84"/>
      <c r="AD43" s="84"/>
      <c r="AE43" s="84"/>
      <c r="AF43" s="84"/>
    </row>
    <row r="44" spans="29:32" ht="11.25">
      <c r="AC44" s="84"/>
      <c r="AD44" s="84"/>
      <c r="AE44" s="84"/>
      <c r="AF44" s="84"/>
    </row>
    <row r="45" spans="29:32" ht="11.25">
      <c r="AC45" s="84"/>
      <c r="AD45" s="84"/>
      <c r="AE45" s="84"/>
      <c r="AF45" s="84"/>
    </row>
    <row r="46" spans="29:32" ht="11.25">
      <c r="AC46" s="84"/>
      <c r="AD46" s="84"/>
      <c r="AE46" s="84"/>
      <c r="AF46" s="84"/>
    </row>
    <row r="47" spans="29:32" ht="11.25">
      <c r="AC47" s="84"/>
      <c r="AD47" s="84"/>
      <c r="AE47" s="84"/>
      <c r="AF47" s="84"/>
    </row>
    <row r="48" spans="29:32" ht="11.25">
      <c r="AC48" s="84"/>
      <c r="AD48" s="84"/>
      <c r="AE48" s="84"/>
      <c r="AF48" s="84"/>
    </row>
    <row r="49" spans="29:32" ht="11.25">
      <c r="AC49" s="84"/>
      <c r="AD49" s="84"/>
      <c r="AE49" s="84"/>
      <c r="AF49" s="84"/>
    </row>
    <row r="50" spans="29:32" ht="11.25">
      <c r="AC50" s="84"/>
      <c r="AD50" s="84"/>
      <c r="AE50" s="84"/>
      <c r="AF50" s="84"/>
    </row>
    <row r="51" spans="29:32" ht="11.25">
      <c r="AC51" s="84"/>
      <c r="AD51" s="84"/>
      <c r="AE51" s="84"/>
      <c r="AF51" s="84"/>
    </row>
    <row r="52" spans="29:32" ht="11.25">
      <c r="AC52" s="84"/>
      <c r="AD52" s="84"/>
      <c r="AE52" s="84"/>
      <c r="AF52" s="84"/>
    </row>
    <row r="53" spans="29:32" ht="11.25">
      <c r="AC53" s="84"/>
      <c r="AD53" s="84"/>
      <c r="AE53" s="84"/>
      <c r="AF53" s="84"/>
    </row>
    <row r="54" spans="29:32" ht="11.25">
      <c r="AC54" s="84"/>
      <c r="AD54" s="84"/>
      <c r="AE54" s="84"/>
      <c r="AF54" s="84"/>
    </row>
    <row r="55" spans="29:32" ht="11.25">
      <c r="AC55" s="84"/>
      <c r="AD55" s="84"/>
      <c r="AE55" s="84"/>
      <c r="AF55" s="84"/>
    </row>
    <row r="56" spans="29:32" ht="11.25">
      <c r="AC56" s="84"/>
      <c r="AD56" s="84"/>
      <c r="AE56" s="84"/>
      <c r="AF56" s="84"/>
    </row>
    <row r="57" spans="29:32" ht="11.25">
      <c r="AC57" s="84"/>
      <c r="AD57" s="84"/>
      <c r="AE57" s="84"/>
      <c r="AF57" s="84"/>
    </row>
    <row r="58" spans="29:32" ht="11.25">
      <c r="AC58" s="84"/>
      <c r="AD58" s="84"/>
      <c r="AE58" s="84"/>
      <c r="AF58" s="84"/>
    </row>
    <row r="59" spans="29:32" ht="11.25">
      <c r="AC59" s="84"/>
      <c r="AD59" s="84"/>
      <c r="AE59" s="84"/>
      <c r="AF59" s="84"/>
    </row>
    <row r="60" spans="29:32" ht="11.25">
      <c r="AC60" s="84"/>
      <c r="AD60" s="84"/>
      <c r="AE60" s="84"/>
      <c r="AF60" s="84"/>
    </row>
    <row r="61" spans="29:32" ht="11.25">
      <c r="AC61" s="84"/>
      <c r="AD61" s="84"/>
      <c r="AE61" s="84"/>
      <c r="AF61" s="84"/>
    </row>
    <row r="62" spans="29:32" ht="11.25">
      <c r="AC62" s="84"/>
      <c r="AD62" s="84"/>
      <c r="AE62" s="84"/>
      <c r="AF62" s="84"/>
    </row>
    <row r="63" spans="29:32" ht="11.25">
      <c r="AC63" s="84"/>
      <c r="AD63" s="84"/>
      <c r="AE63" s="84"/>
      <c r="AF63" s="84"/>
    </row>
    <row r="64" spans="29:32" ht="11.25">
      <c r="AC64" s="84"/>
      <c r="AD64" s="84"/>
      <c r="AE64" s="84"/>
      <c r="AF64" s="84"/>
    </row>
    <row r="65" spans="29:32" ht="11.25">
      <c r="AC65" s="84"/>
      <c r="AD65" s="84"/>
      <c r="AE65" s="84"/>
      <c r="AF65" s="84"/>
    </row>
    <row r="66" spans="29:32" ht="11.25">
      <c r="AC66" s="84"/>
      <c r="AD66" s="84"/>
      <c r="AE66" s="84"/>
      <c r="AF66" s="84"/>
    </row>
    <row r="67" spans="29:32" ht="11.25">
      <c r="AC67" s="84"/>
      <c r="AD67" s="84"/>
      <c r="AE67" s="84"/>
      <c r="AF67" s="84"/>
    </row>
    <row r="68" spans="29:32" ht="11.25">
      <c r="AC68" s="84"/>
      <c r="AD68" s="84"/>
      <c r="AE68" s="84"/>
      <c r="AF68" s="84"/>
    </row>
    <row r="69" spans="29:32" ht="11.25">
      <c r="AC69" s="84"/>
      <c r="AD69" s="84"/>
      <c r="AE69" s="84"/>
      <c r="AF69" s="84"/>
    </row>
    <row r="70" spans="29:32" ht="11.25">
      <c r="AC70" s="84"/>
      <c r="AD70" s="84"/>
      <c r="AE70" s="84"/>
      <c r="AF70" s="84"/>
    </row>
    <row r="71" spans="29:32" ht="11.25">
      <c r="AC71" s="84"/>
      <c r="AD71" s="84"/>
      <c r="AE71" s="84"/>
      <c r="AF71" s="84"/>
    </row>
    <row r="72" spans="29:32" ht="11.25">
      <c r="AC72" s="84"/>
      <c r="AD72" s="84"/>
      <c r="AE72" s="84"/>
      <c r="AF72" s="84"/>
    </row>
    <row r="73" spans="29:32" ht="11.25">
      <c r="AC73" s="84"/>
      <c r="AD73" s="84"/>
      <c r="AE73" s="84"/>
      <c r="AF73" s="84"/>
    </row>
    <row r="74" spans="29:32" ht="11.25">
      <c r="AC74" s="84"/>
      <c r="AD74" s="84"/>
      <c r="AE74" s="84"/>
      <c r="AF74" s="84"/>
    </row>
    <row r="75" spans="29:32" ht="11.25">
      <c r="AC75" s="84"/>
      <c r="AD75" s="84"/>
      <c r="AE75" s="84"/>
      <c r="AF75" s="84"/>
    </row>
    <row r="76" spans="29:32" ht="11.25">
      <c r="AC76" s="84"/>
      <c r="AD76" s="84"/>
      <c r="AE76" s="84"/>
      <c r="AF76" s="84"/>
    </row>
    <row r="77" spans="29:32" ht="11.25">
      <c r="AC77" s="84"/>
      <c r="AD77" s="84"/>
      <c r="AE77" s="84"/>
      <c r="AF77" s="84"/>
    </row>
    <row r="78" spans="29:32" ht="11.25">
      <c r="AC78" s="84"/>
      <c r="AD78" s="84"/>
      <c r="AE78" s="84"/>
      <c r="AF78" s="84"/>
    </row>
    <row r="79" spans="29:32" ht="11.25">
      <c r="AC79" s="84"/>
      <c r="AD79" s="84"/>
      <c r="AE79" s="84"/>
      <c r="AF79" s="84"/>
    </row>
    <row r="80" spans="29:32" ht="11.25">
      <c r="AC80" s="84"/>
      <c r="AD80" s="84"/>
      <c r="AE80" s="84"/>
      <c r="AF80" s="84"/>
    </row>
    <row r="81" spans="29:32" ht="11.25">
      <c r="AC81" s="84"/>
      <c r="AD81" s="84"/>
      <c r="AE81" s="84"/>
      <c r="AF81" s="84"/>
    </row>
    <row r="82" spans="29:32" ht="11.25">
      <c r="AC82" s="84"/>
      <c r="AD82" s="84"/>
      <c r="AE82" s="84"/>
      <c r="AF82" s="84"/>
    </row>
    <row r="83" spans="29:32" ht="11.25">
      <c r="AC83" s="84"/>
      <c r="AD83" s="84"/>
      <c r="AE83" s="84"/>
      <c r="AF83" s="84"/>
    </row>
    <row r="84" spans="29:32" ht="11.25">
      <c r="AC84" s="84"/>
      <c r="AD84" s="84"/>
      <c r="AE84" s="84"/>
      <c r="AF84" s="84"/>
    </row>
    <row r="85" spans="29:32" ht="11.25">
      <c r="AC85" s="84"/>
      <c r="AD85" s="84"/>
      <c r="AE85" s="84"/>
      <c r="AF85" s="84"/>
    </row>
    <row r="86" spans="29:32" ht="11.25">
      <c r="AC86" s="84"/>
      <c r="AD86" s="84"/>
      <c r="AE86" s="84"/>
      <c r="AF86" s="84"/>
    </row>
    <row r="87" spans="29:32" ht="11.25">
      <c r="AC87" s="84"/>
      <c r="AD87" s="84"/>
      <c r="AE87" s="84"/>
      <c r="AF87" s="84"/>
    </row>
    <row r="88" spans="29:32" ht="11.25">
      <c r="AC88" s="84"/>
      <c r="AD88" s="84"/>
      <c r="AE88" s="84"/>
      <c r="AF88" s="84"/>
    </row>
    <row r="89" spans="29:32" ht="11.25">
      <c r="AC89" s="84"/>
      <c r="AD89" s="84"/>
      <c r="AE89" s="84"/>
      <c r="AF89" s="84"/>
    </row>
    <row r="90" spans="29:32" ht="11.25">
      <c r="AC90" s="84"/>
      <c r="AD90" s="84"/>
      <c r="AE90" s="84"/>
      <c r="AF90" s="84"/>
    </row>
    <row r="91" spans="29:32" ht="11.25">
      <c r="AC91" s="84"/>
      <c r="AD91" s="84"/>
      <c r="AE91" s="84"/>
      <c r="AF91" s="84"/>
    </row>
    <row r="92" spans="29:32" ht="11.25">
      <c r="AC92" s="84"/>
      <c r="AD92" s="84"/>
      <c r="AE92" s="84"/>
      <c r="AF92" s="84"/>
    </row>
    <row r="93" spans="29:32" ht="11.25">
      <c r="AC93" s="84"/>
      <c r="AD93" s="84"/>
      <c r="AE93" s="84"/>
      <c r="AF93" s="84"/>
    </row>
    <row r="94" spans="29:32" ht="11.25">
      <c r="AC94" s="84"/>
      <c r="AD94" s="84"/>
      <c r="AE94" s="84"/>
      <c r="AF94" s="84"/>
    </row>
    <row r="95" spans="29:32" ht="11.25">
      <c r="AC95" s="84"/>
      <c r="AD95" s="84"/>
      <c r="AE95" s="84"/>
      <c r="AF95" s="84"/>
    </row>
    <row r="96" spans="29:32" ht="11.25">
      <c r="AC96" s="84"/>
      <c r="AD96" s="84"/>
      <c r="AE96" s="84"/>
      <c r="AF96" s="84"/>
    </row>
    <row r="97" spans="29:32" ht="11.25">
      <c r="AC97" s="84"/>
      <c r="AD97" s="84"/>
      <c r="AE97" s="84"/>
      <c r="AF97" s="84"/>
    </row>
    <row r="98" spans="29:32" ht="11.25">
      <c r="AC98" s="84"/>
      <c r="AD98" s="84"/>
      <c r="AE98" s="84"/>
      <c r="AF98" s="84"/>
    </row>
    <row r="99" spans="29:32" ht="11.25">
      <c r="AC99" s="84"/>
      <c r="AD99" s="84"/>
      <c r="AE99" s="84"/>
      <c r="AF99" s="84"/>
    </row>
    <row r="100" spans="29:32" ht="11.25">
      <c r="AC100" s="84"/>
      <c r="AD100" s="84"/>
      <c r="AE100" s="84"/>
      <c r="AF100" s="84"/>
    </row>
    <row r="101" spans="29:32" ht="11.25">
      <c r="AC101" s="84"/>
      <c r="AD101" s="84"/>
      <c r="AE101" s="84"/>
      <c r="AF101" s="84"/>
    </row>
    <row r="102" spans="29:32" ht="11.25">
      <c r="AC102" s="84"/>
      <c r="AD102" s="84"/>
      <c r="AE102" s="84"/>
      <c r="AF102" s="84"/>
    </row>
    <row r="103" spans="29:32" ht="11.25">
      <c r="AC103" s="84"/>
      <c r="AD103" s="84"/>
      <c r="AE103" s="84"/>
      <c r="AF103" s="84"/>
    </row>
    <row r="104" spans="29:32" ht="11.25">
      <c r="AC104" s="84"/>
      <c r="AD104" s="84"/>
      <c r="AE104" s="84"/>
      <c r="AF104" s="84"/>
    </row>
    <row r="105" spans="29:32" ht="11.25">
      <c r="AC105" s="84"/>
      <c r="AD105" s="84"/>
      <c r="AE105" s="84"/>
      <c r="AF105" s="84"/>
    </row>
    <row r="106" spans="29:32" ht="11.25">
      <c r="AC106" s="84"/>
      <c r="AD106" s="84"/>
      <c r="AE106" s="84"/>
      <c r="AF106" s="84"/>
    </row>
    <row r="107" spans="29:32" ht="11.25">
      <c r="AC107" s="84"/>
      <c r="AD107" s="84"/>
      <c r="AE107" s="84"/>
      <c r="AF107" s="84"/>
    </row>
    <row r="108" spans="29:32" ht="11.25">
      <c r="AC108" s="84"/>
      <c r="AD108" s="84"/>
      <c r="AE108" s="84"/>
      <c r="AF108" s="84"/>
    </row>
    <row r="109" spans="29:32" ht="11.25">
      <c r="AC109" s="84"/>
      <c r="AD109" s="84"/>
      <c r="AE109" s="84"/>
      <c r="AF109" s="84"/>
    </row>
    <row r="110" spans="29:32" ht="11.25">
      <c r="AC110" s="84"/>
      <c r="AD110" s="84"/>
      <c r="AE110" s="84"/>
      <c r="AF110" s="84"/>
    </row>
    <row r="111" spans="29:32" ht="11.25">
      <c r="AC111" s="84"/>
      <c r="AD111" s="84"/>
      <c r="AE111" s="84"/>
      <c r="AF111" s="84"/>
    </row>
    <row r="112" spans="29:32" ht="11.25">
      <c r="AC112" s="84"/>
      <c r="AD112" s="84"/>
      <c r="AE112" s="84"/>
      <c r="AF112" s="84"/>
    </row>
    <row r="113" spans="29:32" ht="11.25">
      <c r="AC113" s="84"/>
      <c r="AD113" s="84"/>
      <c r="AE113" s="84"/>
      <c r="AF113" s="84"/>
    </row>
    <row r="114" spans="29:32" ht="11.25">
      <c r="AC114" s="84"/>
      <c r="AD114" s="84"/>
      <c r="AE114" s="84"/>
      <c r="AF114" s="84"/>
    </row>
    <row r="115" spans="29:32" ht="11.25">
      <c r="AC115" s="84"/>
      <c r="AD115" s="84"/>
      <c r="AE115" s="84"/>
      <c r="AF115" s="84"/>
    </row>
    <row r="116" spans="29:32" ht="11.25">
      <c r="AC116" s="84"/>
      <c r="AD116" s="84"/>
      <c r="AE116" s="84"/>
      <c r="AF116" s="84"/>
    </row>
    <row r="117" spans="29:32" ht="11.25">
      <c r="AC117" s="84"/>
      <c r="AD117" s="84"/>
      <c r="AE117" s="84"/>
      <c r="AF117" s="84"/>
    </row>
    <row r="118" spans="29:32" ht="11.25">
      <c r="AC118" s="84"/>
      <c r="AD118" s="84"/>
      <c r="AE118" s="84"/>
      <c r="AF118" s="84"/>
    </row>
    <row r="119" spans="29:32" ht="11.25">
      <c r="AC119" s="84"/>
      <c r="AD119" s="84"/>
      <c r="AE119" s="84"/>
      <c r="AF119" s="84"/>
    </row>
    <row r="120" spans="29:32" ht="11.25">
      <c r="AC120" s="84"/>
      <c r="AD120" s="84"/>
      <c r="AE120" s="84"/>
      <c r="AF120" s="84"/>
    </row>
    <row r="121" spans="29:32" ht="11.25">
      <c r="AC121" s="84"/>
      <c r="AD121" s="84"/>
      <c r="AE121" s="84"/>
      <c r="AF121" s="84"/>
    </row>
    <row r="122" spans="29:32" ht="11.25">
      <c r="AC122" s="84"/>
      <c r="AD122" s="84"/>
      <c r="AE122" s="84"/>
      <c r="AF122" s="84"/>
    </row>
    <row r="123" spans="29:32" ht="11.25">
      <c r="AC123" s="84"/>
      <c r="AD123" s="84"/>
      <c r="AE123" s="84"/>
      <c r="AF123" s="84"/>
    </row>
    <row r="124" spans="29:32" ht="11.25">
      <c r="AC124" s="84"/>
      <c r="AD124" s="84"/>
      <c r="AE124" s="84"/>
      <c r="AF124" s="84"/>
    </row>
    <row r="125" spans="29:32" ht="11.25">
      <c r="AC125" s="84"/>
      <c r="AD125" s="84"/>
      <c r="AE125" s="84"/>
      <c r="AF125" s="84"/>
    </row>
    <row r="126" spans="29:32" ht="11.25">
      <c r="AC126" s="84"/>
      <c r="AD126" s="84"/>
      <c r="AE126" s="84"/>
      <c r="AF126" s="84"/>
    </row>
    <row r="127" spans="29:32" ht="11.25">
      <c r="AC127" s="84"/>
      <c r="AD127" s="84"/>
      <c r="AE127" s="84"/>
      <c r="AF127" s="84"/>
    </row>
    <row r="128" spans="29:32" ht="11.25">
      <c r="AC128" s="84"/>
      <c r="AD128" s="84"/>
      <c r="AE128" s="84"/>
      <c r="AF128" s="84"/>
    </row>
    <row r="129" spans="29:32" ht="11.25">
      <c r="AC129" s="84"/>
      <c r="AD129" s="84"/>
      <c r="AE129" s="84"/>
      <c r="AF129" s="84"/>
    </row>
    <row r="130" spans="29:32" ht="11.25">
      <c r="AC130" s="84"/>
      <c r="AD130" s="84"/>
      <c r="AE130" s="84"/>
      <c r="AF130" s="84"/>
    </row>
    <row r="131" spans="29:32" ht="11.25">
      <c r="AC131" s="84"/>
      <c r="AD131" s="84"/>
      <c r="AE131" s="84"/>
      <c r="AF131" s="84"/>
    </row>
    <row r="132" spans="29:32" ht="11.25">
      <c r="AC132" s="84"/>
      <c r="AD132" s="84"/>
      <c r="AE132" s="84"/>
      <c r="AF132" s="84"/>
    </row>
    <row r="133" spans="29:32" ht="11.25">
      <c r="AC133" s="84"/>
      <c r="AD133" s="84"/>
      <c r="AE133" s="84"/>
      <c r="AF133" s="84"/>
    </row>
    <row r="134" spans="29:32" ht="11.25">
      <c r="AC134" s="84"/>
      <c r="AD134" s="84"/>
      <c r="AE134" s="84"/>
      <c r="AF134" s="84"/>
    </row>
    <row r="135" spans="29:32" ht="11.25">
      <c r="AC135" s="84"/>
      <c r="AD135" s="84"/>
      <c r="AE135" s="84"/>
      <c r="AF135" s="84"/>
    </row>
    <row r="136" spans="29:32" ht="11.25">
      <c r="AC136" s="84"/>
      <c r="AD136" s="84"/>
      <c r="AE136" s="84"/>
      <c r="AF136" s="84"/>
    </row>
    <row r="137" spans="29:32" ht="11.25">
      <c r="AC137" s="84"/>
      <c r="AD137" s="84"/>
      <c r="AE137" s="84"/>
      <c r="AF137" s="84"/>
    </row>
    <row r="138" spans="29:32" ht="11.25">
      <c r="AC138" s="84"/>
      <c r="AD138" s="84"/>
      <c r="AE138" s="84"/>
      <c r="AF138" s="84"/>
    </row>
    <row r="139" spans="29:32" ht="11.25">
      <c r="AC139" s="84"/>
      <c r="AD139" s="84"/>
      <c r="AE139" s="84"/>
      <c r="AF139" s="84"/>
    </row>
    <row r="140" spans="29:32" ht="11.25">
      <c r="AC140" s="84"/>
      <c r="AD140" s="84"/>
      <c r="AE140" s="84"/>
      <c r="AF140" s="84"/>
    </row>
    <row r="141" spans="29:32" ht="11.25">
      <c r="AC141" s="84"/>
      <c r="AD141" s="84"/>
      <c r="AE141" s="84"/>
      <c r="AF141" s="84"/>
    </row>
    <row r="142" spans="29:32" ht="11.25">
      <c r="AC142" s="84"/>
      <c r="AD142" s="84"/>
      <c r="AE142" s="84"/>
      <c r="AF142" s="84"/>
    </row>
    <row r="143" spans="29:32" ht="11.25">
      <c r="AC143" s="84"/>
      <c r="AD143" s="84"/>
      <c r="AE143" s="84"/>
      <c r="AF143" s="84"/>
    </row>
    <row r="144" spans="29:32" ht="11.25">
      <c r="AC144" s="84"/>
      <c r="AD144" s="84"/>
      <c r="AE144" s="84"/>
      <c r="AF144" s="84"/>
    </row>
    <row r="145" spans="29:32" ht="11.25">
      <c r="AC145" s="84"/>
      <c r="AD145" s="84"/>
      <c r="AE145" s="84"/>
      <c r="AF145" s="84"/>
    </row>
    <row r="146" spans="29:32" ht="11.25">
      <c r="AC146" s="84"/>
      <c r="AD146" s="84"/>
      <c r="AE146" s="84"/>
      <c r="AF146" s="84"/>
    </row>
    <row r="147" spans="29:32" ht="11.25">
      <c r="AC147" s="84"/>
      <c r="AD147" s="84"/>
      <c r="AE147" s="84"/>
      <c r="AF147" s="84"/>
    </row>
    <row r="148" spans="29:32" ht="11.25">
      <c r="AC148" s="84"/>
      <c r="AD148" s="84"/>
      <c r="AE148" s="84"/>
      <c r="AF148" s="84"/>
    </row>
    <row r="149" spans="29:32" ht="11.25">
      <c r="AC149" s="84"/>
      <c r="AD149" s="84"/>
      <c r="AE149" s="84"/>
      <c r="AF149" s="84"/>
    </row>
    <row r="150" spans="29:32" ht="11.25">
      <c r="AC150" s="84"/>
      <c r="AD150" s="84"/>
      <c r="AE150" s="84"/>
      <c r="AF150" s="84"/>
    </row>
    <row r="151" spans="29:32" ht="11.25">
      <c r="AC151" s="84"/>
      <c r="AD151" s="84"/>
      <c r="AE151" s="84"/>
      <c r="AF151" s="84"/>
    </row>
    <row r="152" spans="29:32" ht="11.25">
      <c r="AC152" s="84"/>
      <c r="AD152" s="84"/>
      <c r="AE152" s="84"/>
      <c r="AF152" s="84"/>
    </row>
    <row r="153" spans="29:32" ht="11.25">
      <c r="AC153" s="84"/>
      <c r="AD153" s="84"/>
      <c r="AE153" s="84"/>
      <c r="AF153" s="84"/>
    </row>
    <row r="154" spans="29:32" ht="11.25">
      <c r="AC154" s="84"/>
      <c r="AD154" s="84"/>
      <c r="AE154" s="84"/>
      <c r="AF154" s="84"/>
    </row>
    <row r="155" spans="29:32" ht="11.25">
      <c r="AC155" s="84"/>
      <c r="AD155" s="84"/>
      <c r="AE155" s="84"/>
      <c r="AF155" s="84"/>
    </row>
    <row r="156" spans="29:32" ht="11.25">
      <c r="AC156" s="84"/>
      <c r="AD156" s="84"/>
      <c r="AE156" s="84"/>
      <c r="AF156" s="84"/>
    </row>
    <row r="157" spans="29:32" ht="11.25">
      <c r="AC157" s="84"/>
      <c r="AD157" s="84"/>
      <c r="AE157" s="84"/>
      <c r="AF157" s="84"/>
    </row>
    <row r="158" spans="29:32" ht="11.25">
      <c r="AC158" s="84"/>
      <c r="AD158" s="84"/>
      <c r="AE158" s="84"/>
      <c r="AF158" s="84"/>
    </row>
    <row r="159" spans="29:32" ht="11.25">
      <c r="AC159" s="84"/>
      <c r="AD159" s="84"/>
      <c r="AE159" s="84"/>
      <c r="AF159" s="84"/>
    </row>
    <row r="160" spans="29:32" ht="11.25">
      <c r="AC160" s="84"/>
      <c r="AD160" s="84"/>
      <c r="AE160" s="84"/>
      <c r="AF160" s="84"/>
    </row>
    <row r="161" spans="29:32" ht="11.25">
      <c r="AC161" s="84"/>
      <c r="AD161" s="84"/>
      <c r="AE161" s="84"/>
      <c r="AF161" s="84"/>
    </row>
    <row r="162" spans="29:32" ht="11.25">
      <c r="AC162" s="84"/>
      <c r="AD162" s="84"/>
      <c r="AE162" s="84"/>
      <c r="AF162" s="84"/>
    </row>
    <row r="163" spans="29:32" ht="11.25">
      <c r="AC163" s="84"/>
      <c r="AD163" s="84"/>
      <c r="AE163" s="84"/>
      <c r="AF163" s="84"/>
    </row>
    <row r="164" spans="29:32" ht="11.25">
      <c r="AC164" s="84"/>
      <c r="AD164" s="84"/>
      <c r="AE164" s="84"/>
      <c r="AF164" s="84"/>
    </row>
    <row r="165" spans="29:32" ht="11.25">
      <c r="AC165" s="84"/>
      <c r="AD165" s="84"/>
      <c r="AE165" s="84"/>
      <c r="AF165" s="84"/>
    </row>
    <row r="166" spans="29:32" ht="11.25">
      <c r="AC166" s="84"/>
      <c r="AD166" s="84"/>
      <c r="AE166" s="84"/>
      <c r="AF166" s="84"/>
    </row>
    <row r="167" spans="29:32" ht="11.25">
      <c r="AC167" s="84"/>
      <c r="AD167" s="84"/>
      <c r="AE167" s="84"/>
      <c r="AF167" s="84"/>
    </row>
    <row r="168" spans="29:32" ht="11.25">
      <c r="AC168" s="84"/>
      <c r="AD168" s="84"/>
      <c r="AE168" s="84"/>
      <c r="AF168" s="84"/>
    </row>
    <row r="169" spans="29:32" ht="11.25">
      <c r="AC169" s="84"/>
      <c r="AD169" s="84"/>
      <c r="AE169" s="84"/>
      <c r="AF169" s="84"/>
    </row>
    <row r="170" spans="29:32" ht="11.25">
      <c r="AC170" s="84"/>
      <c r="AD170" s="84"/>
      <c r="AE170" s="84"/>
      <c r="AF170" s="84"/>
    </row>
    <row r="171" spans="29:32" ht="11.25">
      <c r="AC171" s="84"/>
      <c r="AD171" s="84"/>
      <c r="AE171" s="84"/>
      <c r="AF171" s="84"/>
    </row>
    <row r="172" spans="29:32" ht="11.25">
      <c r="AC172" s="84"/>
      <c r="AD172" s="84"/>
      <c r="AE172" s="84"/>
      <c r="AF172" s="84"/>
    </row>
    <row r="173" spans="29:32" ht="11.25">
      <c r="AC173" s="84"/>
      <c r="AD173" s="84"/>
      <c r="AE173" s="84"/>
      <c r="AF173" s="84"/>
    </row>
  </sheetData>
  <mergeCells count="20">
    <mergeCell ref="A28:M28"/>
    <mergeCell ref="A23:B23"/>
    <mergeCell ref="A24:B24"/>
    <mergeCell ref="A25:B25"/>
    <mergeCell ref="A26:B26"/>
    <mergeCell ref="A19:B19"/>
    <mergeCell ref="A20:B20"/>
    <mergeCell ref="A21:B21"/>
    <mergeCell ref="A22:B22"/>
    <mergeCell ref="A11:A12"/>
    <mergeCell ref="A13:A14"/>
    <mergeCell ref="A15:A16"/>
    <mergeCell ref="A17:A18"/>
    <mergeCell ref="A1:M1"/>
    <mergeCell ref="M3:M10"/>
    <mergeCell ref="A5:B5"/>
    <mergeCell ref="A6:B6"/>
    <mergeCell ref="A7:B8"/>
    <mergeCell ref="A9:B9"/>
    <mergeCell ref="A10:B10"/>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F169"/>
  <sheetViews>
    <sheetView zoomScale="90" zoomScaleNormal="90" workbookViewId="0" topLeftCell="J1">
      <selection activeCell="D10" sqref="D10"/>
    </sheetView>
  </sheetViews>
  <sheetFormatPr defaultColWidth="9.140625" defaultRowHeight="12.75"/>
  <cols>
    <col min="1" max="1" width="10.00390625" style="53" bestFit="1" customWidth="1"/>
    <col min="2" max="2" width="9.28125" style="53" bestFit="1" customWidth="1"/>
    <col min="3" max="12" width="13.57421875" style="53" customWidth="1"/>
    <col min="13" max="13" width="13.140625" style="53" bestFit="1" customWidth="1"/>
    <col min="14" max="28" width="9.8515625" style="53" customWidth="1"/>
    <col min="29" max="29" width="9.8515625" style="54" customWidth="1"/>
    <col min="30" max="16384" width="9.8515625" style="53" customWidth="1"/>
  </cols>
  <sheetData>
    <row r="1" spans="1:29" ht="90" customHeight="1" thickBot="1">
      <c r="A1" s="654" t="s">
        <v>127</v>
      </c>
      <c r="B1" s="655"/>
      <c r="C1" s="655"/>
      <c r="D1" s="655"/>
      <c r="E1" s="655"/>
      <c r="F1" s="655"/>
      <c r="G1" s="655"/>
      <c r="H1" s="655"/>
      <c r="I1" s="655"/>
      <c r="J1" s="655"/>
      <c r="K1" s="655"/>
      <c r="L1" s="655"/>
      <c r="M1" s="656"/>
      <c r="U1" s="54"/>
      <c r="AC1" s="53"/>
    </row>
    <row r="2" spans="1:21" ht="12.75" thickBot="1">
      <c r="A2" s="55"/>
      <c r="B2" s="55"/>
      <c r="C2" s="657" t="s">
        <v>63</v>
      </c>
      <c r="D2" s="657"/>
      <c r="E2" s="657"/>
      <c r="F2" s="657"/>
      <c r="G2" s="657"/>
      <c r="H2" s="657"/>
      <c r="I2" s="657"/>
      <c r="J2" s="657"/>
      <c r="K2" s="657"/>
      <c r="L2" s="657"/>
      <c r="M2" s="657"/>
      <c r="N2" s="55"/>
      <c r="O2" s="55"/>
      <c r="P2" s="55"/>
      <c r="Q2" s="55"/>
      <c r="R2" s="55"/>
      <c r="S2" s="55"/>
      <c r="T2" s="55"/>
      <c r="U2" s="55"/>
    </row>
    <row r="3" spans="1:29" ht="18" customHeight="1">
      <c r="A3" s="56"/>
      <c r="B3" s="57"/>
      <c r="C3" s="85">
        <f aca="true" t="shared" si="0" ref="C3:L3">COLUMN()-2</f>
        <v>1</v>
      </c>
      <c r="D3" s="85">
        <f t="shared" si="0"/>
        <v>2</v>
      </c>
      <c r="E3" s="85">
        <f t="shared" si="0"/>
        <v>3</v>
      </c>
      <c r="F3" s="85">
        <f t="shared" si="0"/>
        <v>4</v>
      </c>
      <c r="G3" s="85">
        <f t="shared" si="0"/>
        <v>5</v>
      </c>
      <c r="H3" s="85">
        <f t="shared" si="0"/>
        <v>6</v>
      </c>
      <c r="I3" s="85">
        <f t="shared" si="0"/>
        <v>7</v>
      </c>
      <c r="J3" s="85">
        <f t="shared" si="0"/>
        <v>8</v>
      </c>
      <c r="K3" s="85">
        <f t="shared" si="0"/>
        <v>9</v>
      </c>
      <c r="L3" s="85">
        <f t="shared" si="0"/>
        <v>10</v>
      </c>
      <c r="M3" s="635" t="s">
        <v>128</v>
      </c>
      <c r="AC3" s="53"/>
    </row>
    <row r="4" spans="1:29" ht="48.75" thickBot="1">
      <c r="A4" s="59"/>
      <c r="B4" s="60"/>
      <c r="C4" s="86" t="s">
        <v>65</v>
      </c>
      <c r="D4" s="86" t="s">
        <v>129</v>
      </c>
      <c r="E4" s="86" t="s">
        <v>67</v>
      </c>
      <c r="F4" s="86" t="s">
        <v>130</v>
      </c>
      <c r="G4" s="86" t="s">
        <v>68</v>
      </c>
      <c r="H4" s="86" t="s">
        <v>70</v>
      </c>
      <c r="I4" s="86" t="s">
        <v>131</v>
      </c>
      <c r="J4" s="86" t="s">
        <v>73</v>
      </c>
      <c r="K4" s="86" t="s">
        <v>76</v>
      </c>
      <c r="L4" s="86" t="s">
        <v>77</v>
      </c>
      <c r="M4" s="627"/>
      <c r="AC4" s="53"/>
    </row>
    <row r="5" spans="1:29" ht="19.5" customHeight="1">
      <c r="A5" s="629" t="s">
        <v>84</v>
      </c>
      <c r="B5" s="630"/>
      <c r="C5" s="87">
        <v>38751</v>
      </c>
      <c r="D5" s="87">
        <v>38765</v>
      </c>
      <c r="E5" s="87">
        <v>38674</v>
      </c>
      <c r="F5" s="87">
        <v>38779</v>
      </c>
      <c r="G5" s="87">
        <v>38758</v>
      </c>
      <c r="H5" s="87">
        <v>38779</v>
      </c>
      <c r="I5" s="87" t="s">
        <v>85</v>
      </c>
      <c r="J5" s="87" t="s">
        <v>85</v>
      </c>
      <c r="K5" s="87">
        <v>38765</v>
      </c>
      <c r="L5" s="87" t="s">
        <v>85</v>
      </c>
      <c r="M5" s="627"/>
      <c r="AC5" s="53"/>
    </row>
    <row r="6" spans="1:29" ht="19.5" customHeight="1">
      <c r="A6" s="631" t="s">
        <v>132</v>
      </c>
      <c r="B6" s="626"/>
      <c r="C6" s="88">
        <v>277</v>
      </c>
      <c r="D6" s="88">
        <v>164</v>
      </c>
      <c r="E6" s="88">
        <v>135</v>
      </c>
      <c r="F6" s="88">
        <v>96</v>
      </c>
      <c r="G6" s="88">
        <v>80</v>
      </c>
      <c r="H6" s="88">
        <v>72</v>
      </c>
      <c r="I6" s="88">
        <v>83</v>
      </c>
      <c r="J6" s="88">
        <v>62</v>
      </c>
      <c r="K6" s="88">
        <v>23</v>
      </c>
      <c r="L6" s="88">
        <v>49</v>
      </c>
      <c r="M6" s="627"/>
      <c r="AC6" s="53"/>
    </row>
    <row r="7" spans="1:13" s="66" customFormat="1" ht="15" customHeight="1">
      <c r="A7" s="625" t="s">
        <v>87</v>
      </c>
      <c r="B7" s="636"/>
      <c r="C7" s="89" t="s">
        <v>89</v>
      </c>
      <c r="D7" s="89" t="s">
        <v>89</v>
      </c>
      <c r="E7" s="89" t="s">
        <v>90</v>
      </c>
      <c r="F7" s="89" t="s">
        <v>91</v>
      </c>
      <c r="G7" s="89" t="s">
        <v>90</v>
      </c>
      <c r="H7" s="89" t="s">
        <v>92</v>
      </c>
      <c r="I7" s="89" t="s">
        <v>91</v>
      </c>
      <c r="J7" s="89" t="s">
        <v>92</v>
      </c>
      <c r="K7" s="89" t="s">
        <v>91</v>
      </c>
      <c r="L7" s="89" t="s">
        <v>90</v>
      </c>
      <c r="M7" s="627"/>
    </row>
    <row r="8" spans="1:13" s="66" customFormat="1" ht="15" customHeight="1">
      <c r="A8" s="637"/>
      <c r="B8" s="638"/>
      <c r="C8" s="90" t="s">
        <v>98</v>
      </c>
      <c r="D8" s="90" t="s">
        <v>99</v>
      </c>
      <c r="E8" s="90" t="s">
        <v>100</v>
      </c>
      <c r="F8" s="90" t="s">
        <v>97</v>
      </c>
      <c r="G8" s="90" t="s">
        <v>101</v>
      </c>
      <c r="H8" s="90" t="s">
        <v>102</v>
      </c>
      <c r="I8" s="90" t="s">
        <v>104</v>
      </c>
      <c r="J8" s="90" t="s">
        <v>105</v>
      </c>
      <c r="K8" s="90" t="s">
        <v>107</v>
      </c>
      <c r="L8" s="90" t="s">
        <v>108</v>
      </c>
      <c r="M8" s="627"/>
    </row>
    <row r="9" spans="1:29" ht="19.5" customHeight="1">
      <c r="A9" s="631" t="s">
        <v>113</v>
      </c>
      <c r="B9" s="626"/>
      <c r="C9" s="88">
        <v>5</v>
      </c>
      <c r="D9" s="88">
        <v>3</v>
      </c>
      <c r="E9" s="88">
        <v>16</v>
      </c>
      <c r="F9" s="88">
        <v>1</v>
      </c>
      <c r="G9" s="88">
        <v>4</v>
      </c>
      <c r="H9" s="88">
        <v>1</v>
      </c>
      <c r="I9" s="88">
        <v>2</v>
      </c>
      <c r="J9" s="88">
        <v>2</v>
      </c>
      <c r="K9" s="88">
        <v>3</v>
      </c>
      <c r="L9" s="88">
        <v>2</v>
      </c>
      <c r="M9" s="627"/>
      <c r="AC9" s="53"/>
    </row>
    <row r="10" spans="1:29" ht="19.5" customHeight="1" thickBot="1">
      <c r="A10" s="631" t="s">
        <v>114</v>
      </c>
      <c r="B10" s="626"/>
      <c r="C10" s="91">
        <v>278</v>
      </c>
      <c r="D10" s="91">
        <v>169</v>
      </c>
      <c r="E10" s="91">
        <v>124</v>
      </c>
      <c r="F10" s="91">
        <v>97</v>
      </c>
      <c r="G10" s="91">
        <v>80</v>
      </c>
      <c r="H10" s="91">
        <v>74</v>
      </c>
      <c r="I10" s="91">
        <v>84</v>
      </c>
      <c r="J10" s="91">
        <v>62</v>
      </c>
      <c r="K10" s="91">
        <v>23</v>
      </c>
      <c r="L10" s="91">
        <v>49</v>
      </c>
      <c r="M10" s="628"/>
      <c r="N10" s="69"/>
      <c r="O10" s="69"/>
      <c r="P10" s="69"/>
      <c r="Q10" s="69"/>
      <c r="R10" s="69"/>
      <c r="S10" s="69"/>
      <c r="T10" s="69"/>
      <c r="U10" s="69"/>
      <c r="AC10" s="53"/>
    </row>
    <row r="11" spans="1:29" ht="19.5" customHeight="1">
      <c r="A11" s="625" t="s">
        <v>115</v>
      </c>
      <c r="B11" s="92" t="s">
        <v>116</v>
      </c>
      <c r="C11" s="93">
        <v>122165.5</v>
      </c>
      <c r="D11" s="93">
        <v>90330.5</v>
      </c>
      <c r="E11" s="93">
        <v>69414</v>
      </c>
      <c r="F11" s="93">
        <v>104681.5</v>
      </c>
      <c r="G11" s="93">
        <v>44428</v>
      </c>
      <c r="H11" s="93">
        <v>30021</v>
      </c>
      <c r="I11" s="93">
        <v>49861.5</v>
      </c>
      <c r="J11" s="93">
        <v>25345</v>
      </c>
      <c r="K11" s="93">
        <v>21335.5</v>
      </c>
      <c r="L11" s="93">
        <v>11441</v>
      </c>
      <c r="M11" s="94">
        <f aca="true" t="shared" si="1" ref="M11:M18">SUM(C11:L11)</f>
        <v>569023.5</v>
      </c>
      <c r="AC11" s="53"/>
    </row>
    <row r="12" spans="1:29" ht="19.5" customHeight="1">
      <c r="A12" s="637"/>
      <c r="B12" s="95" t="s">
        <v>117</v>
      </c>
      <c r="C12" s="96">
        <v>21592</v>
      </c>
      <c r="D12" s="96">
        <v>12789</v>
      </c>
      <c r="E12" s="96">
        <v>14310</v>
      </c>
      <c r="F12" s="96">
        <v>12597</v>
      </c>
      <c r="G12" s="96">
        <v>7782</v>
      </c>
      <c r="H12" s="96">
        <v>4003</v>
      </c>
      <c r="I12" s="96">
        <v>6173</v>
      </c>
      <c r="J12" s="96">
        <v>3184</v>
      </c>
      <c r="K12" s="96">
        <v>2228</v>
      </c>
      <c r="L12" s="96">
        <v>1473</v>
      </c>
      <c r="M12" s="97">
        <f t="shared" si="1"/>
        <v>86131</v>
      </c>
      <c r="AC12" s="53"/>
    </row>
    <row r="13" spans="1:29" ht="19.5" customHeight="1">
      <c r="A13" s="625" t="s">
        <v>118</v>
      </c>
      <c r="B13" s="92" t="s">
        <v>116</v>
      </c>
      <c r="C13" s="93">
        <v>249732</v>
      </c>
      <c r="D13" s="93">
        <v>205094.5</v>
      </c>
      <c r="E13" s="93">
        <v>129552</v>
      </c>
      <c r="F13" s="93">
        <v>162423</v>
      </c>
      <c r="G13" s="93">
        <v>95049.5</v>
      </c>
      <c r="H13" s="93">
        <v>141275</v>
      </c>
      <c r="I13" s="93">
        <v>91370.5</v>
      </c>
      <c r="J13" s="93">
        <v>95868</v>
      </c>
      <c r="K13" s="93">
        <v>35647.5</v>
      </c>
      <c r="L13" s="93">
        <v>23651</v>
      </c>
      <c r="M13" s="98">
        <f t="shared" si="1"/>
        <v>1229663</v>
      </c>
      <c r="AC13" s="53"/>
    </row>
    <row r="14" spans="1:29" ht="19.5" customHeight="1">
      <c r="A14" s="637"/>
      <c r="B14" s="95" t="s">
        <v>117</v>
      </c>
      <c r="C14" s="96">
        <v>40605</v>
      </c>
      <c r="D14" s="96">
        <v>28333</v>
      </c>
      <c r="E14" s="96">
        <v>25134</v>
      </c>
      <c r="F14" s="96">
        <v>19566</v>
      </c>
      <c r="G14" s="96">
        <v>16040</v>
      </c>
      <c r="H14" s="96">
        <v>17738</v>
      </c>
      <c r="I14" s="96">
        <v>11190</v>
      </c>
      <c r="J14" s="96">
        <v>11712</v>
      </c>
      <c r="K14" s="96">
        <v>3745</v>
      </c>
      <c r="L14" s="96">
        <v>2895</v>
      </c>
      <c r="M14" s="97">
        <f t="shared" si="1"/>
        <v>176958</v>
      </c>
      <c r="AC14" s="53"/>
    </row>
    <row r="15" spans="1:29" ht="19.5" customHeight="1">
      <c r="A15" s="625" t="s">
        <v>119</v>
      </c>
      <c r="B15" s="92" t="s">
        <v>116</v>
      </c>
      <c r="C15" s="93">
        <v>281154</v>
      </c>
      <c r="D15" s="93">
        <v>210092.5</v>
      </c>
      <c r="E15" s="93">
        <v>145676.5</v>
      </c>
      <c r="F15" s="93">
        <v>144743</v>
      </c>
      <c r="G15" s="93">
        <v>93633</v>
      </c>
      <c r="H15" s="93">
        <v>137292</v>
      </c>
      <c r="I15" s="93">
        <v>91247</v>
      </c>
      <c r="J15" s="93">
        <v>80182</v>
      </c>
      <c r="K15" s="93">
        <v>33735</v>
      </c>
      <c r="L15" s="93">
        <v>22367.5</v>
      </c>
      <c r="M15" s="98">
        <f t="shared" si="1"/>
        <v>1240122.5</v>
      </c>
      <c r="AC15" s="53"/>
    </row>
    <row r="16" spans="1:29" ht="19.5" customHeight="1">
      <c r="A16" s="637"/>
      <c r="B16" s="95" t="s">
        <v>117</v>
      </c>
      <c r="C16" s="96">
        <v>44292</v>
      </c>
      <c r="D16" s="96">
        <v>28318</v>
      </c>
      <c r="E16" s="96">
        <v>26844</v>
      </c>
      <c r="F16" s="96">
        <v>17460</v>
      </c>
      <c r="G16" s="96">
        <v>15273</v>
      </c>
      <c r="H16" s="96">
        <v>17340</v>
      </c>
      <c r="I16" s="96">
        <v>11203</v>
      </c>
      <c r="J16" s="96">
        <v>9873</v>
      </c>
      <c r="K16" s="96">
        <v>3517</v>
      </c>
      <c r="L16" s="96">
        <v>2751</v>
      </c>
      <c r="M16" s="99">
        <f t="shared" si="1"/>
        <v>176871</v>
      </c>
      <c r="AC16" s="53"/>
    </row>
    <row r="17" spans="1:29" ht="19.5" customHeight="1">
      <c r="A17" s="658" t="s">
        <v>120</v>
      </c>
      <c r="B17" s="100" t="s">
        <v>116</v>
      </c>
      <c r="C17" s="101">
        <f aca="true" t="shared" si="2" ref="C17:L18">C11+C13+C15</f>
        <v>653051.5</v>
      </c>
      <c r="D17" s="101">
        <f t="shared" si="2"/>
        <v>505517.5</v>
      </c>
      <c r="E17" s="101">
        <f t="shared" si="2"/>
        <v>344642.5</v>
      </c>
      <c r="F17" s="101">
        <f t="shared" si="2"/>
        <v>411847.5</v>
      </c>
      <c r="G17" s="101">
        <f t="shared" si="2"/>
        <v>233110.5</v>
      </c>
      <c r="H17" s="101">
        <f t="shared" si="2"/>
        <v>308588</v>
      </c>
      <c r="I17" s="101">
        <f t="shared" si="2"/>
        <v>232479</v>
      </c>
      <c r="J17" s="101">
        <f t="shared" si="2"/>
        <v>201395</v>
      </c>
      <c r="K17" s="101">
        <f t="shared" si="2"/>
        <v>90718</v>
      </c>
      <c r="L17" s="101">
        <f t="shared" si="2"/>
        <v>57459.5</v>
      </c>
      <c r="M17" s="102">
        <f t="shared" si="1"/>
        <v>3038809</v>
      </c>
      <c r="AC17" s="53"/>
    </row>
    <row r="18" spans="1:29" ht="19.5" customHeight="1">
      <c r="A18" s="659"/>
      <c r="B18" s="103" t="s">
        <v>117</v>
      </c>
      <c r="C18" s="104">
        <f t="shared" si="2"/>
        <v>106489</v>
      </c>
      <c r="D18" s="104">
        <f t="shared" si="2"/>
        <v>69440</v>
      </c>
      <c r="E18" s="104">
        <f t="shared" si="2"/>
        <v>66288</v>
      </c>
      <c r="F18" s="104">
        <f t="shared" si="2"/>
        <v>49623</v>
      </c>
      <c r="G18" s="104">
        <f t="shared" si="2"/>
        <v>39095</v>
      </c>
      <c r="H18" s="104">
        <f t="shared" si="2"/>
        <v>39081</v>
      </c>
      <c r="I18" s="104">
        <f t="shared" si="2"/>
        <v>28566</v>
      </c>
      <c r="J18" s="104">
        <f t="shared" si="2"/>
        <v>24769</v>
      </c>
      <c r="K18" s="104">
        <f t="shared" si="2"/>
        <v>9490</v>
      </c>
      <c r="L18" s="104">
        <f t="shared" si="2"/>
        <v>7119</v>
      </c>
      <c r="M18" s="105">
        <f t="shared" si="1"/>
        <v>439960</v>
      </c>
      <c r="AC18" s="53"/>
    </row>
    <row r="19" spans="1:13" s="108" customFormat="1" ht="19.5" customHeight="1">
      <c r="A19" s="641" t="s">
        <v>133</v>
      </c>
      <c r="B19" s="642"/>
      <c r="C19" s="106">
        <f aca="true" t="shared" si="3" ref="C19:L19">IF(C18&lt;&gt;0,C18/$M$18*100,"")</f>
        <v>24.20424584053096</v>
      </c>
      <c r="D19" s="106">
        <f t="shared" si="3"/>
        <v>15.783253023002091</v>
      </c>
      <c r="E19" s="106">
        <f t="shared" si="3"/>
        <v>15.066824256750614</v>
      </c>
      <c r="F19" s="106">
        <f t="shared" si="3"/>
        <v>11.278979907264297</v>
      </c>
      <c r="G19" s="106">
        <f t="shared" si="3"/>
        <v>8.886035094099464</v>
      </c>
      <c r="H19" s="106">
        <f t="shared" si="3"/>
        <v>8.882852986635148</v>
      </c>
      <c r="I19" s="106">
        <f t="shared" si="3"/>
        <v>6.492862987544322</v>
      </c>
      <c r="J19" s="106">
        <f t="shared" si="3"/>
        <v>5.629829984544049</v>
      </c>
      <c r="K19" s="106">
        <f t="shared" si="3"/>
        <v>2.1570142740249114</v>
      </c>
      <c r="L19" s="106">
        <f t="shared" si="3"/>
        <v>1.6181016456041457</v>
      </c>
      <c r="M19" s="107"/>
    </row>
    <row r="20" spans="1:29" ht="19.5" customHeight="1">
      <c r="A20" s="643" t="s">
        <v>121</v>
      </c>
      <c r="B20" s="644"/>
      <c r="C20" s="109">
        <v>191074</v>
      </c>
      <c r="D20" s="109">
        <v>100271</v>
      </c>
      <c r="E20" s="109">
        <v>79124</v>
      </c>
      <c r="F20" s="109"/>
      <c r="G20" s="109">
        <v>47578</v>
      </c>
      <c r="H20" s="109"/>
      <c r="I20" s="109">
        <v>49637</v>
      </c>
      <c r="J20" s="109">
        <v>36511</v>
      </c>
      <c r="K20" s="109">
        <v>13369</v>
      </c>
      <c r="L20" s="109">
        <v>14196</v>
      </c>
      <c r="M20" s="110">
        <f>SUM(C20:L20)</f>
        <v>531760</v>
      </c>
      <c r="AC20" s="53"/>
    </row>
    <row r="21" spans="1:29" ht="19.5" customHeight="1">
      <c r="A21" s="645" t="s">
        <v>122</v>
      </c>
      <c r="B21" s="646"/>
      <c r="C21" s="111">
        <f aca="true" t="shared" si="4" ref="C21:L21">IF(C20&lt;&gt;0,(+C18-C20)/C20*100," ")</f>
        <v>-44.26818928791986</v>
      </c>
      <c r="D21" s="111">
        <f t="shared" si="4"/>
        <v>-30.747673803991184</v>
      </c>
      <c r="E21" s="111">
        <f t="shared" si="4"/>
        <v>-16.222637884838985</v>
      </c>
      <c r="F21" s="111" t="str">
        <f t="shared" si="4"/>
        <v> </v>
      </c>
      <c r="G21" s="111">
        <f t="shared" si="4"/>
        <v>-17.8296691748287</v>
      </c>
      <c r="H21" s="111" t="str">
        <f t="shared" si="4"/>
        <v> </v>
      </c>
      <c r="I21" s="111">
        <f t="shared" si="4"/>
        <v>-42.4501883675484</v>
      </c>
      <c r="J21" s="111">
        <f t="shared" si="4"/>
        <v>-32.16017090739777</v>
      </c>
      <c r="K21" s="111">
        <f t="shared" si="4"/>
        <v>-29.014885182137785</v>
      </c>
      <c r="L21" s="111">
        <f t="shared" si="4"/>
        <v>-49.85207100591716</v>
      </c>
      <c r="M21" s="112">
        <f>(+M18-M20)/M20*100</f>
        <v>-17.263427109974426</v>
      </c>
      <c r="AC21" s="53"/>
    </row>
    <row r="22" spans="1:29" ht="19.5" customHeight="1">
      <c r="A22" s="643" t="s">
        <v>123</v>
      </c>
      <c r="B22" s="644"/>
      <c r="C22" s="113">
        <f aca="true" t="shared" si="5" ref="C22:L22">IF(C18&lt;&gt;0,+C18/C10," ")</f>
        <v>383.05395683453236</v>
      </c>
      <c r="D22" s="113">
        <f t="shared" si="5"/>
        <v>410.88757396449705</v>
      </c>
      <c r="E22" s="113">
        <f t="shared" si="5"/>
        <v>534.5806451612904</v>
      </c>
      <c r="F22" s="113">
        <f t="shared" si="5"/>
        <v>511.5773195876289</v>
      </c>
      <c r="G22" s="113">
        <f t="shared" si="5"/>
        <v>488.6875</v>
      </c>
      <c r="H22" s="113">
        <f t="shared" si="5"/>
        <v>528.1216216216217</v>
      </c>
      <c r="I22" s="113">
        <f t="shared" si="5"/>
        <v>340.07142857142856</v>
      </c>
      <c r="J22" s="113">
        <f t="shared" si="5"/>
        <v>399.5</v>
      </c>
      <c r="K22" s="113">
        <f t="shared" si="5"/>
        <v>412.60869565217394</v>
      </c>
      <c r="L22" s="113">
        <f t="shared" si="5"/>
        <v>145.28571428571428</v>
      </c>
      <c r="M22" s="114">
        <f>M18/(SUM(C10:L10))</f>
        <v>423.03846153846155</v>
      </c>
      <c r="AC22" s="53"/>
    </row>
    <row r="23" spans="1:29" ht="19.5" customHeight="1">
      <c r="A23" s="648" t="s">
        <v>124</v>
      </c>
      <c r="B23" s="649"/>
      <c r="C23" s="115">
        <f aca="true" t="shared" si="6" ref="C23:L23">IF(C17&lt;&gt;0,+C17/C18," ")</f>
        <v>6.132572378367719</v>
      </c>
      <c r="D23" s="115">
        <f t="shared" si="6"/>
        <v>7.279917914746544</v>
      </c>
      <c r="E23" s="115">
        <f t="shared" si="6"/>
        <v>5.199168778662805</v>
      </c>
      <c r="F23" s="115">
        <f t="shared" si="6"/>
        <v>8.299528444471314</v>
      </c>
      <c r="G23" s="115">
        <f t="shared" si="6"/>
        <v>5.962667860340197</v>
      </c>
      <c r="H23" s="115">
        <f t="shared" si="6"/>
        <v>7.896113200788107</v>
      </c>
      <c r="I23" s="115">
        <f t="shared" si="6"/>
        <v>8.138311279143037</v>
      </c>
      <c r="J23" s="115">
        <f t="shared" si="6"/>
        <v>8.130929791271347</v>
      </c>
      <c r="K23" s="115">
        <f t="shared" si="6"/>
        <v>9.559325605900948</v>
      </c>
      <c r="L23" s="115">
        <f t="shared" si="6"/>
        <v>8.071288102261553</v>
      </c>
      <c r="M23" s="116">
        <f>M17/M18</f>
        <v>6.907012001091008</v>
      </c>
      <c r="AC23" s="53"/>
    </row>
    <row r="24" spans="1:29" ht="19.5" customHeight="1">
      <c r="A24" s="643" t="s">
        <v>125</v>
      </c>
      <c r="B24" s="644"/>
      <c r="C24" s="117">
        <v>26300929</v>
      </c>
      <c r="D24" s="117">
        <v>3144109</v>
      </c>
      <c r="E24" s="117">
        <v>23880265</v>
      </c>
      <c r="F24" s="117">
        <v>411847.5</v>
      </c>
      <c r="G24" s="117">
        <v>2526670</v>
      </c>
      <c r="H24" s="117">
        <v>308588</v>
      </c>
      <c r="I24" s="117">
        <v>800018</v>
      </c>
      <c r="J24" s="117">
        <v>570541</v>
      </c>
      <c r="K24" s="117">
        <v>528937</v>
      </c>
      <c r="L24" s="117">
        <v>209171</v>
      </c>
      <c r="M24" s="118">
        <f>SUM($C24:$L24)</f>
        <v>58681075.5</v>
      </c>
      <c r="AC24" s="53"/>
    </row>
    <row r="25" spans="1:29" ht="19.5" customHeight="1">
      <c r="A25" s="650" t="s">
        <v>126</v>
      </c>
      <c r="B25" s="651"/>
      <c r="C25" s="119">
        <v>4000682</v>
      </c>
      <c r="D25" s="119">
        <v>448755</v>
      </c>
      <c r="E25" s="119">
        <v>3481935</v>
      </c>
      <c r="F25" s="119">
        <v>49623</v>
      </c>
      <c r="G25" s="119">
        <v>378318</v>
      </c>
      <c r="H25" s="119">
        <v>39081</v>
      </c>
      <c r="I25" s="119">
        <v>99317</v>
      </c>
      <c r="J25" s="119">
        <v>70157</v>
      </c>
      <c r="K25" s="119">
        <v>54509</v>
      </c>
      <c r="L25" s="119">
        <v>27461</v>
      </c>
      <c r="M25" s="120">
        <f>SUM($C25:$L25)</f>
        <v>8649838</v>
      </c>
      <c r="AC25" s="53"/>
    </row>
    <row r="26" spans="1:29" ht="19.5" customHeight="1" thickBot="1">
      <c r="A26" s="652" t="s">
        <v>124</v>
      </c>
      <c r="B26" s="653"/>
      <c r="C26" s="121">
        <f aca="true" t="shared" si="7" ref="C26:L26">IF(C24&lt;&gt;0,+C24/C25," ")</f>
        <v>6.574111364012436</v>
      </c>
      <c r="D26" s="121">
        <f t="shared" si="7"/>
        <v>7.006292966095085</v>
      </c>
      <c r="E26" s="121">
        <f t="shared" si="7"/>
        <v>6.858331646053128</v>
      </c>
      <c r="F26" s="121">
        <f t="shared" si="7"/>
        <v>8.299528444471314</v>
      </c>
      <c r="G26" s="121">
        <f t="shared" si="7"/>
        <v>6.678693585819337</v>
      </c>
      <c r="H26" s="121">
        <f t="shared" si="7"/>
        <v>7.896113200788107</v>
      </c>
      <c r="I26" s="121">
        <f t="shared" si="7"/>
        <v>8.055196995479122</v>
      </c>
      <c r="J26" s="121">
        <f t="shared" si="7"/>
        <v>8.132346023917785</v>
      </c>
      <c r="K26" s="121">
        <f t="shared" si="7"/>
        <v>9.703663615182814</v>
      </c>
      <c r="L26" s="121">
        <f t="shared" si="7"/>
        <v>7.617020501802556</v>
      </c>
      <c r="M26" s="122">
        <f>M24/M25</f>
        <v>6.784066418353731</v>
      </c>
      <c r="AC26" s="53"/>
    </row>
    <row r="27" spans="29:32" ht="11.25">
      <c r="AC27" s="84"/>
      <c r="AD27" s="84"/>
      <c r="AE27" s="84"/>
      <c r="AF27" s="84"/>
    </row>
    <row r="28" spans="29:32" ht="11.25">
      <c r="AC28" s="84"/>
      <c r="AD28" s="84"/>
      <c r="AE28" s="84"/>
      <c r="AF28" s="84"/>
    </row>
    <row r="29" spans="29:32" ht="11.25">
      <c r="AC29" s="84"/>
      <c r="AD29" s="84"/>
      <c r="AE29" s="84"/>
      <c r="AF29" s="84"/>
    </row>
    <row r="30" spans="29:32" ht="11.25">
      <c r="AC30" s="84"/>
      <c r="AD30" s="84"/>
      <c r="AE30" s="84"/>
      <c r="AF30" s="84"/>
    </row>
    <row r="31" spans="29:32" ht="11.25">
      <c r="AC31" s="84"/>
      <c r="AD31" s="84"/>
      <c r="AE31" s="84"/>
      <c r="AF31" s="84"/>
    </row>
    <row r="32" spans="29:32" ht="11.25">
      <c r="AC32" s="84"/>
      <c r="AD32" s="84"/>
      <c r="AE32" s="84"/>
      <c r="AF32" s="84"/>
    </row>
    <row r="33" spans="29:32" ht="11.25">
      <c r="AC33" s="84"/>
      <c r="AD33" s="84"/>
      <c r="AE33" s="84"/>
      <c r="AF33" s="84"/>
    </row>
    <row r="34" spans="29:32" ht="11.25">
      <c r="AC34" s="84"/>
      <c r="AD34" s="84"/>
      <c r="AE34" s="84"/>
      <c r="AF34" s="84"/>
    </row>
    <row r="35" spans="29:32" ht="11.25">
      <c r="AC35" s="84"/>
      <c r="AD35" s="84"/>
      <c r="AE35" s="84"/>
      <c r="AF35" s="84"/>
    </row>
    <row r="36" spans="29:32" ht="11.25">
      <c r="AC36" s="84"/>
      <c r="AD36" s="84"/>
      <c r="AE36" s="84"/>
      <c r="AF36" s="84"/>
    </row>
    <row r="37" spans="29:32" ht="11.25">
      <c r="AC37" s="84"/>
      <c r="AD37" s="84"/>
      <c r="AE37" s="84"/>
      <c r="AF37" s="84"/>
    </row>
    <row r="38" spans="29:32" ht="11.25">
      <c r="AC38" s="84"/>
      <c r="AD38" s="84"/>
      <c r="AE38" s="84"/>
      <c r="AF38" s="84"/>
    </row>
    <row r="39" spans="29:32" ht="11.25">
      <c r="AC39" s="84"/>
      <c r="AD39" s="84"/>
      <c r="AE39" s="84"/>
      <c r="AF39" s="84"/>
    </row>
    <row r="40" spans="29:32" ht="11.25">
      <c r="AC40" s="84"/>
      <c r="AD40" s="84"/>
      <c r="AE40" s="84"/>
      <c r="AF40" s="84"/>
    </row>
    <row r="41" spans="29:32" ht="11.25">
      <c r="AC41" s="84"/>
      <c r="AD41" s="84"/>
      <c r="AE41" s="84"/>
      <c r="AF41" s="84"/>
    </row>
    <row r="42" spans="29:32" ht="11.25">
      <c r="AC42" s="84"/>
      <c r="AD42" s="84"/>
      <c r="AE42" s="84"/>
      <c r="AF42" s="84"/>
    </row>
    <row r="43" spans="29:32" ht="11.25">
      <c r="AC43" s="84"/>
      <c r="AD43" s="84"/>
      <c r="AE43" s="84"/>
      <c r="AF43" s="84"/>
    </row>
    <row r="44" spans="29:32" ht="11.25">
      <c r="AC44" s="84"/>
      <c r="AD44" s="84"/>
      <c r="AE44" s="84"/>
      <c r="AF44" s="84"/>
    </row>
    <row r="45" spans="29:32" ht="11.25">
      <c r="AC45" s="84"/>
      <c r="AD45" s="84"/>
      <c r="AE45" s="84"/>
      <c r="AF45" s="84"/>
    </row>
    <row r="46" spans="29:32" ht="11.25">
      <c r="AC46" s="84"/>
      <c r="AD46" s="84"/>
      <c r="AE46" s="84"/>
      <c r="AF46" s="84"/>
    </row>
    <row r="47" spans="29:32" ht="11.25">
      <c r="AC47" s="84"/>
      <c r="AD47" s="84"/>
      <c r="AE47" s="84"/>
      <c r="AF47" s="84"/>
    </row>
    <row r="48" spans="29:32" ht="11.25">
      <c r="AC48" s="84"/>
      <c r="AD48" s="84"/>
      <c r="AE48" s="84"/>
      <c r="AF48" s="84"/>
    </row>
    <row r="49" spans="29:32" ht="11.25">
      <c r="AC49" s="84"/>
      <c r="AD49" s="84"/>
      <c r="AE49" s="84"/>
      <c r="AF49" s="84"/>
    </row>
    <row r="50" spans="29:32" ht="11.25">
      <c r="AC50" s="84"/>
      <c r="AD50" s="84"/>
      <c r="AE50" s="84"/>
      <c r="AF50" s="84"/>
    </row>
    <row r="51" spans="29:32" ht="11.25">
      <c r="AC51" s="84"/>
      <c r="AD51" s="84"/>
      <c r="AE51" s="84"/>
      <c r="AF51" s="84"/>
    </row>
    <row r="52" spans="29:32" ht="11.25">
      <c r="AC52" s="84"/>
      <c r="AD52" s="84"/>
      <c r="AE52" s="84"/>
      <c r="AF52" s="84"/>
    </row>
    <row r="53" spans="29:32" ht="11.25">
      <c r="AC53" s="84"/>
      <c r="AD53" s="84"/>
      <c r="AE53" s="84"/>
      <c r="AF53" s="84"/>
    </row>
    <row r="54" spans="29:32" ht="11.25">
      <c r="AC54" s="84"/>
      <c r="AD54" s="84"/>
      <c r="AE54" s="84"/>
      <c r="AF54" s="84"/>
    </row>
    <row r="55" spans="29:32" ht="11.25">
      <c r="AC55" s="84"/>
      <c r="AD55" s="84"/>
      <c r="AE55" s="84"/>
      <c r="AF55" s="84"/>
    </row>
    <row r="56" spans="29:32" ht="11.25">
      <c r="AC56" s="84"/>
      <c r="AD56" s="84"/>
      <c r="AE56" s="84"/>
      <c r="AF56" s="84"/>
    </row>
    <row r="57" spans="29:32" ht="11.25">
      <c r="AC57" s="84"/>
      <c r="AD57" s="84"/>
      <c r="AE57" s="84"/>
      <c r="AF57" s="84"/>
    </row>
    <row r="58" spans="29:32" ht="11.25">
      <c r="AC58" s="84"/>
      <c r="AD58" s="84"/>
      <c r="AE58" s="84"/>
      <c r="AF58" s="84"/>
    </row>
    <row r="59" spans="29:32" ht="11.25">
      <c r="AC59" s="84"/>
      <c r="AD59" s="84"/>
      <c r="AE59" s="84"/>
      <c r="AF59" s="84"/>
    </row>
    <row r="60" spans="29:32" ht="11.25">
      <c r="AC60" s="84"/>
      <c r="AD60" s="84"/>
      <c r="AE60" s="84"/>
      <c r="AF60" s="84"/>
    </row>
    <row r="61" spans="29:32" ht="11.25">
      <c r="AC61" s="84"/>
      <c r="AD61" s="84"/>
      <c r="AE61" s="84"/>
      <c r="AF61" s="84"/>
    </row>
    <row r="62" spans="29:32" ht="11.25">
      <c r="AC62" s="84"/>
      <c r="AD62" s="84"/>
      <c r="AE62" s="84"/>
      <c r="AF62" s="84"/>
    </row>
    <row r="63" spans="29:32" ht="11.25">
      <c r="AC63" s="84"/>
      <c r="AD63" s="84"/>
      <c r="AE63" s="84"/>
      <c r="AF63" s="84"/>
    </row>
    <row r="64" spans="29:32" ht="11.25">
      <c r="AC64" s="84"/>
      <c r="AD64" s="84"/>
      <c r="AE64" s="84"/>
      <c r="AF64" s="84"/>
    </row>
    <row r="65" spans="29:32" ht="11.25">
      <c r="AC65" s="84"/>
      <c r="AD65" s="84"/>
      <c r="AE65" s="84"/>
      <c r="AF65" s="84"/>
    </row>
    <row r="66" spans="29:32" ht="11.25">
      <c r="AC66" s="84"/>
      <c r="AD66" s="84"/>
      <c r="AE66" s="84"/>
      <c r="AF66" s="84"/>
    </row>
    <row r="67" spans="29:32" ht="11.25">
      <c r="AC67" s="84"/>
      <c r="AD67" s="84"/>
      <c r="AE67" s="84"/>
      <c r="AF67" s="84"/>
    </row>
    <row r="68" spans="29:32" ht="11.25">
      <c r="AC68" s="84"/>
      <c r="AD68" s="84"/>
      <c r="AE68" s="84"/>
      <c r="AF68" s="84"/>
    </row>
    <row r="69" spans="29:32" ht="11.25">
      <c r="AC69" s="84"/>
      <c r="AD69" s="84"/>
      <c r="AE69" s="84"/>
      <c r="AF69" s="84"/>
    </row>
    <row r="70" spans="29:32" ht="11.25">
      <c r="AC70" s="84"/>
      <c r="AD70" s="84"/>
      <c r="AE70" s="84"/>
      <c r="AF70" s="84"/>
    </row>
    <row r="71" spans="29:32" ht="11.25">
      <c r="AC71" s="84"/>
      <c r="AD71" s="84"/>
      <c r="AE71" s="84"/>
      <c r="AF71" s="84"/>
    </row>
    <row r="72" spans="29:32" ht="11.25">
      <c r="AC72" s="84"/>
      <c r="AD72" s="84"/>
      <c r="AE72" s="84"/>
      <c r="AF72" s="84"/>
    </row>
    <row r="73" spans="29:32" ht="11.25">
      <c r="AC73" s="84"/>
      <c r="AD73" s="84"/>
      <c r="AE73" s="84"/>
      <c r="AF73" s="84"/>
    </row>
    <row r="74" spans="29:32" ht="11.25">
      <c r="AC74" s="84"/>
      <c r="AD74" s="84"/>
      <c r="AE74" s="84"/>
      <c r="AF74" s="84"/>
    </row>
    <row r="75" spans="29:32" ht="11.25">
      <c r="AC75" s="84"/>
      <c r="AD75" s="84"/>
      <c r="AE75" s="84"/>
      <c r="AF75" s="84"/>
    </row>
    <row r="76" spans="29:32" ht="11.25">
      <c r="AC76" s="84"/>
      <c r="AD76" s="84"/>
      <c r="AE76" s="84"/>
      <c r="AF76" s="84"/>
    </row>
    <row r="77" spans="29:32" ht="11.25">
      <c r="AC77" s="84"/>
      <c r="AD77" s="84"/>
      <c r="AE77" s="84"/>
      <c r="AF77" s="84"/>
    </row>
    <row r="78" spans="29:32" ht="11.25">
      <c r="AC78" s="84"/>
      <c r="AD78" s="84"/>
      <c r="AE78" s="84"/>
      <c r="AF78" s="84"/>
    </row>
    <row r="79" spans="29:32" ht="11.25">
      <c r="AC79" s="84"/>
      <c r="AD79" s="84"/>
      <c r="AE79" s="84"/>
      <c r="AF79" s="84"/>
    </row>
    <row r="80" spans="29:32" ht="11.25">
      <c r="AC80" s="84"/>
      <c r="AD80" s="84"/>
      <c r="AE80" s="84"/>
      <c r="AF80" s="84"/>
    </row>
    <row r="81" spans="29:32" ht="11.25">
      <c r="AC81" s="84"/>
      <c r="AD81" s="84"/>
      <c r="AE81" s="84"/>
      <c r="AF81" s="84"/>
    </row>
    <row r="82" spans="29:32" ht="11.25">
      <c r="AC82" s="84"/>
      <c r="AD82" s="84"/>
      <c r="AE82" s="84"/>
      <c r="AF82" s="84"/>
    </row>
    <row r="83" spans="29:32" ht="11.25">
      <c r="AC83" s="84"/>
      <c r="AD83" s="84"/>
      <c r="AE83" s="84"/>
      <c r="AF83" s="84"/>
    </row>
    <row r="84" spans="29:32" ht="11.25">
      <c r="AC84" s="84"/>
      <c r="AD84" s="84"/>
      <c r="AE84" s="84"/>
      <c r="AF84" s="84"/>
    </row>
    <row r="85" spans="29:32" ht="11.25">
      <c r="AC85" s="84"/>
      <c r="AD85" s="84"/>
      <c r="AE85" s="84"/>
      <c r="AF85" s="84"/>
    </row>
    <row r="86" spans="29:32" ht="11.25">
      <c r="AC86" s="84"/>
      <c r="AD86" s="84"/>
      <c r="AE86" s="84"/>
      <c r="AF86" s="84"/>
    </row>
    <row r="87" spans="29:32" ht="11.25">
      <c r="AC87" s="84"/>
      <c r="AD87" s="84"/>
      <c r="AE87" s="84"/>
      <c r="AF87" s="84"/>
    </row>
    <row r="88" spans="29:32" ht="11.25">
      <c r="AC88" s="84"/>
      <c r="AD88" s="84"/>
      <c r="AE88" s="84"/>
      <c r="AF88" s="84"/>
    </row>
    <row r="89" spans="29:32" ht="11.25">
      <c r="AC89" s="84"/>
      <c r="AD89" s="84"/>
      <c r="AE89" s="84"/>
      <c r="AF89" s="84"/>
    </row>
    <row r="90" spans="29:32" ht="11.25">
      <c r="AC90" s="84"/>
      <c r="AD90" s="84"/>
      <c r="AE90" s="84"/>
      <c r="AF90" s="84"/>
    </row>
    <row r="91" spans="29:32" ht="11.25">
      <c r="AC91" s="84"/>
      <c r="AD91" s="84"/>
      <c r="AE91" s="84"/>
      <c r="AF91" s="84"/>
    </row>
    <row r="92" spans="29:32" ht="11.25">
      <c r="AC92" s="84"/>
      <c r="AD92" s="84"/>
      <c r="AE92" s="84"/>
      <c r="AF92" s="84"/>
    </row>
    <row r="93" spans="29:32" ht="11.25">
      <c r="AC93" s="84"/>
      <c r="AD93" s="84"/>
      <c r="AE93" s="84"/>
      <c r="AF93" s="84"/>
    </row>
    <row r="94" spans="29:32" ht="11.25">
      <c r="AC94" s="84"/>
      <c r="AD94" s="84"/>
      <c r="AE94" s="84"/>
      <c r="AF94" s="84"/>
    </row>
    <row r="95" spans="29:32" ht="11.25">
      <c r="AC95" s="84"/>
      <c r="AD95" s="84"/>
      <c r="AE95" s="84"/>
      <c r="AF95" s="84"/>
    </row>
    <row r="96" spans="29:32" ht="11.25">
      <c r="AC96" s="84"/>
      <c r="AD96" s="84"/>
      <c r="AE96" s="84"/>
      <c r="AF96" s="84"/>
    </row>
    <row r="97" spans="29:32" ht="11.25">
      <c r="AC97" s="84"/>
      <c r="AD97" s="84"/>
      <c r="AE97" s="84"/>
      <c r="AF97" s="84"/>
    </row>
    <row r="98" spans="29:32" ht="11.25">
      <c r="AC98" s="84"/>
      <c r="AD98" s="84"/>
      <c r="AE98" s="84"/>
      <c r="AF98" s="84"/>
    </row>
    <row r="99" spans="29:32" ht="11.25">
      <c r="AC99" s="84"/>
      <c r="AD99" s="84"/>
      <c r="AE99" s="84"/>
      <c r="AF99" s="84"/>
    </row>
    <row r="100" spans="29:32" ht="11.25">
      <c r="AC100" s="84"/>
      <c r="AD100" s="84"/>
      <c r="AE100" s="84"/>
      <c r="AF100" s="84"/>
    </row>
    <row r="101" spans="29:32" ht="11.25">
      <c r="AC101" s="84"/>
      <c r="AD101" s="84"/>
      <c r="AE101" s="84"/>
      <c r="AF101" s="84"/>
    </row>
    <row r="102" spans="29:32" ht="11.25">
      <c r="AC102" s="84"/>
      <c r="AD102" s="84"/>
      <c r="AE102" s="84"/>
      <c r="AF102" s="84"/>
    </row>
    <row r="103" spans="29:32" ht="11.25">
      <c r="AC103" s="84"/>
      <c r="AD103" s="84"/>
      <c r="AE103" s="84"/>
      <c r="AF103" s="84"/>
    </row>
    <row r="104" spans="29:32" ht="11.25">
      <c r="AC104" s="84"/>
      <c r="AD104" s="84"/>
      <c r="AE104" s="84"/>
      <c r="AF104" s="84"/>
    </row>
    <row r="105" spans="29:32" ht="11.25">
      <c r="AC105" s="84"/>
      <c r="AD105" s="84"/>
      <c r="AE105" s="84"/>
      <c r="AF105" s="84"/>
    </row>
    <row r="106" spans="29:32" ht="11.25">
      <c r="AC106" s="84"/>
      <c r="AD106" s="84"/>
      <c r="AE106" s="84"/>
      <c r="AF106" s="84"/>
    </row>
    <row r="107" spans="29:32" ht="11.25">
      <c r="AC107" s="84"/>
      <c r="AD107" s="84"/>
      <c r="AE107" s="84"/>
      <c r="AF107" s="84"/>
    </row>
    <row r="108" spans="29:32" ht="11.25">
      <c r="AC108" s="84"/>
      <c r="AD108" s="84"/>
      <c r="AE108" s="84"/>
      <c r="AF108" s="84"/>
    </row>
    <row r="109" spans="29:32" ht="11.25">
      <c r="AC109" s="84"/>
      <c r="AD109" s="84"/>
      <c r="AE109" s="84"/>
      <c r="AF109" s="84"/>
    </row>
    <row r="110" spans="29:32" ht="11.25">
      <c r="AC110" s="84"/>
      <c r="AD110" s="84"/>
      <c r="AE110" s="84"/>
      <c r="AF110" s="84"/>
    </row>
    <row r="111" spans="29:32" ht="11.25">
      <c r="AC111" s="84"/>
      <c r="AD111" s="84"/>
      <c r="AE111" s="84"/>
      <c r="AF111" s="84"/>
    </row>
    <row r="112" spans="29:32" ht="11.25">
      <c r="AC112" s="84"/>
      <c r="AD112" s="84"/>
      <c r="AE112" s="84"/>
      <c r="AF112" s="84"/>
    </row>
    <row r="113" spans="29:32" ht="11.25">
      <c r="AC113" s="84"/>
      <c r="AD113" s="84"/>
      <c r="AE113" s="84"/>
      <c r="AF113" s="84"/>
    </row>
    <row r="114" spans="29:32" ht="11.25">
      <c r="AC114" s="84"/>
      <c r="AD114" s="84"/>
      <c r="AE114" s="84"/>
      <c r="AF114" s="84"/>
    </row>
    <row r="115" spans="29:32" ht="11.25">
      <c r="AC115" s="84"/>
      <c r="AD115" s="84"/>
      <c r="AE115" s="84"/>
      <c r="AF115" s="84"/>
    </row>
    <row r="116" spans="29:32" ht="11.25">
      <c r="AC116" s="84"/>
      <c r="AD116" s="84"/>
      <c r="AE116" s="84"/>
      <c r="AF116" s="84"/>
    </row>
    <row r="117" spans="29:32" ht="11.25">
      <c r="AC117" s="84"/>
      <c r="AD117" s="84"/>
      <c r="AE117" s="84"/>
      <c r="AF117" s="84"/>
    </row>
    <row r="118" spans="29:32" ht="11.25">
      <c r="AC118" s="84"/>
      <c r="AD118" s="84"/>
      <c r="AE118" s="84"/>
      <c r="AF118" s="84"/>
    </row>
    <row r="119" spans="29:32" ht="11.25">
      <c r="AC119" s="84"/>
      <c r="AD119" s="84"/>
      <c r="AE119" s="84"/>
      <c r="AF119" s="84"/>
    </row>
    <row r="120" spans="29:32" ht="11.25">
      <c r="AC120" s="84"/>
      <c r="AD120" s="84"/>
      <c r="AE120" s="84"/>
      <c r="AF120" s="84"/>
    </row>
    <row r="121" spans="29:32" ht="11.25">
      <c r="AC121" s="84"/>
      <c r="AD121" s="84"/>
      <c r="AE121" s="84"/>
      <c r="AF121" s="84"/>
    </row>
    <row r="122" spans="29:32" ht="11.25">
      <c r="AC122" s="84"/>
      <c r="AD122" s="84"/>
      <c r="AE122" s="84"/>
      <c r="AF122" s="84"/>
    </row>
    <row r="123" spans="29:32" ht="11.25">
      <c r="AC123" s="84"/>
      <c r="AD123" s="84"/>
      <c r="AE123" s="84"/>
      <c r="AF123" s="84"/>
    </row>
    <row r="124" spans="29:32" ht="11.25">
      <c r="AC124" s="84"/>
      <c r="AD124" s="84"/>
      <c r="AE124" s="84"/>
      <c r="AF124" s="84"/>
    </row>
    <row r="125" spans="29:32" ht="11.25">
      <c r="AC125" s="84"/>
      <c r="AD125" s="84"/>
      <c r="AE125" s="84"/>
      <c r="AF125" s="84"/>
    </row>
    <row r="126" spans="29:32" ht="11.25">
      <c r="AC126" s="84"/>
      <c r="AD126" s="84"/>
      <c r="AE126" s="84"/>
      <c r="AF126" s="84"/>
    </row>
    <row r="127" spans="29:32" ht="11.25">
      <c r="AC127" s="84"/>
      <c r="AD127" s="84"/>
      <c r="AE127" s="84"/>
      <c r="AF127" s="84"/>
    </row>
    <row r="128" spans="29:32" ht="11.25">
      <c r="AC128" s="84"/>
      <c r="AD128" s="84"/>
      <c r="AE128" s="84"/>
      <c r="AF128" s="84"/>
    </row>
    <row r="129" spans="29:32" ht="11.25">
      <c r="AC129" s="84"/>
      <c r="AD129" s="84"/>
      <c r="AE129" s="84"/>
      <c r="AF129" s="84"/>
    </row>
    <row r="130" spans="29:32" ht="11.25">
      <c r="AC130" s="84"/>
      <c r="AD130" s="84"/>
      <c r="AE130" s="84"/>
      <c r="AF130" s="84"/>
    </row>
    <row r="131" spans="29:32" ht="11.25">
      <c r="AC131" s="84"/>
      <c r="AD131" s="84"/>
      <c r="AE131" s="84"/>
      <c r="AF131" s="84"/>
    </row>
    <row r="132" spans="29:32" ht="11.25">
      <c r="AC132" s="84"/>
      <c r="AD132" s="84"/>
      <c r="AE132" s="84"/>
      <c r="AF132" s="84"/>
    </row>
    <row r="133" spans="29:32" ht="11.25">
      <c r="AC133" s="84"/>
      <c r="AD133" s="84"/>
      <c r="AE133" s="84"/>
      <c r="AF133" s="84"/>
    </row>
    <row r="134" spans="29:32" ht="11.25">
      <c r="AC134" s="84"/>
      <c r="AD134" s="84"/>
      <c r="AE134" s="84"/>
      <c r="AF134" s="84"/>
    </row>
    <row r="135" spans="29:32" ht="11.25">
      <c r="AC135" s="84"/>
      <c r="AD135" s="84"/>
      <c r="AE135" s="84"/>
      <c r="AF135" s="84"/>
    </row>
    <row r="136" spans="29:32" ht="11.25">
      <c r="AC136" s="84"/>
      <c r="AD136" s="84"/>
      <c r="AE136" s="84"/>
      <c r="AF136" s="84"/>
    </row>
    <row r="137" spans="29:32" ht="11.25">
      <c r="AC137" s="84"/>
      <c r="AD137" s="84"/>
      <c r="AE137" s="84"/>
      <c r="AF137" s="84"/>
    </row>
    <row r="138" spans="29:32" ht="11.25">
      <c r="AC138" s="84"/>
      <c r="AD138" s="84"/>
      <c r="AE138" s="84"/>
      <c r="AF138" s="84"/>
    </row>
    <row r="139" spans="29:32" ht="11.25">
      <c r="AC139" s="84"/>
      <c r="AD139" s="84"/>
      <c r="AE139" s="84"/>
      <c r="AF139" s="84"/>
    </row>
    <row r="140" spans="29:32" ht="11.25">
      <c r="AC140" s="84"/>
      <c r="AD140" s="84"/>
      <c r="AE140" s="84"/>
      <c r="AF140" s="84"/>
    </row>
    <row r="141" spans="29:32" ht="11.25">
      <c r="AC141" s="84"/>
      <c r="AD141" s="84"/>
      <c r="AE141" s="84"/>
      <c r="AF141" s="84"/>
    </row>
    <row r="142" spans="29:32" ht="11.25">
      <c r="AC142" s="84"/>
      <c r="AD142" s="84"/>
      <c r="AE142" s="84"/>
      <c r="AF142" s="84"/>
    </row>
    <row r="143" spans="29:32" ht="11.25">
      <c r="AC143" s="84"/>
      <c r="AD143" s="84"/>
      <c r="AE143" s="84"/>
      <c r="AF143" s="84"/>
    </row>
    <row r="144" spans="29:32" ht="11.25">
      <c r="AC144" s="84"/>
      <c r="AD144" s="84"/>
      <c r="AE144" s="84"/>
      <c r="AF144" s="84"/>
    </row>
    <row r="145" spans="29:32" ht="11.25">
      <c r="AC145" s="84"/>
      <c r="AD145" s="84"/>
      <c r="AE145" s="84"/>
      <c r="AF145" s="84"/>
    </row>
    <row r="146" spans="29:32" ht="11.25">
      <c r="AC146" s="84"/>
      <c r="AD146" s="84"/>
      <c r="AE146" s="84"/>
      <c r="AF146" s="84"/>
    </row>
    <row r="147" spans="29:32" ht="11.25">
      <c r="AC147" s="84"/>
      <c r="AD147" s="84"/>
      <c r="AE147" s="84"/>
      <c r="AF147" s="84"/>
    </row>
    <row r="148" spans="29:32" ht="11.25">
      <c r="AC148" s="84"/>
      <c r="AD148" s="84"/>
      <c r="AE148" s="84"/>
      <c r="AF148" s="84"/>
    </row>
    <row r="149" spans="29:32" ht="11.25">
      <c r="AC149" s="84"/>
      <c r="AD149" s="84"/>
      <c r="AE149" s="84"/>
      <c r="AF149" s="84"/>
    </row>
    <row r="150" spans="29:32" ht="11.25">
      <c r="AC150" s="84"/>
      <c r="AD150" s="84"/>
      <c r="AE150" s="84"/>
      <c r="AF150" s="84"/>
    </row>
    <row r="151" spans="29:32" ht="11.25">
      <c r="AC151" s="84"/>
      <c r="AD151" s="84"/>
      <c r="AE151" s="84"/>
      <c r="AF151" s="84"/>
    </row>
    <row r="152" spans="29:32" ht="11.25">
      <c r="AC152" s="84"/>
      <c r="AD152" s="84"/>
      <c r="AE152" s="84"/>
      <c r="AF152" s="84"/>
    </row>
    <row r="153" spans="29:32" ht="11.25">
      <c r="AC153" s="84"/>
      <c r="AD153" s="84"/>
      <c r="AE153" s="84"/>
      <c r="AF153" s="84"/>
    </row>
    <row r="154" spans="29:32" ht="11.25">
      <c r="AC154" s="84"/>
      <c r="AD154" s="84"/>
      <c r="AE154" s="84"/>
      <c r="AF154" s="84"/>
    </row>
    <row r="155" spans="29:32" ht="11.25">
      <c r="AC155" s="84"/>
      <c r="AD155" s="84"/>
      <c r="AE155" s="84"/>
      <c r="AF155" s="84"/>
    </row>
    <row r="156" spans="29:32" ht="11.25">
      <c r="AC156" s="84"/>
      <c r="AD156" s="84"/>
      <c r="AE156" s="84"/>
      <c r="AF156" s="84"/>
    </row>
    <row r="157" spans="29:32" ht="11.25">
      <c r="AC157" s="84"/>
      <c r="AD157" s="84"/>
      <c r="AE157" s="84"/>
      <c r="AF157" s="84"/>
    </row>
    <row r="158" spans="29:32" ht="11.25">
      <c r="AC158" s="84"/>
      <c r="AD158" s="84"/>
      <c r="AE158" s="84"/>
      <c r="AF158" s="84"/>
    </row>
    <row r="159" spans="29:32" ht="11.25">
      <c r="AC159" s="84"/>
      <c r="AD159" s="84"/>
      <c r="AE159" s="84"/>
      <c r="AF159" s="84"/>
    </row>
    <row r="160" spans="29:32" ht="11.25">
      <c r="AC160" s="84"/>
      <c r="AD160" s="84"/>
      <c r="AE160" s="84"/>
      <c r="AF160" s="84"/>
    </row>
    <row r="161" spans="29:32" ht="11.25">
      <c r="AC161" s="84"/>
      <c r="AD161" s="84"/>
      <c r="AE161" s="84"/>
      <c r="AF161" s="84"/>
    </row>
    <row r="162" spans="29:32" ht="11.25">
      <c r="AC162" s="84"/>
      <c r="AD162" s="84"/>
      <c r="AE162" s="84"/>
      <c r="AF162" s="84"/>
    </row>
    <row r="163" spans="29:32" ht="11.25">
      <c r="AC163" s="84"/>
      <c r="AD163" s="84"/>
      <c r="AE163" s="84"/>
      <c r="AF163" s="84"/>
    </row>
    <row r="164" spans="29:32" ht="11.25">
      <c r="AC164" s="84"/>
      <c r="AD164" s="84"/>
      <c r="AE164" s="84"/>
      <c r="AF164" s="84"/>
    </row>
    <row r="165" spans="29:32" ht="11.25">
      <c r="AC165" s="84"/>
      <c r="AD165" s="84"/>
      <c r="AE165" s="84"/>
      <c r="AF165" s="84"/>
    </row>
    <row r="166" spans="29:32" ht="11.25">
      <c r="AC166" s="84"/>
      <c r="AD166" s="84"/>
      <c r="AE166" s="84"/>
      <c r="AF166" s="84"/>
    </row>
    <row r="167" spans="29:32" ht="11.25">
      <c r="AC167" s="84"/>
      <c r="AD167" s="84"/>
      <c r="AE167" s="84"/>
      <c r="AF167" s="84"/>
    </row>
    <row r="168" spans="29:32" ht="11.25">
      <c r="AC168" s="84"/>
      <c r="AD168" s="84"/>
      <c r="AE168" s="84"/>
      <c r="AF168" s="84"/>
    </row>
    <row r="169" spans="29:32" ht="11.25">
      <c r="AC169" s="84"/>
      <c r="AD169" s="84"/>
      <c r="AE169" s="84"/>
      <c r="AF169" s="84"/>
    </row>
  </sheetData>
  <mergeCells count="20">
    <mergeCell ref="A23:B23"/>
    <mergeCell ref="A24:B24"/>
    <mergeCell ref="A25:B25"/>
    <mergeCell ref="A26:B26"/>
    <mergeCell ref="A19:B19"/>
    <mergeCell ref="A20:B20"/>
    <mergeCell ref="A21:B21"/>
    <mergeCell ref="A22:B22"/>
    <mergeCell ref="A11:A12"/>
    <mergeCell ref="A13:A14"/>
    <mergeCell ref="A15:A16"/>
    <mergeCell ref="A17:A18"/>
    <mergeCell ref="A1:M1"/>
    <mergeCell ref="C2:M2"/>
    <mergeCell ref="M3:M10"/>
    <mergeCell ref="A5:B5"/>
    <mergeCell ref="A6:B6"/>
    <mergeCell ref="A7:B8"/>
    <mergeCell ref="A9:B9"/>
    <mergeCell ref="A10:B1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O168"/>
  <sheetViews>
    <sheetView zoomScale="90" zoomScaleNormal="90" workbookViewId="0" topLeftCell="A1">
      <selection activeCell="C17" sqref="C17"/>
    </sheetView>
  </sheetViews>
  <sheetFormatPr defaultColWidth="9.140625" defaultRowHeight="12.75"/>
  <cols>
    <col min="1" max="1" width="9.28125" style="53" bestFit="1" customWidth="1"/>
    <col min="2" max="2" width="10.28125" style="53" bestFit="1" customWidth="1"/>
    <col min="3" max="3" width="10.57421875" style="53" bestFit="1" customWidth="1"/>
    <col min="4" max="4" width="13.28125" style="53" bestFit="1" customWidth="1"/>
    <col min="5" max="5" width="13.8515625" style="53" bestFit="1" customWidth="1"/>
    <col min="6" max="6" width="14.7109375" style="53" bestFit="1" customWidth="1"/>
    <col min="7" max="7" width="11.57421875" style="53" bestFit="1" customWidth="1"/>
    <col min="8" max="8" width="13.140625" style="53" bestFit="1" customWidth="1"/>
    <col min="9" max="9" width="11.57421875" style="53" bestFit="1" customWidth="1"/>
    <col min="10" max="10" width="12.28125" style="53" bestFit="1" customWidth="1"/>
    <col min="11" max="11" width="13.8515625" style="53" bestFit="1" customWidth="1"/>
    <col min="12" max="12" width="12.421875" style="53" bestFit="1" customWidth="1"/>
    <col min="13" max="13" width="12.57421875" style="53" bestFit="1" customWidth="1"/>
    <col min="14" max="14" width="9.8515625" style="53" bestFit="1" customWidth="1"/>
    <col min="15" max="15" width="12.57421875" style="53" bestFit="1" customWidth="1"/>
    <col min="16" max="16" width="10.8515625" style="53" bestFit="1" customWidth="1"/>
    <col min="17" max="17" width="11.57421875" style="53" bestFit="1" customWidth="1"/>
    <col min="18" max="18" width="9.140625" style="53" customWidth="1"/>
    <col min="19" max="19" width="14.00390625" style="53" bestFit="1" customWidth="1"/>
    <col min="20" max="20" width="10.57421875" style="53" bestFit="1" customWidth="1"/>
    <col min="21" max="21" width="12.140625" style="53" bestFit="1" customWidth="1"/>
    <col min="22" max="22" width="10.8515625" style="53" bestFit="1" customWidth="1"/>
    <col min="23" max="37" width="15.140625" style="53" customWidth="1"/>
    <col min="38" max="38" width="15.140625" style="54" customWidth="1"/>
    <col min="39" max="16384" width="15.140625" style="53" customWidth="1"/>
  </cols>
  <sheetData>
    <row r="1" spans="1:38" ht="62.25" customHeight="1" thickBot="1">
      <c r="A1" s="660" t="s">
        <v>62</v>
      </c>
      <c r="B1" s="661"/>
      <c r="C1" s="661"/>
      <c r="D1" s="661"/>
      <c r="E1" s="661"/>
      <c r="F1" s="661"/>
      <c r="G1" s="661"/>
      <c r="H1" s="661"/>
      <c r="I1" s="661"/>
      <c r="J1" s="661"/>
      <c r="K1" s="661"/>
      <c r="L1" s="661"/>
      <c r="M1" s="661"/>
      <c r="N1" s="661"/>
      <c r="O1" s="661"/>
      <c r="P1" s="661"/>
      <c r="Q1" s="661"/>
      <c r="R1" s="661"/>
      <c r="S1" s="661"/>
      <c r="T1" s="661"/>
      <c r="U1" s="661"/>
      <c r="V1" s="661"/>
      <c r="AD1" s="54"/>
      <c r="AL1" s="53"/>
    </row>
    <row r="2" spans="1:30" ht="16.5" thickBot="1">
      <c r="A2" s="662" t="s">
        <v>63</v>
      </c>
      <c r="B2" s="663"/>
      <c r="C2" s="663"/>
      <c r="D2" s="663"/>
      <c r="E2" s="663"/>
      <c r="F2" s="663"/>
      <c r="G2" s="663"/>
      <c r="H2" s="663"/>
      <c r="I2" s="663"/>
      <c r="J2" s="663"/>
      <c r="K2" s="663"/>
      <c r="L2" s="663"/>
      <c r="M2" s="663"/>
      <c r="N2" s="663"/>
      <c r="O2" s="663"/>
      <c r="P2" s="663"/>
      <c r="Q2" s="663"/>
      <c r="R2" s="663"/>
      <c r="S2" s="663"/>
      <c r="T2" s="663"/>
      <c r="U2" s="663"/>
      <c r="V2" s="663"/>
      <c r="W2" s="55"/>
      <c r="X2" s="55"/>
      <c r="Y2" s="55"/>
      <c r="Z2" s="55"/>
      <c r="AA2" s="55"/>
      <c r="AB2" s="55"/>
      <c r="AC2" s="55"/>
      <c r="AD2" s="55"/>
    </row>
    <row r="3" spans="1:38" ht="11.25">
      <c r="A3" s="56"/>
      <c r="B3" s="57"/>
      <c r="C3" s="58">
        <f aca="true" t="shared" si="0" ref="C3:V3">COLUMN()-2</f>
        <v>1</v>
      </c>
      <c r="D3" s="58">
        <f t="shared" si="0"/>
        <v>2</v>
      </c>
      <c r="E3" s="58">
        <f t="shared" si="0"/>
        <v>3</v>
      </c>
      <c r="F3" s="58">
        <f t="shared" si="0"/>
        <v>4</v>
      </c>
      <c r="G3" s="58">
        <f t="shared" si="0"/>
        <v>5</v>
      </c>
      <c r="H3" s="58">
        <f t="shared" si="0"/>
        <v>6</v>
      </c>
      <c r="I3" s="58">
        <f t="shared" si="0"/>
        <v>7</v>
      </c>
      <c r="J3" s="58">
        <f t="shared" si="0"/>
        <v>8</v>
      </c>
      <c r="K3" s="58">
        <f t="shared" si="0"/>
        <v>9</v>
      </c>
      <c r="L3" s="58">
        <f t="shared" si="0"/>
        <v>10</v>
      </c>
      <c r="M3" s="58">
        <f t="shared" si="0"/>
        <v>11</v>
      </c>
      <c r="N3" s="58">
        <f t="shared" si="0"/>
        <v>12</v>
      </c>
      <c r="O3" s="58">
        <f t="shared" si="0"/>
        <v>13</v>
      </c>
      <c r="P3" s="58">
        <f t="shared" si="0"/>
        <v>14</v>
      </c>
      <c r="Q3" s="58">
        <f t="shared" si="0"/>
        <v>15</v>
      </c>
      <c r="R3" s="58">
        <f t="shared" si="0"/>
        <v>16</v>
      </c>
      <c r="S3" s="58">
        <f t="shared" si="0"/>
        <v>17</v>
      </c>
      <c r="T3" s="58">
        <f t="shared" si="0"/>
        <v>18</v>
      </c>
      <c r="U3" s="58">
        <f t="shared" si="0"/>
        <v>19</v>
      </c>
      <c r="V3" s="58">
        <f t="shared" si="0"/>
        <v>20</v>
      </c>
      <c r="AL3" s="53"/>
    </row>
    <row r="4" spans="1:38" ht="34.5" thickBot="1">
      <c r="A4" s="59"/>
      <c r="B4" s="60"/>
      <c r="C4" s="61" t="s">
        <v>64</v>
      </c>
      <c r="D4" s="61" t="s">
        <v>65</v>
      </c>
      <c r="E4" s="61" t="s">
        <v>66</v>
      </c>
      <c r="F4" s="61" t="s">
        <v>67</v>
      </c>
      <c r="G4" s="61" t="s">
        <v>68</v>
      </c>
      <c r="H4" s="61" t="s">
        <v>69</v>
      </c>
      <c r="I4" s="61" t="s">
        <v>70</v>
      </c>
      <c r="J4" s="61" t="s">
        <v>71</v>
      </c>
      <c r="K4" s="61" t="s">
        <v>72</v>
      </c>
      <c r="L4" s="61" t="s">
        <v>73</v>
      </c>
      <c r="M4" s="61" t="s">
        <v>74</v>
      </c>
      <c r="N4" s="61" t="s">
        <v>75</v>
      </c>
      <c r="O4" s="61" t="s">
        <v>76</v>
      </c>
      <c r="P4" s="61" t="s">
        <v>77</v>
      </c>
      <c r="Q4" s="61" t="s">
        <v>78</v>
      </c>
      <c r="R4" s="61" t="s">
        <v>79</v>
      </c>
      <c r="S4" s="61" t="s">
        <v>80</v>
      </c>
      <c r="T4" s="61" t="s">
        <v>81</v>
      </c>
      <c r="U4" s="61" t="s">
        <v>82</v>
      </c>
      <c r="V4" s="61" t="s">
        <v>83</v>
      </c>
      <c r="AL4" s="53"/>
    </row>
    <row r="5" spans="1:38" ht="13.5">
      <c r="A5" s="629" t="s">
        <v>84</v>
      </c>
      <c r="B5" s="630"/>
      <c r="C5" s="62">
        <v>38786</v>
      </c>
      <c r="D5" s="62">
        <v>38751</v>
      </c>
      <c r="E5" s="62">
        <v>38765</v>
      </c>
      <c r="F5" s="62">
        <v>38674</v>
      </c>
      <c r="G5" s="62">
        <v>38758</v>
      </c>
      <c r="H5" s="62">
        <v>38779</v>
      </c>
      <c r="I5" s="62" t="s">
        <v>85</v>
      </c>
      <c r="J5" s="62">
        <v>38786</v>
      </c>
      <c r="K5" s="62">
        <v>38772</v>
      </c>
      <c r="L5" s="62">
        <v>38751</v>
      </c>
      <c r="M5" s="62">
        <v>38892</v>
      </c>
      <c r="N5" s="62">
        <v>38786</v>
      </c>
      <c r="O5" s="62">
        <v>38765</v>
      </c>
      <c r="P5" s="62" t="s">
        <v>85</v>
      </c>
      <c r="Q5" s="62">
        <v>38751</v>
      </c>
      <c r="R5" s="62">
        <v>38779</v>
      </c>
      <c r="S5" s="62">
        <v>38786</v>
      </c>
      <c r="T5" s="62">
        <v>38737</v>
      </c>
      <c r="U5" s="62">
        <v>38765</v>
      </c>
      <c r="V5" s="62">
        <v>38779</v>
      </c>
      <c r="AL5" s="53"/>
    </row>
    <row r="6" spans="1:38" ht="13.5">
      <c r="A6" s="631" t="s">
        <v>86</v>
      </c>
      <c r="B6" s="626"/>
      <c r="C6" s="63">
        <v>88</v>
      </c>
      <c r="D6" s="63">
        <v>277</v>
      </c>
      <c r="E6" s="63">
        <v>164</v>
      </c>
      <c r="F6" s="63">
        <v>135</v>
      </c>
      <c r="G6" s="63">
        <v>80</v>
      </c>
      <c r="H6" s="63">
        <v>96</v>
      </c>
      <c r="I6" s="63">
        <v>72</v>
      </c>
      <c r="J6" s="63">
        <v>63</v>
      </c>
      <c r="K6" s="63">
        <v>83</v>
      </c>
      <c r="L6" s="63">
        <v>62</v>
      </c>
      <c r="M6" s="63">
        <v>48</v>
      </c>
      <c r="N6" s="63">
        <v>30</v>
      </c>
      <c r="O6" s="63">
        <v>23</v>
      </c>
      <c r="P6" s="63">
        <v>49</v>
      </c>
      <c r="Q6" s="63">
        <v>51</v>
      </c>
      <c r="R6" s="63">
        <v>10</v>
      </c>
      <c r="S6" s="63">
        <v>4</v>
      </c>
      <c r="T6" s="63">
        <v>43</v>
      </c>
      <c r="U6" s="63">
        <v>41</v>
      </c>
      <c r="V6" s="63">
        <v>8</v>
      </c>
      <c r="AL6" s="53"/>
    </row>
    <row r="7" spans="1:22" s="66" customFormat="1" ht="13.5">
      <c r="A7" s="625" t="s">
        <v>87</v>
      </c>
      <c r="B7" s="636"/>
      <c r="C7" s="65" t="s">
        <v>88</v>
      </c>
      <c r="D7" s="65" t="s">
        <v>89</v>
      </c>
      <c r="E7" s="65" t="s">
        <v>89</v>
      </c>
      <c r="F7" s="65" t="s">
        <v>90</v>
      </c>
      <c r="G7" s="65" t="s">
        <v>90</v>
      </c>
      <c r="H7" s="65" t="s">
        <v>91</v>
      </c>
      <c r="I7" s="65" t="s">
        <v>92</v>
      </c>
      <c r="J7" s="65" t="s">
        <v>92</v>
      </c>
      <c r="K7" s="65" t="s">
        <v>91</v>
      </c>
      <c r="L7" s="65" t="s">
        <v>92</v>
      </c>
      <c r="M7" s="65" t="s">
        <v>91</v>
      </c>
      <c r="N7" s="65" t="s">
        <v>90</v>
      </c>
      <c r="O7" s="65" t="s">
        <v>91</v>
      </c>
      <c r="P7" s="65" t="s">
        <v>90</v>
      </c>
      <c r="Q7" s="65" t="s">
        <v>92</v>
      </c>
      <c r="R7" s="65" t="s">
        <v>93</v>
      </c>
      <c r="S7" s="65" t="s">
        <v>94</v>
      </c>
      <c r="T7" s="65" t="s">
        <v>95</v>
      </c>
      <c r="U7" s="65" t="s">
        <v>92</v>
      </c>
      <c r="V7" s="65" t="s">
        <v>96</v>
      </c>
    </row>
    <row r="8" spans="1:22" s="66" customFormat="1" ht="13.5">
      <c r="A8" s="637"/>
      <c r="B8" s="638"/>
      <c r="C8" s="67" t="s">
        <v>97</v>
      </c>
      <c r="D8" s="67" t="s">
        <v>98</v>
      </c>
      <c r="E8" s="67" t="s">
        <v>99</v>
      </c>
      <c r="F8" s="67" t="s">
        <v>100</v>
      </c>
      <c r="G8" s="67" t="s">
        <v>101</v>
      </c>
      <c r="H8" s="67" t="s">
        <v>97</v>
      </c>
      <c r="I8" s="67" t="s">
        <v>102</v>
      </c>
      <c r="J8" s="67" t="s">
        <v>103</v>
      </c>
      <c r="K8" s="67" t="s">
        <v>104</v>
      </c>
      <c r="L8" s="67" t="s">
        <v>105</v>
      </c>
      <c r="M8" s="67" t="s">
        <v>104</v>
      </c>
      <c r="N8" s="67" t="s">
        <v>106</v>
      </c>
      <c r="O8" s="67" t="s">
        <v>107</v>
      </c>
      <c r="P8" s="67" t="s">
        <v>108</v>
      </c>
      <c r="Q8" s="67" t="s">
        <v>105</v>
      </c>
      <c r="R8" s="67" t="s">
        <v>109</v>
      </c>
      <c r="S8" s="67" t="s">
        <v>110</v>
      </c>
      <c r="T8" s="67" t="s">
        <v>111</v>
      </c>
      <c r="U8" s="67" t="s">
        <v>103</v>
      </c>
      <c r="V8" s="67" t="s">
        <v>112</v>
      </c>
    </row>
    <row r="9" spans="1:38" ht="13.5">
      <c r="A9" s="631" t="s">
        <v>113</v>
      </c>
      <c r="B9" s="626"/>
      <c r="C9" s="63">
        <v>1</v>
      </c>
      <c r="D9" s="63">
        <v>6</v>
      </c>
      <c r="E9" s="63">
        <v>4</v>
      </c>
      <c r="F9" s="63">
        <v>17</v>
      </c>
      <c r="G9" s="63">
        <v>5</v>
      </c>
      <c r="H9" s="63">
        <v>2</v>
      </c>
      <c r="I9" s="63">
        <v>2</v>
      </c>
      <c r="J9" s="63">
        <v>1</v>
      </c>
      <c r="K9" s="63">
        <v>3</v>
      </c>
      <c r="L9" s="63">
        <v>3</v>
      </c>
      <c r="M9" s="63">
        <v>22</v>
      </c>
      <c r="N9" s="63">
        <v>1</v>
      </c>
      <c r="O9" s="63">
        <v>4</v>
      </c>
      <c r="P9" s="63">
        <v>3</v>
      </c>
      <c r="Q9" s="63">
        <v>6</v>
      </c>
      <c r="R9" s="63">
        <v>1</v>
      </c>
      <c r="S9" s="63">
        <v>1</v>
      </c>
      <c r="T9" s="63">
        <v>8</v>
      </c>
      <c r="U9" s="63">
        <v>4</v>
      </c>
      <c r="V9" s="63">
        <v>2</v>
      </c>
      <c r="AL9" s="53"/>
    </row>
    <row r="10" spans="1:38" ht="13.5">
      <c r="A10" s="631" t="s">
        <v>114</v>
      </c>
      <c r="B10" s="626"/>
      <c r="C10" s="68">
        <v>93</v>
      </c>
      <c r="D10" s="68">
        <v>229</v>
      </c>
      <c r="E10" s="68">
        <v>163</v>
      </c>
      <c r="F10" s="68">
        <v>120</v>
      </c>
      <c r="G10" s="68">
        <v>80</v>
      </c>
      <c r="H10" s="68">
        <v>96</v>
      </c>
      <c r="I10" s="68">
        <v>72</v>
      </c>
      <c r="J10" s="68">
        <v>65</v>
      </c>
      <c r="K10" s="68">
        <v>73</v>
      </c>
      <c r="L10" s="68">
        <v>63</v>
      </c>
      <c r="M10" s="68">
        <v>17</v>
      </c>
      <c r="N10" s="68">
        <v>30</v>
      </c>
      <c r="O10" s="68">
        <v>22</v>
      </c>
      <c r="P10" s="68">
        <v>49</v>
      </c>
      <c r="Q10" s="68">
        <v>21</v>
      </c>
      <c r="R10" s="68">
        <v>10</v>
      </c>
      <c r="S10" s="68">
        <v>6</v>
      </c>
      <c r="T10" s="68">
        <v>5</v>
      </c>
      <c r="U10" s="68">
        <v>16</v>
      </c>
      <c r="V10" s="68">
        <v>8</v>
      </c>
      <c r="W10" s="69"/>
      <c r="X10" s="69"/>
      <c r="Y10" s="69"/>
      <c r="Z10" s="69"/>
      <c r="AA10" s="69"/>
      <c r="AB10" s="69"/>
      <c r="AC10" s="69"/>
      <c r="AD10" s="69"/>
      <c r="AL10" s="53"/>
    </row>
    <row r="11" spans="1:38" ht="13.5">
      <c r="A11" s="625" t="s">
        <v>115</v>
      </c>
      <c r="B11" s="64" t="s">
        <v>116</v>
      </c>
      <c r="C11" s="70">
        <v>125561</v>
      </c>
      <c r="D11" s="70">
        <v>65306.5</v>
      </c>
      <c r="E11" s="70">
        <v>55822.5</v>
      </c>
      <c r="F11" s="70">
        <v>50586</v>
      </c>
      <c r="G11" s="70">
        <v>31391</v>
      </c>
      <c r="H11" s="70">
        <v>49174.5</v>
      </c>
      <c r="I11" s="70">
        <v>23455</v>
      </c>
      <c r="J11" s="70">
        <v>44293</v>
      </c>
      <c r="K11" s="70">
        <v>20376.5</v>
      </c>
      <c r="L11" s="70">
        <v>10646</v>
      </c>
      <c r="M11" s="70">
        <v>26546</v>
      </c>
      <c r="N11" s="70">
        <v>11536</v>
      </c>
      <c r="O11" s="70">
        <v>9869</v>
      </c>
      <c r="P11" s="70">
        <v>5347</v>
      </c>
      <c r="Q11" s="70">
        <v>4934</v>
      </c>
      <c r="R11" s="70">
        <v>3941</v>
      </c>
      <c r="S11" s="70">
        <v>4627</v>
      </c>
      <c r="T11" s="70">
        <v>1055.5</v>
      </c>
      <c r="U11" s="70">
        <v>1683</v>
      </c>
      <c r="V11" s="70">
        <v>2083.5</v>
      </c>
      <c r="AL11" s="53"/>
    </row>
    <row r="12" spans="1:38" ht="13.5">
      <c r="A12" s="637"/>
      <c r="B12" s="71" t="s">
        <v>117</v>
      </c>
      <c r="C12" s="72">
        <v>16615</v>
      </c>
      <c r="D12" s="72">
        <v>14882</v>
      </c>
      <c r="E12" s="72">
        <v>8135</v>
      </c>
      <c r="F12" s="72">
        <v>9678</v>
      </c>
      <c r="G12" s="72">
        <v>6444</v>
      </c>
      <c r="H12" s="72">
        <v>6096</v>
      </c>
      <c r="I12" s="72">
        <v>3538</v>
      </c>
      <c r="J12" s="72">
        <v>5049</v>
      </c>
      <c r="K12" s="72">
        <v>2731</v>
      </c>
      <c r="L12" s="72">
        <v>1556</v>
      </c>
      <c r="M12" s="72">
        <v>2802</v>
      </c>
      <c r="N12" s="72">
        <v>1587</v>
      </c>
      <c r="O12" s="72">
        <v>1087</v>
      </c>
      <c r="P12" s="72">
        <v>727</v>
      </c>
      <c r="Q12" s="72">
        <v>1084</v>
      </c>
      <c r="R12" s="72">
        <v>488</v>
      </c>
      <c r="S12" s="72">
        <v>486</v>
      </c>
      <c r="T12" s="72">
        <v>435</v>
      </c>
      <c r="U12" s="72">
        <v>316</v>
      </c>
      <c r="V12" s="72">
        <v>188</v>
      </c>
      <c r="AL12" s="53"/>
    </row>
    <row r="13" spans="1:38" ht="13.5">
      <c r="A13" s="625" t="s">
        <v>118</v>
      </c>
      <c r="B13" s="64" t="s">
        <v>116</v>
      </c>
      <c r="C13" s="70">
        <v>195670.5</v>
      </c>
      <c r="D13" s="70">
        <v>135288</v>
      </c>
      <c r="E13" s="70">
        <v>137512.5</v>
      </c>
      <c r="F13" s="70">
        <v>97530</v>
      </c>
      <c r="G13" s="70">
        <v>65039</v>
      </c>
      <c r="H13" s="70">
        <v>120246.5</v>
      </c>
      <c r="I13" s="70">
        <v>91241</v>
      </c>
      <c r="J13" s="70">
        <v>85715</v>
      </c>
      <c r="K13" s="70">
        <v>43985</v>
      </c>
      <c r="L13" s="70">
        <v>47193</v>
      </c>
      <c r="M13" s="70">
        <v>51368</v>
      </c>
      <c r="N13" s="70">
        <v>24357.5</v>
      </c>
      <c r="O13" s="70">
        <v>17131</v>
      </c>
      <c r="P13" s="70">
        <v>12107</v>
      </c>
      <c r="Q13" s="70">
        <v>7375</v>
      </c>
      <c r="R13" s="70">
        <v>7269</v>
      </c>
      <c r="S13" s="70">
        <v>6266</v>
      </c>
      <c r="T13" s="70">
        <v>1367</v>
      </c>
      <c r="U13" s="70">
        <v>2799</v>
      </c>
      <c r="V13" s="70">
        <v>6041.5</v>
      </c>
      <c r="AL13" s="53"/>
    </row>
    <row r="14" spans="1:38" ht="13.5">
      <c r="A14" s="637"/>
      <c r="B14" s="71" t="s">
        <v>117</v>
      </c>
      <c r="C14" s="72">
        <v>25176</v>
      </c>
      <c r="D14" s="72">
        <v>23968</v>
      </c>
      <c r="E14" s="72">
        <v>19390</v>
      </c>
      <c r="F14" s="72">
        <v>17306</v>
      </c>
      <c r="G14" s="72">
        <v>12394</v>
      </c>
      <c r="H14" s="72">
        <v>12185</v>
      </c>
      <c r="I14" s="72">
        <v>11680</v>
      </c>
      <c r="J14" s="72">
        <v>9388</v>
      </c>
      <c r="K14" s="72">
        <v>5721</v>
      </c>
      <c r="L14" s="72">
        <v>6078</v>
      </c>
      <c r="M14" s="72">
        <v>5421</v>
      </c>
      <c r="N14" s="72">
        <v>3223</v>
      </c>
      <c r="O14" s="72">
        <v>1926</v>
      </c>
      <c r="P14" s="72">
        <v>1671</v>
      </c>
      <c r="Q14" s="72">
        <v>1391</v>
      </c>
      <c r="R14" s="72">
        <v>854</v>
      </c>
      <c r="S14" s="72">
        <v>663</v>
      </c>
      <c r="T14" s="72">
        <v>477</v>
      </c>
      <c r="U14" s="72">
        <v>503</v>
      </c>
      <c r="V14" s="72">
        <v>545</v>
      </c>
      <c r="AL14" s="53"/>
    </row>
    <row r="15" spans="1:38" ht="13.5">
      <c r="A15" s="625" t="s">
        <v>119</v>
      </c>
      <c r="B15" s="64" t="s">
        <v>116</v>
      </c>
      <c r="C15" s="70">
        <v>190342.5</v>
      </c>
      <c r="D15" s="70">
        <v>156964</v>
      </c>
      <c r="E15" s="70">
        <v>146222.5</v>
      </c>
      <c r="F15" s="70">
        <v>107772</v>
      </c>
      <c r="G15" s="70">
        <v>64148</v>
      </c>
      <c r="H15" s="70">
        <v>87201.5</v>
      </c>
      <c r="I15" s="70">
        <v>94549</v>
      </c>
      <c r="J15" s="70">
        <v>79881</v>
      </c>
      <c r="K15" s="70">
        <v>44903</v>
      </c>
      <c r="L15" s="70">
        <v>46601</v>
      </c>
      <c r="M15" s="70">
        <v>50484</v>
      </c>
      <c r="N15" s="70">
        <v>25833.5</v>
      </c>
      <c r="O15" s="70">
        <v>17867</v>
      </c>
      <c r="P15" s="70">
        <v>11534</v>
      </c>
      <c r="Q15" s="70">
        <v>7352</v>
      </c>
      <c r="R15" s="70">
        <v>7578</v>
      </c>
      <c r="S15" s="70">
        <v>5812</v>
      </c>
      <c r="T15" s="70">
        <v>1591</v>
      </c>
      <c r="U15" s="70">
        <v>3167</v>
      </c>
      <c r="V15" s="70">
        <v>4079.5</v>
      </c>
      <c r="AL15" s="53"/>
    </row>
    <row r="16" spans="1:38" ht="13.5">
      <c r="A16" s="637"/>
      <c r="B16" s="71" t="s">
        <v>117</v>
      </c>
      <c r="C16" s="72">
        <v>25009</v>
      </c>
      <c r="D16" s="72">
        <v>26765</v>
      </c>
      <c r="E16" s="72">
        <v>20287</v>
      </c>
      <c r="F16" s="72">
        <v>18561</v>
      </c>
      <c r="G16" s="72">
        <v>11787</v>
      </c>
      <c r="H16" s="72">
        <v>10429</v>
      </c>
      <c r="I16" s="72">
        <v>11824</v>
      </c>
      <c r="J16" s="72">
        <v>9002</v>
      </c>
      <c r="K16" s="72">
        <v>5834</v>
      </c>
      <c r="L16" s="72">
        <v>5898</v>
      </c>
      <c r="M16" s="72">
        <v>5177</v>
      </c>
      <c r="N16" s="72">
        <v>3340</v>
      </c>
      <c r="O16" s="72">
        <v>2024</v>
      </c>
      <c r="P16" s="72">
        <v>1624</v>
      </c>
      <c r="Q16" s="72">
        <v>1413</v>
      </c>
      <c r="R16" s="72">
        <v>890</v>
      </c>
      <c r="S16" s="72">
        <v>633</v>
      </c>
      <c r="T16" s="72">
        <v>509</v>
      </c>
      <c r="U16" s="72">
        <v>545</v>
      </c>
      <c r="V16" s="72">
        <v>368</v>
      </c>
      <c r="AL16" s="53"/>
    </row>
    <row r="17" spans="1:38" ht="12.75">
      <c r="A17" s="664" t="s">
        <v>120</v>
      </c>
      <c r="B17" s="73" t="s">
        <v>116</v>
      </c>
      <c r="C17" s="74">
        <f aca="true" t="shared" si="1" ref="C17:V18">C11+C13+C15</f>
        <v>511574</v>
      </c>
      <c r="D17" s="74">
        <f t="shared" si="1"/>
        <v>357558.5</v>
      </c>
      <c r="E17" s="74">
        <f t="shared" si="1"/>
        <v>339557.5</v>
      </c>
      <c r="F17" s="74">
        <f t="shared" si="1"/>
        <v>255888</v>
      </c>
      <c r="G17" s="74">
        <f t="shared" si="1"/>
        <v>160578</v>
      </c>
      <c r="H17" s="74">
        <f t="shared" si="1"/>
        <v>256622.5</v>
      </c>
      <c r="I17" s="74">
        <f t="shared" si="1"/>
        <v>209245</v>
      </c>
      <c r="J17" s="74">
        <f>J11+J13+J15</f>
        <v>209889</v>
      </c>
      <c r="K17" s="74">
        <f t="shared" si="1"/>
        <v>109264.5</v>
      </c>
      <c r="L17" s="74">
        <f t="shared" si="1"/>
        <v>104440</v>
      </c>
      <c r="M17" s="74">
        <f t="shared" si="1"/>
        <v>128398</v>
      </c>
      <c r="N17" s="74">
        <f t="shared" si="1"/>
        <v>61727</v>
      </c>
      <c r="O17" s="74">
        <f t="shared" si="1"/>
        <v>44867</v>
      </c>
      <c r="P17" s="74">
        <f t="shared" si="1"/>
        <v>28988</v>
      </c>
      <c r="Q17" s="74">
        <f t="shared" si="1"/>
        <v>19661</v>
      </c>
      <c r="R17" s="74">
        <f t="shared" si="1"/>
        <v>18788</v>
      </c>
      <c r="S17" s="74">
        <f t="shared" si="1"/>
        <v>16705</v>
      </c>
      <c r="T17" s="74">
        <f t="shared" si="1"/>
        <v>4013.5</v>
      </c>
      <c r="U17" s="74">
        <f t="shared" si="1"/>
        <v>7649</v>
      </c>
      <c r="V17" s="74">
        <f t="shared" si="1"/>
        <v>12204.5</v>
      </c>
      <c r="AL17" s="53"/>
    </row>
    <row r="18" spans="1:38" ht="12.75">
      <c r="A18" s="665"/>
      <c r="B18" s="75" t="s">
        <v>117</v>
      </c>
      <c r="C18" s="76">
        <f t="shared" si="1"/>
        <v>66800</v>
      </c>
      <c r="D18" s="76">
        <f t="shared" si="1"/>
        <v>65615</v>
      </c>
      <c r="E18" s="76">
        <f t="shared" si="1"/>
        <v>47812</v>
      </c>
      <c r="F18" s="76">
        <f t="shared" si="1"/>
        <v>45545</v>
      </c>
      <c r="G18" s="76">
        <f t="shared" si="1"/>
        <v>30625</v>
      </c>
      <c r="H18" s="76">
        <f t="shared" si="1"/>
        <v>28710</v>
      </c>
      <c r="I18" s="76">
        <f t="shared" si="1"/>
        <v>27042</v>
      </c>
      <c r="J18" s="76">
        <f>J12+J14+J16</f>
        <v>23439</v>
      </c>
      <c r="K18" s="76">
        <f t="shared" si="1"/>
        <v>14286</v>
      </c>
      <c r="L18" s="76">
        <f t="shared" si="1"/>
        <v>13532</v>
      </c>
      <c r="M18" s="76">
        <f t="shared" si="1"/>
        <v>13400</v>
      </c>
      <c r="N18" s="76">
        <f t="shared" si="1"/>
        <v>8150</v>
      </c>
      <c r="O18" s="76">
        <f t="shared" si="1"/>
        <v>5037</v>
      </c>
      <c r="P18" s="76">
        <f t="shared" si="1"/>
        <v>4022</v>
      </c>
      <c r="Q18" s="76">
        <f t="shared" si="1"/>
        <v>3888</v>
      </c>
      <c r="R18" s="76">
        <f t="shared" si="1"/>
        <v>2232</v>
      </c>
      <c r="S18" s="76">
        <f t="shared" si="1"/>
        <v>1782</v>
      </c>
      <c r="T18" s="76">
        <f t="shared" si="1"/>
        <v>1421</v>
      </c>
      <c r="U18" s="76">
        <f t="shared" si="1"/>
        <v>1364</v>
      </c>
      <c r="V18" s="76">
        <f t="shared" si="1"/>
        <v>1101</v>
      </c>
      <c r="AL18" s="53"/>
    </row>
    <row r="19" spans="1:38" ht="13.5">
      <c r="A19" s="643" t="s">
        <v>121</v>
      </c>
      <c r="B19" s="644"/>
      <c r="C19" s="77"/>
      <c r="D19" s="77">
        <v>106489</v>
      </c>
      <c r="E19" s="77">
        <v>69440</v>
      </c>
      <c r="F19" s="77">
        <v>66288</v>
      </c>
      <c r="G19" s="77">
        <v>39095</v>
      </c>
      <c r="H19" s="77">
        <v>49623</v>
      </c>
      <c r="I19" s="77">
        <v>39081</v>
      </c>
      <c r="J19" s="77"/>
      <c r="K19" s="77">
        <v>28566</v>
      </c>
      <c r="L19" s="77">
        <v>24769</v>
      </c>
      <c r="M19" s="77"/>
      <c r="N19" s="77"/>
      <c r="O19" s="77">
        <v>9490</v>
      </c>
      <c r="P19" s="77">
        <v>7119</v>
      </c>
      <c r="Q19" s="77">
        <v>5275</v>
      </c>
      <c r="R19" s="77">
        <v>3964</v>
      </c>
      <c r="S19" s="77"/>
      <c r="T19" s="77">
        <v>1343</v>
      </c>
      <c r="U19" s="77">
        <v>3349</v>
      </c>
      <c r="V19" s="77">
        <v>14196</v>
      </c>
      <c r="AL19" s="53"/>
    </row>
    <row r="20" spans="1:38" ht="13.5">
      <c r="A20" s="645" t="s">
        <v>122</v>
      </c>
      <c r="B20" s="646"/>
      <c r="C20" s="78" t="str">
        <f aca="true" t="shared" si="2" ref="C20:V20">IF(C19&lt;&gt;0,(+C18-C19)/C19*100," ")</f>
        <v> </v>
      </c>
      <c r="D20" s="78">
        <f t="shared" si="2"/>
        <v>-38.38330719604841</v>
      </c>
      <c r="E20" s="78">
        <f t="shared" si="2"/>
        <v>-31.1463133640553</v>
      </c>
      <c r="F20" s="78">
        <f t="shared" si="2"/>
        <v>-31.292239922761283</v>
      </c>
      <c r="G20" s="78">
        <f t="shared" si="2"/>
        <v>-21.665174574753802</v>
      </c>
      <c r="H20" s="78">
        <f t="shared" si="2"/>
        <v>-42.14376398041231</v>
      </c>
      <c r="I20" s="78">
        <f t="shared" si="2"/>
        <v>-30.80525063330007</v>
      </c>
      <c r="J20" s="78" t="str">
        <f t="shared" si="2"/>
        <v> </v>
      </c>
      <c r="K20" s="78">
        <f t="shared" si="2"/>
        <v>-49.98949800462088</v>
      </c>
      <c r="L20" s="78">
        <f t="shared" si="2"/>
        <v>-45.3671928620453</v>
      </c>
      <c r="M20" s="78" t="str">
        <f t="shared" si="2"/>
        <v> </v>
      </c>
      <c r="N20" s="78" t="str">
        <f t="shared" si="2"/>
        <v> </v>
      </c>
      <c r="O20" s="78">
        <f t="shared" si="2"/>
        <v>-46.92307692307692</v>
      </c>
      <c r="P20" s="78">
        <f t="shared" si="2"/>
        <v>-43.50330102542492</v>
      </c>
      <c r="Q20" s="78">
        <f t="shared" si="2"/>
        <v>-26.293838862559245</v>
      </c>
      <c r="R20" s="78">
        <f t="shared" si="2"/>
        <v>-43.69323915237134</v>
      </c>
      <c r="S20" s="78" t="str">
        <f t="shared" si="2"/>
        <v> </v>
      </c>
      <c r="T20" s="78">
        <f t="shared" si="2"/>
        <v>5.807892777364111</v>
      </c>
      <c r="U20" s="78">
        <f t="shared" si="2"/>
        <v>-59.271424305762906</v>
      </c>
      <c r="V20" s="78">
        <f t="shared" si="2"/>
        <v>-92.2442941673711</v>
      </c>
      <c r="AL20" s="53"/>
    </row>
    <row r="21" spans="1:38" ht="13.5">
      <c r="A21" s="643" t="s">
        <v>123</v>
      </c>
      <c r="B21" s="644"/>
      <c r="C21" s="79">
        <f aca="true" t="shared" si="3" ref="C21:V21">IF(C18&lt;&gt;0,+C18/C10," ")</f>
        <v>718.2795698924731</v>
      </c>
      <c r="D21" s="79">
        <f t="shared" si="3"/>
        <v>286.528384279476</v>
      </c>
      <c r="E21" s="79">
        <f t="shared" si="3"/>
        <v>293.32515337423314</v>
      </c>
      <c r="F21" s="79">
        <f t="shared" si="3"/>
        <v>379.5416666666667</v>
      </c>
      <c r="G21" s="79">
        <f t="shared" si="3"/>
        <v>382.8125</v>
      </c>
      <c r="H21" s="79">
        <f t="shared" si="3"/>
        <v>299.0625</v>
      </c>
      <c r="I21" s="79">
        <f t="shared" si="3"/>
        <v>375.5833333333333</v>
      </c>
      <c r="J21" s="79">
        <f>IF(J18&lt;&gt;0,+J18/J10," ")</f>
        <v>360.6</v>
      </c>
      <c r="K21" s="79">
        <f t="shared" si="3"/>
        <v>195.6986301369863</v>
      </c>
      <c r="L21" s="79">
        <f t="shared" si="3"/>
        <v>214.79365079365078</v>
      </c>
      <c r="M21" s="79">
        <f t="shared" si="3"/>
        <v>788.2352941176471</v>
      </c>
      <c r="N21" s="79">
        <f t="shared" si="3"/>
        <v>271.6666666666667</v>
      </c>
      <c r="O21" s="79">
        <f t="shared" si="3"/>
        <v>228.95454545454547</v>
      </c>
      <c r="P21" s="79">
        <f t="shared" si="3"/>
        <v>82.08163265306122</v>
      </c>
      <c r="Q21" s="79">
        <f t="shared" si="3"/>
        <v>185.14285714285714</v>
      </c>
      <c r="R21" s="79">
        <f t="shared" si="3"/>
        <v>223.2</v>
      </c>
      <c r="S21" s="79">
        <f t="shared" si="3"/>
        <v>297</v>
      </c>
      <c r="T21" s="79">
        <f t="shared" si="3"/>
        <v>284.2</v>
      </c>
      <c r="U21" s="79">
        <f t="shared" si="3"/>
        <v>85.25</v>
      </c>
      <c r="V21" s="79">
        <f t="shared" si="3"/>
        <v>137.625</v>
      </c>
      <c r="AL21" s="53"/>
    </row>
    <row r="22" spans="1:38" ht="13.5">
      <c r="A22" s="648" t="s">
        <v>124</v>
      </c>
      <c r="B22" s="649"/>
      <c r="C22" s="80">
        <f aca="true" t="shared" si="4" ref="C22:V22">IF(C17&lt;&gt;0,+C17/C18," ")</f>
        <v>7.658293413173653</v>
      </c>
      <c r="D22" s="80">
        <f t="shared" si="4"/>
        <v>5.449340851939343</v>
      </c>
      <c r="E22" s="80">
        <f t="shared" si="4"/>
        <v>7.101930477704342</v>
      </c>
      <c r="F22" s="80">
        <f t="shared" si="4"/>
        <v>5.618355472609507</v>
      </c>
      <c r="G22" s="80">
        <f t="shared" si="4"/>
        <v>5.243363265306122</v>
      </c>
      <c r="H22" s="80">
        <f t="shared" si="4"/>
        <v>8.93843608498781</v>
      </c>
      <c r="I22" s="80">
        <f t="shared" si="4"/>
        <v>7.737778270837956</v>
      </c>
      <c r="J22" s="80">
        <f>IF(J17&lt;&gt;0,+J17/J18," ")</f>
        <v>8.954690899782413</v>
      </c>
      <c r="K22" s="80">
        <f t="shared" si="4"/>
        <v>7.648362032759345</v>
      </c>
      <c r="L22" s="80">
        <f t="shared" si="4"/>
        <v>7.718001773573751</v>
      </c>
      <c r="M22" s="80">
        <f t="shared" si="4"/>
        <v>9.581940298507464</v>
      </c>
      <c r="N22" s="80">
        <f t="shared" si="4"/>
        <v>7.573865030674846</v>
      </c>
      <c r="O22" s="80">
        <f t="shared" si="4"/>
        <v>8.907484613857456</v>
      </c>
      <c r="P22" s="80">
        <f t="shared" si="4"/>
        <v>7.207359522625559</v>
      </c>
      <c r="Q22" s="80">
        <f t="shared" si="4"/>
        <v>5.0568415637860085</v>
      </c>
      <c r="R22" s="80">
        <f t="shared" si="4"/>
        <v>8.417562724014337</v>
      </c>
      <c r="S22" s="80">
        <f t="shared" si="4"/>
        <v>9.374298540965208</v>
      </c>
      <c r="T22" s="80">
        <f t="shared" si="4"/>
        <v>2.8244194229415904</v>
      </c>
      <c r="U22" s="80">
        <f t="shared" si="4"/>
        <v>5.607771260997067</v>
      </c>
      <c r="V22" s="80">
        <f t="shared" si="4"/>
        <v>11.084922797456857</v>
      </c>
      <c r="AL22" s="53"/>
    </row>
    <row r="23" spans="1:38" ht="12.75">
      <c r="A23" s="643" t="s">
        <v>125</v>
      </c>
      <c r="B23" s="644"/>
      <c r="C23" s="81">
        <v>511574</v>
      </c>
      <c r="D23" s="81">
        <v>26927941.5</v>
      </c>
      <c r="E23" s="81">
        <v>3660140.5</v>
      </c>
      <c r="F23" s="81">
        <v>24302542</v>
      </c>
      <c r="G23" s="81">
        <v>2797047.5</v>
      </c>
      <c r="H23" s="81">
        <v>806118</v>
      </c>
      <c r="I23" s="81">
        <v>583384</v>
      </c>
      <c r="J23" s="81">
        <v>209889</v>
      </c>
      <c r="K23" s="81">
        <v>993283</v>
      </c>
      <c r="L23" s="81">
        <v>706244</v>
      </c>
      <c r="M23" s="81">
        <v>565255.5</v>
      </c>
      <c r="N23" s="81">
        <v>61727</v>
      </c>
      <c r="O23" s="81">
        <v>611397</v>
      </c>
      <c r="P23" s="81">
        <v>260904.5</v>
      </c>
      <c r="Q23" s="81">
        <v>1242601</v>
      </c>
      <c r="R23" s="81">
        <v>69779.5</v>
      </c>
      <c r="S23" s="81">
        <v>16705</v>
      </c>
      <c r="T23" s="81">
        <v>915925</v>
      </c>
      <c r="U23" s="81">
        <v>305430</v>
      </c>
      <c r="V23" s="81">
        <v>209171</v>
      </c>
      <c r="AL23" s="53"/>
    </row>
    <row r="24" spans="1:38" ht="12.75">
      <c r="A24" s="650" t="s">
        <v>126</v>
      </c>
      <c r="B24" s="651"/>
      <c r="C24" s="82">
        <v>66800</v>
      </c>
      <c r="D24" s="82">
        <v>4113588</v>
      </c>
      <c r="E24" s="82">
        <v>524341</v>
      </c>
      <c r="F24" s="82">
        <v>3560008</v>
      </c>
      <c r="G24" s="82">
        <v>429184</v>
      </c>
      <c r="H24" s="82">
        <v>98001</v>
      </c>
      <c r="I24" s="82">
        <v>76402</v>
      </c>
      <c r="J24" s="82">
        <v>23439</v>
      </c>
      <c r="K24" s="82">
        <v>125570</v>
      </c>
      <c r="L24" s="82">
        <v>88389</v>
      </c>
      <c r="M24" s="82">
        <v>73743</v>
      </c>
      <c r="N24" s="82">
        <v>8150</v>
      </c>
      <c r="O24" s="82">
        <v>64149</v>
      </c>
      <c r="P24" s="82">
        <v>34737</v>
      </c>
      <c r="Q24" s="82">
        <v>155572</v>
      </c>
      <c r="R24" s="82">
        <v>8238</v>
      </c>
      <c r="S24" s="82">
        <v>1782</v>
      </c>
      <c r="T24" s="82">
        <v>118313</v>
      </c>
      <c r="U24" s="82">
        <v>39348</v>
      </c>
      <c r="V24" s="82">
        <v>27461</v>
      </c>
      <c r="AL24" s="53"/>
    </row>
    <row r="25" spans="1:38" ht="14.25" thickBot="1">
      <c r="A25" s="652" t="s">
        <v>124</v>
      </c>
      <c r="B25" s="653"/>
      <c r="C25" s="83">
        <f aca="true" t="shared" si="5" ref="C25:V25">IF(C23&lt;&gt;0,+C23/C24," ")</f>
        <v>7.658293413173653</v>
      </c>
      <c r="D25" s="83">
        <f t="shared" si="5"/>
        <v>6.5460958900113475</v>
      </c>
      <c r="E25" s="83">
        <f t="shared" si="5"/>
        <v>6.980458327691331</v>
      </c>
      <c r="F25" s="83">
        <f t="shared" si="5"/>
        <v>6.82654140103056</v>
      </c>
      <c r="G25" s="83">
        <f t="shared" si="5"/>
        <v>6.517129016925142</v>
      </c>
      <c r="H25" s="83">
        <f t="shared" si="5"/>
        <v>8.225609942755685</v>
      </c>
      <c r="I25" s="83">
        <f t="shared" si="5"/>
        <v>7.635716342504123</v>
      </c>
      <c r="J25" s="83">
        <f t="shared" si="5"/>
        <v>8.954690899782413</v>
      </c>
      <c r="K25" s="83">
        <f t="shared" si="5"/>
        <v>7.910193517559927</v>
      </c>
      <c r="L25" s="83">
        <f t="shared" si="5"/>
        <v>7.990179773501228</v>
      </c>
      <c r="M25" s="83">
        <f t="shared" si="5"/>
        <v>7.665208901183841</v>
      </c>
      <c r="N25" s="83">
        <f t="shared" si="5"/>
        <v>7.573865030674846</v>
      </c>
      <c r="O25" s="83">
        <f t="shared" si="5"/>
        <v>9.530889023991021</v>
      </c>
      <c r="P25" s="83">
        <f t="shared" si="5"/>
        <v>7.510852980971299</v>
      </c>
      <c r="Q25" s="83">
        <f t="shared" si="5"/>
        <v>7.987304913480575</v>
      </c>
      <c r="R25" s="83">
        <f t="shared" si="5"/>
        <v>8.47044185481913</v>
      </c>
      <c r="S25" s="83">
        <f t="shared" si="5"/>
        <v>9.374298540965208</v>
      </c>
      <c r="T25" s="83">
        <f t="shared" si="5"/>
        <v>7.741541504314826</v>
      </c>
      <c r="U25" s="83">
        <f t="shared" si="5"/>
        <v>7.762275083867032</v>
      </c>
      <c r="V25" s="83">
        <f t="shared" si="5"/>
        <v>7.617020501802556</v>
      </c>
      <c r="AL25" s="53"/>
    </row>
    <row r="26" spans="38:41" ht="11.25">
      <c r="AL26" s="84"/>
      <c r="AM26" s="84"/>
      <c r="AN26" s="84"/>
      <c r="AO26" s="84"/>
    </row>
    <row r="27" spans="38:41" ht="11.25">
      <c r="AL27" s="84"/>
      <c r="AM27" s="84"/>
      <c r="AN27" s="84"/>
      <c r="AO27" s="84"/>
    </row>
    <row r="28" spans="38:41" ht="11.25">
      <c r="AL28" s="84"/>
      <c r="AM28" s="84"/>
      <c r="AN28" s="84"/>
      <c r="AO28" s="84"/>
    </row>
    <row r="29" spans="38:41" ht="11.25">
      <c r="AL29" s="84"/>
      <c r="AM29" s="84"/>
      <c r="AN29" s="84"/>
      <c r="AO29" s="84"/>
    </row>
    <row r="30" spans="38:41" ht="11.25">
      <c r="AL30" s="84"/>
      <c r="AM30" s="84"/>
      <c r="AN30" s="84"/>
      <c r="AO30" s="84"/>
    </row>
    <row r="31" spans="38:41" ht="11.25">
      <c r="AL31" s="84"/>
      <c r="AM31" s="84"/>
      <c r="AN31" s="84"/>
      <c r="AO31" s="84"/>
    </row>
    <row r="32" spans="38:41" ht="11.25">
      <c r="AL32" s="84"/>
      <c r="AM32" s="84"/>
      <c r="AN32" s="84"/>
      <c r="AO32" s="84"/>
    </row>
    <row r="33" spans="38:41" ht="11.25">
      <c r="AL33" s="84"/>
      <c r="AM33" s="84"/>
      <c r="AN33" s="84"/>
      <c r="AO33" s="84"/>
    </row>
    <row r="34" spans="38:41" ht="11.25">
      <c r="AL34" s="84"/>
      <c r="AM34" s="84"/>
      <c r="AN34" s="84"/>
      <c r="AO34" s="84"/>
    </row>
    <row r="35" spans="38:41" ht="11.25">
      <c r="AL35" s="84"/>
      <c r="AM35" s="84"/>
      <c r="AN35" s="84"/>
      <c r="AO35" s="84"/>
    </row>
    <row r="36" spans="38:41" ht="11.25">
      <c r="AL36" s="84"/>
      <c r="AM36" s="84"/>
      <c r="AN36" s="84"/>
      <c r="AO36" s="84"/>
    </row>
    <row r="37" spans="38:41" ht="11.25">
      <c r="AL37" s="84"/>
      <c r="AM37" s="84"/>
      <c r="AN37" s="84"/>
      <c r="AO37" s="84"/>
    </row>
    <row r="38" spans="38:41" ht="11.25">
      <c r="AL38" s="84"/>
      <c r="AM38" s="84"/>
      <c r="AN38" s="84"/>
      <c r="AO38" s="84"/>
    </row>
    <row r="39" spans="38:41" ht="11.25">
      <c r="AL39" s="84"/>
      <c r="AM39" s="84"/>
      <c r="AN39" s="84"/>
      <c r="AO39" s="84"/>
    </row>
    <row r="40" spans="38:41" ht="11.25">
      <c r="AL40" s="84"/>
      <c r="AM40" s="84"/>
      <c r="AN40" s="84"/>
      <c r="AO40" s="84"/>
    </row>
    <row r="41" spans="38:41" ht="11.25">
      <c r="AL41" s="84"/>
      <c r="AM41" s="84"/>
      <c r="AN41" s="84"/>
      <c r="AO41" s="84"/>
    </row>
    <row r="42" spans="38:41" ht="11.25">
      <c r="AL42" s="84"/>
      <c r="AM42" s="84"/>
      <c r="AN42" s="84"/>
      <c r="AO42" s="84"/>
    </row>
    <row r="43" spans="38:41" ht="11.25">
      <c r="AL43" s="84"/>
      <c r="AM43" s="84"/>
      <c r="AN43" s="84"/>
      <c r="AO43" s="84"/>
    </row>
    <row r="44" spans="38:41" ht="11.25">
      <c r="AL44" s="84"/>
      <c r="AM44" s="84"/>
      <c r="AN44" s="84"/>
      <c r="AO44" s="84"/>
    </row>
    <row r="45" spans="38:41" ht="11.25">
      <c r="AL45" s="84"/>
      <c r="AM45" s="84"/>
      <c r="AN45" s="84"/>
      <c r="AO45" s="84"/>
    </row>
    <row r="46" spans="38:41" ht="11.25">
      <c r="AL46" s="84"/>
      <c r="AM46" s="84"/>
      <c r="AN46" s="84"/>
      <c r="AO46" s="84"/>
    </row>
    <row r="47" spans="38:41" ht="11.25">
      <c r="AL47" s="84"/>
      <c r="AM47" s="84"/>
      <c r="AN47" s="84"/>
      <c r="AO47" s="84"/>
    </row>
    <row r="48" spans="38:41" ht="11.25">
      <c r="AL48" s="84"/>
      <c r="AM48" s="84"/>
      <c r="AN48" s="84"/>
      <c r="AO48" s="84"/>
    </row>
    <row r="49" spans="38:41" ht="11.25">
      <c r="AL49" s="84"/>
      <c r="AM49" s="84"/>
      <c r="AN49" s="84"/>
      <c r="AO49" s="84"/>
    </row>
    <row r="50" spans="38:41" ht="11.25">
      <c r="AL50" s="84"/>
      <c r="AM50" s="84"/>
      <c r="AN50" s="84"/>
      <c r="AO50" s="84"/>
    </row>
    <row r="51" spans="38:41" ht="11.25">
      <c r="AL51" s="84"/>
      <c r="AM51" s="84"/>
      <c r="AN51" s="84"/>
      <c r="AO51" s="84"/>
    </row>
    <row r="52" spans="38:41" ht="11.25">
      <c r="AL52" s="84"/>
      <c r="AM52" s="84"/>
      <c r="AN52" s="84"/>
      <c r="AO52" s="84"/>
    </row>
    <row r="53" spans="38:41" ht="11.25">
      <c r="AL53" s="84"/>
      <c r="AM53" s="84"/>
      <c r="AN53" s="84"/>
      <c r="AO53" s="84"/>
    </row>
    <row r="54" spans="38:41" ht="11.25">
      <c r="AL54" s="84"/>
      <c r="AM54" s="84"/>
      <c r="AN54" s="84"/>
      <c r="AO54" s="84"/>
    </row>
    <row r="55" spans="38:41" ht="11.25">
      <c r="AL55" s="84"/>
      <c r="AM55" s="84"/>
      <c r="AN55" s="84"/>
      <c r="AO55" s="84"/>
    </row>
    <row r="56" spans="38:41" ht="11.25">
      <c r="AL56" s="84"/>
      <c r="AM56" s="84"/>
      <c r="AN56" s="84"/>
      <c r="AO56" s="84"/>
    </row>
    <row r="57" spans="38:41" ht="11.25">
      <c r="AL57" s="84"/>
      <c r="AM57" s="84"/>
      <c r="AN57" s="84"/>
      <c r="AO57" s="84"/>
    </row>
    <row r="58" spans="38:41" ht="11.25">
      <c r="AL58" s="84"/>
      <c r="AM58" s="84"/>
      <c r="AN58" s="84"/>
      <c r="AO58" s="84"/>
    </row>
    <row r="59" spans="38:41" ht="11.25">
      <c r="AL59" s="84"/>
      <c r="AM59" s="84"/>
      <c r="AN59" s="84"/>
      <c r="AO59" s="84"/>
    </row>
    <row r="60" spans="38:41" ht="11.25">
      <c r="AL60" s="84"/>
      <c r="AM60" s="84"/>
      <c r="AN60" s="84"/>
      <c r="AO60" s="84"/>
    </row>
    <row r="61" spans="38:41" ht="11.25">
      <c r="AL61" s="84"/>
      <c r="AM61" s="84"/>
      <c r="AN61" s="84"/>
      <c r="AO61" s="84"/>
    </row>
    <row r="62" spans="38:41" ht="11.25">
      <c r="AL62" s="84"/>
      <c r="AM62" s="84"/>
      <c r="AN62" s="84"/>
      <c r="AO62" s="84"/>
    </row>
    <row r="63" spans="38:41" ht="11.25">
      <c r="AL63" s="84"/>
      <c r="AM63" s="84"/>
      <c r="AN63" s="84"/>
      <c r="AO63" s="84"/>
    </row>
    <row r="64" spans="38:41" ht="11.25">
      <c r="AL64" s="84"/>
      <c r="AM64" s="84"/>
      <c r="AN64" s="84"/>
      <c r="AO64" s="84"/>
    </row>
    <row r="65" spans="38:41" ht="11.25">
      <c r="AL65" s="84"/>
      <c r="AM65" s="84"/>
      <c r="AN65" s="84"/>
      <c r="AO65" s="84"/>
    </row>
    <row r="66" spans="38:41" ht="11.25">
      <c r="AL66" s="84"/>
      <c r="AM66" s="84"/>
      <c r="AN66" s="84"/>
      <c r="AO66" s="84"/>
    </row>
    <row r="67" spans="38:41" ht="11.25">
      <c r="AL67" s="84"/>
      <c r="AM67" s="84"/>
      <c r="AN67" s="84"/>
      <c r="AO67" s="84"/>
    </row>
    <row r="68" spans="38:41" ht="11.25">
      <c r="AL68" s="84"/>
      <c r="AM68" s="84"/>
      <c r="AN68" s="84"/>
      <c r="AO68" s="84"/>
    </row>
    <row r="69" spans="38:41" ht="11.25">
      <c r="AL69" s="84"/>
      <c r="AM69" s="84"/>
      <c r="AN69" s="84"/>
      <c r="AO69" s="84"/>
    </row>
    <row r="70" spans="38:41" ht="11.25">
      <c r="AL70" s="84"/>
      <c r="AM70" s="84"/>
      <c r="AN70" s="84"/>
      <c r="AO70" s="84"/>
    </row>
    <row r="71" spans="38:41" ht="11.25">
      <c r="AL71" s="84"/>
      <c r="AM71" s="84"/>
      <c r="AN71" s="84"/>
      <c r="AO71" s="84"/>
    </row>
    <row r="72" spans="38:41" ht="11.25">
      <c r="AL72" s="84"/>
      <c r="AM72" s="84"/>
      <c r="AN72" s="84"/>
      <c r="AO72" s="84"/>
    </row>
    <row r="73" spans="38:41" ht="11.25">
      <c r="AL73" s="84"/>
      <c r="AM73" s="84"/>
      <c r="AN73" s="84"/>
      <c r="AO73" s="84"/>
    </row>
    <row r="74" spans="38:41" ht="11.25">
      <c r="AL74" s="84"/>
      <c r="AM74" s="84"/>
      <c r="AN74" s="84"/>
      <c r="AO74" s="84"/>
    </row>
    <row r="75" spans="38:41" ht="11.25">
      <c r="AL75" s="84"/>
      <c r="AM75" s="84"/>
      <c r="AN75" s="84"/>
      <c r="AO75" s="84"/>
    </row>
    <row r="76" spans="38:41" ht="11.25">
      <c r="AL76" s="84"/>
      <c r="AM76" s="84"/>
      <c r="AN76" s="84"/>
      <c r="AO76" s="84"/>
    </row>
    <row r="77" spans="38:41" ht="11.25">
      <c r="AL77" s="84"/>
      <c r="AM77" s="84"/>
      <c r="AN77" s="84"/>
      <c r="AO77" s="84"/>
    </row>
    <row r="78" spans="38:41" ht="11.25">
      <c r="AL78" s="84"/>
      <c r="AM78" s="84"/>
      <c r="AN78" s="84"/>
      <c r="AO78" s="84"/>
    </row>
    <row r="79" spans="38:41" ht="11.25">
      <c r="AL79" s="84"/>
      <c r="AM79" s="84"/>
      <c r="AN79" s="84"/>
      <c r="AO79" s="84"/>
    </row>
    <row r="80" spans="38:41" ht="11.25">
      <c r="AL80" s="84"/>
      <c r="AM80" s="84"/>
      <c r="AN80" s="84"/>
      <c r="AO80" s="84"/>
    </row>
    <row r="81" spans="38:41" ht="11.25">
      <c r="AL81" s="84"/>
      <c r="AM81" s="84"/>
      <c r="AN81" s="84"/>
      <c r="AO81" s="84"/>
    </row>
    <row r="82" spans="38:41" ht="11.25">
      <c r="AL82" s="84"/>
      <c r="AM82" s="84"/>
      <c r="AN82" s="84"/>
      <c r="AO82" s="84"/>
    </row>
    <row r="83" spans="38:41" ht="11.25">
      <c r="AL83" s="84"/>
      <c r="AM83" s="84"/>
      <c r="AN83" s="84"/>
      <c r="AO83" s="84"/>
    </row>
    <row r="84" spans="38:41" ht="11.25">
      <c r="AL84" s="84"/>
      <c r="AM84" s="84"/>
      <c r="AN84" s="84"/>
      <c r="AO84" s="84"/>
    </row>
    <row r="85" spans="38:41" ht="11.25">
      <c r="AL85" s="84"/>
      <c r="AM85" s="84"/>
      <c r="AN85" s="84"/>
      <c r="AO85" s="84"/>
    </row>
    <row r="86" spans="38:41" ht="11.25">
      <c r="AL86" s="84"/>
      <c r="AM86" s="84"/>
      <c r="AN86" s="84"/>
      <c r="AO86" s="84"/>
    </row>
    <row r="87" spans="38:41" ht="11.25">
      <c r="AL87" s="84"/>
      <c r="AM87" s="84"/>
      <c r="AN87" s="84"/>
      <c r="AO87" s="84"/>
    </row>
    <row r="88" spans="38:41" ht="11.25">
      <c r="AL88" s="84"/>
      <c r="AM88" s="84"/>
      <c r="AN88" s="84"/>
      <c r="AO88" s="84"/>
    </row>
    <row r="89" spans="38:41" ht="11.25">
      <c r="AL89" s="84"/>
      <c r="AM89" s="84"/>
      <c r="AN89" s="84"/>
      <c r="AO89" s="84"/>
    </row>
    <row r="90" spans="38:41" ht="11.25">
      <c r="AL90" s="84"/>
      <c r="AM90" s="84"/>
      <c r="AN90" s="84"/>
      <c r="AO90" s="84"/>
    </row>
    <row r="91" spans="38:41" ht="11.25">
      <c r="AL91" s="84"/>
      <c r="AM91" s="84"/>
      <c r="AN91" s="84"/>
      <c r="AO91" s="84"/>
    </row>
    <row r="92" spans="38:41" ht="11.25">
      <c r="AL92" s="84"/>
      <c r="AM92" s="84"/>
      <c r="AN92" s="84"/>
      <c r="AO92" s="84"/>
    </row>
    <row r="93" spans="38:41" ht="11.25">
      <c r="AL93" s="84"/>
      <c r="AM93" s="84"/>
      <c r="AN93" s="84"/>
      <c r="AO93" s="84"/>
    </row>
    <row r="94" spans="38:41" ht="11.25">
      <c r="AL94" s="84"/>
      <c r="AM94" s="84"/>
      <c r="AN94" s="84"/>
      <c r="AO94" s="84"/>
    </row>
    <row r="95" spans="38:41" ht="11.25">
      <c r="AL95" s="84"/>
      <c r="AM95" s="84"/>
      <c r="AN95" s="84"/>
      <c r="AO95" s="84"/>
    </row>
    <row r="96" spans="38:41" ht="11.25">
      <c r="AL96" s="84"/>
      <c r="AM96" s="84"/>
      <c r="AN96" s="84"/>
      <c r="AO96" s="84"/>
    </row>
    <row r="97" spans="38:41" ht="11.25">
      <c r="AL97" s="84"/>
      <c r="AM97" s="84"/>
      <c r="AN97" s="84"/>
      <c r="AO97" s="84"/>
    </row>
    <row r="98" spans="38:41" ht="11.25">
      <c r="AL98" s="84"/>
      <c r="AM98" s="84"/>
      <c r="AN98" s="84"/>
      <c r="AO98" s="84"/>
    </row>
    <row r="99" spans="38:41" ht="11.25">
      <c r="AL99" s="84"/>
      <c r="AM99" s="84"/>
      <c r="AN99" s="84"/>
      <c r="AO99" s="84"/>
    </row>
    <row r="100" spans="38:41" ht="11.25">
      <c r="AL100" s="84"/>
      <c r="AM100" s="84"/>
      <c r="AN100" s="84"/>
      <c r="AO100" s="84"/>
    </row>
    <row r="101" spans="38:41" ht="11.25">
      <c r="AL101" s="84"/>
      <c r="AM101" s="84"/>
      <c r="AN101" s="84"/>
      <c r="AO101" s="84"/>
    </row>
    <row r="102" spans="38:41" ht="11.25">
      <c r="AL102" s="84"/>
      <c r="AM102" s="84"/>
      <c r="AN102" s="84"/>
      <c r="AO102" s="84"/>
    </row>
    <row r="103" spans="38:41" ht="11.25">
      <c r="AL103" s="84"/>
      <c r="AM103" s="84"/>
      <c r="AN103" s="84"/>
      <c r="AO103" s="84"/>
    </row>
    <row r="104" spans="38:41" ht="11.25">
      <c r="AL104" s="84"/>
      <c r="AM104" s="84"/>
      <c r="AN104" s="84"/>
      <c r="AO104" s="84"/>
    </row>
    <row r="105" spans="38:41" ht="11.25">
      <c r="AL105" s="84"/>
      <c r="AM105" s="84"/>
      <c r="AN105" s="84"/>
      <c r="AO105" s="84"/>
    </row>
    <row r="106" spans="38:41" ht="11.25">
      <c r="AL106" s="84"/>
      <c r="AM106" s="84"/>
      <c r="AN106" s="84"/>
      <c r="AO106" s="84"/>
    </row>
    <row r="107" spans="38:41" ht="11.25">
      <c r="AL107" s="84"/>
      <c r="AM107" s="84"/>
      <c r="AN107" s="84"/>
      <c r="AO107" s="84"/>
    </row>
    <row r="108" spans="38:41" ht="11.25">
      <c r="AL108" s="84"/>
      <c r="AM108" s="84"/>
      <c r="AN108" s="84"/>
      <c r="AO108" s="84"/>
    </row>
    <row r="109" spans="38:41" ht="11.25">
      <c r="AL109" s="84"/>
      <c r="AM109" s="84"/>
      <c r="AN109" s="84"/>
      <c r="AO109" s="84"/>
    </row>
    <row r="110" spans="38:41" ht="11.25">
      <c r="AL110" s="84"/>
      <c r="AM110" s="84"/>
      <c r="AN110" s="84"/>
      <c r="AO110" s="84"/>
    </row>
    <row r="111" spans="38:41" ht="11.25">
      <c r="AL111" s="84"/>
      <c r="AM111" s="84"/>
      <c r="AN111" s="84"/>
      <c r="AO111" s="84"/>
    </row>
    <row r="112" spans="38:41" ht="11.25">
      <c r="AL112" s="84"/>
      <c r="AM112" s="84"/>
      <c r="AN112" s="84"/>
      <c r="AO112" s="84"/>
    </row>
    <row r="113" spans="38:41" ht="11.25">
      <c r="AL113" s="84"/>
      <c r="AM113" s="84"/>
      <c r="AN113" s="84"/>
      <c r="AO113" s="84"/>
    </row>
    <row r="114" spans="38:41" ht="11.25">
      <c r="AL114" s="84"/>
      <c r="AM114" s="84"/>
      <c r="AN114" s="84"/>
      <c r="AO114" s="84"/>
    </row>
    <row r="115" spans="38:41" ht="11.25">
      <c r="AL115" s="84"/>
      <c r="AM115" s="84"/>
      <c r="AN115" s="84"/>
      <c r="AO115" s="84"/>
    </row>
    <row r="116" spans="38:41" ht="11.25">
      <c r="AL116" s="84"/>
      <c r="AM116" s="84"/>
      <c r="AN116" s="84"/>
      <c r="AO116" s="84"/>
    </row>
    <row r="117" spans="38:41" ht="11.25">
      <c r="AL117" s="84"/>
      <c r="AM117" s="84"/>
      <c r="AN117" s="84"/>
      <c r="AO117" s="84"/>
    </row>
    <row r="118" spans="38:41" ht="11.25">
      <c r="AL118" s="84"/>
      <c r="AM118" s="84"/>
      <c r="AN118" s="84"/>
      <c r="AO118" s="84"/>
    </row>
    <row r="119" spans="38:41" ht="11.25">
      <c r="AL119" s="84"/>
      <c r="AM119" s="84"/>
      <c r="AN119" s="84"/>
      <c r="AO119" s="84"/>
    </row>
    <row r="120" spans="38:41" ht="11.25">
      <c r="AL120" s="84"/>
      <c r="AM120" s="84"/>
      <c r="AN120" s="84"/>
      <c r="AO120" s="84"/>
    </row>
    <row r="121" spans="38:41" ht="11.25">
      <c r="AL121" s="84"/>
      <c r="AM121" s="84"/>
      <c r="AN121" s="84"/>
      <c r="AO121" s="84"/>
    </row>
    <row r="122" spans="38:41" ht="11.25">
      <c r="AL122" s="84"/>
      <c r="AM122" s="84"/>
      <c r="AN122" s="84"/>
      <c r="AO122" s="84"/>
    </row>
    <row r="123" spans="38:41" ht="11.25">
      <c r="AL123" s="84"/>
      <c r="AM123" s="84"/>
      <c r="AN123" s="84"/>
      <c r="AO123" s="84"/>
    </row>
    <row r="124" spans="38:41" ht="11.25">
      <c r="AL124" s="84"/>
      <c r="AM124" s="84"/>
      <c r="AN124" s="84"/>
      <c r="AO124" s="84"/>
    </row>
    <row r="125" spans="38:41" ht="11.25">
      <c r="AL125" s="84"/>
      <c r="AM125" s="84"/>
      <c r="AN125" s="84"/>
      <c r="AO125" s="84"/>
    </row>
    <row r="126" spans="38:41" ht="11.25">
      <c r="AL126" s="84"/>
      <c r="AM126" s="84"/>
      <c r="AN126" s="84"/>
      <c r="AO126" s="84"/>
    </row>
    <row r="127" spans="38:41" ht="11.25">
      <c r="AL127" s="84"/>
      <c r="AM127" s="84"/>
      <c r="AN127" s="84"/>
      <c r="AO127" s="84"/>
    </row>
    <row r="128" spans="38:41" ht="11.25">
      <c r="AL128" s="84"/>
      <c r="AM128" s="84"/>
      <c r="AN128" s="84"/>
      <c r="AO128" s="84"/>
    </row>
    <row r="129" spans="38:41" ht="11.25">
      <c r="AL129" s="84"/>
      <c r="AM129" s="84"/>
      <c r="AN129" s="84"/>
      <c r="AO129" s="84"/>
    </row>
    <row r="130" spans="38:41" ht="11.25">
      <c r="AL130" s="84"/>
      <c r="AM130" s="84"/>
      <c r="AN130" s="84"/>
      <c r="AO130" s="84"/>
    </row>
    <row r="131" spans="38:41" ht="11.25">
      <c r="AL131" s="84"/>
      <c r="AM131" s="84"/>
      <c r="AN131" s="84"/>
      <c r="AO131" s="84"/>
    </row>
    <row r="132" spans="38:41" ht="11.25">
      <c r="AL132" s="84"/>
      <c r="AM132" s="84"/>
      <c r="AN132" s="84"/>
      <c r="AO132" s="84"/>
    </row>
    <row r="133" spans="38:41" ht="11.25">
      <c r="AL133" s="84"/>
      <c r="AM133" s="84"/>
      <c r="AN133" s="84"/>
      <c r="AO133" s="84"/>
    </row>
    <row r="134" spans="38:41" ht="11.25">
      <c r="AL134" s="84"/>
      <c r="AM134" s="84"/>
      <c r="AN134" s="84"/>
      <c r="AO134" s="84"/>
    </row>
    <row r="135" spans="38:41" ht="11.25">
      <c r="AL135" s="84"/>
      <c r="AM135" s="84"/>
      <c r="AN135" s="84"/>
      <c r="AO135" s="84"/>
    </row>
    <row r="136" spans="38:41" ht="11.25">
      <c r="AL136" s="84"/>
      <c r="AM136" s="84"/>
      <c r="AN136" s="84"/>
      <c r="AO136" s="84"/>
    </row>
    <row r="137" spans="38:41" ht="11.25">
      <c r="AL137" s="84"/>
      <c r="AM137" s="84"/>
      <c r="AN137" s="84"/>
      <c r="AO137" s="84"/>
    </row>
    <row r="138" spans="38:41" ht="11.25">
      <c r="AL138" s="84"/>
      <c r="AM138" s="84"/>
      <c r="AN138" s="84"/>
      <c r="AO138" s="84"/>
    </row>
    <row r="139" spans="38:41" ht="11.25">
      <c r="AL139" s="84"/>
      <c r="AM139" s="84"/>
      <c r="AN139" s="84"/>
      <c r="AO139" s="84"/>
    </row>
    <row r="140" spans="38:41" ht="11.25">
      <c r="AL140" s="84"/>
      <c r="AM140" s="84"/>
      <c r="AN140" s="84"/>
      <c r="AO140" s="84"/>
    </row>
    <row r="141" spans="38:41" ht="11.25">
      <c r="AL141" s="84"/>
      <c r="AM141" s="84"/>
      <c r="AN141" s="84"/>
      <c r="AO141" s="84"/>
    </row>
    <row r="142" spans="38:41" ht="11.25">
      <c r="AL142" s="84"/>
      <c r="AM142" s="84"/>
      <c r="AN142" s="84"/>
      <c r="AO142" s="84"/>
    </row>
    <row r="143" spans="38:41" ht="11.25">
      <c r="AL143" s="84"/>
      <c r="AM143" s="84"/>
      <c r="AN143" s="84"/>
      <c r="AO143" s="84"/>
    </row>
    <row r="144" spans="38:41" ht="11.25">
      <c r="AL144" s="84"/>
      <c r="AM144" s="84"/>
      <c r="AN144" s="84"/>
      <c r="AO144" s="84"/>
    </row>
    <row r="145" spans="38:41" ht="11.25">
      <c r="AL145" s="84"/>
      <c r="AM145" s="84"/>
      <c r="AN145" s="84"/>
      <c r="AO145" s="84"/>
    </row>
    <row r="146" spans="38:41" ht="11.25">
      <c r="AL146" s="84"/>
      <c r="AM146" s="84"/>
      <c r="AN146" s="84"/>
      <c r="AO146" s="84"/>
    </row>
    <row r="147" spans="38:41" ht="11.25">
      <c r="AL147" s="84"/>
      <c r="AM147" s="84"/>
      <c r="AN147" s="84"/>
      <c r="AO147" s="84"/>
    </row>
    <row r="148" spans="38:41" ht="11.25">
      <c r="AL148" s="84"/>
      <c r="AM148" s="84"/>
      <c r="AN148" s="84"/>
      <c r="AO148" s="84"/>
    </row>
    <row r="149" spans="38:41" ht="11.25">
      <c r="AL149" s="84"/>
      <c r="AM149" s="84"/>
      <c r="AN149" s="84"/>
      <c r="AO149" s="84"/>
    </row>
    <row r="150" spans="38:41" ht="11.25">
      <c r="AL150" s="84"/>
      <c r="AM150" s="84"/>
      <c r="AN150" s="84"/>
      <c r="AO150" s="84"/>
    </row>
    <row r="151" spans="38:41" ht="11.25">
      <c r="AL151" s="84"/>
      <c r="AM151" s="84"/>
      <c r="AN151" s="84"/>
      <c r="AO151" s="84"/>
    </row>
    <row r="152" spans="38:41" ht="11.25">
      <c r="AL152" s="84"/>
      <c r="AM152" s="84"/>
      <c r="AN152" s="84"/>
      <c r="AO152" s="84"/>
    </row>
    <row r="153" spans="38:41" ht="11.25">
      <c r="AL153" s="84"/>
      <c r="AM153" s="84"/>
      <c r="AN153" s="84"/>
      <c r="AO153" s="84"/>
    </row>
    <row r="154" spans="38:41" ht="11.25">
      <c r="AL154" s="84"/>
      <c r="AM154" s="84"/>
      <c r="AN154" s="84"/>
      <c r="AO154" s="84"/>
    </row>
    <row r="155" spans="38:41" ht="11.25">
      <c r="AL155" s="84"/>
      <c r="AM155" s="84"/>
      <c r="AN155" s="84"/>
      <c r="AO155" s="84"/>
    </row>
    <row r="156" spans="38:41" ht="11.25">
      <c r="AL156" s="84"/>
      <c r="AM156" s="84"/>
      <c r="AN156" s="84"/>
      <c r="AO156" s="84"/>
    </row>
    <row r="157" spans="38:41" ht="11.25">
      <c r="AL157" s="84"/>
      <c r="AM157" s="84"/>
      <c r="AN157" s="84"/>
      <c r="AO157" s="84"/>
    </row>
    <row r="158" spans="38:41" ht="11.25">
      <c r="AL158" s="84"/>
      <c r="AM158" s="84"/>
      <c r="AN158" s="84"/>
      <c r="AO158" s="84"/>
    </row>
    <row r="159" spans="38:41" ht="11.25">
      <c r="AL159" s="84"/>
      <c r="AM159" s="84"/>
      <c r="AN159" s="84"/>
      <c r="AO159" s="84"/>
    </row>
    <row r="160" spans="38:41" ht="11.25">
      <c r="AL160" s="84"/>
      <c r="AM160" s="84"/>
      <c r="AN160" s="84"/>
      <c r="AO160" s="84"/>
    </row>
    <row r="161" spans="38:41" ht="11.25">
      <c r="AL161" s="84"/>
      <c r="AM161" s="84"/>
      <c r="AN161" s="84"/>
      <c r="AO161" s="84"/>
    </row>
    <row r="162" spans="38:41" ht="11.25">
      <c r="AL162" s="84"/>
      <c r="AM162" s="84"/>
      <c r="AN162" s="84"/>
      <c r="AO162" s="84"/>
    </row>
    <row r="163" spans="38:41" ht="11.25">
      <c r="AL163" s="84"/>
      <c r="AM163" s="84"/>
      <c r="AN163" s="84"/>
      <c r="AO163" s="84"/>
    </row>
    <row r="164" spans="38:41" ht="11.25">
      <c r="AL164" s="84"/>
      <c r="AM164" s="84"/>
      <c r="AN164" s="84"/>
      <c r="AO164" s="84"/>
    </row>
    <row r="165" spans="38:41" ht="11.25">
      <c r="AL165" s="84"/>
      <c r="AM165" s="84"/>
      <c r="AN165" s="84"/>
      <c r="AO165" s="84"/>
    </row>
    <row r="166" spans="38:41" ht="11.25">
      <c r="AL166" s="84"/>
      <c r="AM166" s="84"/>
      <c r="AN166" s="84"/>
      <c r="AO166" s="84"/>
    </row>
    <row r="167" spans="38:41" ht="11.25">
      <c r="AL167" s="84"/>
      <c r="AM167" s="84"/>
      <c r="AN167" s="84"/>
      <c r="AO167" s="84"/>
    </row>
    <row r="168" spans="38:41" ht="11.25">
      <c r="AL168" s="84"/>
      <c r="AM168" s="84"/>
      <c r="AN168" s="84"/>
      <c r="AO168" s="84"/>
    </row>
  </sheetData>
  <mergeCells count="18">
    <mergeCell ref="A25:B25"/>
    <mergeCell ref="A21:B21"/>
    <mergeCell ref="A22:B22"/>
    <mergeCell ref="A23:B23"/>
    <mergeCell ref="A24:B24"/>
    <mergeCell ref="A15:A16"/>
    <mergeCell ref="A17:A18"/>
    <mergeCell ref="A19:B19"/>
    <mergeCell ref="A20:B20"/>
    <mergeCell ref="A9:B9"/>
    <mergeCell ref="A10:B10"/>
    <mergeCell ref="A11:A12"/>
    <mergeCell ref="A13:A14"/>
    <mergeCell ref="A5:B5"/>
    <mergeCell ref="A6:B6"/>
    <mergeCell ref="A7:B8"/>
    <mergeCell ref="A1:V1"/>
    <mergeCell ref="A2:V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C59"/>
  <sheetViews>
    <sheetView zoomScale="45" zoomScaleNormal="45" workbookViewId="0" topLeftCell="A1">
      <selection activeCell="A1" sqref="A1:IV2"/>
    </sheetView>
  </sheetViews>
  <sheetFormatPr defaultColWidth="9.140625" defaultRowHeight="12.75"/>
  <cols>
    <col min="1" max="1" width="3.7109375" style="252" bestFit="1" customWidth="1"/>
    <col min="2" max="2" width="1.7109375" style="253" customWidth="1"/>
    <col min="3" max="3" width="38.8515625" style="200" bestFit="1" customWidth="1"/>
    <col min="4" max="4" width="8.7109375" style="200" bestFit="1" customWidth="1"/>
    <col min="5" max="5" width="26.8515625" style="254" bestFit="1" customWidth="1"/>
    <col min="6" max="6" width="5.8515625" style="255" bestFit="1" customWidth="1"/>
    <col min="7" max="7" width="6.8515625" style="255" bestFit="1" customWidth="1"/>
    <col min="8" max="8" width="6.57421875" style="200" customWidth="1"/>
    <col min="9" max="9" width="11.8515625" style="200" bestFit="1" customWidth="1"/>
    <col min="10" max="10" width="7.421875" style="200" bestFit="1" customWidth="1"/>
    <col min="11" max="11" width="12.140625" style="200" bestFit="1" customWidth="1"/>
    <col min="12" max="12" width="8.421875" style="200" bestFit="1" customWidth="1"/>
    <col min="13" max="13" width="13.421875" style="200" customWidth="1"/>
    <col min="14" max="14" width="8.421875" style="200" bestFit="1" customWidth="1"/>
    <col min="15" max="15" width="13.421875" style="200" bestFit="1" customWidth="1"/>
    <col min="16" max="16" width="8.421875" style="200" customWidth="1"/>
    <col min="17" max="17" width="8.140625" style="200" bestFit="1" customWidth="1"/>
    <col min="18" max="18" width="6.00390625" style="200" bestFit="1" customWidth="1"/>
    <col min="19" max="19" width="13.421875" style="200" customWidth="1"/>
    <col min="20" max="20" width="7.8515625" style="200" bestFit="1" customWidth="1"/>
    <col min="21" max="21" width="15.00390625" style="200" bestFit="1" customWidth="1"/>
    <col min="22" max="22" width="10.421875" style="200" bestFit="1" customWidth="1"/>
    <col min="23" max="23" width="6.00390625" style="200" bestFit="1" customWidth="1"/>
    <col min="24" max="24" width="12.421875" style="200" bestFit="1" customWidth="1"/>
    <col min="25" max="25" width="9.140625" style="152" customWidth="1"/>
    <col min="26" max="28" width="9.140625" style="200" customWidth="1"/>
    <col min="29" max="29" width="1.421875" style="200" bestFit="1" customWidth="1"/>
    <col min="30" max="16384" width="9.140625" style="200" customWidth="1"/>
  </cols>
  <sheetData>
    <row r="1" spans="1:25" s="151" customFormat="1" ht="88.5" customHeight="1" thickBot="1">
      <c r="A1" s="143"/>
      <c r="B1" s="144"/>
      <c r="C1" s="145"/>
      <c r="D1" s="146"/>
      <c r="E1" s="147"/>
      <c r="F1" s="148"/>
      <c r="G1" s="148"/>
      <c r="H1" s="146"/>
      <c r="I1" s="146"/>
      <c r="J1" s="146"/>
      <c r="K1" s="146"/>
      <c r="L1" s="146"/>
      <c r="M1" s="146"/>
      <c r="N1" s="146"/>
      <c r="O1" s="146"/>
      <c r="P1" s="146"/>
      <c r="Q1" s="146"/>
      <c r="R1" s="146"/>
      <c r="S1" s="146"/>
      <c r="T1" s="146"/>
      <c r="U1" s="149"/>
      <c r="V1" s="149"/>
      <c r="W1" s="150"/>
      <c r="Y1" s="152"/>
    </row>
    <row r="2" spans="1:23" s="153" customFormat="1" ht="34.5" customHeight="1" thickBot="1">
      <c r="A2" s="679" t="s">
        <v>190</v>
      </c>
      <c r="B2" s="679"/>
      <c r="C2" s="679"/>
      <c r="D2" s="679"/>
      <c r="E2" s="679"/>
      <c r="F2" s="679"/>
      <c r="G2" s="679"/>
      <c r="H2" s="679"/>
      <c r="I2" s="679"/>
      <c r="J2" s="679"/>
      <c r="K2" s="679"/>
      <c r="L2" s="679"/>
      <c r="M2" s="679"/>
      <c r="N2" s="679"/>
      <c r="O2" s="679"/>
      <c r="P2" s="679"/>
      <c r="Q2" s="679"/>
      <c r="R2" s="679"/>
      <c r="S2" s="679"/>
      <c r="T2" s="679"/>
      <c r="U2" s="679"/>
      <c r="V2" s="679"/>
      <c r="W2" s="679"/>
    </row>
    <row r="3" spans="2:25" s="154" customFormat="1" ht="18">
      <c r="B3" s="155"/>
      <c r="C3" s="680" t="s">
        <v>0</v>
      </c>
      <c r="D3" s="682" t="s">
        <v>191</v>
      </c>
      <c r="E3" s="682" t="s">
        <v>192</v>
      </c>
      <c r="F3" s="685" t="s">
        <v>193</v>
      </c>
      <c r="G3" s="687" t="s">
        <v>194</v>
      </c>
      <c r="H3" s="689" t="s">
        <v>195</v>
      </c>
      <c r="I3" s="691" t="s">
        <v>4</v>
      </c>
      <c r="J3" s="674"/>
      <c r="K3" s="691" t="s">
        <v>7</v>
      </c>
      <c r="L3" s="674"/>
      <c r="M3" s="691" t="s">
        <v>8</v>
      </c>
      <c r="N3" s="674"/>
      <c r="O3" s="670" t="s">
        <v>196</v>
      </c>
      <c r="P3" s="671"/>
      <c r="Q3" s="671"/>
      <c r="R3" s="672"/>
      <c r="S3" s="673" t="s">
        <v>197</v>
      </c>
      <c r="T3" s="674"/>
      <c r="U3" s="671" t="s">
        <v>198</v>
      </c>
      <c r="V3" s="671"/>
      <c r="W3" s="675"/>
      <c r="Y3" s="156"/>
    </row>
    <row r="4" spans="1:25" s="154" customFormat="1" ht="27.75" thickBot="1">
      <c r="A4" s="157"/>
      <c r="B4" s="158"/>
      <c r="C4" s="681"/>
      <c r="D4" s="683"/>
      <c r="E4" s="684"/>
      <c r="F4" s="686"/>
      <c r="G4" s="688"/>
      <c r="H4" s="690"/>
      <c r="I4" s="159" t="s">
        <v>116</v>
      </c>
      <c r="J4" s="160" t="s">
        <v>16</v>
      </c>
      <c r="K4" s="159" t="s">
        <v>116</v>
      </c>
      <c r="L4" s="160" t="s">
        <v>16</v>
      </c>
      <c r="M4" s="159" t="s">
        <v>116</v>
      </c>
      <c r="N4" s="160" t="s">
        <v>16</v>
      </c>
      <c r="O4" s="161" t="s">
        <v>116</v>
      </c>
      <c r="P4" s="162" t="s">
        <v>16</v>
      </c>
      <c r="Q4" s="163" t="s">
        <v>199</v>
      </c>
      <c r="R4" s="164" t="s">
        <v>200</v>
      </c>
      <c r="S4" s="165" t="s">
        <v>116</v>
      </c>
      <c r="T4" s="166" t="s">
        <v>11</v>
      </c>
      <c r="U4" s="165" t="s">
        <v>116</v>
      </c>
      <c r="V4" s="167" t="s">
        <v>16</v>
      </c>
      <c r="W4" s="168" t="s">
        <v>200</v>
      </c>
      <c r="Y4" s="156"/>
    </row>
    <row r="5" spans="1:25" s="154" customFormat="1" ht="18">
      <c r="A5" s="169">
        <f aca="true" t="shared" si="0" ref="A5:A46">ROW()-4</f>
        <v>1</v>
      </c>
      <c r="B5" s="170"/>
      <c r="C5" s="171" t="s">
        <v>201</v>
      </c>
      <c r="D5" s="172">
        <v>38793</v>
      </c>
      <c r="E5" s="173" t="s">
        <v>202</v>
      </c>
      <c r="F5" s="174">
        <v>129</v>
      </c>
      <c r="G5" s="175">
        <v>134</v>
      </c>
      <c r="H5" s="175">
        <v>1</v>
      </c>
      <c r="I5" s="176">
        <v>87333</v>
      </c>
      <c r="J5" s="177">
        <v>11988</v>
      </c>
      <c r="K5" s="176">
        <v>156411</v>
      </c>
      <c r="L5" s="177">
        <v>20635</v>
      </c>
      <c r="M5" s="176">
        <v>195148</v>
      </c>
      <c r="N5" s="177">
        <v>25715</v>
      </c>
      <c r="O5" s="178">
        <f aca="true" t="shared" si="1" ref="O5:O46">+I5+K5+M5</f>
        <v>438892</v>
      </c>
      <c r="P5" s="179">
        <f aca="true" t="shared" si="2" ref="P5:P46">+J5+L5+N5</f>
        <v>58338</v>
      </c>
      <c r="Q5" s="180">
        <f aca="true" t="shared" si="3" ref="Q5:Q46">IF(O5&lt;&gt;0,P5/G5,"")</f>
        <v>435.35820895522386</v>
      </c>
      <c r="R5" s="181">
        <f aca="true" t="shared" si="4" ref="R5:R46">IF(O5&lt;&gt;0,O5/P5,"")</f>
        <v>7.523260996263156</v>
      </c>
      <c r="S5" s="176"/>
      <c r="T5" s="182"/>
      <c r="U5" s="176">
        <v>438892</v>
      </c>
      <c r="V5" s="183">
        <v>58338</v>
      </c>
      <c r="W5" s="184">
        <f aca="true" t="shared" si="5" ref="W5:W46">U5/V5</f>
        <v>7.523260996263156</v>
      </c>
      <c r="Y5" s="156"/>
    </row>
    <row r="6" spans="1:26" ht="18">
      <c r="A6" s="169">
        <f t="shared" si="0"/>
        <v>2</v>
      </c>
      <c r="B6" s="185"/>
      <c r="C6" s="186" t="s">
        <v>64</v>
      </c>
      <c r="D6" s="187">
        <v>38786</v>
      </c>
      <c r="E6" s="188" t="s">
        <v>203</v>
      </c>
      <c r="F6" s="189">
        <v>88</v>
      </c>
      <c r="G6" s="190">
        <v>90</v>
      </c>
      <c r="H6" s="190">
        <v>2</v>
      </c>
      <c r="I6" s="191">
        <v>61552.5</v>
      </c>
      <c r="J6" s="192">
        <v>8278</v>
      </c>
      <c r="K6" s="191">
        <v>111392</v>
      </c>
      <c r="L6" s="192">
        <v>14641</v>
      </c>
      <c r="M6" s="191">
        <v>123652</v>
      </c>
      <c r="N6" s="192">
        <v>16036</v>
      </c>
      <c r="O6" s="193">
        <f t="shared" si="1"/>
        <v>296596.5</v>
      </c>
      <c r="P6" s="194">
        <f t="shared" si="2"/>
        <v>38955</v>
      </c>
      <c r="Q6" s="195">
        <f t="shared" si="3"/>
        <v>432.8333333333333</v>
      </c>
      <c r="R6" s="196">
        <f t="shared" si="4"/>
        <v>7.613823642664613</v>
      </c>
      <c r="S6" s="191">
        <v>518712</v>
      </c>
      <c r="T6" s="197">
        <f aca="true" t="shared" si="6" ref="T6:T46">IF(S6&lt;&gt;0,-(S6-O6)/S6,"")</f>
        <v>-0.4282058251977976</v>
      </c>
      <c r="U6" s="191">
        <v>1063491.5</v>
      </c>
      <c r="V6" s="198">
        <v>143316</v>
      </c>
      <c r="W6" s="199">
        <f t="shared" si="5"/>
        <v>7.420605515085545</v>
      </c>
      <c r="X6" s="152"/>
      <c r="Y6" s="200"/>
      <c r="Z6" s="152"/>
    </row>
    <row r="7" spans="1:25" s="151" customFormat="1" ht="18">
      <c r="A7" s="169">
        <f t="shared" si="0"/>
        <v>3</v>
      </c>
      <c r="B7" s="185"/>
      <c r="C7" s="186" t="s">
        <v>204</v>
      </c>
      <c r="D7" s="187">
        <v>38793</v>
      </c>
      <c r="E7" s="188" t="s">
        <v>205</v>
      </c>
      <c r="F7" s="189">
        <v>61</v>
      </c>
      <c r="G7" s="190">
        <v>62</v>
      </c>
      <c r="H7" s="190">
        <v>1</v>
      </c>
      <c r="I7" s="191">
        <v>59411</v>
      </c>
      <c r="J7" s="192">
        <v>6522</v>
      </c>
      <c r="K7" s="191">
        <v>108689.5</v>
      </c>
      <c r="L7" s="192">
        <v>11804</v>
      </c>
      <c r="M7" s="191">
        <v>113173.5</v>
      </c>
      <c r="N7" s="192">
        <v>12455</v>
      </c>
      <c r="O7" s="193">
        <f t="shared" si="1"/>
        <v>281274</v>
      </c>
      <c r="P7" s="194">
        <f t="shared" si="2"/>
        <v>30781</v>
      </c>
      <c r="Q7" s="195">
        <f t="shared" si="3"/>
        <v>496.46774193548384</v>
      </c>
      <c r="R7" s="196">
        <f t="shared" si="4"/>
        <v>9.137909749520809</v>
      </c>
      <c r="S7" s="191"/>
      <c r="T7" s="197">
        <f t="shared" si="6"/>
      </c>
      <c r="U7" s="191">
        <v>281274</v>
      </c>
      <c r="V7" s="198">
        <v>30781</v>
      </c>
      <c r="W7" s="199">
        <f t="shared" si="5"/>
        <v>9.137909749520809</v>
      </c>
      <c r="X7" s="152"/>
      <c r="Y7" s="152"/>
    </row>
    <row r="8" spans="1:25" s="151" customFormat="1" ht="18">
      <c r="A8" s="169">
        <f t="shared" si="0"/>
        <v>4</v>
      </c>
      <c r="B8" s="185"/>
      <c r="C8" s="186" t="s">
        <v>67</v>
      </c>
      <c r="D8" s="187">
        <v>38674</v>
      </c>
      <c r="E8" s="188" t="s">
        <v>206</v>
      </c>
      <c r="F8" s="189">
        <v>135</v>
      </c>
      <c r="G8" s="190">
        <v>102</v>
      </c>
      <c r="H8" s="190">
        <v>18</v>
      </c>
      <c r="I8" s="191">
        <v>36324.5</v>
      </c>
      <c r="J8" s="192">
        <v>9062</v>
      </c>
      <c r="K8" s="191">
        <v>70760</v>
      </c>
      <c r="L8" s="192">
        <v>15336</v>
      </c>
      <c r="M8" s="191">
        <v>79192</v>
      </c>
      <c r="N8" s="192">
        <v>16434</v>
      </c>
      <c r="O8" s="193">
        <f t="shared" si="1"/>
        <v>186276.5</v>
      </c>
      <c r="P8" s="194">
        <f t="shared" si="2"/>
        <v>40832</v>
      </c>
      <c r="Q8" s="195">
        <f t="shared" si="3"/>
        <v>400.3137254901961</v>
      </c>
      <c r="R8" s="196">
        <f t="shared" si="4"/>
        <v>4.56202243338558</v>
      </c>
      <c r="S8" s="191">
        <v>255888</v>
      </c>
      <c r="T8" s="197">
        <f t="shared" si="6"/>
        <v>-0.27203893891077346</v>
      </c>
      <c r="U8" s="191">
        <v>24631905</v>
      </c>
      <c r="V8" s="198">
        <v>3627291</v>
      </c>
      <c r="W8" s="199">
        <f t="shared" si="5"/>
        <v>6.790716543006889</v>
      </c>
      <c r="X8" s="152"/>
      <c r="Y8" s="152"/>
    </row>
    <row r="9" spans="1:25" s="151" customFormat="1" ht="18">
      <c r="A9" s="169">
        <f t="shared" si="0"/>
        <v>5</v>
      </c>
      <c r="B9" s="185"/>
      <c r="C9" s="186" t="s">
        <v>66</v>
      </c>
      <c r="D9" s="187">
        <v>38765</v>
      </c>
      <c r="E9" s="188" t="s">
        <v>207</v>
      </c>
      <c r="F9" s="189">
        <v>164</v>
      </c>
      <c r="G9" s="190">
        <v>163</v>
      </c>
      <c r="H9" s="190">
        <v>5</v>
      </c>
      <c r="I9" s="191">
        <v>27338</v>
      </c>
      <c r="J9" s="192">
        <v>4715</v>
      </c>
      <c r="K9" s="191">
        <v>67864</v>
      </c>
      <c r="L9" s="192">
        <v>11117</v>
      </c>
      <c r="M9" s="191">
        <v>71548</v>
      </c>
      <c r="N9" s="192">
        <v>11499</v>
      </c>
      <c r="O9" s="193">
        <f t="shared" si="1"/>
        <v>166750</v>
      </c>
      <c r="P9" s="194">
        <f t="shared" si="2"/>
        <v>27331</v>
      </c>
      <c r="Q9" s="195">
        <f t="shared" si="3"/>
        <v>167.67484662576686</v>
      </c>
      <c r="R9" s="196">
        <f t="shared" si="4"/>
        <v>6.101130584318174</v>
      </c>
      <c r="S9" s="191">
        <v>339557.5</v>
      </c>
      <c r="T9" s="197">
        <f t="shared" si="6"/>
        <v>-0.5089196969585417</v>
      </c>
      <c r="U9" s="191">
        <v>3945892</v>
      </c>
      <c r="V9" s="198">
        <v>570512</v>
      </c>
      <c r="W9" s="199">
        <f t="shared" si="5"/>
        <v>6.916404913481224</v>
      </c>
      <c r="X9" s="152"/>
      <c r="Y9" s="152"/>
    </row>
    <row r="10" spans="1:25" s="151" customFormat="1" ht="18">
      <c r="A10" s="169">
        <f t="shared" si="0"/>
        <v>6</v>
      </c>
      <c r="B10" s="185"/>
      <c r="C10" s="201" t="s">
        <v>208</v>
      </c>
      <c r="D10" s="202">
        <v>38793</v>
      </c>
      <c r="E10" s="188" t="s">
        <v>209</v>
      </c>
      <c r="F10" s="189">
        <v>50</v>
      </c>
      <c r="G10" s="190">
        <v>50</v>
      </c>
      <c r="H10" s="190">
        <v>1</v>
      </c>
      <c r="I10" s="191">
        <v>28698</v>
      </c>
      <c r="J10" s="192">
        <v>3834</v>
      </c>
      <c r="K10" s="191">
        <v>56706</v>
      </c>
      <c r="L10" s="192">
        <v>7535</v>
      </c>
      <c r="M10" s="191">
        <v>60512.5</v>
      </c>
      <c r="N10" s="192">
        <v>8133</v>
      </c>
      <c r="O10" s="193">
        <f t="shared" si="1"/>
        <v>145916.5</v>
      </c>
      <c r="P10" s="194">
        <f t="shared" si="2"/>
        <v>19502</v>
      </c>
      <c r="Q10" s="195">
        <f t="shared" si="3"/>
        <v>390.04</v>
      </c>
      <c r="R10" s="196">
        <f t="shared" si="4"/>
        <v>7.482130037944827</v>
      </c>
      <c r="S10" s="191"/>
      <c r="T10" s="197">
        <f t="shared" si="6"/>
      </c>
      <c r="U10" s="191">
        <v>145916.5</v>
      </c>
      <c r="V10" s="198">
        <v>19502</v>
      </c>
      <c r="W10" s="199">
        <f t="shared" si="5"/>
        <v>7.482130037944827</v>
      </c>
      <c r="X10" s="152"/>
      <c r="Y10" s="152"/>
    </row>
    <row r="11" spans="1:25" s="151" customFormat="1" ht="18">
      <c r="A11" s="169">
        <f t="shared" si="0"/>
        <v>7</v>
      </c>
      <c r="B11" s="185"/>
      <c r="C11" s="201" t="s">
        <v>70</v>
      </c>
      <c r="D11" s="202">
        <v>38772</v>
      </c>
      <c r="E11" s="188" t="s">
        <v>210</v>
      </c>
      <c r="F11" s="189">
        <v>72</v>
      </c>
      <c r="G11" s="190">
        <v>72</v>
      </c>
      <c r="H11" s="189">
        <v>3</v>
      </c>
      <c r="I11" s="191">
        <v>12633</v>
      </c>
      <c r="J11" s="192">
        <v>1909</v>
      </c>
      <c r="K11" s="203">
        <v>55148</v>
      </c>
      <c r="L11" s="192">
        <v>7221</v>
      </c>
      <c r="M11" s="203">
        <v>57742</v>
      </c>
      <c r="N11" s="192">
        <v>7468</v>
      </c>
      <c r="O11" s="204">
        <f t="shared" si="1"/>
        <v>125523</v>
      </c>
      <c r="P11" s="194">
        <f t="shared" si="2"/>
        <v>16598</v>
      </c>
      <c r="Q11" s="195">
        <f t="shared" si="3"/>
        <v>230.52777777777777</v>
      </c>
      <c r="R11" s="196">
        <f t="shared" si="4"/>
        <v>7.562537655139173</v>
      </c>
      <c r="S11" s="203">
        <v>209245</v>
      </c>
      <c r="T11" s="197">
        <f t="shared" si="6"/>
        <v>-0.4001146980811967</v>
      </c>
      <c r="U11" s="191">
        <v>762673</v>
      </c>
      <c r="V11" s="198">
        <v>101934</v>
      </c>
      <c r="W11" s="199">
        <f t="shared" si="5"/>
        <v>7.482027586477525</v>
      </c>
      <c r="X11" s="152"/>
      <c r="Y11" s="152"/>
    </row>
    <row r="12" spans="1:25" s="151" customFormat="1" ht="18">
      <c r="A12" s="169">
        <f t="shared" si="0"/>
        <v>8</v>
      </c>
      <c r="B12" s="185"/>
      <c r="C12" s="201" t="s">
        <v>68</v>
      </c>
      <c r="D12" s="202">
        <v>38758</v>
      </c>
      <c r="E12" s="188" t="s">
        <v>211</v>
      </c>
      <c r="F12" s="189">
        <v>80</v>
      </c>
      <c r="G12" s="190">
        <v>74</v>
      </c>
      <c r="H12" s="189">
        <v>6</v>
      </c>
      <c r="I12" s="203">
        <v>26129.5</v>
      </c>
      <c r="J12" s="192">
        <v>5519</v>
      </c>
      <c r="K12" s="203">
        <v>45549.5</v>
      </c>
      <c r="L12" s="192">
        <v>9315</v>
      </c>
      <c r="M12" s="203">
        <v>42443.5</v>
      </c>
      <c r="N12" s="192">
        <v>8394</v>
      </c>
      <c r="O12" s="204">
        <f t="shared" si="1"/>
        <v>114122.5</v>
      </c>
      <c r="P12" s="194">
        <f t="shared" si="2"/>
        <v>23228</v>
      </c>
      <c r="Q12" s="195">
        <f t="shared" si="3"/>
        <v>313.8918918918919</v>
      </c>
      <c r="R12" s="196">
        <f t="shared" si="4"/>
        <v>4.913143619769244</v>
      </c>
      <c r="S12" s="203">
        <v>160578</v>
      </c>
      <c r="T12" s="197">
        <f t="shared" si="6"/>
        <v>-0.289301772347395</v>
      </c>
      <c r="U12" s="191">
        <v>2990781.5</v>
      </c>
      <c r="V12" s="198">
        <v>468468</v>
      </c>
      <c r="W12" s="199">
        <f t="shared" si="5"/>
        <v>6.384174586097663</v>
      </c>
      <c r="X12" s="152"/>
      <c r="Y12" s="152"/>
    </row>
    <row r="13" spans="1:25" s="151" customFormat="1" ht="18">
      <c r="A13" s="169">
        <f t="shared" si="0"/>
        <v>9</v>
      </c>
      <c r="B13" s="185"/>
      <c r="C13" s="201" t="s">
        <v>65</v>
      </c>
      <c r="D13" s="202">
        <v>38751</v>
      </c>
      <c r="E13" s="188" t="s">
        <v>212</v>
      </c>
      <c r="F13" s="189">
        <v>277</v>
      </c>
      <c r="G13" s="190">
        <v>81</v>
      </c>
      <c r="H13" s="189">
        <v>7</v>
      </c>
      <c r="I13" s="203">
        <v>21663</v>
      </c>
      <c r="J13" s="192">
        <v>6136</v>
      </c>
      <c r="K13" s="203">
        <v>40670</v>
      </c>
      <c r="L13" s="192">
        <v>7953</v>
      </c>
      <c r="M13" s="203">
        <v>50733</v>
      </c>
      <c r="N13" s="192">
        <v>8336</v>
      </c>
      <c r="O13" s="204">
        <f t="shared" si="1"/>
        <v>113066</v>
      </c>
      <c r="P13" s="194">
        <f t="shared" si="2"/>
        <v>22425</v>
      </c>
      <c r="Q13" s="195">
        <f t="shared" si="3"/>
        <v>276.85185185185185</v>
      </c>
      <c r="R13" s="196">
        <f t="shared" si="4"/>
        <v>5.04196209587514</v>
      </c>
      <c r="S13" s="203">
        <v>357558.5</v>
      </c>
      <c r="T13" s="197">
        <f t="shared" si="6"/>
        <v>-0.6837832130965982</v>
      </c>
      <c r="U13" s="203">
        <v>27207523</v>
      </c>
      <c r="V13" s="198">
        <v>4177586</v>
      </c>
      <c r="W13" s="199">
        <f t="shared" si="5"/>
        <v>6.512737978344432</v>
      </c>
      <c r="X13" s="152"/>
      <c r="Y13" s="152"/>
    </row>
    <row r="14" spans="1:25" s="151" customFormat="1" ht="18">
      <c r="A14" s="169">
        <f t="shared" si="0"/>
        <v>10</v>
      </c>
      <c r="B14" s="185"/>
      <c r="C14" s="201" t="s">
        <v>71</v>
      </c>
      <c r="D14" s="202">
        <v>38793</v>
      </c>
      <c r="E14" s="188" t="s">
        <v>213</v>
      </c>
      <c r="F14" s="189">
        <v>63</v>
      </c>
      <c r="G14" s="190">
        <v>65</v>
      </c>
      <c r="H14" s="189">
        <v>2</v>
      </c>
      <c r="I14" s="203">
        <v>20654</v>
      </c>
      <c r="J14" s="192">
        <v>2459</v>
      </c>
      <c r="K14" s="203">
        <v>42792</v>
      </c>
      <c r="L14" s="192">
        <v>4917</v>
      </c>
      <c r="M14" s="203">
        <v>40029</v>
      </c>
      <c r="N14" s="192">
        <v>4504</v>
      </c>
      <c r="O14" s="204">
        <f t="shared" si="1"/>
        <v>103475</v>
      </c>
      <c r="P14" s="194">
        <f t="shared" si="2"/>
        <v>11880</v>
      </c>
      <c r="Q14" s="195">
        <f t="shared" si="3"/>
        <v>182.76923076923077</v>
      </c>
      <c r="R14" s="196">
        <f t="shared" si="4"/>
        <v>8.710016835016836</v>
      </c>
      <c r="S14" s="203">
        <v>209889</v>
      </c>
      <c r="T14" s="197">
        <f t="shared" si="6"/>
        <v>-0.5070013197451987</v>
      </c>
      <c r="U14" s="203">
        <v>395864</v>
      </c>
      <c r="V14" s="198">
        <v>46590</v>
      </c>
      <c r="W14" s="199">
        <f t="shared" si="5"/>
        <v>8.496758961150462</v>
      </c>
      <c r="X14" s="152"/>
      <c r="Y14" s="152"/>
    </row>
    <row r="15" spans="1:25" s="151" customFormat="1" ht="18">
      <c r="A15" s="169">
        <f t="shared" si="0"/>
        <v>11</v>
      </c>
      <c r="B15" s="185"/>
      <c r="C15" s="205" t="s">
        <v>69</v>
      </c>
      <c r="D15" s="202">
        <v>38779</v>
      </c>
      <c r="E15" s="188" t="s">
        <v>203</v>
      </c>
      <c r="F15" s="189">
        <v>81</v>
      </c>
      <c r="G15" s="190">
        <v>81</v>
      </c>
      <c r="H15" s="189">
        <v>3</v>
      </c>
      <c r="I15" s="203">
        <v>17722.5</v>
      </c>
      <c r="J15" s="192">
        <v>2193</v>
      </c>
      <c r="K15" s="203">
        <v>39918</v>
      </c>
      <c r="L15" s="192">
        <v>5002</v>
      </c>
      <c r="M15" s="203">
        <v>36523.5</v>
      </c>
      <c r="N15" s="192">
        <v>4618</v>
      </c>
      <c r="O15" s="204">
        <f t="shared" si="1"/>
        <v>94164</v>
      </c>
      <c r="P15" s="194">
        <f t="shared" si="2"/>
        <v>11813</v>
      </c>
      <c r="Q15" s="195">
        <f t="shared" si="3"/>
        <v>145.8395061728395</v>
      </c>
      <c r="R15" s="196">
        <f t="shared" si="4"/>
        <v>7.971218149496318</v>
      </c>
      <c r="S15" s="203">
        <v>231361.5</v>
      </c>
      <c r="T15" s="197">
        <f t="shared" si="6"/>
        <v>-0.5930005640523596</v>
      </c>
      <c r="U15" s="203">
        <v>980027.5</v>
      </c>
      <c r="V15" s="198">
        <v>124380</v>
      </c>
      <c r="W15" s="199">
        <f t="shared" si="5"/>
        <v>7.879301334619714</v>
      </c>
      <c r="X15" s="152"/>
      <c r="Y15" s="152"/>
    </row>
    <row r="16" spans="1:25" s="151" customFormat="1" ht="18">
      <c r="A16" s="169">
        <f t="shared" si="0"/>
        <v>12</v>
      </c>
      <c r="B16" s="185"/>
      <c r="C16" s="201" t="s">
        <v>214</v>
      </c>
      <c r="D16" s="202">
        <v>38793</v>
      </c>
      <c r="E16" s="188" t="s">
        <v>215</v>
      </c>
      <c r="F16" s="189">
        <v>71</v>
      </c>
      <c r="G16" s="190">
        <v>71</v>
      </c>
      <c r="H16" s="189">
        <v>1</v>
      </c>
      <c r="I16" s="203">
        <v>18007</v>
      </c>
      <c r="J16" s="192">
        <v>2583</v>
      </c>
      <c r="K16" s="203">
        <v>34994</v>
      </c>
      <c r="L16" s="192">
        <v>4825</v>
      </c>
      <c r="M16" s="203">
        <v>40768.5</v>
      </c>
      <c r="N16" s="192">
        <v>5482</v>
      </c>
      <c r="O16" s="204">
        <f t="shared" si="1"/>
        <v>93769.5</v>
      </c>
      <c r="P16" s="194">
        <f t="shared" si="2"/>
        <v>12890</v>
      </c>
      <c r="Q16" s="195">
        <f t="shared" si="3"/>
        <v>181.54929577464787</v>
      </c>
      <c r="R16" s="196">
        <f t="shared" si="4"/>
        <v>7.274592707525214</v>
      </c>
      <c r="S16" s="203"/>
      <c r="T16" s="197">
        <f t="shared" si="6"/>
      </c>
      <c r="U16" s="203">
        <v>93769.5</v>
      </c>
      <c r="V16" s="198">
        <v>12890</v>
      </c>
      <c r="W16" s="199">
        <f t="shared" si="5"/>
        <v>7.274592707525214</v>
      </c>
      <c r="X16" s="152"/>
      <c r="Y16" s="152"/>
    </row>
    <row r="17" spans="1:25" s="151" customFormat="1" ht="18">
      <c r="A17" s="169">
        <f t="shared" si="0"/>
        <v>13</v>
      </c>
      <c r="B17" s="185"/>
      <c r="C17" s="205" t="s">
        <v>74</v>
      </c>
      <c r="D17" s="202">
        <v>38527</v>
      </c>
      <c r="E17" s="188" t="s">
        <v>216</v>
      </c>
      <c r="F17" s="189">
        <v>17</v>
      </c>
      <c r="G17" s="190">
        <v>17</v>
      </c>
      <c r="H17" s="189">
        <v>23</v>
      </c>
      <c r="I17" s="203">
        <v>13887.5</v>
      </c>
      <c r="J17" s="192">
        <v>1438</v>
      </c>
      <c r="K17" s="203">
        <v>26394</v>
      </c>
      <c r="L17" s="192">
        <v>2663</v>
      </c>
      <c r="M17" s="203">
        <v>22709.5</v>
      </c>
      <c r="N17" s="192">
        <v>2345</v>
      </c>
      <c r="O17" s="204">
        <f t="shared" si="1"/>
        <v>62991</v>
      </c>
      <c r="P17" s="194">
        <f t="shared" si="2"/>
        <v>6446</v>
      </c>
      <c r="Q17" s="195">
        <f t="shared" si="3"/>
        <v>379.1764705882353</v>
      </c>
      <c r="R17" s="196">
        <f t="shared" si="4"/>
        <v>9.772106732857585</v>
      </c>
      <c r="S17" s="203">
        <v>129398.5</v>
      </c>
      <c r="T17" s="197">
        <f t="shared" si="6"/>
        <v>-0.5132014667867093</v>
      </c>
      <c r="U17" s="203">
        <v>679107</v>
      </c>
      <c r="V17" s="198">
        <v>86264</v>
      </c>
      <c r="W17" s="199">
        <f t="shared" si="5"/>
        <v>7.872426504683298</v>
      </c>
      <c r="X17" s="152"/>
      <c r="Y17" s="152"/>
    </row>
    <row r="18" spans="1:25" s="151" customFormat="1" ht="18">
      <c r="A18" s="169">
        <f t="shared" si="0"/>
        <v>14</v>
      </c>
      <c r="B18" s="185"/>
      <c r="C18" s="201" t="s">
        <v>73</v>
      </c>
      <c r="D18" s="202">
        <v>38751</v>
      </c>
      <c r="E18" s="188" t="s">
        <v>217</v>
      </c>
      <c r="F18" s="189">
        <v>62</v>
      </c>
      <c r="G18" s="190">
        <v>39</v>
      </c>
      <c r="H18" s="189">
        <v>4</v>
      </c>
      <c r="I18" s="203">
        <v>3889</v>
      </c>
      <c r="J18" s="192">
        <v>713</v>
      </c>
      <c r="K18" s="203">
        <v>16054</v>
      </c>
      <c r="L18" s="192">
        <v>2246</v>
      </c>
      <c r="M18" s="203">
        <v>18269</v>
      </c>
      <c r="N18" s="192">
        <v>2797</v>
      </c>
      <c r="O18" s="204">
        <f t="shared" si="1"/>
        <v>38212</v>
      </c>
      <c r="P18" s="194">
        <f t="shared" si="2"/>
        <v>5756</v>
      </c>
      <c r="Q18" s="195">
        <f t="shared" si="3"/>
        <v>147.5897435897436</v>
      </c>
      <c r="R18" s="196">
        <f t="shared" si="4"/>
        <v>6.638637943015984</v>
      </c>
      <c r="S18" s="203">
        <v>104440</v>
      </c>
      <c r="T18" s="197">
        <f t="shared" si="6"/>
        <v>-0.6341248563768671</v>
      </c>
      <c r="U18" s="203">
        <v>764686</v>
      </c>
      <c r="V18" s="198">
        <v>97365</v>
      </c>
      <c r="W18" s="199">
        <f t="shared" si="5"/>
        <v>7.853807836491552</v>
      </c>
      <c r="X18" s="152"/>
      <c r="Y18" s="152"/>
    </row>
    <row r="19" spans="1:25" s="151" customFormat="1" ht="18">
      <c r="A19" s="169">
        <f t="shared" si="0"/>
        <v>15</v>
      </c>
      <c r="B19" s="185"/>
      <c r="C19" s="201" t="s">
        <v>218</v>
      </c>
      <c r="D19" s="202">
        <v>38793</v>
      </c>
      <c r="E19" s="188" t="s">
        <v>219</v>
      </c>
      <c r="F19" s="189">
        <v>33</v>
      </c>
      <c r="G19" s="190">
        <v>34</v>
      </c>
      <c r="H19" s="189">
        <v>1</v>
      </c>
      <c r="I19" s="203">
        <v>5952</v>
      </c>
      <c r="J19" s="192">
        <v>732</v>
      </c>
      <c r="K19" s="203">
        <v>10651</v>
      </c>
      <c r="L19" s="192">
        <v>1884</v>
      </c>
      <c r="M19" s="203">
        <v>18545</v>
      </c>
      <c r="N19" s="192">
        <v>2162</v>
      </c>
      <c r="O19" s="204">
        <f t="shared" si="1"/>
        <v>35148</v>
      </c>
      <c r="P19" s="194">
        <f t="shared" si="2"/>
        <v>4778</v>
      </c>
      <c r="Q19" s="195">
        <f t="shared" si="3"/>
        <v>140.52941176470588</v>
      </c>
      <c r="R19" s="196">
        <f t="shared" si="4"/>
        <v>7.356215989953956</v>
      </c>
      <c r="S19" s="203"/>
      <c r="T19" s="197">
        <f t="shared" si="6"/>
      </c>
      <c r="U19" s="203">
        <v>35148</v>
      </c>
      <c r="V19" s="198">
        <v>4778</v>
      </c>
      <c r="W19" s="199">
        <f t="shared" si="5"/>
        <v>7.356215989953956</v>
      </c>
      <c r="X19" s="152"/>
      <c r="Y19" s="152"/>
    </row>
    <row r="20" spans="1:25" s="151" customFormat="1" ht="18">
      <c r="A20" s="169">
        <f t="shared" si="0"/>
        <v>16</v>
      </c>
      <c r="B20" s="185"/>
      <c r="C20" s="201" t="s">
        <v>75</v>
      </c>
      <c r="D20" s="202">
        <v>38786</v>
      </c>
      <c r="E20" s="188" t="s">
        <v>220</v>
      </c>
      <c r="F20" s="189">
        <v>30</v>
      </c>
      <c r="G20" s="190">
        <v>21</v>
      </c>
      <c r="H20" s="189">
        <v>4</v>
      </c>
      <c r="I20" s="203">
        <v>5177.5</v>
      </c>
      <c r="J20" s="192">
        <v>688</v>
      </c>
      <c r="K20" s="203">
        <v>11204.5</v>
      </c>
      <c r="L20" s="192">
        <v>1425</v>
      </c>
      <c r="M20" s="203">
        <v>11648.5</v>
      </c>
      <c r="N20" s="192">
        <v>1473</v>
      </c>
      <c r="O20" s="204">
        <f t="shared" si="1"/>
        <v>28030.5</v>
      </c>
      <c r="P20" s="194">
        <f t="shared" si="2"/>
        <v>3586</v>
      </c>
      <c r="Q20" s="195">
        <f t="shared" si="3"/>
        <v>170.76190476190476</v>
      </c>
      <c r="R20" s="196">
        <f t="shared" si="4"/>
        <v>7.81664807585053</v>
      </c>
      <c r="S20" s="203">
        <v>61727</v>
      </c>
      <c r="T20" s="197">
        <f t="shared" si="6"/>
        <v>-0.5458956372414017</v>
      </c>
      <c r="U20" s="203">
        <v>122660.5</v>
      </c>
      <c r="V20" s="198">
        <v>16442</v>
      </c>
      <c r="W20" s="199">
        <f t="shared" si="5"/>
        <v>7.460193407128086</v>
      </c>
      <c r="X20" s="152"/>
      <c r="Y20" s="152"/>
    </row>
    <row r="21" spans="1:25" s="151" customFormat="1" ht="18">
      <c r="A21" s="169">
        <f t="shared" si="0"/>
        <v>17</v>
      </c>
      <c r="B21" s="185"/>
      <c r="C21" s="205" t="s">
        <v>137</v>
      </c>
      <c r="D21" s="202">
        <v>38765</v>
      </c>
      <c r="E21" s="188" t="s">
        <v>221</v>
      </c>
      <c r="F21" s="189">
        <v>13</v>
      </c>
      <c r="G21" s="190">
        <v>13</v>
      </c>
      <c r="H21" s="189">
        <v>5</v>
      </c>
      <c r="I21" s="203">
        <v>4584.5</v>
      </c>
      <c r="J21" s="192">
        <v>664</v>
      </c>
      <c r="K21" s="203">
        <v>9828</v>
      </c>
      <c r="L21" s="192">
        <v>1419</v>
      </c>
      <c r="M21" s="203">
        <v>9386</v>
      </c>
      <c r="N21" s="192">
        <v>1345</v>
      </c>
      <c r="O21" s="204">
        <f t="shared" si="1"/>
        <v>23798.5</v>
      </c>
      <c r="P21" s="194">
        <f t="shared" si="2"/>
        <v>3428</v>
      </c>
      <c r="Q21" s="195">
        <f t="shared" si="3"/>
        <v>263.6923076923077</v>
      </c>
      <c r="R21" s="196">
        <f t="shared" si="4"/>
        <v>6.9423862310385065</v>
      </c>
      <c r="S21" s="203">
        <v>44685.5</v>
      </c>
      <c r="T21" s="197">
        <f t="shared" si="6"/>
        <v>-0.4674223182016538</v>
      </c>
      <c r="U21" s="203">
        <v>653927.5</v>
      </c>
      <c r="V21" s="198">
        <v>70140</v>
      </c>
      <c r="W21" s="199">
        <f t="shared" si="5"/>
        <v>9.3231750784146</v>
      </c>
      <c r="X21" s="152"/>
      <c r="Y21" s="152"/>
    </row>
    <row r="22" spans="1:25" s="151" customFormat="1" ht="18">
      <c r="A22" s="169">
        <f t="shared" si="0"/>
        <v>18</v>
      </c>
      <c r="B22" s="185"/>
      <c r="C22" s="205" t="s">
        <v>72</v>
      </c>
      <c r="D22" s="202">
        <v>38772</v>
      </c>
      <c r="E22" s="188" t="s">
        <v>216</v>
      </c>
      <c r="F22" s="189">
        <v>32</v>
      </c>
      <c r="G22" s="190">
        <v>32</v>
      </c>
      <c r="H22" s="189">
        <v>4</v>
      </c>
      <c r="I22" s="203">
        <v>5158.5</v>
      </c>
      <c r="J22" s="192">
        <v>886</v>
      </c>
      <c r="K22" s="203">
        <v>8523</v>
      </c>
      <c r="L22" s="192">
        <v>1492</v>
      </c>
      <c r="M22" s="203">
        <v>8489</v>
      </c>
      <c r="N22" s="192">
        <v>1434</v>
      </c>
      <c r="O22" s="204">
        <f t="shared" si="1"/>
        <v>22170.5</v>
      </c>
      <c r="P22" s="194">
        <f t="shared" si="2"/>
        <v>3812</v>
      </c>
      <c r="Q22" s="195">
        <f t="shared" si="3"/>
        <v>119.125</v>
      </c>
      <c r="R22" s="196">
        <f t="shared" si="4"/>
        <v>5.815975865687303</v>
      </c>
      <c r="S22" s="203">
        <v>104646.5</v>
      </c>
      <c r="T22" s="197">
        <f t="shared" si="6"/>
        <v>-0.7881391159761674</v>
      </c>
      <c r="U22" s="203">
        <v>1053709.5</v>
      </c>
      <c r="V22" s="198">
        <v>135185</v>
      </c>
      <c r="W22" s="199">
        <f t="shared" si="5"/>
        <v>7.794574102156305</v>
      </c>
      <c r="X22" s="152"/>
      <c r="Y22" s="152"/>
    </row>
    <row r="23" spans="1:25" s="151" customFormat="1" ht="18">
      <c r="A23" s="169">
        <f t="shared" si="0"/>
        <v>19</v>
      </c>
      <c r="B23" s="185"/>
      <c r="C23" s="201" t="s">
        <v>222</v>
      </c>
      <c r="D23" s="202">
        <v>38793</v>
      </c>
      <c r="E23" s="188" t="s">
        <v>223</v>
      </c>
      <c r="F23" s="189">
        <v>3</v>
      </c>
      <c r="G23" s="190">
        <v>3</v>
      </c>
      <c r="H23" s="189">
        <v>1</v>
      </c>
      <c r="I23" s="203">
        <v>4273</v>
      </c>
      <c r="J23" s="192">
        <v>471</v>
      </c>
      <c r="K23" s="203">
        <v>7365.5</v>
      </c>
      <c r="L23" s="192">
        <v>794</v>
      </c>
      <c r="M23" s="203">
        <v>7925.5</v>
      </c>
      <c r="N23" s="192">
        <v>839</v>
      </c>
      <c r="O23" s="204">
        <f t="shared" si="1"/>
        <v>19564</v>
      </c>
      <c r="P23" s="194">
        <f t="shared" si="2"/>
        <v>2104</v>
      </c>
      <c r="Q23" s="195">
        <f t="shared" si="3"/>
        <v>701.3333333333334</v>
      </c>
      <c r="R23" s="196">
        <f t="shared" si="4"/>
        <v>9.298479087452472</v>
      </c>
      <c r="S23" s="203"/>
      <c r="T23" s="197">
        <f t="shared" si="6"/>
      </c>
      <c r="U23" s="203">
        <v>19564</v>
      </c>
      <c r="V23" s="198">
        <v>2104</v>
      </c>
      <c r="W23" s="199">
        <f t="shared" si="5"/>
        <v>9.298479087452472</v>
      </c>
      <c r="X23" s="152"/>
      <c r="Y23" s="152"/>
    </row>
    <row r="24" spans="1:25" s="151" customFormat="1" ht="18">
      <c r="A24" s="169">
        <f t="shared" si="0"/>
        <v>20</v>
      </c>
      <c r="B24" s="185"/>
      <c r="C24" s="201" t="s">
        <v>224</v>
      </c>
      <c r="D24" s="202">
        <v>38772</v>
      </c>
      <c r="E24" s="188" t="s">
        <v>225</v>
      </c>
      <c r="F24" s="189">
        <v>49</v>
      </c>
      <c r="G24" s="190">
        <v>21</v>
      </c>
      <c r="H24" s="189">
        <v>4</v>
      </c>
      <c r="I24" s="203">
        <v>4865</v>
      </c>
      <c r="J24" s="192">
        <v>1781</v>
      </c>
      <c r="K24" s="203">
        <v>7265</v>
      </c>
      <c r="L24" s="192">
        <v>2212</v>
      </c>
      <c r="M24" s="203">
        <v>6647.5</v>
      </c>
      <c r="N24" s="192">
        <v>2116</v>
      </c>
      <c r="O24" s="204">
        <f t="shared" si="1"/>
        <v>18777.5</v>
      </c>
      <c r="P24" s="194">
        <f t="shared" si="2"/>
        <v>6109</v>
      </c>
      <c r="Q24" s="195">
        <f t="shared" si="3"/>
        <v>290.9047619047619</v>
      </c>
      <c r="R24" s="196">
        <f t="shared" si="4"/>
        <v>3.0737436568996563</v>
      </c>
      <c r="S24" s="203">
        <v>28988</v>
      </c>
      <c r="T24" s="197">
        <f t="shared" si="6"/>
        <v>-0.35223195805160756</v>
      </c>
      <c r="U24" s="203">
        <v>291191.5</v>
      </c>
      <c r="V24" s="198">
        <v>42665</v>
      </c>
      <c r="W24" s="199">
        <f t="shared" si="5"/>
        <v>6.825067385444744</v>
      </c>
      <c r="X24" s="152"/>
      <c r="Y24" s="152"/>
    </row>
    <row r="25" spans="1:25" s="151" customFormat="1" ht="18">
      <c r="A25" s="169">
        <f t="shared" si="0"/>
        <v>21</v>
      </c>
      <c r="B25" s="185"/>
      <c r="C25" s="201" t="s">
        <v>226</v>
      </c>
      <c r="D25" s="202">
        <v>38793</v>
      </c>
      <c r="E25" s="188" t="s">
        <v>227</v>
      </c>
      <c r="F25" s="189">
        <v>2</v>
      </c>
      <c r="G25" s="190">
        <v>1</v>
      </c>
      <c r="H25" s="189">
        <v>2</v>
      </c>
      <c r="I25" s="203">
        <v>984</v>
      </c>
      <c r="J25" s="192">
        <v>116</v>
      </c>
      <c r="K25" s="203">
        <v>6834.5</v>
      </c>
      <c r="L25" s="192">
        <v>705</v>
      </c>
      <c r="M25" s="203">
        <v>10198</v>
      </c>
      <c r="N25" s="192">
        <v>1035</v>
      </c>
      <c r="O25" s="204">
        <f t="shared" si="1"/>
        <v>18016.5</v>
      </c>
      <c r="P25" s="194">
        <f t="shared" si="2"/>
        <v>1856</v>
      </c>
      <c r="Q25" s="195">
        <f t="shared" si="3"/>
        <v>1856</v>
      </c>
      <c r="R25" s="196">
        <f t="shared" si="4"/>
        <v>9.707165948275861</v>
      </c>
      <c r="S25" s="203"/>
      <c r="T25" s="197">
        <f t="shared" si="6"/>
      </c>
      <c r="U25" s="203">
        <v>18016.5</v>
      </c>
      <c r="V25" s="198">
        <v>1856</v>
      </c>
      <c r="W25" s="199">
        <f t="shared" si="5"/>
        <v>9.707165948275861</v>
      </c>
      <c r="X25" s="152"/>
      <c r="Y25" s="152"/>
    </row>
    <row r="26" spans="1:25" s="151" customFormat="1" ht="18">
      <c r="A26" s="169">
        <f t="shared" si="0"/>
        <v>22</v>
      </c>
      <c r="B26" s="185"/>
      <c r="C26" s="201" t="s">
        <v>136</v>
      </c>
      <c r="D26" s="202">
        <v>38758</v>
      </c>
      <c r="E26" s="188" t="s">
        <v>203</v>
      </c>
      <c r="F26" s="189">
        <v>18</v>
      </c>
      <c r="G26" s="190">
        <v>18</v>
      </c>
      <c r="H26" s="189">
        <v>6</v>
      </c>
      <c r="I26" s="203">
        <v>2655</v>
      </c>
      <c r="J26" s="192">
        <v>490</v>
      </c>
      <c r="K26" s="203">
        <v>5260.5</v>
      </c>
      <c r="L26" s="192">
        <v>977</v>
      </c>
      <c r="M26" s="203">
        <v>5278</v>
      </c>
      <c r="N26" s="192">
        <v>972</v>
      </c>
      <c r="O26" s="204">
        <f t="shared" si="1"/>
        <v>13193.5</v>
      </c>
      <c r="P26" s="194">
        <f t="shared" si="2"/>
        <v>2439</v>
      </c>
      <c r="Q26" s="195">
        <f t="shared" si="3"/>
        <v>135.5</v>
      </c>
      <c r="R26" s="196">
        <f t="shared" si="4"/>
        <v>5.409389093890939</v>
      </c>
      <c r="S26" s="203">
        <v>24901</v>
      </c>
      <c r="T26" s="197">
        <f t="shared" si="6"/>
        <v>-0.4701618408899241</v>
      </c>
      <c r="U26" s="203">
        <v>1249260.5</v>
      </c>
      <c r="V26" s="198">
        <v>151280</v>
      </c>
      <c r="W26" s="199">
        <f t="shared" si="5"/>
        <v>8.25793561607615</v>
      </c>
      <c r="X26" s="152"/>
      <c r="Y26" s="152"/>
    </row>
    <row r="27" spans="1:25" s="151" customFormat="1" ht="18">
      <c r="A27" s="169">
        <f t="shared" si="0"/>
        <v>23</v>
      </c>
      <c r="B27" s="185"/>
      <c r="C27" s="201" t="s">
        <v>138</v>
      </c>
      <c r="D27" s="202">
        <v>38751</v>
      </c>
      <c r="E27" s="188" t="s">
        <v>217</v>
      </c>
      <c r="F27" s="189">
        <v>51</v>
      </c>
      <c r="G27" s="190">
        <v>18</v>
      </c>
      <c r="H27" s="189">
        <v>7</v>
      </c>
      <c r="I27" s="203">
        <v>2695</v>
      </c>
      <c r="J27" s="192">
        <v>562</v>
      </c>
      <c r="K27" s="203">
        <v>4648</v>
      </c>
      <c r="L27" s="192">
        <v>885</v>
      </c>
      <c r="M27" s="203">
        <v>5463</v>
      </c>
      <c r="N27" s="192">
        <v>1063</v>
      </c>
      <c r="O27" s="204">
        <f t="shared" si="1"/>
        <v>12806</v>
      </c>
      <c r="P27" s="194">
        <f t="shared" si="2"/>
        <v>2510</v>
      </c>
      <c r="Q27" s="195">
        <f t="shared" si="3"/>
        <v>139.44444444444446</v>
      </c>
      <c r="R27" s="196">
        <f t="shared" si="4"/>
        <v>5.10199203187251</v>
      </c>
      <c r="S27" s="203">
        <v>19661</v>
      </c>
      <c r="T27" s="197">
        <f t="shared" si="6"/>
        <v>-0.34865978332739944</v>
      </c>
      <c r="U27" s="203">
        <v>1267068</v>
      </c>
      <c r="V27" s="198">
        <v>160699</v>
      </c>
      <c r="W27" s="199">
        <f t="shared" si="5"/>
        <v>7.884728591963858</v>
      </c>
      <c r="X27" s="152"/>
      <c r="Y27" s="152"/>
    </row>
    <row r="28" spans="1:25" s="151" customFormat="1" ht="18">
      <c r="A28" s="169">
        <f t="shared" si="0"/>
        <v>24</v>
      </c>
      <c r="B28" s="185"/>
      <c r="C28" s="201" t="s">
        <v>80</v>
      </c>
      <c r="D28" s="202">
        <v>38786</v>
      </c>
      <c r="E28" s="188" t="s">
        <v>228</v>
      </c>
      <c r="F28" s="189">
        <v>4</v>
      </c>
      <c r="G28" s="190">
        <v>4</v>
      </c>
      <c r="H28" s="189">
        <v>2</v>
      </c>
      <c r="I28" s="203">
        <v>1568</v>
      </c>
      <c r="J28" s="192">
        <v>191</v>
      </c>
      <c r="K28" s="203">
        <v>1998</v>
      </c>
      <c r="L28" s="192">
        <v>237</v>
      </c>
      <c r="M28" s="203">
        <v>2394</v>
      </c>
      <c r="N28" s="192">
        <v>288</v>
      </c>
      <c r="O28" s="204">
        <f t="shared" si="1"/>
        <v>5960</v>
      </c>
      <c r="P28" s="194">
        <f t="shared" si="2"/>
        <v>716</v>
      </c>
      <c r="Q28" s="195">
        <f t="shared" si="3"/>
        <v>179</v>
      </c>
      <c r="R28" s="196">
        <f t="shared" si="4"/>
        <v>8.324022346368714</v>
      </c>
      <c r="S28" s="203">
        <v>16705</v>
      </c>
      <c r="T28" s="197">
        <f t="shared" si="6"/>
        <v>-0.6432205926369351</v>
      </c>
      <c r="U28" s="203">
        <v>36526</v>
      </c>
      <c r="V28" s="198">
        <v>4129</v>
      </c>
      <c r="W28" s="199">
        <f t="shared" si="5"/>
        <v>8.846209736013563</v>
      </c>
      <c r="X28" s="152"/>
      <c r="Y28" s="152"/>
    </row>
    <row r="29" spans="1:25" s="151" customFormat="1" ht="18">
      <c r="A29" s="169">
        <f t="shared" si="0"/>
        <v>25</v>
      </c>
      <c r="B29" s="185"/>
      <c r="C29" s="201" t="s">
        <v>79</v>
      </c>
      <c r="D29" s="202">
        <v>38779</v>
      </c>
      <c r="E29" s="188" t="s">
        <v>229</v>
      </c>
      <c r="F29" s="189">
        <v>10</v>
      </c>
      <c r="G29" s="190">
        <v>8</v>
      </c>
      <c r="H29" s="189">
        <v>3</v>
      </c>
      <c r="I29" s="203">
        <v>1364.5</v>
      </c>
      <c r="J29" s="192">
        <v>179</v>
      </c>
      <c r="K29" s="203">
        <v>1973.5</v>
      </c>
      <c r="L29" s="192">
        <v>249</v>
      </c>
      <c r="M29" s="203">
        <v>1992.5</v>
      </c>
      <c r="N29" s="192">
        <v>255</v>
      </c>
      <c r="O29" s="204">
        <f t="shared" si="1"/>
        <v>5330.5</v>
      </c>
      <c r="P29" s="194">
        <f t="shared" si="2"/>
        <v>683</v>
      </c>
      <c r="Q29" s="195">
        <f t="shared" si="3"/>
        <v>85.375</v>
      </c>
      <c r="R29" s="196">
        <f t="shared" si="4"/>
        <v>7.804538799414348</v>
      </c>
      <c r="S29" s="203">
        <v>18788</v>
      </c>
      <c r="T29" s="197">
        <f t="shared" si="6"/>
        <v>-0.7162816691505216</v>
      </c>
      <c r="U29" s="203">
        <v>83612.5</v>
      </c>
      <c r="V29" s="198">
        <v>10004</v>
      </c>
      <c r="W29" s="199">
        <f t="shared" si="5"/>
        <v>8.357906837265094</v>
      </c>
      <c r="X29" s="152"/>
      <c r="Y29" s="152"/>
    </row>
    <row r="30" spans="1:25" s="151" customFormat="1" ht="18">
      <c r="A30" s="169">
        <f t="shared" si="0"/>
        <v>26</v>
      </c>
      <c r="B30" s="185"/>
      <c r="C30" s="201" t="s">
        <v>81</v>
      </c>
      <c r="D30" s="202">
        <v>38737</v>
      </c>
      <c r="E30" s="188" t="s">
        <v>230</v>
      </c>
      <c r="F30" s="189">
        <v>43</v>
      </c>
      <c r="G30" s="190">
        <v>5</v>
      </c>
      <c r="H30" s="189">
        <v>9</v>
      </c>
      <c r="I30" s="203">
        <v>1391</v>
      </c>
      <c r="J30" s="192">
        <v>515</v>
      </c>
      <c r="K30" s="203">
        <v>1898</v>
      </c>
      <c r="L30" s="192">
        <v>606</v>
      </c>
      <c r="M30" s="203">
        <v>1674</v>
      </c>
      <c r="N30" s="192">
        <v>569</v>
      </c>
      <c r="O30" s="204">
        <f t="shared" si="1"/>
        <v>4963</v>
      </c>
      <c r="P30" s="194">
        <f t="shared" si="2"/>
        <v>1690</v>
      </c>
      <c r="Q30" s="195">
        <f t="shared" si="3"/>
        <v>338</v>
      </c>
      <c r="R30" s="196">
        <f t="shared" si="4"/>
        <v>2.9366863905325444</v>
      </c>
      <c r="S30" s="203">
        <v>4013.5</v>
      </c>
      <c r="T30" s="197">
        <f t="shared" si="6"/>
        <v>0.23657655412981188</v>
      </c>
      <c r="U30" s="203">
        <v>922112.5</v>
      </c>
      <c r="V30" s="198">
        <v>120193</v>
      </c>
      <c r="W30" s="199">
        <f t="shared" si="5"/>
        <v>7.671931809672777</v>
      </c>
      <c r="X30" s="152"/>
      <c r="Y30" s="152"/>
    </row>
    <row r="31" spans="1:25" s="151" customFormat="1" ht="18">
      <c r="A31" s="169">
        <f t="shared" si="0"/>
        <v>27</v>
      </c>
      <c r="B31" s="185"/>
      <c r="C31" s="201" t="s">
        <v>231</v>
      </c>
      <c r="D31" s="202">
        <v>38779</v>
      </c>
      <c r="E31" s="188" t="s">
        <v>232</v>
      </c>
      <c r="F31" s="189">
        <v>8</v>
      </c>
      <c r="G31" s="190">
        <v>8</v>
      </c>
      <c r="H31" s="189">
        <v>3</v>
      </c>
      <c r="I31" s="203">
        <v>825</v>
      </c>
      <c r="J31" s="192">
        <v>150</v>
      </c>
      <c r="K31" s="203">
        <v>1650</v>
      </c>
      <c r="L31" s="192">
        <v>300</v>
      </c>
      <c r="M31" s="203">
        <v>2315.5</v>
      </c>
      <c r="N31" s="192">
        <v>421</v>
      </c>
      <c r="O31" s="204">
        <f t="shared" si="1"/>
        <v>4790.5</v>
      </c>
      <c r="P31" s="194">
        <f t="shared" si="2"/>
        <v>871</v>
      </c>
      <c r="Q31" s="195">
        <f t="shared" si="3"/>
        <v>108.875</v>
      </c>
      <c r="R31" s="196">
        <f t="shared" si="4"/>
        <v>5.5</v>
      </c>
      <c r="S31" s="203">
        <v>12204.5</v>
      </c>
      <c r="T31" s="197">
        <f t="shared" si="6"/>
        <v>-0.6074808472284813</v>
      </c>
      <c r="U31" s="203">
        <v>71219.9</v>
      </c>
      <c r="V31" s="198">
        <v>7828</v>
      </c>
      <c r="W31" s="199">
        <f t="shared" si="5"/>
        <v>9.098096576392436</v>
      </c>
      <c r="X31" s="152"/>
      <c r="Y31" s="152"/>
    </row>
    <row r="32" spans="1:25" s="151" customFormat="1" ht="18">
      <c r="A32" s="169">
        <f t="shared" si="0"/>
        <v>28</v>
      </c>
      <c r="B32" s="185"/>
      <c r="C32" s="201" t="s">
        <v>154</v>
      </c>
      <c r="D32" s="202">
        <v>38723</v>
      </c>
      <c r="E32" s="188" t="s">
        <v>233</v>
      </c>
      <c r="F32" s="189">
        <v>199</v>
      </c>
      <c r="G32" s="190">
        <v>6</v>
      </c>
      <c r="H32" s="189">
        <v>11</v>
      </c>
      <c r="I32" s="203">
        <v>577</v>
      </c>
      <c r="J32" s="192">
        <v>139</v>
      </c>
      <c r="K32" s="203">
        <v>1381</v>
      </c>
      <c r="L32" s="192">
        <v>401</v>
      </c>
      <c r="M32" s="203">
        <v>1015</v>
      </c>
      <c r="N32" s="192">
        <v>281</v>
      </c>
      <c r="O32" s="204">
        <f t="shared" si="1"/>
        <v>2973</v>
      </c>
      <c r="P32" s="194">
        <f t="shared" si="2"/>
        <v>821</v>
      </c>
      <c r="Q32" s="195">
        <f t="shared" si="3"/>
        <v>136.83333333333334</v>
      </c>
      <c r="R32" s="196">
        <f t="shared" si="4"/>
        <v>3.6211936662606576</v>
      </c>
      <c r="S32" s="203">
        <v>3402</v>
      </c>
      <c r="T32" s="197">
        <f t="shared" si="6"/>
        <v>-0.12610229276895943</v>
      </c>
      <c r="U32" s="203">
        <v>6499235</v>
      </c>
      <c r="V32" s="198">
        <v>988922</v>
      </c>
      <c r="W32" s="199">
        <f t="shared" si="5"/>
        <v>6.572040059782268</v>
      </c>
      <c r="X32" s="152"/>
      <c r="Y32" s="152"/>
    </row>
    <row r="33" spans="1:24" s="151" customFormat="1" ht="18">
      <c r="A33" s="169">
        <f t="shared" si="0"/>
        <v>29</v>
      </c>
      <c r="B33" s="185"/>
      <c r="C33" s="201" t="s">
        <v>159</v>
      </c>
      <c r="D33" s="202">
        <v>38709</v>
      </c>
      <c r="E33" s="188" t="s">
        <v>234</v>
      </c>
      <c r="F33" s="189">
        <v>233</v>
      </c>
      <c r="G33" s="190">
        <v>4</v>
      </c>
      <c r="H33" s="189">
        <v>13</v>
      </c>
      <c r="I33" s="203">
        <v>664</v>
      </c>
      <c r="J33" s="192">
        <v>534</v>
      </c>
      <c r="K33" s="203">
        <v>1001</v>
      </c>
      <c r="L33" s="192">
        <v>604</v>
      </c>
      <c r="M33" s="203">
        <v>942</v>
      </c>
      <c r="N33" s="192">
        <v>594</v>
      </c>
      <c r="O33" s="204">
        <f t="shared" si="1"/>
        <v>2607</v>
      </c>
      <c r="P33" s="194">
        <f t="shared" si="2"/>
        <v>1732</v>
      </c>
      <c r="Q33" s="195">
        <f t="shared" si="3"/>
        <v>433</v>
      </c>
      <c r="R33" s="196">
        <f t="shared" si="4"/>
        <v>1.5051963048498844</v>
      </c>
      <c r="S33" s="203">
        <v>2870.5</v>
      </c>
      <c r="T33" s="197">
        <f t="shared" si="6"/>
        <v>-0.0917958543807699</v>
      </c>
      <c r="U33" s="203">
        <v>17046186</v>
      </c>
      <c r="V33" s="198">
        <v>2555207</v>
      </c>
      <c r="W33" s="199">
        <f t="shared" si="5"/>
        <v>6.6711565834000925</v>
      </c>
      <c r="X33" s="152"/>
    </row>
    <row r="34" spans="1:26" s="151" customFormat="1" ht="18">
      <c r="A34" s="169">
        <f t="shared" si="0"/>
        <v>30</v>
      </c>
      <c r="B34" s="185"/>
      <c r="C34" s="201" t="s">
        <v>142</v>
      </c>
      <c r="D34" s="202">
        <v>38765</v>
      </c>
      <c r="E34" s="188" t="s">
        <v>235</v>
      </c>
      <c r="F34" s="189">
        <v>30</v>
      </c>
      <c r="G34" s="190">
        <v>9</v>
      </c>
      <c r="H34" s="189">
        <v>5</v>
      </c>
      <c r="I34" s="203">
        <v>518</v>
      </c>
      <c r="J34" s="192">
        <v>106</v>
      </c>
      <c r="K34" s="203">
        <v>938</v>
      </c>
      <c r="L34" s="192">
        <v>181</v>
      </c>
      <c r="M34" s="203">
        <v>1119</v>
      </c>
      <c r="N34" s="192">
        <v>216</v>
      </c>
      <c r="O34" s="204">
        <f t="shared" si="1"/>
        <v>2575</v>
      </c>
      <c r="P34" s="194">
        <f t="shared" si="2"/>
        <v>503</v>
      </c>
      <c r="Q34" s="195">
        <f t="shared" si="3"/>
        <v>55.888888888888886</v>
      </c>
      <c r="R34" s="196">
        <f t="shared" si="4"/>
        <v>5.119284294234593</v>
      </c>
      <c r="S34" s="203">
        <v>5335</v>
      </c>
      <c r="T34" s="197">
        <f t="shared" si="6"/>
        <v>-0.5173383317713215</v>
      </c>
      <c r="U34" s="203">
        <v>118786</v>
      </c>
      <c r="V34" s="198">
        <v>17173</v>
      </c>
      <c r="W34" s="199">
        <f t="shared" si="5"/>
        <v>6.917020904908869</v>
      </c>
      <c r="X34" s="152"/>
      <c r="Z34" s="152"/>
    </row>
    <row r="35" spans="1:26" ht="18">
      <c r="A35" s="169">
        <f t="shared" si="0"/>
        <v>31</v>
      </c>
      <c r="B35" s="185"/>
      <c r="C35" s="201" t="s">
        <v>236</v>
      </c>
      <c r="D35" s="202">
        <v>38786</v>
      </c>
      <c r="E35" s="188" t="s">
        <v>237</v>
      </c>
      <c r="F35" s="189">
        <v>7</v>
      </c>
      <c r="G35" s="190">
        <v>6</v>
      </c>
      <c r="H35" s="189">
        <v>2</v>
      </c>
      <c r="I35" s="203">
        <v>498</v>
      </c>
      <c r="J35" s="192">
        <v>58</v>
      </c>
      <c r="K35" s="203">
        <v>647</v>
      </c>
      <c r="L35" s="192">
        <v>80</v>
      </c>
      <c r="M35" s="203">
        <v>800</v>
      </c>
      <c r="N35" s="192">
        <v>99</v>
      </c>
      <c r="O35" s="204">
        <f t="shared" si="1"/>
        <v>1945</v>
      </c>
      <c r="P35" s="194">
        <f t="shared" si="2"/>
        <v>237</v>
      </c>
      <c r="Q35" s="195">
        <f t="shared" si="3"/>
        <v>39.5</v>
      </c>
      <c r="R35" s="196">
        <f t="shared" si="4"/>
        <v>8.20675105485232</v>
      </c>
      <c r="S35" s="203">
        <v>3975.5</v>
      </c>
      <c r="T35" s="197">
        <f t="shared" si="6"/>
        <v>-0.5107533643566847</v>
      </c>
      <c r="U35" s="203">
        <v>9687</v>
      </c>
      <c r="V35" s="198">
        <v>1166</v>
      </c>
      <c r="W35" s="199">
        <f t="shared" si="5"/>
        <v>8.307890222984563</v>
      </c>
      <c r="X35" s="152"/>
      <c r="Y35" s="200"/>
      <c r="Z35" s="152"/>
    </row>
    <row r="36" spans="1:25" ht="18">
      <c r="A36" s="169">
        <f t="shared" si="0"/>
        <v>32</v>
      </c>
      <c r="B36" s="185"/>
      <c r="C36" s="201" t="s">
        <v>155</v>
      </c>
      <c r="D36" s="202">
        <v>38737</v>
      </c>
      <c r="E36" s="188" t="s">
        <v>203</v>
      </c>
      <c r="F36" s="189">
        <v>4</v>
      </c>
      <c r="G36" s="190">
        <v>4</v>
      </c>
      <c r="H36" s="189">
        <v>9</v>
      </c>
      <c r="I36" s="203">
        <v>229</v>
      </c>
      <c r="J36" s="192">
        <v>46</v>
      </c>
      <c r="K36" s="203">
        <v>526</v>
      </c>
      <c r="L36" s="192">
        <v>109</v>
      </c>
      <c r="M36" s="203">
        <v>588</v>
      </c>
      <c r="N36" s="192">
        <v>125</v>
      </c>
      <c r="O36" s="204">
        <f t="shared" si="1"/>
        <v>1343</v>
      </c>
      <c r="P36" s="194">
        <f t="shared" si="2"/>
        <v>280</v>
      </c>
      <c r="Q36" s="195">
        <f t="shared" si="3"/>
        <v>70</v>
      </c>
      <c r="R36" s="196">
        <f t="shared" si="4"/>
        <v>4.796428571428572</v>
      </c>
      <c r="S36" s="203">
        <v>5004.5</v>
      </c>
      <c r="T36" s="197">
        <f t="shared" si="6"/>
        <v>-0.7316415226296333</v>
      </c>
      <c r="U36" s="203">
        <v>1151927</v>
      </c>
      <c r="V36" s="198">
        <v>165402</v>
      </c>
      <c r="W36" s="199">
        <f t="shared" si="5"/>
        <v>6.964407927352752</v>
      </c>
      <c r="X36" s="152"/>
      <c r="Y36" s="200"/>
    </row>
    <row r="37" spans="1:26" ht="18">
      <c r="A37" s="169">
        <f t="shared" si="0"/>
        <v>33</v>
      </c>
      <c r="B37" s="185"/>
      <c r="C37" s="201" t="s">
        <v>177</v>
      </c>
      <c r="D37" s="202">
        <v>38688</v>
      </c>
      <c r="E37" s="188" t="s">
        <v>203</v>
      </c>
      <c r="F37" s="189">
        <v>2</v>
      </c>
      <c r="G37" s="190">
        <v>2</v>
      </c>
      <c r="H37" s="189">
        <v>14</v>
      </c>
      <c r="I37" s="203">
        <v>286</v>
      </c>
      <c r="J37" s="192">
        <v>60</v>
      </c>
      <c r="K37" s="203">
        <v>441</v>
      </c>
      <c r="L37" s="192">
        <v>86</v>
      </c>
      <c r="M37" s="203">
        <v>342</v>
      </c>
      <c r="N37" s="192">
        <v>64</v>
      </c>
      <c r="O37" s="204">
        <f t="shared" si="1"/>
        <v>1069</v>
      </c>
      <c r="P37" s="194">
        <f t="shared" si="2"/>
        <v>210</v>
      </c>
      <c r="Q37" s="195">
        <f t="shared" si="3"/>
        <v>105</v>
      </c>
      <c r="R37" s="196">
        <f t="shared" si="4"/>
        <v>5.09047619047619</v>
      </c>
      <c r="S37" s="203">
        <f>140+342+856</f>
        <v>1338</v>
      </c>
      <c r="T37" s="197">
        <f t="shared" si="6"/>
        <v>-0.20104633781763825</v>
      </c>
      <c r="U37" s="203">
        <v>1743271</v>
      </c>
      <c r="V37" s="198">
        <v>259627</v>
      </c>
      <c r="W37" s="199">
        <f t="shared" si="5"/>
        <v>6.714521216976663</v>
      </c>
      <c r="X37" s="152"/>
      <c r="Y37" s="200"/>
      <c r="Z37" s="152"/>
    </row>
    <row r="38" spans="1:24" s="151" customFormat="1" ht="18">
      <c r="A38" s="169">
        <f t="shared" si="0"/>
        <v>34</v>
      </c>
      <c r="B38" s="185"/>
      <c r="C38" s="201" t="s">
        <v>161</v>
      </c>
      <c r="D38" s="202">
        <v>38730</v>
      </c>
      <c r="E38" s="188" t="s">
        <v>205</v>
      </c>
      <c r="F38" s="189">
        <v>1</v>
      </c>
      <c r="G38" s="190">
        <v>1</v>
      </c>
      <c r="H38" s="189">
        <v>10</v>
      </c>
      <c r="I38" s="203">
        <v>84.5</v>
      </c>
      <c r="J38" s="192">
        <v>11</v>
      </c>
      <c r="K38" s="203">
        <v>425.5</v>
      </c>
      <c r="L38" s="192">
        <v>55</v>
      </c>
      <c r="M38" s="203">
        <v>371.5</v>
      </c>
      <c r="N38" s="192">
        <v>47</v>
      </c>
      <c r="O38" s="204">
        <f t="shared" si="1"/>
        <v>881.5</v>
      </c>
      <c r="P38" s="194">
        <f t="shared" si="2"/>
        <v>113</v>
      </c>
      <c r="Q38" s="195">
        <f t="shared" si="3"/>
        <v>113</v>
      </c>
      <c r="R38" s="196">
        <f t="shared" si="4"/>
        <v>7.800884955752212</v>
      </c>
      <c r="S38" s="203">
        <v>1406</v>
      </c>
      <c r="T38" s="197">
        <f t="shared" si="6"/>
        <v>-0.37304409672830724</v>
      </c>
      <c r="U38" s="203">
        <v>1178417.5</v>
      </c>
      <c r="V38" s="198">
        <v>138173</v>
      </c>
      <c r="W38" s="199">
        <f t="shared" si="5"/>
        <v>8.528565638728262</v>
      </c>
      <c r="X38" s="152"/>
    </row>
    <row r="39" spans="1:25" ht="18">
      <c r="A39" s="169">
        <f t="shared" si="0"/>
        <v>35</v>
      </c>
      <c r="B39" s="185"/>
      <c r="C39" s="205" t="s">
        <v>238</v>
      </c>
      <c r="D39" s="202">
        <v>38667</v>
      </c>
      <c r="E39" s="188" t="s">
        <v>205</v>
      </c>
      <c r="F39" s="189">
        <v>1</v>
      </c>
      <c r="G39" s="190">
        <v>1</v>
      </c>
      <c r="H39" s="189">
        <v>10</v>
      </c>
      <c r="I39" s="203">
        <v>290</v>
      </c>
      <c r="J39" s="192">
        <v>58</v>
      </c>
      <c r="K39" s="203">
        <v>290</v>
      </c>
      <c r="L39" s="192">
        <v>58</v>
      </c>
      <c r="M39" s="203">
        <v>290</v>
      </c>
      <c r="N39" s="192">
        <v>58</v>
      </c>
      <c r="O39" s="204">
        <f t="shared" si="1"/>
        <v>870</v>
      </c>
      <c r="P39" s="194">
        <f t="shared" si="2"/>
        <v>174</v>
      </c>
      <c r="Q39" s="195">
        <f t="shared" si="3"/>
        <v>174</v>
      </c>
      <c r="R39" s="196">
        <f t="shared" si="4"/>
        <v>5</v>
      </c>
      <c r="S39" s="203"/>
      <c r="T39" s="197">
        <f t="shared" si="6"/>
      </c>
      <c r="U39" s="203">
        <v>18631</v>
      </c>
      <c r="V39" s="198">
        <v>2937</v>
      </c>
      <c r="W39" s="199">
        <f t="shared" si="5"/>
        <v>6.343547837929861</v>
      </c>
      <c r="X39" s="152"/>
      <c r="Y39" s="200"/>
    </row>
    <row r="40" spans="1:25" s="151" customFormat="1" ht="18">
      <c r="A40" s="169">
        <f t="shared" si="0"/>
        <v>36</v>
      </c>
      <c r="B40" s="185"/>
      <c r="C40" s="205" t="s">
        <v>239</v>
      </c>
      <c r="D40" s="202">
        <v>38695</v>
      </c>
      <c r="E40" s="188" t="s">
        <v>216</v>
      </c>
      <c r="F40" s="189">
        <v>1</v>
      </c>
      <c r="G40" s="190">
        <v>1</v>
      </c>
      <c r="H40" s="189">
        <v>10</v>
      </c>
      <c r="I40" s="203">
        <v>157</v>
      </c>
      <c r="J40" s="192">
        <v>22</v>
      </c>
      <c r="K40" s="203">
        <v>365.5</v>
      </c>
      <c r="L40" s="192">
        <v>51</v>
      </c>
      <c r="M40" s="203">
        <v>321.5</v>
      </c>
      <c r="N40" s="192">
        <v>43</v>
      </c>
      <c r="O40" s="204">
        <f t="shared" si="1"/>
        <v>844</v>
      </c>
      <c r="P40" s="194">
        <f t="shared" si="2"/>
        <v>116</v>
      </c>
      <c r="Q40" s="195">
        <f t="shared" si="3"/>
        <v>116</v>
      </c>
      <c r="R40" s="196">
        <f t="shared" si="4"/>
        <v>7.275862068965517</v>
      </c>
      <c r="S40" s="203"/>
      <c r="T40" s="197">
        <f t="shared" si="6"/>
      </c>
      <c r="U40" s="203">
        <v>534510.5</v>
      </c>
      <c r="V40" s="198">
        <v>70935</v>
      </c>
      <c r="W40" s="199">
        <f t="shared" si="5"/>
        <v>7.53521533798548</v>
      </c>
      <c r="X40" s="152"/>
      <c r="Y40" s="152"/>
    </row>
    <row r="41" spans="1:25" ht="18">
      <c r="A41" s="169">
        <f t="shared" si="0"/>
        <v>37</v>
      </c>
      <c r="B41" s="185"/>
      <c r="C41" s="201" t="s">
        <v>181</v>
      </c>
      <c r="D41" s="202">
        <v>38674</v>
      </c>
      <c r="E41" s="188" t="s">
        <v>205</v>
      </c>
      <c r="F41" s="189">
        <v>2</v>
      </c>
      <c r="G41" s="190">
        <v>2</v>
      </c>
      <c r="H41" s="189">
        <v>13</v>
      </c>
      <c r="I41" s="203">
        <v>109</v>
      </c>
      <c r="J41" s="192">
        <v>34</v>
      </c>
      <c r="K41" s="203">
        <v>307</v>
      </c>
      <c r="L41" s="192">
        <v>85</v>
      </c>
      <c r="M41" s="203">
        <v>404</v>
      </c>
      <c r="N41" s="192">
        <v>108</v>
      </c>
      <c r="O41" s="204">
        <f t="shared" si="1"/>
        <v>820</v>
      </c>
      <c r="P41" s="194">
        <f t="shared" si="2"/>
        <v>227</v>
      </c>
      <c r="Q41" s="195">
        <f t="shared" si="3"/>
        <v>113.5</v>
      </c>
      <c r="R41" s="196">
        <f t="shared" si="4"/>
        <v>3.6123348017621146</v>
      </c>
      <c r="S41" s="203">
        <v>105</v>
      </c>
      <c r="T41" s="197">
        <f t="shared" si="6"/>
        <v>6.809523809523809</v>
      </c>
      <c r="U41" s="203">
        <v>5051617.5</v>
      </c>
      <c r="V41" s="198">
        <v>760962</v>
      </c>
      <c r="W41" s="199">
        <f t="shared" si="5"/>
        <v>6.63846223595922</v>
      </c>
      <c r="X41" s="152"/>
      <c r="Y41" s="200"/>
    </row>
    <row r="42" spans="1:25" ht="18">
      <c r="A42" s="169">
        <f t="shared" si="0"/>
        <v>38</v>
      </c>
      <c r="B42" s="185"/>
      <c r="C42" s="205" t="s">
        <v>240</v>
      </c>
      <c r="D42" s="202">
        <v>38667</v>
      </c>
      <c r="E42" s="188" t="s">
        <v>241</v>
      </c>
      <c r="F42" s="189">
        <v>1</v>
      </c>
      <c r="G42" s="190">
        <v>1</v>
      </c>
      <c r="H42" s="189">
        <v>11</v>
      </c>
      <c r="I42" s="203">
        <v>205</v>
      </c>
      <c r="J42" s="192">
        <v>41</v>
      </c>
      <c r="K42" s="203">
        <v>205</v>
      </c>
      <c r="L42" s="192">
        <v>41</v>
      </c>
      <c r="M42" s="203">
        <v>205</v>
      </c>
      <c r="N42" s="192">
        <v>41</v>
      </c>
      <c r="O42" s="204">
        <f t="shared" si="1"/>
        <v>615</v>
      </c>
      <c r="P42" s="194">
        <f t="shared" si="2"/>
        <v>123</v>
      </c>
      <c r="Q42" s="195">
        <f t="shared" si="3"/>
        <v>123</v>
      </c>
      <c r="R42" s="196">
        <f t="shared" si="4"/>
        <v>5</v>
      </c>
      <c r="S42" s="203"/>
      <c r="T42" s="197">
        <f t="shared" si="6"/>
      </c>
      <c r="U42" s="203">
        <v>2487404.5</v>
      </c>
      <c r="V42" s="198">
        <v>380151</v>
      </c>
      <c r="W42" s="199">
        <f t="shared" si="5"/>
        <v>6.543201254238447</v>
      </c>
      <c r="X42" s="152"/>
      <c r="Y42" s="200"/>
    </row>
    <row r="43" spans="1:29" s="151" customFormat="1" ht="18.75">
      <c r="A43" s="169">
        <f t="shared" si="0"/>
        <v>39</v>
      </c>
      <c r="B43" s="185"/>
      <c r="C43" s="205" t="s">
        <v>242</v>
      </c>
      <c r="D43" s="202">
        <v>38667</v>
      </c>
      <c r="E43" s="188" t="s">
        <v>243</v>
      </c>
      <c r="F43" s="189">
        <v>1</v>
      </c>
      <c r="G43" s="190">
        <v>1</v>
      </c>
      <c r="H43" s="189">
        <v>17</v>
      </c>
      <c r="I43" s="203">
        <v>205</v>
      </c>
      <c r="J43" s="192">
        <v>41</v>
      </c>
      <c r="K43" s="203">
        <v>205</v>
      </c>
      <c r="L43" s="192">
        <v>41</v>
      </c>
      <c r="M43" s="203">
        <v>205</v>
      </c>
      <c r="N43" s="192">
        <v>41</v>
      </c>
      <c r="O43" s="204">
        <f t="shared" si="1"/>
        <v>615</v>
      </c>
      <c r="P43" s="194">
        <f t="shared" si="2"/>
        <v>123</v>
      </c>
      <c r="Q43" s="195">
        <f t="shared" si="3"/>
        <v>123</v>
      </c>
      <c r="R43" s="196">
        <f t="shared" si="4"/>
        <v>5</v>
      </c>
      <c r="S43" s="203"/>
      <c r="T43" s="197">
        <f t="shared" si="6"/>
      </c>
      <c r="U43" s="203">
        <v>992784.5</v>
      </c>
      <c r="V43" s="198">
        <v>139564</v>
      </c>
      <c r="W43" s="199">
        <f t="shared" si="5"/>
        <v>7.113471239001462</v>
      </c>
      <c r="X43" s="152"/>
      <c r="Y43" s="152"/>
      <c r="Z43" s="206"/>
      <c r="AA43" s="206"/>
      <c r="AB43" s="206"/>
      <c r="AC43" s="206"/>
    </row>
    <row r="44" spans="1:25" ht="18">
      <c r="A44" s="169">
        <f t="shared" si="0"/>
        <v>40</v>
      </c>
      <c r="B44" s="185"/>
      <c r="C44" s="201" t="s">
        <v>244</v>
      </c>
      <c r="D44" s="202">
        <v>38702</v>
      </c>
      <c r="E44" s="188" t="s">
        <v>245</v>
      </c>
      <c r="F44" s="189">
        <v>10</v>
      </c>
      <c r="G44" s="190">
        <v>1</v>
      </c>
      <c r="H44" s="189">
        <v>11</v>
      </c>
      <c r="I44" s="203">
        <v>66</v>
      </c>
      <c r="J44" s="192">
        <v>9</v>
      </c>
      <c r="K44" s="203">
        <v>244</v>
      </c>
      <c r="L44" s="192">
        <v>30</v>
      </c>
      <c r="M44" s="203">
        <v>194</v>
      </c>
      <c r="N44" s="192">
        <v>25</v>
      </c>
      <c r="O44" s="204">
        <f t="shared" si="1"/>
        <v>504</v>
      </c>
      <c r="P44" s="194">
        <f t="shared" si="2"/>
        <v>64</v>
      </c>
      <c r="Q44" s="195">
        <f t="shared" si="3"/>
        <v>64</v>
      </c>
      <c r="R44" s="196">
        <f t="shared" si="4"/>
        <v>7.875</v>
      </c>
      <c r="S44" s="203">
        <v>220</v>
      </c>
      <c r="T44" s="197">
        <f t="shared" si="6"/>
        <v>1.290909090909091</v>
      </c>
      <c r="U44" s="203">
        <v>134129.5</v>
      </c>
      <c r="V44" s="198">
        <v>15469</v>
      </c>
      <c r="W44" s="199">
        <f t="shared" si="5"/>
        <v>8.670857844721702</v>
      </c>
      <c r="X44" s="152"/>
      <c r="Y44" s="200"/>
    </row>
    <row r="45" spans="1:25" ht="18">
      <c r="A45" s="169">
        <f t="shared" si="0"/>
        <v>41</v>
      </c>
      <c r="B45" s="257"/>
      <c r="C45" s="258" t="s">
        <v>253</v>
      </c>
      <c r="D45" s="259">
        <v>38772</v>
      </c>
      <c r="E45" s="260" t="s">
        <v>254</v>
      </c>
      <c r="F45" s="261">
        <v>4</v>
      </c>
      <c r="G45" s="262">
        <v>1</v>
      </c>
      <c r="H45" s="261">
        <v>4</v>
      </c>
      <c r="I45" s="263">
        <v>62</v>
      </c>
      <c r="J45" s="264">
        <v>9</v>
      </c>
      <c r="K45" s="263">
        <v>65</v>
      </c>
      <c r="L45" s="264">
        <v>10</v>
      </c>
      <c r="M45" s="263">
        <v>65</v>
      </c>
      <c r="N45" s="264">
        <v>10</v>
      </c>
      <c r="O45" s="265">
        <f t="shared" si="1"/>
        <v>192</v>
      </c>
      <c r="P45" s="266">
        <f t="shared" si="2"/>
        <v>29</v>
      </c>
      <c r="Q45" s="267">
        <f t="shared" si="3"/>
        <v>29</v>
      </c>
      <c r="R45" s="268">
        <f t="shared" si="4"/>
        <v>6.620689655172414</v>
      </c>
      <c r="S45" s="263"/>
      <c r="T45" s="269"/>
      <c r="U45" s="263">
        <v>15066</v>
      </c>
      <c r="V45" s="270">
        <v>1964</v>
      </c>
      <c r="W45" s="271">
        <f t="shared" si="5"/>
        <v>7.671079429735234</v>
      </c>
      <c r="X45" s="152"/>
      <c r="Y45" s="200"/>
    </row>
    <row r="46" spans="1:25" ht="18.75" thickBot="1">
      <c r="A46" s="169">
        <f t="shared" si="0"/>
        <v>42</v>
      </c>
      <c r="B46" s="207"/>
      <c r="C46" s="208" t="s">
        <v>246</v>
      </c>
      <c r="D46" s="209">
        <v>38681</v>
      </c>
      <c r="E46" s="210" t="s">
        <v>247</v>
      </c>
      <c r="F46" s="211">
        <v>1</v>
      </c>
      <c r="G46" s="212">
        <v>1</v>
      </c>
      <c r="H46" s="211">
        <v>14</v>
      </c>
      <c r="I46" s="213">
        <v>31</v>
      </c>
      <c r="J46" s="214">
        <v>4</v>
      </c>
      <c r="K46" s="213">
        <v>44</v>
      </c>
      <c r="L46" s="214">
        <v>6</v>
      </c>
      <c r="M46" s="213">
        <v>8</v>
      </c>
      <c r="N46" s="214">
        <v>1</v>
      </c>
      <c r="O46" s="215">
        <f t="shared" si="1"/>
        <v>83</v>
      </c>
      <c r="P46" s="216">
        <f t="shared" si="2"/>
        <v>11</v>
      </c>
      <c r="Q46" s="217">
        <f t="shared" si="3"/>
        <v>11</v>
      </c>
      <c r="R46" s="218">
        <f t="shared" si="4"/>
        <v>7.545454545454546</v>
      </c>
      <c r="S46" s="213">
        <v>143</v>
      </c>
      <c r="T46" s="219">
        <f t="shared" si="6"/>
        <v>-0.4195804195804196</v>
      </c>
      <c r="U46" s="213">
        <v>399451</v>
      </c>
      <c r="V46" s="220">
        <v>48804</v>
      </c>
      <c r="W46" s="221">
        <f t="shared" si="5"/>
        <v>8.184800426194574</v>
      </c>
      <c r="X46" s="152"/>
      <c r="Y46" s="200"/>
    </row>
    <row r="47" spans="1:29" s="237" customFormat="1" ht="18.75">
      <c r="A47" s="222"/>
      <c r="B47" s="223"/>
      <c r="C47" s="224"/>
      <c r="D47" s="225"/>
      <c r="E47" s="226"/>
      <c r="F47" s="227"/>
      <c r="G47" s="227"/>
      <c r="H47" s="227"/>
      <c r="I47" s="228"/>
      <c r="J47" s="229"/>
      <c r="K47" s="228"/>
      <c r="L47" s="229"/>
      <c r="M47" s="228"/>
      <c r="N47" s="229"/>
      <c r="O47" s="230"/>
      <c r="P47" s="231"/>
      <c r="Q47" s="232"/>
      <c r="R47" s="233"/>
      <c r="S47" s="228"/>
      <c r="T47" s="234"/>
      <c r="U47" s="234"/>
      <c r="V47" s="234"/>
      <c r="W47" s="234"/>
      <c r="X47" s="235"/>
      <c r="Y47" s="236"/>
      <c r="Z47" s="235"/>
      <c r="AA47" s="235"/>
      <c r="AB47" s="235"/>
      <c r="AC47" s="235"/>
    </row>
    <row r="48" spans="1:29" s="250" customFormat="1" ht="15">
      <c r="A48" s="238"/>
      <c r="B48" s="676" t="s">
        <v>248</v>
      </c>
      <c r="C48" s="677"/>
      <c r="D48" s="677"/>
      <c r="E48" s="678"/>
      <c r="F48" s="256">
        <f>SUM(F5:F47)</f>
        <v>2143</v>
      </c>
      <c r="G48" s="256">
        <f>SUM(G5:G47)</f>
        <v>1328</v>
      </c>
      <c r="H48" s="239"/>
      <c r="I48" s="240">
        <f aca="true" t="shared" si="7" ref="I48:P48">SUM(I5:I47)</f>
        <v>480717</v>
      </c>
      <c r="J48" s="241">
        <f t="shared" si="7"/>
        <v>75946</v>
      </c>
      <c r="K48" s="240">
        <f t="shared" si="7"/>
        <v>959526.5</v>
      </c>
      <c r="L48" s="241">
        <f t="shared" si="7"/>
        <v>140233</v>
      </c>
      <c r="M48" s="240">
        <f t="shared" si="7"/>
        <v>1051270.5</v>
      </c>
      <c r="N48" s="241">
        <f t="shared" si="7"/>
        <v>149941</v>
      </c>
      <c r="O48" s="242">
        <f t="shared" si="7"/>
        <v>2491514</v>
      </c>
      <c r="P48" s="243">
        <f t="shared" si="7"/>
        <v>366120</v>
      </c>
      <c r="Q48" s="244">
        <f>IF(O48&lt;&gt;0,P48/G48,"")</f>
        <v>275.6927710843373</v>
      </c>
      <c r="R48" s="245">
        <f>IF(O48&lt;&gt;0,O48/P48,"")</f>
        <v>6.805184092647219</v>
      </c>
      <c r="S48" s="240">
        <f>SUM(S5:S47)</f>
        <v>2876747.5</v>
      </c>
      <c r="T48" s="246">
        <f>IF(S48&lt;&gt;0,-(S48-O48)/S48,"")</f>
        <v>-0.13391286513675602</v>
      </c>
      <c r="U48" s="247"/>
      <c r="V48" s="248"/>
      <c r="W48" s="249"/>
      <c r="Y48" s="251"/>
      <c r="AC48" s="250" t="s">
        <v>249</v>
      </c>
    </row>
    <row r="49" spans="19:23" ht="18">
      <c r="S49" s="666" t="s">
        <v>250</v>
      </c>
      <c r="T49" s="666"/>
      <c r="U49" s="666"/>
      <c r="V49" s="666"/>
      <c r="W49" s="666"/>
    </row>
    <row r="50" spans="19:23" ht="18">
      <c r="S50" s="667"/>
      <c r="T50" s="667"/>
      <c r="U50" s="667"/>
      <c r="V50" s="667"/>
      <c r="W50" s="667"/>
    </row>
    <row r="51" spans="19:23" ht="18">
      <c r="S51" s="667"/>
      <c r="T51" s="667"/>
      <c r="U51" s="667"/>
      <c r="V51" s="667"/>
      <c r="W51" s="667"/>
    </row>
    <row r="52" spans="19:23" ht="18">
      <c r="S52" s="667" t="s">
        <v>251</v>
      </c>
      <c r="T52" s="667"/>
      <c r="U52" s="667"/>
      <c r="V52" s="667"/>
      <c r="W52" s="667"/>
    </row>
    <row r="53" spans="19:23" ht="18">
      <c r="S53" s="667"/>
      <c r="T53" s="667"/>
      <c r="U53" s="667"/>
      <c r="V53" s="667"/>
      <c r="W53" s="667"/>
    </row>
    <row r="54" spans="19:23" ht="18">
      <c r="S54" s="667"/>
      <c r="T54" s="667"/>
      <c r="U54" s="667"/>
      <c r="V54" s="667"/>
      <c r="W54" s="667"/>
    </row>
    <row r="55" spans="1:23" ht="18">
      <c r="A55" s="668" t="s">
        <v>252</v>
      </c>
      <c r="B55" s="669"/>
      <c r="C55" s="669"/>
      <c r="D55" s="669"/>
      <c r="E55" s="669"/>
      <c r="F55" s="669"/>
      <c r="G55" s="669"/>
      <c r="H55" s="669"/>
      <c r="I55" s="669"/>
      <c r="J55" s="669"/>
      <c r="K55" s="669"/>
      <c r="L55" s="669"/>
      <c r="M55" s="669"/>
      <c r="N55" s="669"/>
      <c r="O55" s="669"/>
      <c r="P55" s="669"/>
      <c r="Q55" s="669"/>
      <c r="R55" s="669"/>
      <c r="S55" s="669"/>
      <c r="T55" s="669"/>
      <c r="U55" s="669"/>
      <c r="V55" s="669"/>
      <c r="W55" s="669"/>
    </row>
    <row r="56" spans="1:23" ht="18">
      <c r="A56" s="669"/>
      <c r="B56" s="669"/>
      <c r="C56" s="669"/>
      <c r="D56" s="669"/>
      <c r="E56" s="669"/>
      <c r="F56" s="669"/>
      <c r="G56" s="669"/>
      <c r="H56" s="669"/>
      <c r="I56" s="669"/>
      <c r="J56" s="669"/>
      <c r="K56" s="669"/>
      <c r="L56" s="669"/>
      <c r="M56" s="669"/>
      <c r="N56" s="669"/>
      <c r="O56" s="669"/>
      <c r="P56" s="669"/>
      <c r="Q56" s="669"/>
      <c r="R56" s="669"/>
      <c r="S56" s="669"/>
      <c r="T56" s="669"/>
      <c r="U56" s="669"/>
      <c r="V56" s="669"/>
      <c r="W56" s="669"/>
    </row>
    <row r="57" spans="1:23" ht="18">
      <c r="A57" s="669"/>
      <c r="B57" s="669"/>
      <c r="C57" s="669"/>
      <c r="D57" s="669"/>
      <c r="E57" s="669"/>
      <c r="F57" s="669"/>
      <c r="G57" s="669"/>
      <c r="H57" s="669"/>
      <c r="I57" s="669"/>
      <c r="J57" s="669"/>
      <c r="K57" s="669"/>
      <c r="L57" s="669"/>
      <c r="M57" s="669"/>
      <c r="N57" s="669"/>
      <c r="O57" s="669"/>
      <c r="P57" s="669"/>
      <c r="Q57" s="669"/>
      <c r="R57" s="669"/>
      <c r="S57" s="669"/>
      <c r="T57" s="669"/>
      <c r="U57" s="669"/>
      <c r="V57" s="669"/>
      <c r="W57" s="669"/>
    </row>
    <row r="58" spans="1:23" ht="18">
      <c r="A58" s="669"/>
      <c r="B58" s="669"/>
      <c r="C58" s="669"/>
      <c r="D58" s="669"/>
      <c r="E58" s="669"/>
      <c r="F58" s="669"/>
      <c r="G58" s="669"/>
      <c r="H58" s="669"/>
      <c r="I58" s="669"/>
      <c r="J58" s="669"/>
      <c r="K58" s="669"/>
      <c r="L58" s="669"/>
      <c r="M58" s="669"/>
      <c r="N58" s="669"/>
      <c r="O58" s="669"/>
      <c r="P58" s="669"/>
      <c r="Q58" s="669"/>
      <c r="R58" s="669"/>
      <c r="S58" s="669"/>
      <c r="T58" s="669"/>
      <c r="U58" s="669"/>
      <c r="V58" s="669"/>
      <c r="W58" s="669"/>
    </row>
    <row r="59" spans="1:23" ht="18">
      <c r="A59" s="669"/>
      <c r="B59" s="669"/>
      <c r="C59" s="669"/>
      <c r="D59" s="669"/>
      <c r="E59" s="669"/>
      <c r="F59" s="669"/>
      <c r="G59" s="669"/>
      <c r="H59" s="669"/>
      <c r="I59" s="669"/>
      <c r="J59" s="669"/>
      <c r="K59" s="669"/>
      <c r="L59" s="669"/>
      <c r="M59" s="669"/>
      <c r="N59" s="669"/>
      <c r="O59" s="669"/>
      <c r="P59" s="669"/>
      <c r="Q59" s="669"/>
      <c r="R59" s="669"/>
      <c r="S59" s="669"/>
      <c r="T59" s="669"/>
      <c r="U59" s="669"/>
      <c r="V59" s="669"/>
      <c r="W59" s="669"/>
    </row>
  </sheetData>
  <mergeCells count="17">
    <mergeCell ref="A2:W2"/>
    <mergeCell ref="C3:C4"/>
    <mergeCell ref="D3:D4"/>
    <mergeCell ref="E3:E4"/>
    <mergeCell ref="F3:F4"/>
    <mergeCell ref="G3:G4"/>
    <mergeCell ref="H3:H4"/>
    <mergeCell ref="I3:J3"/>
    <mergeCell ref="K3:L3"/>
    <mergeCell ref="M3:N3"/>
    <mergeCell ref="S49:W51"/>
    <mergeCell ref="S52:W54"/>
    <mergeCell ref="A55:W59"/>
    <mergeCell ref="O3:R3"/>
    <mergeCell ref="S3:T3"/>
    <mergeCell ref="U3:W3"/>
    <mergeCell ref="B48:E48"/>
  </mergeCells>
  <printOptions/>
  <pageMargins left="0.32" right="0.46" top="0.37" bottom="0.39" header="0.32" footer="0.35"/>
  <pageSetup orientation="landscape" paperSize="9" scale="50" r:id="rId2"/>
  <drawing r:id="rId1"/>
</worksheet>
</file>

<file path=xl/worksheets/sheet13.xml><?xml version="1.0" encoding="utf-8"?>
<worksheet xmlns="http://schemas.openxmlformats.org/spreadsheetml/2006/main" xmlns:r="http://schemas.openxmlformats.org/officeDocument/2006/relationships">
  <dimension ref="A1:AC80"/>
  <sheetViews>
    <sheetView zoomScale="50" zoomScaleNormal="50" workbookViewId="0" topLeftCell="A1">
      <selection activeCell="X2" sqref="X2"/>
    </sheetView>
  </sheetViews>
  <sheetFormatPr defaultColWidth="9.140625" defaultRowHeight="12.75"/>
  <cols>
    <col min="1" max="1" width="4.28125" style="252" bestFit="1" customWidth="1"/>
    <col min="2" max="2" width="1.7109375" style="253" customWidth="1"/>
    <col min="3" max="3" width="38.7109375" style="200" bestFit="1" customWidth="1"/>
    <col min="4" max="4" width="9.8515625" style="200" bestFit="1" customWidth="1"/>
    <col min="5" max="5" width="30.7109375" style="254" customWidth="1"/>
    <col min="6" max="6" width="6.421875" style="255" customWidth="1"/>
    <col min="7" max="7" width="7.28125" style="255" bestFit="1" customWidth="1"/>
    <col min="8" max="8" width="7.28125" style="200" customWidth="1"/>
    <col min="9" max="9" width="12.7109375" style="200" bestFit="1" customWidth="1"/>
    <col min="10" max="10" width="8.140625" style="200" customWidth="1"/>
    <col min="11" max="11" width="13.28125" style="200" bestFit="1" customWidth="1"/>
    <col min="12" max="12" width="9.28125" style="200" customWidth="1"/>
    <col min="13" max="13" width="13.28125" style="200" bestFit="1" customWidth="1"/>
    <col min="14" max="14" width="9.28125" style="200" customWidth="1"/>
    <col min="15" max="15" width="14.421875" style="341" customWidth="1"/>
    <col min="16" max="16" width="9.28125" style="200" customWidth="1"/>
    <col min="17" max="17" width="8.140625" style="200" bestFit="1" customWidth="1"/>
    <col min="18" max="18" width="6.140625" style="200" bestFit="1" customWidth="1"/>
    <col min="19" max="19" width="14.421875" style="200" customWidth="1"/>
    <col min="20" max="20" width="8.421875" style="200" customWidth="1"/>
    <col min="21" max="21" width="16.7109375" style="200" bestFit="1" customWidth="1"/>
    <col min="22" max="22" width="11.57421875" style="200" bestFit="1" customWidth="1"/>
    <col min="23" max="23" width="6.140625" style="200" bestFit="1" customWidth="1"/>
    <col min="24" max="24" width="12.421875" style="200" bestFit="1" customWidth="1"/>
    <col min="25" max="25" width="9.140625" style="152" customWidth="1"/>
    <col min="26" max="28" width="9.140625" style="200" customWidth="1"/>
    <col min="29" max="29" width="1.421875" style="200" bestFit="1" customWidth="1"/>
    <col min="30" max="16384" width="9.140625" style="200" customWidth="1"/>
  </cols>
  <sheetData>
    <row r="1" spans="1:25" s="151" customFormat="1" ht="88.5" customHeight="1" thickBot="1">
      <c r="A1" s="143"/>
      <c r="B1" s="144"/>
      <c r="C1" s="145"/>
      <c r="D1" s="146"/>
      <c r="E1" s="147"/>
      <c r="F1" s="148"/>
      <c r="G1" s="148"/>
      <c r="H1" s="146"/>
      <c r="I1" s="146"/>
      <c r="J1" s="146"/>
      <c r="K1" s="146"/>
      <c r="L1" s="146"/>
      <c r="M1" s="146"/>
      <c r="N1" s="146"/>
      <c r="O1" s="336"/>
      <c r="P1" s="146"/>
      <c r="Q1" s="146"/>
      <c r="R1" s="146"/>
      <c r="S1" s="146"/>
      <c r="T1" s="146"/>
      <c r="U1" s="149"/>
      <c r="V1" s="149"/>
      <c r="W1" s="150"/>
      <c r="Y1" s="152"/>
    </row>
    <row r="2" spans="1:23" s="153" customFormat="1" ht="34.5" customHeight="1" thickBot="1">
      <c r="A2" s="679" t="s">
        <v>190</v>
      </c>
      <c r="B2" s="692"/>
      <c r="C2" s="692"/>
      <c r="D2" s="692"/>
      <c r="E2" s="692"/>
      <c r="F2" s="692"/>
      <c r="G2" s="692"/>
      <c r="H2" s="692"/>
      <c r="I2" s="692"/>
      <c r="J2" s="692"/>
      <c r="K2" s="692"/>
      <c r="L2" s="692"/>
      <c r="M2" s="692"/>
      <c r="N2" s="692"/>
      <c r="O2" s="692"/>
      <c r="P2" s="693"/>
      <c r="Q2" s="693"/>
      <c r="R2" s="693"/>
      <c r="S2" s="693"/>
      <c r="T2" s="693"/>
      <c r="U2" s="693"/>
      <c r="V2" s="693"/>
      <c r="W2" s="693"/>
    </row>
    <row r="3" spans="2:25" s="154" customFormat="1" ht="18">
      <c r="B3" s="285"/>
      <c r="C3" s="694" t="s">
        <v>0</v>
      </c>
      <c r="D3" s="696" t="s">
        <v>191</v>
      </c>
      <c r="E3" s="696" t="s">
        <v>192</v>
      </c>
      <c r="F3" s="699" t="s">
        <v>193</v>
      </c>
      <c r="G3" s="699" t="s">
        <v>194</v>
      </c>
      <c r="H3" s="699" t="s">
        <v>195</v>
      </c>
      <c r="I3" s="701" t="s">
        <v>4</v>
      </c>
      <c r="J3" s="701"/>
      <c r="K3" s="701" t="s">
        <v>7</v>
      </c>
      <c r="L3" s="701"/>
      <c r="M3" s="701" t="s">
        <v>8</v>
      </c>
      <c r="N3" s="701"/>
      <c r="O3" s="701" t="s">
        <v>196</v>
      </c>
      <c r="P3" s="701"/>
      <c r="Q3" s="701"/>
      <c r="R3" s="701"/>
      <c r="S3" s="701" t="s">
        <v>197</v>
      </c>
      <c r="T3" s="701"/>
      <c r="U3" s="701" t="s">
        <v>198</v>
      </c>
      <c r="V3" s="701"/>
      <c r="W3" s="703"/>
      <c r="Y3" s="156"/>
    </row>
    <row r="4" spans="1:25" s="154" customFormat="1" ht="27.75" thickBot="1">
      <c r="A4" s="157"/>
      <c r="B4" s="286"/>
      <c r="C4" s="695"/>
      <c r="D4" s="697"/>
      <c r="E4" s="698"/>
      <c r="F4" s="700"/>
      <c r="G4" s="700"/>
      <c r="H4" s="700"/>
      <c r="I4" s="289" t="s">
        <v>116</v>
      </c>
      <c r="J4" s="289" t="s">
        <v>16</v>
      </c>
      <c r="K4" s="289" t="s">
        <v>116</v>
      </c>
      <c r="L4" s="289" t="s">
        <v>16</v>
      </c>
      <c r="M4" s="289" t="s">
        <v>116</v>
      </c>
      <c r="N4" s="289" t="s">
        <v>16</v>
      </c>
      <c r="O4" s="290" t="s">
        <v>116</v>
      </c>
      <c r="P4" s="287" t="s">
        <v>16</v>
      </c>
      <c r="Q4" s="288" t="s">
        <v>199</v>
      </c>
      <c r="R4" s="288" t="s">
        <v>200</v>
      </c>
      <c r="S4" s="289" t="s">
        <v>116</v>
      </c>
      <c r="T4" s="291" t="s">
        <v>11</v>
      </c>
      <c r="U4" s="289" t="s">
        <v>116</v>
      </c>
      <c r="V4" s="289" t="s">
        <v>16</v>
      </c>
      <c r="W4" s="292" t="s">
        <v>200</v>
      </c>
      <c r="Y4" s="156"/>
    </row>
    <row r="5" spans="1:25" s="277" customFormat="1" ht="27" customHeight="1">
      <c r="A5" s="279">
        <f aca="true" t="shared" si="0" ref="A5:A67">ROW()-4</f>
        <v>1</v>
      </c>
      <c r="B5" s="293"/>
      <c r="C5" s="331" t="s">
        <v>276</v>
      </c>
      <c r="D5" s="328">
        <v>38800</v>
      </c>
      <c r="E5" s="325" t="s">
        <v>225</v>
      </c>
      <c r="F5" s="322">
        <v>92</v>
      </c>
      <c r="G5" s="294">
        <v>92</v>
      </c>
      <c r="H5" s="272">
        <v>1</v>
      </c>
      <c r="I5" s="176">
        <v>68215</v>
      </c>
      <c r="J5" s="177">
        <v>9420</v>
      </c>
      <c r="K5" s="176">
        <v>158896.5</v>
      </c>
      <c r="L5" s="177">
        <v>21893</v>
      </c>
      <c r="M5" s="176">
        <v>134434.5</v>
      </c>
      <c r="N5" s="177">
        <v>18743</v>
      </c>
      <c r="O5" s="337">
        <f aca="true" t="shared" si="1" ref="O5:O36">+I5+K5+M5</f>
        <v>361546</v>
      </c>
      <c r="P5" s="179">
        <f aca="true" t="shared" si="2" ref="P5:P36">+J5+L5+N5</f>
        <v>50056</v>
      </c>
      <c r="Q5" s="180">
        <f aca="true" t="shared" si="3" ref="Q5:Q36">IF(O5&lt;&gt;0,P5/G5,"")</f>
        <v>544.0869565217391</v>
      </c>
      <c r="R5" s="181">
        <f aca="true" t="shared" si="4" ref="R5:R36">IF(O5&lt;&gt;0,O5/P5,"")</f>
        <v>7.222830429918491</v>
      </c>
      <c r="S5" s="176"/>
      <c r="T5" s="182">
        <f aca="true" t="shared" si="5" ref="T5:T36">IF(S5&lt;&gt;0,-(S5-O5)/S5,"")</f>
      </c>
      <c r="U5" s="176">
        <v>361543</v>
      </c>
      <c r="V5" s="183">
        <v>50056</v>
      </c>
      <c r="W5" s="184">
        <f aca="true" t="shared" si="6" ref="W5:W36">U5/V5</f>
        <v>7.222770497043311</v>
      </c>
      <c r="Y5" s="278"/>
    </row>
    <row r="6" spans="1:25" s="277" customFormat="1" ht="27" customHeight="1">
      <c r="A6" s="279">
        <f t="shared" si="0"/>
        <v>2</v>
      </c>
      <c r="B6" s="295"/>
      <c r="C6" s="332" t="s">
        <v>201</v>
      </c>
      <c r="D6" s="329">
        <v>38793</v>
      </c>
      <c r="E6" s="326" t="s">
        <v>202</v>
      </c>
      <c r="F6" s="323">
        <v>129</v>
      </c>
      <c r="G6" s="284">
        <v>132</v>
      </c>
      <c r="H6" s="273">
        <v>2</v>
      </c>
      <c r="I6" s="191">
        <v>67241</v>
      </c>
      <c r="J6" s="192">
        <v>9444</v>
      </c>
      <c r="K6" s="191">
        <v>136965</v>
      </c>
      <c r="L6" s="192">
        <v>18312</v>
      </c>
      <c r="M6" s="191">
        <v>128013</v>
      </c>
      <c r="N6" s="192">
        <v>17392</v>
      </c>
      <c r="O6" s="338">
        <f t="shared" si="1"/>
        <v>332219</v>
      </c>
      <c r="P6" s="194">
        <f t="shared" si="2"/>
        <v>45148</v>
      </c>
      <c r="Q6" s="195">
        <f t="shared" si="3"/>
        <v>342.030303030303</v>
      </c>
      <c r="R6" s="196">
        <f t="shared" si="4"/>
        <v>7.358443341897758</v>
      </c>
      <c r="S6" s="191">
        <v>438892</v>
      </c>
      <c r="T6" s="197">
        <f t="shared" si="5"/>
        <v>-0.24305068217237955</v>
      </c>
      <c r="U6" s="191">
        <v>1001511</v>
      </c>
      <c r="V6" s="198">
        <v>140126</v>
      </c>
      <c r="W6" s="199">
        <f t="shared" si="6"/>
        <v>7.1472175042461785</v>
      </c>
      <c r="Y6" s="278"/>
    </row>
    <row r="7" spans="1:26" s="281" customFormat="1" ht="27" customHeight="1">
      <c r="A7" s="279">
        <f t="shared" si="0"/>
        <v>3</v>
      </c>
      <c r="B7" s="296"/>
      <c r="C7" s="332" t="s">
        <v>279</v>
      </c>
      <c r="D7" s="329">
        <v>38800</v>
      </c>
      <c r="E7" s="326" t="s">
        <v>280</v>
      </c>
      <c r="F7" s="323">
        <v>58</v>
      </c>
      <c r="G7" s="284">
        <v>58</v>
      </c>
      <c r="H7" s="273">
        <v>1</v>
      </c>
      <c r="I7" s="191">
        <v>23900.5</v>
      </c>
      <c r="J7" s="192">
        <v>3174</v>
      </c>
      <c r="K7" s="191">
        <v>130765.5</v>
      </c>
      <c r="L7" s="192">
        <v>16088</v>
      </c>
      <c r="M7" s="191">
        <v>131695.5</v>
      </c>
      <c r="N7" s="192">
        <v>16554</v>
      </c>
      <c r="O7" s="338">
        <f t="shared" si="1"/>
        <v>286361.5</v>
      </c>
      <c r="P7" s="194">
        <f t="shared" si="2"/>
        <v>35816</v>
      </c>
      <c r="Q7" s="195">
        <f t="shared" si="3"/>
        <v>617.5172413793103</v>
      </c>
      <c r="R7" s="196">
        <f t="shared" si="4"/>
        <v>7.9953512396694215</v>
      </c>
      <c r="S7" s="191"/>
      <c r="T7" s="197">
        <f t="shared" si="5"/>
      </c>
      <c r="U7" s="191">
        <v>286361.5</v>
      </c>
      <c r="V7" s="198">
        <v>35816</v>
      </c>
      <c r="W7" s="199">
        <f t="shared" si="6"/>
        <v>7.9953512396694215</v>
      </c>
      <c r="X7" s="280"/>
      <c r="Z7" s="280"/>
    </row>
    <row r="8" spans="1:25" s="282" customFormat="1" ht="27" customHeight="1">
      <c r="A8" s="279">
        <f t="shared" si="0"/>
        <v>4</v>
      </c>
      <c r="B8" s="296"/>
      <c r="C8" s="333" t="s">
        <v>255</v>
      </c>
      <c r="D8" s="329">
        <v>38800</v>
      </c>
      <c r="E8" s="326" t="s">
        <v>243</v>
      </c>
      <c r="F8" s="323">
        <v>42</v>
      </c>
      <c r="G8" s="284">
        <v>45</v>
      </c>
      <c r="H8" s="273">
        <v>1</v>
      </c>
      <c r="I8" s="191">
        <v>47208</v>
      </c>
      <c r="J8" s="192">
        <v>5071</v>
      </c>
      <c r="K8" s="191">
        <v>76389</v>
      </c>
      <c r="L8" s="192">
        <v>7986</v>
      </c>
      <c r="M8" s="191">
        <v>64536.5</v>
      </c>
      <c r="N8" s="192">
        <v>7114</v>
      </c>
      <c r="O8" s="338">
        <f t="shared" si="1"/>
        <v>188133.5</v>
      </c>
      <c r="P8" s="194">
        <f t="shared" si="2"/>
        <v>20171</v>
      </c>
      <c r="Q8" s="195">
        <f t="shared" si="3"/>
        <v>448.24444444444447</v>
      </c>
      <c r="R8" s="196">
        <f t="shared" si="4"/>
        <v>9.326929750632095</v>
      </c>
      <c r="S8" s="191"/>
      <c r="T8" s="197">
        <f t="shared" si="5"/>
      </c>
      <c r="U8" s="191">
        <v>188133.5</v>
      </c>
      <c r="V8" s="274">
        <v>20171</v>
      </c>
      <c r="W8" s="199">
        <f t="shared" si="6"/>
        <v>9.326929750632095</v>
      </c>
      <c r="X8" s="280"/>
      <c r="Y8" s="280"/>
    </row>
    <row r="9" spans="1:25" s="282" customFormat="1" ht="27" customHeight="1">
      <c r="A9" s="279">
        <f t="shared" si="0"/>
        <v>5</v>
      </c>
      <c r="B9" s="296"/>
      <c r="C9" s="333" t="s">
        <v>64</v>
      </c>
      <c r="D9" s="329">
        <v>38786</v>
      </c>
      <c r="E9" s="326" t="s">
        <v>203</v>
      </c>
      <c r="F9" s="323">
        <v>88</v>
      </c>
      <c r="G9" s="284">
        <v>88</v>
      </c>
      <c r="H9" s="273">
        <v>3</v>
      </c>
      <c r="I9" s="191">
        <v>34304</v>
      </c>
      <c r="J9" s="192">
        <v>4952</v>
      </c>
      <c r="K9" s="191">
        <v>69507.5</v>
      </c>
      <c r="L9" s="192">
        <v>9307</v>
      </c>
      <c r="M9" s="191">
        <v>66126.5</v>
      </c>
      <c r="N9" s="192">
        <v>8904</v>
      </c>
      <c r="O9" s="338">
        <f t="shared" si="1"/>
        <v>169938</v>
      </c>
      <c r="P9" s="194">
        <f t="shared" si="2"/>
        <v>23163</v>
      </c>
      <c r="Q9" s="195">
        <f t="shared" si="3"/>
        <v>263.21590909090907</v>
      </c>
      <c r="R9" s="196">
        <f t="shared" si="4"/>
        <v>7.336614428182878</v>
      </c>
      <c r="S9" s="191">
        <v>297030</v>
      </c>
      <c r="T9" s="197">
        <f t="shared" si="5"/>
        <v>-0.4278759721240279</v>
      </c>
      <c r="U9" s="191">
        <v>1363709.5</v>
      </c>
      <c r="V9" s="198">
        <v>186432</v>
      </c>
      <c r="W9" s="199">
        <f t="shared" si="6"/>
        <v>7.3147823335049775</v>
      </c>
      <c r="X9" s="280"/>
      <c r="Y9" s="280"/>
    </row>
    <row r="10" spans="1:25" s="282" customFormat="1" ht="27" customHeight="1">
      <c r="A10" s="279">
        <f t="shared" si="0"/>
        <v>6</v>
      </c>
      <c r="B10" s="296"/>
      <c r="C10" s="333" t="s">
        <v>204</v>
      </c>
      <c r="D10" s="329">
        <v>38793</v>
      </c>
      <c r="E10" s="326" t="s">
        <v>205</v>
      </c>
      <c r="F10" s="323">
        <v>60</v>
      </c>
      <c r="G10" s="284">
        <v>61</v>
      </c>
      <c r="H10" s="273">
        <v>2</v>
      </c>
      <c r="I10" s="191">
        <v>35664.5</v>
      </c>
      <c r="J10" s="192">
        <v>4018</v>
      </c>
      <c r="K10" s="191">
        <v>64835</v>
      </c>
      <c r="L10" s="192">
        <v>7232</v>
      </c>
      <c r="M10" s="191">
        <v>49689</v>
      </c>
      <c r="N10" s="192">
        <v>5608</v>
      </c>
      <c r="O10" s="338">
        <f t="shared" si="1"/>
        <v>150188.5</v>
      </c>
      <c r="P10" s="194">
        <f t="shared" si="2"/>
        <v>16858</v>
      </c>
      <c r="Q10" s="195">
        <f t="shared" si="3"/>
        <v>276.3606557377049</v>
      </c>
      <c r="R10" s="196">
        <f t="shared" si="4"/>
        <v>8.909034286392217</v>
      </c>
      <c r="S10" s="191">
        <v>280846.5</v>
      </c>
      <c r="T10" s="197">
        <f t="shared" si="5"/>
        <v>-0.4652292266415996</v>
      </c>
      <c r="U10" s="191">
        <v>532838.75</v>
      </c>
      <c r="V10" s="198">
        <v>61281</v>
      </c>
      <c r="W10" s="199">
        <f t="shared" si="6"/>
        <v>8.695007424813564</v>
      </c>
      <c r="X10" s="280"/>
      <c r="Y10" s="280"/>
    </row>
    <row r="11" spans="1:25" s="282" customFormat="1" ht="27" customHeight="1">
      <c r="A11" s="279">
        <f t="shared" si="0"/>
        <v>7</v>
      </c>
      <c r="B11" s="296"/>
      <c r="C11" s="332" t="s">
        <v>67</v>
      </c>
      <c r="D11" s="329">
        <v>38674</v>
      </c>
      <c r="E11" s="326" t="s">
        <v>206</v>
      </c>
      <c r="F11" s="323">
        <v>135</v>
      </c>
      <c r="G11" s="284">
        <v>86</v>
      </c>
      <c r="H11" s="273">
        <v>19</v>
      </c>
      <c r="I11" s="191">
        <v>21259</v>
      </c>
      <c r="J11" s="192">
        <v>4495</v>
      </c>
      <c r="K11" s="191">
        <v>44119.5</v>
      </c>
      <c r="L11" s="192">
        <v>8049</v>
      </c>
      <c r="M11" s="191">
        <v>44723.5</v>
      </c>
      <c r="N11" s="192">
        <v>7984</v>
      </c>
      <c r="O11" s="338">
        <f t="shared" si="1"/>
        <v>110102</v>
      </c>
      <c r="P11" s="194">
        <f t="shared" si="2"/>
        <v>20528</v>
      </c>
      <c r="Q11" s="195">
        <f t="shared" si="3"/>
        <v>238.69767441860466</v>
      </c>
      <c r="R11" s="196">
        <f t="shared" si="4"/>
        <v>5.363503507404521</v>
      </c>
      <c r="S11" s="191">
        <v>180522.5</v>
      </c>
      <c r="T11" s="197">
        <f t="shared" si="5"/>
        <v>-0.39009264773089225</v>
      </c>
      <c r="U11" s="191">
        <v>24831178.5</v>
      </c>
      <c r="V11" s="198">
        <v>3667425</v>
      </c>
      <c r="W11" s="199">
        <f t="shared" si="6"/>
        <v>6.77073927892186</v>
      </c>
      <c r="X11" s="280"/>
      <c r="Y11" s="280"/>
    </row>
    <row r="12" spans="1:25" s="282" customFormat="1" ht="27" customHeight="1">
      <c r="A12" s="279">
        <f t="shared" si="0"/>
        <v>8</v>
      </c>
      <c r="B12" s="296"/>
      <c r="C12" s="333" t="s">
        <v>66</v>
      </c>
      <c r="D12" s="329">
        <v>38765</v>
      </c>
      <c r="E12" s="326" t="s">
        <v>259</v>
      </c>
      <c r="F12" s="323">
        <v>164</v>
      </c>
      <c r="G12" s="284">
        <v>99</v>
      </c>
      <c r="H12" s="273">
        <v>6</v>
      </c>
      <c r="I12" s="191">
        <v>16346</v>
      </c>
      <c r="J12" s="192">
        <v>4381</v>
      </c>
      <c r="K12" s="191">
        <v>37715</v>
      </c>
      <c r="L12" s="192">
        <v>8003</v>
      </c>
      <c r="M12" s="191">
        <v>35175</v>
      </c>
      <c r="N12" s="192">
        <v>7352</v>
      </c>
      <c r="O12" s="338">
        <f t="shared" si="1"/>
        <v>89236</v>
      </c>
      <c r="P12" s="194">
        <f t="shared" si="2"/>
        <v>19736</v>
      </c>
      <c r="Q12" s="195">
        <f t="shared" si="3"/>
        <v>199.35353535353536</v>
      </c>
      <c r="R12" s="196">
        <f t="shared" si="4"/>
        <v>4.521483583299554</v>
      </c>
      <c r="S12" s="191">
        <v>226811</v>
      </c>
      <c r="T12" s="197">
        <f t="shared" si="5"/>
        <v>-0.6065622919523304</v>
      </c>
      <c r="U12" s="191">
        <v>4095189</v>
      </c>
      <c r="V12" s="198">
        <v>603515</v>
      </c>
      <c r="W12" s="199">
        <f t="shared" si="6"/>
        <v>6.785562910615312</v>
      </c>
      <c r="X12" s="280"/>
      <c r="Y12" s="280"/>
    </row>
    <row r="13" spans="1:25" s="282" customFormat="1" ht="27" customHeight="1">
      <c r="A13" s="279">
        <f t="shared" si="0"/>
        <v>9</v>
      </c>
      <c r="B13" s="296"/>
      <c r="C13" s="333" t="s">
        <v>208</v>
      </c>
      <c r="D13" s="329">
        <v>38793</v>
      </c>
      <c r="E13" s="326" t="s">
        <v>275</v>
      </c>
      <c r="F13" s="323">
        <v>50</v>
      </c>
      <c r="G13" s="284">
        <v>50</v>
      </c>
      <c r="H13" s="273">
        <v>2</v>
      </c>
      <c r="I13" s="191">
        <v>20197.5</v>
      </c>
      <c r="J13" s="192">
        <v>2353</v>
      </c>
      <c r="K13" s="191">
        <v>36803.5</v>
      </c>
      <c r="L13" s="192">
        <v>4134</v>
      </c>
      <c r="M13" s="191">
        <v>31466.5</v>
      </c>
      <c r="N13" s="192">
        <v>3685</v>
      </c>
      <c r="O13" s="338">
        <f t="shared" si="1"/>
        <v>88467.5</v>
      </c>
      <c r="P13" s="194">
        <f t="shared" si="2"/>
        <v>10172</v>
      </c>
      <c r="Q13" s="195">
        <f t="shared" si="3"/>
        <v>203.44</v>
      </c>
      <c r="R13" s="196">
        <f t="shared" si="4"/>
        <v>8.697158867479356</v>
      </c>
      <c r="S13" s="191">
        <v>145916.5</v>
      </c>
      <c r="T13" s="197">
        <f t="shared" si="5"/>
        <v>-0.393711471971984</v>
      </c>
      <c r="U13" s="191">
        <v>285380.5</v>
      </c>
      <c r="V13" s="198">
        <v>36904</v>
      </c>
      <c r="W13" s="199">
        <f t="shared" si="6"/>
        <v>7.733050617819207</v>
      </c>
      <c r="X13" s="280"/>
      <c r="Y13" s="280"/>
    </row>
    <row r="14" spans="1:25" s="282" customFormat="1" ht="27" customHeight="1">
      <c r="A14" s="279">
        <f t="shared" si="0"/>
        <v>10</v>
      </c>
      <c r="B14" s="296"/>
      <c r="C14" s="332" t="s">
        <v>68</v>
      </c>
      <c r="D14" s="329">
        <v>38758</v>
      </c>
      <c r="E14" s="326" t="s">
        <v>211</v>
      </c>
      <c r="F14" s="323">
        <v>80</v>
      </c>
      <c r="G14" s="284">
        <v>58</v>
      </c>
      <c r="H14" s="273">
        <v>7</v>
      </c>
      <c r="I14" s="191">
        <v>14629.5</v>
      </c>
      <c r="J14" s="192">
        <v>2999</v>
      </c>
      <c r="K14" s="191">
        <v>27961</v>
      </c>
      <c r="L14" s="192">
        <v>5633</v>
      </c>
      <c r="M14" s="191">
        <v>24997</v>
      </c>
      <c r="N14" s="192">
        <v>4844</v>
      </c>
      <c r="O14" s="338">
        <f t="shared" si="1"/>
        <v>67587.5</v>
      </c>
      <c r="P14" s="194">
        <f t="shared" si="2"/>
        <v>13476</v>
      </c>
      <c r="Q14" s="195">
        <f t="shared" si="3"/>
        <v>232.3448275862069</v>
      </c>
      <c r="R14" s="196">
        <f t="shared" si="4"/>
        <v>5.015397744137727</v>
      </c>
      <c r="S14" s="191">
        <v>114122.5</v>
      </c>
      <c r="T14" s="197">
        <f t="shared" si="5"/>
        <v>-0.4077635873732174</v>
      </c>
      <c r="U14" s="191">
        <v>3111590.5</v>
      </c>
      <c r="V14" s="198">
        <v>493265</v>
      </c>
      <c r="W14" s="199">
        <f t="shared" si="6"/>
        <v>6.308151804810802</v>
      </c>
      <c r="X14" s="280"/>
      <c r="Y14" s="280"/>
    </row>
    <row r="15" spans="1:25" s="282" customFormat="1" ht="27" customHeight="1">
      <c r="A15" s="279">
        <f t="shared" si="0"/>
        <v>11</v>
      </c>
      <c r="B15" s="296"/>
      <c r="C15" s="333" t="s">
        <v>256</v>
      </c>
      <c r="D15" s="329">
        <v>38800</v>
      </c>
      <c r="E15" s="326" t="s">
        <v>203</v>
      </c>
      <c r="F15" s="323">
        <v>16</v>
      </c>
      <c r="G15" s="284">
        <v>18</v>
      </c>
      <c r="H15" s="273">
        <v>1</v>
      </c>
      <c r="I15" s="191">
        <v>13820.5</v>
      </c>
      <c r="J15" s="192">
        <v>1432</v>
      </c>
      <c r="K15" s="191">
        <v>23968.5</v>
      </c>
      <c r="L15" s="192">
        <v>2433</v>
      </c>
      <c r="M15" s="191">
        <v>16394.5</v>
      </c>
      <c r="N15" s="192">
        <v>1662</v>
      </c>
      <c r="O15" s="338">
        <f t="shared" si="1"/>
        <v>54183.5</v>
      </c>
      <c r="P15" s="194">
        <f t="shared" si="2"/>
        <v>5527</v>
      </c>
      <c r="Q15" s="195">
        <f t="shared" si="3"/>
        <v>307.05555555555554</v>
      </c>
      <c r="R15" s="196">
        <f t="shared" si="4"/>
        <v>9.803419576623847</v>
      </c>
      <c r="S15" s="191"/>
      <c r="T15" s="197">
        <f t="shared" si="5"/>
      </c>
      <c r="U15" s="191">
        <v>54183.5</v>
      </c>
      <c r="V15" s="198">
        <v>5527</v>
      </c>
      <c r="W15" s="199">
        <f t="shared" si="6"/>
        <v>9.803419576623847</v>
      </c>
      <c r="X15" s="280"/>
      <c r="Y15" s="280"/>
    </row>
    <row r="16" spans="1:25" s="282" customFormat="1" ht="27" customHeight="1">
      <c r="A16" s="279">
        <f t="shared" si="0"/>
        <v>12</v>
      </c>
      <c r="B16" s="296"/>
      <c r="C16" s="332" t="s">
        <v>70</v>
      </c>
      <c r="D16" s="329">
        <v>38779</v>
      </c>
      <c r="E16" s="326" t="s">
        <v>210</v>
      </c>
      <c r="F16" s="323">
        <v>72</v>
      </c>
      <c r="G16" s="284">
        <v>70</v>
      </c>
      <c r="H16" s="273">
        <v>4</v>
      </c>
      <c r="I16" s="191">
        <v>7673</v>
      </c>
      <c r="J16" s="192">
        <v>1425</v>
      </c>
      <c r="K16" s="191">
        <v>22725</v>
      </c>
      <c r="L16" s="192">
        <v>3317</v>
      </c>
      <c r="M16" s="191">
        <v>20113</v>
      </c>
      <c r="N16" s="192">
        <v>2905</v>
      </c>
      <c r="O16" s="338">
        <f t="shared" si="1"/>
        <v>50511</v>
      </c>
      <c r="P16" s="194">
        <f t="shared" si="2"/>
        <v>7647</v>
      </c>
      <c r="Q16" s="195">
        <f t="shared" si="3"/>
        <v>109.24285714285715</v>
      </c>
      <c r="R16" s="196">
        <f t="shared" si="4"/>
        <v>6.60533542565712</v>
      </c>
      <c r="S16" s="191">
        <v>125523</v>
      </c>
      <c r="T16" s="197">
        <f t="shared" si="5"/>
        <v>-0.597595659759566</v>
      </c>
      <c r="U16" s="191">
        <v>847953</v>
      </c>
      <c r="V16" s="198">
        <v>115485</v>
      </c>
      <c r="W16" s="199">
        <f t="shared" si="6"/>
        <v>7.342537991947006</v>
      </c>
      <c r="X16" s="280"/>
      <c r="Y16" s="280"/>
    </row>
    <row r="17" spans="1:25" s="282" customFormat="1" ht="27" customHeight="1">
      <c r="A17" s="279">
        <f t="shared" si="0"/>
        <v>13</v>
      </c>
      <c r="B17" s="296"/>
      <c r="C17" s="332" t="s">
        <v>281</v>
      </c>
      <c r="D17" s="329">
        <v>38793</v>
      </c>
      <c r="E17" s="326" t="s">
        <v>215</v>
      </c>
      <c r="F17" s="323">
        <v>71</v>
      </c>
      <c r="G17" s="284">
        <v>71</v>
      </c>
      <c r="H17" s="273">
        <v>2</v>
      </c>
      <c r="I17" s="191">
        <v>8148</v>
      </c>
      <c r="J17" s="192">
        <v>1264</v>
      </c>
      <c r="K17" s="191">
        <v>18414</v>
      </c>
      <c r="L17" s="192">
        <v>2702</v>
      </c>
      <c r="M17" s="191">
        <v>16555.5</v>
      </c>
      <c r="N17" s="192">
        <v>2390</v>
      </c>
      <c r="O17" s="338">
        <f t="shared" si="1"/>
        <v>43117.5</v>
      </c>
      <c r="P17" s="194">
        <f t="shared" si="2"/>
        <v>6356</v>
      </c>
      <c r="Q17" s="195">
        <f t="shared" si="3"/>
        <v>89.52112676056338</v>
      </c>
      <c r="R17" s="196">
        <f t="shared" si="4"/>
        <v>6.783747640025173</v>
      </c>
      <c r="S17" s="191">
        <v>93769.5</v>
      </c>
      <c r="T17" s="197">
        <f t="shared" si="5"/>
        <v>-0.5401756434661591</v>
      </c>
      <c r="U17" s="191">
        <v>182306</v>
      </c>
      <c r="V17" s="198">
        <v>26507</v>
      </c>
      <c r="W17" s="199">
        <f t="shared" si="6"/>
        <v>6.877654959067416</v>
      </c>
      <c r="X17" s="280"/>
      <c r="Y17" s="280"/>
    </row>
    <row r="18" spans="1:25" s="282" customFormat="1" ht="27" customHeight="1">
      <c r="A18" s="279">
        <f t="shared" si="0"/>
        <v>14</v>
      </c>
      <c r="B18" s="296"/>
      <c r="C18" s="333" t="s">
        <v>65</v>
      </c>
      <c r="D18" s="329">
        <v>38751</v>
      </c>
      <c r="E18" s="326" t="s">
        <v>212</v>
      </c>
      <c r="F18" s="323">
        <v>277</v>
      </c>
      <c r="G18" s="284">
        <v>45</v>
      </c>
      <c r="H18" s="273">
        <v>8</v>
      </c>
      <c r="I18" s="191">
        <v>7091</v>
      </c>
      <c r="J18" s="192">
        <v>1169</v>
      </c>
      <c r="K18" s="191">
        <v>16116</v>
      </c>
      <c r="L18" s="192">
        <v>2411</v>
      </c>
      <c r="M18" s="191">
        <v>17324</v>
      </c>
      <c r="N18" s="192">
        <v>2575</v>
      </c>
      <c r="O18" s="338">
        <f t="shared" si="1"/>
        <v>40531</v>
      </c>
      <c r="P18" s="194">
        <f t="shared" si="2"/>
        <v>6155</v>
      </c>
      <c r="Q18" s="195">
        <f t="shared" si="3"/>
        <v>136.77777777777777</v>
      </c>
      <c r="R18" s="196">
        <f t="shared" si="4"/>
        <v>6.585052802599512</v>
      </c>
      <c r="S18" s="191">
        <v>164952</v>
      </c>
      <c r="T18" s="197">
        <f t="shared" si="5"/>
        <v>-0.75428609534895</v>
      </c>
      <c r="U18" s="191">
        <v>27299940</v>
      </c>
      <c r="V18" s="198">
        <v>4201875</v>
      </c>
      <c r="W18" s="199">
        <f t="shared" si="6"/>
        <v>6.497085229808121</v>
      </c>
      <c r="X18" s="280"/>
      <c r="Y18" s="280"/>
    </row>
    <row r="19" spans="1:25" s="282" customFormat="1" ht="27" customHeight="1">
      <c r="A19" s="279">
        <f t="shared" si="0"/>
        <v>15</v>
      </c>
      <c r="B19" s="296"/>
      <c r="C19" s="332" t="s">
        <v>282</v>
      </c>
      <c r="D19" s="329">
        <v>38786</v>
      </c>
      <c r="E19" s="326" t="s">
        <v>213</v>
      </c>
      <c r="F19" s="323">
        <v>63</v>
      </c>
      <c r="G19" s="284">
        <v>57</v>
      </c>
      <c r="H19" s="273">
        <v>3</v>
      </c>
      <c r="I19" s="191">
        <v>7731</v>
      </c>
      <c r="J19" s="192">
        <v>1019</v>
      </c>
      <c r="K19" s="191">
        <v>16011</v>
      </c>
      <c r="L19" s="192">
        <v>2008</v>
      </c>
      <c r="M19" s="191">
        <v>12489</v>
      </c>
      <c r="N19" s="192">
        <v>1682</v>
      </c>
      <c r="O19" s="338">
        <f t="shared" si="1"/>
        <v>36231</v>
      </c>
      <c r="P19" s="194">
        <f t="shared" si="2"/>
        <v>4709</v>
      </c>
      <c r="Q19" s="195">
        <f t="shared" si="3"/>
        <v>82.6140350877193</v>
      </c>
      <c r="R19" s="196">
        <f t="shared" si="4"/>
        <v>7.69399023147165</v>
      </c>
      <c r="S19" s="191">
        <v>103475</v>
      </c>
      <c r="T19" s="197">
        <f t="shared" si="5"/>
        <v>-0.6498574534911814</v>
      </c>
      <c r="U19" s="191">
        <v>467530</v>
      </c>
      <c r="V19" s="198">
        <v>56233</v>
      </c>
      <c r="W19" s="199">
        <f t="shared" si="6"/>
        <v>8.314157167499511</v>
      </c>
      <c r="X19" s="280"/>
      <c r="Y19" s="280"/>
    </row>
    <row r="20" spans="1:25" s="282" customFormat="1" ht="27" customHeight="1">
      <c r="A20" s="279">
        <f t="shared" si="0"/>
        <v>16</v>
      </c>
      <c r="B20" s="296"/>
      <c r="C20" s="333" t="s">
        <v>74</v>
      </c>
      <c r="D20" s="329">
        <v>38527</v>
      </c>
      <c r="E20" s="326" t="s">
        <v>216</v>
      </c>
      <c r="F20" s="323">
        <v>43</v>
      </c>
      <c r="G20" s="284">
        <v>9</v>
      </c>
      <c r="H20" s="273">
        <v>24</v>
      </c>
      <c r="I20" s="191">
        <v>6071</v>
      </c>
      <c r="J20" s="192">
        <v>729</v>
      </c>
      <c r="K20" s="191">
        <v>10239</v>
      </c>
      <c r="L20" s="192">
        <v>1160</v>
      </c>
      <c r="M20" s="191">
        <v>7487.5</v>
      </c>
      <c r="N20" s="192">
        <v>877</v>
      </c>
      <c r="O20" s="338">
        <f t="shared" si="1"/>
        <v>23797.5</v>
      </c>
      <c r="P20" s="194">
        <f t="shared" si="2"/>
        <v>2766</v>
      </c>
      <c r="Q20" s="195">
        <f t="shared" si="3"/>
        <v>307.3333333333333</v>
      </c>
      <c r="R20" s="196">
        <f t="shared" si="4"/>
        <v>8.60357917570499</v>
      </c>
      <c r="S20" s="191">
        <v>62991</v>
      </c>
      <c r="T20" s="197">
        <f t="shared" si="5"/>
        <v>-0.6222079344668286</v>
      </c>
      <c r="U20" s="191">
        <v>724377.5</v>
      </c>
      <c r="V20" s="198">
        <v>91599</v>
      </c>
      <c r="W20" s="199">
        <f t="shared" si="6"/>
        <v>7.9081376434240545</v>
      </c>
      <c r="X20" s="280"/>
      <c r="Y20" s="280"/>
    </row>
    <row r="21" spans="1:25" s="282" customFormat="1" ht="27" customHeight="1">
      <c r="A21" s="279">
        <f t="shared" si="0"/>
        <v>17</v>
      </c>
      <c r="B21" s="296"/>
      <c r="C21" s="333" t="s">
        <v>137</v>
      </c>
      <c r="D21" s="329">
        <v>38765</v>
      </c>
      <c r="E21" s="326" t="s">
        <v>221</v>
      </c>
      <c r="F21" s="323">
        <v>21</v>
      </c>
      <c r="G21" s="284">
        <v>21</v>
      </c>
      <c r="H21" s="273">
        <v>6</v>
      </c>
      <c r="I21" s="191">
        <v>5350</v>
      </c>
      <c r="J21" s="192">
        <v>843</v>
      </c>
      <c r="K21" s="191">
        <v>9292.5</v>
      </c>
      <c r="L21" s="192">
        <v>1481</v>
      </c>
      <c r="M21" s="191">
        <v>7879.5</v>
      </c>
      <c r="N21" s="192">
        <v>1262</v>
      </c>
      <c r="O21" s="338">
        <f t="shared" si="1"/>
        <v>22522</v>
      </c>
      <c r="P21" s="194">
        <f t="shared" si="2"/>
        <v>3586</v>
      </c>
      <c r="Q21" s="195">
        <f t="shared" si="3"/>
        <v>170.76190476190476</v>
      </c>
      <c r="R21" s="196">
        <f t="shared" si="4"/>
        <v>6.28053541550474</v>
      </c>
      <c r="S21" s="191">
        <v>23798.5</v>
      </c>
      <c r="T21" s="197">
        <f t="shared" si="5"/>
        <v>-0.053637834317288906</v>
      </c>
      <c r="U21" s="191">
        <v>687532</v>
      </c>
      <c r="V21" s="198">
        <v>75501</v>
      </c>
      <c r="W21" s="199">
        <f t="shared" si="6"/>
        <v>9.106263493198766</v>
      </c>
      <c r="X21" s="280"/>
      <c r="Y21" s="280"/>
    </row>
    <row r="22" spans="1:25" s="282" customFormat="1" ht="27" customHeight="1">
      <c r="A22" s="279">
        <f t="shared" si="0"/>
        <v>18</v>
      </c>
      <c r="B22" s="296"/>
      <c r="C22" s="333" t="s">
        <v>222</v>
      </c>
      <c r="D22" s="329">
        <v>38793</v>
      </c>
      <c r="E22" s="326" t="s">
        <v>223</v>
      </c>
      <c r="F22" s="323">
        <v>4</v>
      </c>
      <c r="G22" s="284">
        <v>4</v>
      </c>
      <c r="H22" s="273">
        <v>2</v>
      </c>
      <c r="I22" s="191">
        <v>5023.5</v>
      </c>
      <c r="J22" s="192">
        <v>506</v>
      </c>
      <c r="K22" s="191">
        <v>9222</v>
      </c>
      <c r="L22" s="192">
        <v>941</v>
      </c>
      <c r="M22" s="191">
        <v>8160.5</v>
      </c>
      <c r="N22" s="192">
        <v>848</v>
      </c>
      <c r="O22" s="338">
        <f t="shared" si="1"/>
        <v>22406</v>
      </c>
      <c r="P22" s="194">
        <f t="shared" si="2"/>
        <v>2295</v>
      </c>
      <c r="Q22" s="195">
        <f t="shared" si="3"/>
        <v>573.75</v>
      </c>
      <c r="R22" s="196">
        <f t="shared" si="4"/>
        <v>9.762962962962963</v>
      </c>
      <c r="S22" s="191">
        <v>19564</v>
      </c>
      <c r="T22" s="197">
        <f t="shared" si="5"/>
        <v>0.1452668166019219</v>
      </c>
      <c r="U22" s="191">
        <v>55928.5</v>
      </c>
      <c r="V22" s="198">
        <v>6078</v>
      </c>
      <c r="W22" s="199">
        <f t="shared" si="6"/>
        <v>9.20179335307667</v>
      </c>
      <c r="X22" s="280"/>
      <c r="Y22" s="280"/>
    </row>
    <row r="23" spans="1:25" s="282" customFormat="1" ht="27" customHeight="1">
      <c r="A23" s="279">
        <f t="shared" si="0"/>
        <v>19</v>
      </c>
      <c r="B23" s="296"/>
      <c r="C23" s="333" t="s">
        <v>218</v>
      </c>
      <c r="D23" s="329">
        <v>38793</v>
      </c>
      <c r="E23" s="326" t="s">
        <v>219</v>
      </c>
      <c r="F23" s="323">
        <v>33</v>
      </c>
      <c r="G23" s="284">
        <v>32</v>
      </c>
      <c r="H23" s="273">
        <v>2</v>
      </c>
      <c r="I23" s="191">
        <v>3865</v>
      </c>
      <c r="J23" s="192">
        <v>528</v>
      </c>
      <c r="K23" s="191">
        <v>8392</v>
      </c>
      <c r="L23" s="192">
        <v>1148</v>
      </c>
      <c r="M23" s="191">
        <v>6952</v>
      </c>
      <c r="N23" s="192">
        <v>962</v>
      </c>
      <c r="O23" s="338">
        <f t="shared" si="1"/>
        <v>19209</v>
      </c>
      <c r="P23" s="194">
        <f t="shared" si="2"/>
        <v>2638</v>
      </c>
      <c r="Q23" s="195">
        <f t="shared" si="3"/>
        <v>82.4375</v>
      </c>
      <c r="R23" s="196">
        <f t="shared" si="4"/>
        <v>7.281652767247915</v>
      </c>
      <c r="S23" s="191">
        <v>35148</v>
      </c>
      <c r="T23" s="197">
        <f t="shared" si="5"/>
        <v>-0.453482417207238</v>
      </c>
      <c r="U23" s="191">
        <v>80614</v>
      </c>
      <c r="V23" s="198">
        <v>10222</v>
      </c>
      <c r="W23" s="199">
        <f t="shared" si="6"/>
        <v>7.886323615730777</v>
      </c>
      <c r="X23" s="280"/>
      <c r="Y23" s="280"/>
    </row>
    <row r="24" spans="1:25" s="282" customFormat="1" ht="27" customHeight="1">
      <c r="A24" s="279">
        <f t="shared" si="0"/>
        <v>20</v>
      </c>
      <c r="B24" s="296"/>
      <c r="C24" s="333" t="s">
        <v>69</v>
      </c>
      <c r="D24" s="329">
        <v>38779</v>
      </c>
      <c r="E24" s="326" t="s">
        <v>203</v>
      </c>
      <c r="F24" s="323">
        <v>28</v>
      </c>
      <c r="G24" s="284">
        <v>28</v>
      </c>
      <c r="H24" s="273">
        <v>4</v>
      </c>
      <c r="I24" s="191">
        <v>4391.5</v>
      </c>
      <c r="J24" s="192">
        <v>779</v>
      </c>
      <c r="K24" s="191">
        <v>7924.5</v>
      </c>
      <c r="L24" s="192">
        <v>1379</v>
      </c>
      <c r="M24" s="191">
        <v>6616</v>
      </c>
      <c r="N24" s="192">
        <v>1254</v>
      </c>
      <c r="O24" s="338">
        <f t="shared" si="1"/>
        <v>18932</v>
      </c>
      <c r="P24" s="194">
        <f t="shared" si="2"/>
        <v>3412</v>
      </c>
      <c r="Q24" s="195">
        <f t="shared" si="3"/>
        <v>121.85714285714286</v>
      </c>
      <c r="R24" s="196">
        <f t="shared" si="4"/>
        <v>5.548651817116061</v>
      </c>
      <c r="S24" s="191">
        <v>93732</v>
      </c>
      <c r="T24" s="197">
        <f t="shared" si="5"/>
        <v>-0.7980198864848718</v>
      </c>
      <c r="U24" s="191">
        <v>1053244</v>
      </c>
      <c r="V24" s="198">
        <v>136284</v>
      </c>
      <c r="W24" s="199">
        <f t="shared" si="6"/>
        <v>7.728302662087993</v>
      </c>
      <c r="X24" s="280"/>
      <c r="Y24" s="280"/>
    </row>
    <row r="25" spans="1:25" s="282" customFormat="1" ht="27" customHeight="1">
      <c r="A25" s="279">
        <f t="shared" si="0"/>
        <v>21</v>
      </c>
      <c r="B25" s="296"/>
      <c r="C25" s="332" t="s">
        <v>283</v>
      </c>
      <c r="D25" s="329">
        <v>38772</v>
      </c>
      <c r="E25" s="326" t="s">
        <v>217</v>
      </c>
      <c r="F25" s="323">
        <v>62</v>
      </c>
      <c r="G25" s="284">
        <v>33</v>
      </c>
      <c r="H25" s="273">
        <v>5</v>
      </c>
      <c r="I25" s="191">
        <v>1080</v>
      </c>
      <c r="J25" s="192">
        <v>171</v>
      </c>
      <c r="K25" s="191">
        <v>7808</v>
      </c>
      <c r="L25" s="192">
        <v>1204</v>
      </c>
      <c r="M25" s="191">
        <v>7002</v>
      </c>
      <c r="N25" s="192">
        <v>1088</v>
      </c>
      <c r="O25" s="338">
        <f t="shared" si="1"/>
        <v>15890</v>
      </c>
      <c r="P25" s="194">
        <f t="shared" si="2"/>
        <v>2463</v>
      </c>
      <c r="Q25" s="195">
        <f t="shared" si="3"/>
        <v>74.63636363636364</v>
      </c>
      <c r="R25" s="196">
        <f t="shared" si="4"/>
        <v>6.451481932602517</v>
      </c>
      <c r="S25" s="191">
        <v>38212</v>
      </c>
      <c r="T25" s="197">
        <f t="shared" si="5"/>
        <v>-0.5841620433371716</v>
      </c>
      <c r="U25" s="191">
        <v>790502</v>
      </c>
      <c r="V25" s="198">
        <v>101732</v>
      </c>
      <c r="W25" s="199">
        <f t="shared" si="6"/>
        <v>7.770436047654622</v>
      </c>
      <c r="X25" s="280"/>
      <c r="Y25" s="280"/>
    </row>
    <row r="26" spans="1:25" s="282" customFormat="1" ht="27" customHeight="1">
      <c r="A26" s="279">
        <f t="shared" si="0"/>
        <v>22</v>
      </c>
      <c r="B26" s="296"/>
      <c r="C26" s="333" t="s">
        <v>72</v>
      </c>
      <c r="D26" s="329">
        <v>38772</v>
      </c>
      <c r="E26" s="326" t="s">
        <v>216</v>
      </c>
      <c r="F26" s="323">
        <v>25</v>
      </c>
      <c r="G26" s="284">
        <v>25</v>
      </c>
      <c r="H26" s="273">
        <v>5</v>
      </c>
      <c r="I26" s="191">
        <v>2509</v>
      </c>
      <c r="J26" s="192">
        <v>519</v>
      </c>
      <c r="K26" s="191">
        <v>4922.5</v>
      </c>
      <c r="L26" s="192">
        <v>1016</v>
      </c>
      <c r="M26" s="191">
        <v>4225</v>
      </c>
      <c r="N26" s="192">
        <v>835</v>
      </c>
      <c r="O26" s="338">
        <f t="shared" si="1"/>
        <v>11656.5</v>
      </c>
      <c r="P26" s="194">
        <f t="shared" si="2"/>
        <v>2370</v>
      </c>
      <c r="Q26" s="195">
        <f t="shared" si="3"/>
        <v>94.8</v>
      </c>
      <c r="R26" s="196">
        <f t="shared" si="4"/>
        <v>4.918354430379747</v>
      </c>
      <c r="S26" s="191">
        <v>22461.5</v>
      </c>
      <c r="T26" s="197">
        <f t="shared" si="5"/>
        <v>-0.4810453442557265</v>
      </c>
      <c r="U26" s="191">
        <v>1076827</v>
      </c>
      <c r="V26" s="198">
        <v>139735</v>
      </c>
      <c r="W26" s="199">
        <f t="shared" si="6"/>
        <v>7.706208179768848</v>
      </c>
      <c r="X26" s="280"/>
      <c r="Y26" s="280"/>
    </row>
    <row r="27" spans="1:25" s="282" customFormat="1" ht="27" customHeight="1">
      <c r="A27" s="279">
        <f t="shared" si="0"/>
        <v>23</v>
      </c>
      <c r="B27" s="296"/>
      <c r="C27" s="332" t="s">
        <v>284</v>
      </c>
      <c r="D27" s="329">
        <v>38751</v>
      </c>
      <c r="E27" s="326" t="s">
        <v>217</v>
      </c>
      <c r="F27" s="323">
        <v>51</v>
      </c>
      <c r="G27" s="284">
        <v>12</v>
      </c>
      <c r="H27" s="273">
        <v>8</v>
      </c>
      <c r="I27" s="191">
        <v>2243</v>
      </c>
      <c r="J27" s="192">
        <v>454</v>
      </c>
      <c r="K27" s="191">
        <v>4513</v>
      </c>
      <c r="L27" s="192">
        <v>890</v>
      </c>
      <c r="M27" s="191">
        <v>3941</v>
      </c>
      <c r="N27" s="192">
        <v>754</v>
      </c>
      <c r="O27" s="338">
        <f t="shared" si="1"/>
        <v>10697</v>
      </c>
      <c r="P27" s="194">
        <f t="shared" si="2"/>
        <v>2098</v>
      </c>
      <c r="Q27" s="195">
        <f t="shared" si="3"/>
        <v>174.83333333333334</v>
      </c>
      <c r="R27" s="196">
        <f t="shared" si="4"/>
        <v>5.098665395614871</v>
      </c>
      <c r="S27" s="191">
        <v>12806</v>
      </c>
      <c r="T27" s="197">
        <f t="shared" si="5"/>
        <v>-0.16468842729970326</v>
      </c>
      <c r="U27" s="191">
        <v>1286596</v>
      </c>
      <c r="V27" s="198">
        <v>164714</v>
      </c>
      <c r="W27" s="199">
        <f t="shared" si="6"/>
        <v>7.811090739099288</v>
      </c>
      <c r="X27" s="280"/>
      <c r="Y27" s="280"/>
    </row>
    <row r="28" spans="1:25" s="282" customFormat="1" ht="27" customHeight="1">
      <c r="A28" s="279">
        <f t="shared" si="0"/>
        <v>24</v>
      </c>
      <c r="B28" s="296"/>
      <c r="C28" s="332" t="s">
        <v>75</v>
      </c>
      <c r="D28" s="329">
        <v>38786</v>
      </c>
      <c r="E28" s="326" t="s">
        <v>220</v>
      </c>
      <c r="F28" s="323">
        <v>30</v>
      </c>
      <c r="G28" s="284">
        <v>29</v>
      </c>
      <c r="H28" s="273">
        <v>3</v>
      </c>
      <c r="I28" s="191">
        <v>1855</v>
      </c>
      <c r="J28" s="192">
        <v>299</v>
      </c>
      <c r="K28" s="191">
        <v>4356.5</v>
      </c>
      <c r="L28" s="192">
        <v>699</v>
      </c>
      <c r="M28" s="191">
        <v>4086.5</v>
      </c>
      <c r="N28" s="192">
        <v>650</v>
      </c>
      <c r="O28" s="338">
        <f t="shared" si="1"/>
        <v>10298</v>
      </c>
      <c r="P28" s="194">
        <f t="shared" si="2"/>
        <v>1648</v>
      </c>
      <c r="Q28" s="195">
        <f t="shared" si="3"/>
        <v>56.827586206896555</v>
      </c>
      <c r="R28" s="196">
        <f t="shared" si="4"/>
        <v>6.24878640776699</v>
      </c>
      <c r="S28" s="191">
        <v>28030.5</v>
      </c>
      <c r="T28" s="197">
        <f t="shared" si="5"/>
        <v>-0.6326144735199158</v>
      </c>
      <c r="U28" s="191">
        <v>147829</v>
      </c>
      <c r="V28" s="198">
        <v>20210</v>
      </c>
      <c r="W28" s="199">
        <f t="shared" si="6"/>
        <v>7.314646214745176</v>
      </c>
      <c r="X28" s="280"/>
      <c r="Y28" s="280"/>
    </row>
    <row r="29" spans="1:25" s="282" customFormat="1" ht="27" customHeight="1">
      <c r="A29" s="279">
        <f t="shared" si="0"/>
        <v>25</v>
      </c>
      <c r="B29" s="296"/>
      <c r="C29" s="333" t="s">
        <v>136</v>
      </c>
      <c r="D29" s="329">
        <v>38758</v>
      </c>
      <c r="E29" s="326" t="s">
        <v>203</v>
      </c>
      <c r="F29" s="323">
        <v>9</v>
      </c>
      <c r="G29" s="284">
        <v>9</v>
      </c>
      <c r="H29" s="273">
        <v>7</v>
      </c>
      <c r="I29" s="191">
        <v>1429</v>
      </c>
      <c r="J29" s="192">
        <v>222</v>
      </c>
      <c r="K29" s="191">
        <v>3022.5</v>
      </c>
      <c r="L29" s="192">
        <v>462</v>
      </c>
      <c r="M29" s="191">
        <v>2934</v>
      </c>
      <c r="N29" s="192">
        <v>442</v>
      </c>
      <c r="O29" s="338">
        <f t="shared" si="1"/>
        <v>7385.5</v>
      </c>
      <c r="P29" s="194">
        <f t="shared" si="2"/>
        <v>1126</v>
      </c>
      <c r="Q29" s="195">
        <f t="shared" si="3"/>
        <v>125.11111111111111</v>
      </c>
      <c r="R29" s="196">
        <f t="shared" si="4"/>
        <v>6.559058614564831</v>
      </c>
      <c r="S29" s="191">
        <v>13193.5</v>
      </c>
      <c r="T29" s="197">
        <f t="shared" si="5"/>
        <v>-0.44021677341114945</v>
      </c>
      <c r="U29" s="191">
        <v>1264469</v>
      </c>
      <c r="V29" s="198">
        <v>153908</v>
      </c>
      <c r="W29" s="199">
        <f t="shared" si="6"/>
        <v>8.21574577020038</v>
      </c>
      <c r="X29" s="280"/>
      <c r="Y29" s="280"/>
    </row>
    <row r="30" spans="1:25" s="282" customFormat="1" ht="27" customHeight="1">
      <c r="A30" s="279">
        <f t="shared" si="0"/>
        <v>26</v>
      </c>
      <c r="B30" s="296"/>
      <c r="C30" s="332" t="s">
        <v>224</v>
      </c>
      <c r="D30" s="329">
        <v>38772</v>
      </c>
      <c r="E30" s="326" t="s">
        <v>225</v>
      </c>
      <c r="F30" s="323">
        <v>49</v>
      </c>
      <c r="G30" s="284">
        <v>25</v>
      </c>
      <c r="H30" s="273">
        <v>5</v>
      </c>
      <c r="I30" s="191">
        <v>1190.5</v>
      </c>
      <c r="J30" s="192">
        <v>251</v>
      </c>
      <c r="K30" s="191">
        <v>2853</v>
      </c>
      <c r="L30" s="192">
        <v>582</v>
      </c>
      <c r="M30" s="191">
        <v>2371</v>
      </c>
      <c r="N30" s="192">
        <v>482</v>
      </c>
      <c r="O30" s="338">
        <f t="shared" si="1"/>
        <v>6414.5</v>
      </c>
      <c r="P30" s="194">
        <f t="shared" si="2"/>
        <v>1315</v>
      </c>
      <c r="Q30" s="195">
        <f t="shared" si="3"/>
        <v>52.6</v>
      </c>
      <c r="R30" s="196">
        <f t="shared" si="4"/>
        <v>4.877946768060837</v>
      </c>
      <c r="S30" s="191">
        <v>18777.5</v>
      </c>
      <c r="T30" s="197">
        <f t="shared" si="5"/>
        <v>-0.6583943549460791</v>
      </c>
      <c r="U30" s="191">
        <v>301602</v>
      </c>
      <c r="V30" s="198">
        <v>44790</v>
      </c>
      <c r="W30" s="199">
        <f t="shared" si="6"/>
        <v>6.733690555927662</v>
      </c>
      <c r="X30" s="280"/>
      <c r="Y30" s="280"/>
    </row>
    <row r="31" spans="1:25" s="282" customFormat="1" ht="27" customHeight="1">
      <c r="A31" s="279">
        <f t="shared" si="0"/>
        <v>27</v>
      </c>
      <c r="B31" s="296"/>
      <c r="C31" s="332" t="s">
        <v>286</v>
      </c>
      <c r="D31" s="329">
        <v>38751</v>
      </c>
      <c r="E31" s="326" t="s">
        <v>287</v>
      </c>
      <c r="F31" s="323">
        <v>27</v>
      </c>
      <c r="G31" s="284">
        <v>9</v>
      </c>
      <c r="H31" s="273">
        <v>8</v>
      </c>
      <c r="I31" s="191">
        <v>1161</v>
      </c>
      <c r="J31" s="192">
        <v>216</v>
      </c>
      <c r="K31" s="191">
        <v>2479</v>
      </c>
      <c r="L31" s="192">
        <v>424</v>
      </c>
      <c r="M31" s="191">
        <v>2372</v>
      </c>
      <c r="N31" s="192">
        <v>384</v>
      </c>
      <c r="O31" s="338">
        <f t="shared" si="1"/>
        <v>6012</v>
      </c>
      <c r="P31" s="194">
        <f t="shared" si="2"/>
        <v>1024</v>
      </c>
      <c r="Q31" s="195">
        <f t="shared" si="3"/>
        <v>113.77777777777777</v>
      </c>
      <c r="R31" s="196">
        <f t="shared" si="4"/>
        <v>5.87109375</v>
      </c>
      <c r="S31" s="191"/>
      <c r="T31" s="197">
        <f t="shared" si="5"/>
      </c>
      <c r="U31" s="191">
        <v>470163</v>
      </c>
      <c r="V31" s="198">
        <v>54011</v>
      </c>
      <c r="W31" s="199">
        <f t="shared" si="6"/>
        <v>8.704948991872026</v>
      </c>
      <c r="X31" s="280"/>
      <c r="Y31" s="280"/>
    </row>
    <row r="32" spans="1:25" s="282" customFormat="1" ht="27" customHeight="1">
      <c r="A32" s="279">
        <f t="shared" si="0"/>
        <v>28</v>
      </c>
      <c r="B32" s="296"/>
      <c r="C32" s="333" t="s">
        <v>155</v>
      </c>
      <c r="D32" s="329">
        <v>38737</v>
      </c>
      <c r="E32" s="326" t="s">
        <v>203</v>
      </c>
      <c r="F32" s="323">
        <v>6</v>
      </c>
      <c r="G32" s="284">
        <v>6</v>
      </c>
      <c r="H32" s="273">
        <v>10</v>
      </c>
      <c r="I32" s="191">
        <v>1062</v>
      </c>
      <c r="J32" s="192">
        <v>206</v>
      </c>
      <c r="K32" s="191">
        <v>2281.5</v>
      </c>
      <c r="L32" s="192">
        <v>413</v>
      </c>
      <c r="M32" s="191">
        <v>2180.5</v>
      </c>
      <c r="N32" s="192">
        <v>390</v>
      </c>
      <c r="O32" s="338">
        <f t="shared" si="1"/>
        <v>5524</v>
      </c>
      <c r="P32" s="194">
        <f t="shared" si="2"/>
        <v>1009</v>
      </c>
      <c r="Q32" s="195">
        <f t="shared" si="3"/>
        <v>168.16666666666666</v>
      </c>
      <c r="R32" s="196">
        <f t="shared" si="4"/>
        <v>5.474727452923687</v>
      </c>
      <c r="S32" s="191">
        <v>1343</v>
      </c>
      <c r="T32" s="197">
        <f t="shared" si="5"/>
        <v>3.1131794489947877</v>
      </c>
      <c r="U32" s="191">
        <v>1161143.5</v>
      </c>
      <c r="V32" s="198">
        <v>167251</v>
      </c>
      <c r="W32" s="199">
        <f t="shared" si="6"/>
        <v>6.9425205230462</v>
      </c>
      <c r="X32" s="280"/>
      <c r="Y32" s="280"/>
    </row>
    <row r="33" spans="1:25" s="282" customFormat="1" ht="27" customHeight="1">
      <c r="A33" s="279">
        <f t="shared" si="0"/>
        <v>29</v>
      </c>
      <c r="B33" s="296"/>
      <c r="C33" s="332" t="s">
        <v>141</v>
      </c>
      <c r="D33" s="329">
        <v>38744</v>
      </c>
      <c r="E33" s="326" t="s">
        <v>285</v>
      </c>
      <c r="F33" s="323">
        <v>71</v>
      </c>
      <c r="G33" s="284">
        <v>5</v>
      </c>
      <c r="H33" s="273">
        <v>9</v>
      </c>
      <c r="I33" s="191">
        <v>643</v>
      </c>
      <c r="J33" s="192">
        <v>131</v>
      </c>
      <c r="K33" s="191">
        <v>1409</v>
      </c>
      <c r="L33" s="192">
        <v>370</v>
      </c>
      <c r="M33" s="191">
        <v>3053</v>
      </c>
      <c r="N33" s="192">
        <v>889</v>
      </c>
      <c r="O33" s="338">
        <f t="shared" si="1"/>
        <v>5105</v>
      </c>
      <c r="P33" s="194">
        <f t="shared" si="2"/>
        <v>1390</v>
      </c>
      <c r="Q33" s="195">
        <f t="shared" si="3"/>
        <v>278</v>
      </c>
      <c r="R33" s="196">
        <f t="shared" si="4"/>
        <v>3.672661870503597</v>
      </c>
      <c r="S33" s="191"/>
      <c r="T33" s="197">
        <f t="shared" si="5"/>
      </c>
      <c r="U33" s="191">
        <v>1836133</v>
      </c>
      <c r="V33" s="198">
        <v>226633</v>
      </c>
      <c r="W33" s="199">
        <f t="shared" si="6"/>
        <v>8.101790118826473</v>
      </c>
      <c r="X33" s="280"/>
      <c r="Y33" s="280"/>
    </row>
    <row r="34" spans="1:24" s="282" customFormat="1" ht="27" customHeight="1">
      <c r="A34" s="279">
        <f t="shared" si="0"/>
        <v>30</v>
      </c>
      <c r="B34" s="296"/>
      <c r="C34" s="333" t="s">
        <v>260</v>
      </c>
      <c r="D34" s="329">
        <v>38758</v>
      </c>
      <c r="E34" s="326" t="s">
        <v>261</v>
      </c>
      <c r="F34" s="323">
        <v>4</v>
      </c>
      <c r="G34" s="284">
        <v>4</v>
      </c>
      <c r="H34" s="273">
        <v>7</v>
      </c>
      <c r="I34" s="191">
        <v>862.5</v>
      </c>
      <c r="J34" s="192">
        <v>242</v>
      </c>
      <c r="K34" s="191">
        <v>1289</v>
      </c>
      <c r="L34" s="192">
        <v>324</v>
      </c>
      <c r="M34" s="191">
        <v>1048.5</v>
      </c>
      <c r="N34" s="192">
        <v>285</v>
      </c>
      <c r="O34" s="338">
        <f t="shared" si="1"/>
        <v>3200</v>
      </c>
      <c r="P34" s="194">
        <f t="shared" si="2"/>
        <v>851</v>
      </c>
      <c r="Q34" s="195">
        <f t="shared" si="3"/>
        <v>212.75</v>
      </c>
      <c r="R34" s="196">
        <f t="shared" si="4"/>
        <v>3.7602820211515864</v>
      </c>
      <c r="S34" s="191">
        <v>1052.5</v>
      </c>
      <c r="T34" s="197">
        <f t="shared" si="5"/>
        <v>2.040380047505938</v>
      </c>
      <c r="U34" s="191">
        <v>33454</v>
      </c>
      <c r="V34" s="198">
        <v>5010</v>
      </c>
      <c r="W34" s="199">
        <f t="shared" si="6"/>
        <v>6.6774451097804395</v>
      </c>
      <c r="X34" s="280"/>
    </row>
    <row r="35" spans="1:26" s="282" customFormat="1" ht="27" customHeight="1">
      <c r="A35" s="279">
        <f t="shared" si="0"/>
        <v>31</v>
      </c>
      <c r="B35" s="296"/>
      <c r="C35" s="332" t="s">
        <v>82</v>
      </c>
      <c r="D35" s="329">
        <v>38765</v>
      </c>
      <c r="E35" s="326" t="s">
        <v>287</v>
      </c>
      <c r="F35" s="323">
        <v>41</v>
      </c>
      <c r="G35" s="284">
        <v>7</v>
      </c>
      <c r="H35" s="273">
        <v>6</v>
      </c>
      <c r="I35" s="191">
        <v>714</v>
      </c>
      <c r="J35" s="192">
        <v>247</v>
      </c>
      <c r="K35" s="191">
        <v>954</v>
      </c>
      <c r="L35" s="192">
        <v>234</v>
      </c>
      <c r="M35" s="191">
        <v>961</v>
      </c>
      <c r="N35" s="192">
        <v>201</v>
      </c>
      <c r="O35" s="338">
        <f t="shared" si="1"/>
        <v>2629</v>
      </c>
      <c r="P35" s="194">
        <f t="shared" si="2"/>
        <v>682</v>
      </c>
      <c r="Q35" s="195">
        <f t="shared" si="3"/>
        <v>97.42857142857143</v>
      </c>
      <c r="R35" s="196">
        <f t="shared" si="4"/>
        <v>3.8548387096774195</v>
      </c>
      <c r="S35" s="191"/>
      <c r="T35" s="197">
        <f t="shared" si="5"/>
      </c>
      <c r="U35" s="191">
        <v>318645</v>
      </c>
      <c r="V35" s="198">
        <v>42027</v>
      </c>
      <c r="W35" s="199">
        <f t="shared" si="6"/>
        <v>7.58191162823899</v>
      </c>
      <c r="X35" s="280"/>
      <c r="Z35" s="280"/>
    </row>
    <row r="36" spans="1:26" s="281" customFormat="1" ht="27" customHeight="1">
      <c r="A36" s="279">
        <f t="shared" si="0"/>
        <v>32</v>
      </c>
      <c r="B36" s="296"/>
      <c r="C36" s="332" t="s">
        <v>288</v>
      </c>
      <c r="D36" s="329">
        <v>38730</v>
      </c>
      <c r="E36" s="326" t="s">
        <v>210</v>
      </c>
      <c r="F36" s="323">
        <v>116</v>
      </c>
      <c r="G36" s="284">
        <v>5</v>
      </c>
      <c r="H36" s="273">
        <v>11</v>
      </c>
      <c r="I36" s="191">
        <v>230</v>
      </c>
      <c r="J36" s="192">
        <v>52</v>
      </c>
      <c r="K36" s="191">
        <v>1266</v>
      </c>
      <c r="L36" s="192">
        <v>195</v>
      </c>
      <c r="M36" s="191">
        <v>1051</v>
      </c>
      <c r="N36" s="192">
        <v>211</v>
      </c>
      <c r="O36" s="338">
        <f t="shared" si="1"/>
        <v>2547</v>
      </c>
      <c r="P36" s="194">
        <f t="shared" si="2"/>
        <v>458</v>
      </c>
      <c r="Q36" s="195">
        <f t="shared" si="3"/>
        <v>91.6</v>
      </c>
      <c r="R36" s="196">
        <f t="shared" si="4"/>
        <v>5.56113537117904</v>
      </c>
      <c r="S36" s="191"/>
      <c r="T36" s="197">
        <f t="shared" si="5"/>
      </c>
      <c r="U36" s="191">
        <v>3267197</v>
      </c>
      <c r="V36" s="198">
        <v>464306</v>
      </c>
      <c r="W36" s="199">
        <f t="shared" si="6"/>
        <v>7.03673224123746</v>
      </c>
      <c r="X36" s="280"/>
      <c r="Z36" s="280"/>
    </row>
    <row r="37" spans="1:24" s="281" customFormat="1" ht="27" customHeight="1">
      <c r="A37" s="279">
        <f t="shared" si="0"/>
        <v>33</v>
      </c>
      <c r="B37" s="296"/>
      <c r="C37" s="333" t="s">
        <v>159</v>
      </c>
      <c r="D37" s="329">
        <v>39074</v>
      </c>
      <c r="E37" s="326" t="s">
        <v>234</v>
      </c>
      <c r="F37" s="323">
        <v>233</v>
      </c>
      <c r="G37" s="284">
        <v>7</v>
      </c>
      <c r="H37" s="273">
        <v>14</v>
      </c>
      <c r="I37" s="191">
        <v>603</v>
      </c>
      <c r="J37" s="192">
        <v>537</v>
      </c>
      <c r="K37" s="191">
        <v>863</v>
      </c>
      <c r="L37" s="192">
        <v>625</v>
      </c>
      <c r="M37" s="191">
        <v>988</v>
      </c>
      <c r="N37" s="192">
        <v>687</v>
      </c>
      <c r="O37" s="338">
        <f aca="true" t="shared" si="7" ref="O37:O67">+I37+K37+M37</f>
        <v>2454</v>
      </c>
      <c r="P37" s="194">
        <f aca="true" t="shared" si="8" ref="P37:P67">+J37+L37+N37</f>
        <v>1849</v>
      </c>
      <c r="Q37" s="195">
        <f aca="true" t="shared" si="9" ref="Q37:Q67">IF(O37&lt;&gt;0,P37/G37,"")</f>
        <v>264.14285714285717</v>
      </c>
      <c r="R37" s="196">
        <f aca="true" t="shared" si="10" ref="R37:R67">IF(O37&lt;&gt;0,O37/P37,"")</f>
        <v>1.327203893996755</v>
      </c>
      <c r="S37" s="191">
        <v>4136</v>
      </c>
      <c r="T37" s="197">
        <f aca="true" t="shared" si="11" ref="T37:T62">IF(S37&lt;&gt;0,-(S37-O37)/S37,"")</f>
        <v>-0.40667311411992263</v>
      </c>
      <c r="U37" s="191">
        <v>17050167</v>
      </c>
      <c r="V37" s="198">
        <v>2558069</v>
      </c>
      <c r="W37" s="199">
        <f aca="true" t="shared" si="12" ref="W37:W67">U37/V37</f>
        <v>6.6652490609127435</v>
      </c>
      <c r="X37" s="280"/>
    </row>
    <row r="38" spans="1:26" s="281" customFormat="1" ht="27" customHeight="1">
      <c r="A38" s="279">
        <f t="shared" si="0"/>
        <v>34</v>
      </c>
      <c r="B38" s="296"/>
      <c r="C38" s="332" t="s">
        <v>278</v>
      </c>
      <c r="D38" s="329">
        <v>38779</v>
      </c>
      <c r="E38" s="326" t="s">
        <v>232</v>
      </c>
      <c r="F38" s="323">
        <v>8</v>
      </c>
      <c r="G38" s="284">
        <v>7</v>
      </c>
      <c r="H38" s="273">
        <v>4</v>
      </c>
      <c r="I38" s="191">
        <v>625</v>
      </c>
      <c r="J38" s="192">
        <v>100</v>
      </c>
      <c r="K38" s="191">
        <v>1155</v>
      </c>
      <c r="L38" s="192">
        <v>185</v>
      </c>
      <c r="M38" s="191">
        <v>625</v>
      </c>
      <c r="N38" s="192">
        <v>100</v>
      </c>
      <c r="O38" s="338">
        <f t="shared" si="7"/>
        <v>2405</v>
      </c>
      <c r="P38" s="194">
        <f t="shared" si="8"/>
        <v>385</v>
      </c>
      <c r="Q38" s="195">
        <f t="shared" si="9"/>
        <v>55</v>
      </c>
      <c r="R38" s="196">
        <f t="shared" si="10"/>
        <v>6.246753246753247</v>
      </c>
      <c r="S38" s="191">
        <v>4790.5</v>
      </c>
      <c r="T38" s="197">
        <f t="shared" si="11"/>
        <v>-0.49796472184531887</v>
      </c>
      <c r="U38" s="191">
        <v>75185.9</v>
      </c>
      <c r="V38" s="198">
        <v>8477</v>
      </c>
      <c r="W38" s="199">
        <f t="shared" si="12"/>
        <v>8.869399551728206</v>
      </c>
      <c r="X38" s="280"/>
      <c r="Z38" s="280"/>
    </row>
    <row r="39" spans="1:24" s="282" customFormat="1" ht="27" customHeight="1">
      <c r="A39" s="279">
        <f t="shared" si="0"/>
        <v>35</v>
      </c>
      <c r="B39" s="296"/>
      <c r="C39" s="332" t="s">
        <v>226</v>
      </c>
      <c r="D39" s="329">
        <v>38793</v>
      </c>
      <c r="E39" s="326" t="s">
        <v>227</v>
      </c>
      <c r="F39" s="323">
        <v>2</v>
      </c>
      <c r="G39" s="284">
        <v>2</v>
      </c>
      <c r="H39" s="273">
        <v>2</v>
      </c>
      <c r="I39" s="191">
        <v>539</v>
      </c>
      <c r="J39" s="192">
        <v>66</v>
      </c>
      <c r="K39" s="191">
        <v>959</v>
      </c>
      <c r="L39" s="192">
        <v>115</v>
      </c>
      <c r="M39" s="191">
        <v>597</v>
      </c>
      <c r="N39" s="192">
        <v>72</v>
      </c>
      <c r="O39" s="338">
        <f t="shared" si="7"/>
        <v>2095</v>
      </c>
      <c r="P39" s="194">
        <f t="shared" si="8"/>
        <v>253</v>
      </c>
      <c r="Q39" s="195">
        <f t="shared" si="9"/>
        <v>126.5</v>
      </c>
      <c r="R39" s="196">
        <f t="shared" si="10"/>
        <v>8.280632411067193</v>
      </c>
      <c r="S39" s="191">
        <v>18016.5</v>
      </c>
      <c r="T39" s="197">
        <f t="shared" si="11"/>
        <v>-0.883717703216496</v>
      </c>
      <c r="U39" s="191">
        <v>23242.5</v>
      </c>
      <c r="V39" s="198">
        <v>2501</v>
      </c>
      <c r="W39" s="199">
        <f t="shared" si="12"/>
        <v>9.29328268692523</v>
      </c>
      <c r="X39" s="280"/>
    </row>
    <row r="40" spans="1:24" s="281" customFormat="1" ht="27" customHeight="1">
      <c r="A40" s="279">
        <f t="shared" si="0"/>
        <v>36</v>
      </c>
      <c r="B40" s="296"/>
      <c r="C40" s="332" t="s">
        <v>277</v>
      </c>
      <c r="D40" s="329">
        <v>38758</v>
      </c>
      <c r="E40" s="326" t="s">
        <v>225</v>
      </c>
      <c r="F40" s="323">
        <v>10</v>
      </c>
      <c r="G40" s="284">
        <v>5</v>
      </c>
      <c r="H40" s="273">
        <v>7</v>
      </c>
      <c r="I40" s="191">
        <v>597</v>
      </c>
      <c r="J40" s="192">
        <v>74</v>
      </c>
      <c r="K40" s="191">
        <v>636.5</v>
      </c>
      <c r="L40" s="192">
        <v>76</v>
      </c>
      <c r="M40" s="191">
        <v>805</v>
      </c>
      <c r="N40" s="192">
        <v>109</v>
      </c>
      <c r="O40" s="338">
        <f t="shared" si="7"/>
        <v>2038.5</v>
      </c>
      <c r="P40" s="194">
        <f t="shared" si="8"/>
        <v>259</v>
      </c>
      <c r="Q40" s="195">
        <f t="shared" si="9"/>
        <v>51.8</v>
      </c>
      <c r="R40" s="196">
        <f t="shared" si="10"/>
        <v>7.870656370656371</v>
      </c>
      <c r="S40" s="191">
        <v>5029.5</v>
      </c>
      <c r="T40" s="197">
        <f t="shared" si="11"/>
        <v>-0.5946913212048911</v>
      </c>
      <c r="U40" s="191">
        <v>107621.5</v>
      </c>
      <c r="V40" s="198">
        <v>14007</v>
      </c>
      <c r="W40" s="199">
        <f t="shared" si="12"/>
        <v>7.6834082958520735</v>
      </c>
      <c r="X40" s="280"/>
    </row>
    <row r="41" spans="1:25" s="282" customFormat="1" ht="27" customHeight="1">
      <c r="A41" s="279">
        <f t="shared" si="0"/>
        <v>37</v>
      </c>
      <c r="B41" s="296"/>
      <c r="C41" s="333" t="s">
        <v>79</v>
      </c>
      <c r="D41" s="329">
        <v>38779</v>
      </c>
      <c r="E41" s="326" t="s">
        <v>229</v>
      </c>
      <c r="F41" s="323">
        <v>10</v>
      </c>
      <c r="G41" s="284">
        <v>4</v>
      </c>
      <c r="H41" s="273">
        <v>3</v>
      </c>
      <c r="I41" s="191">
        <v>480</v>
      </c>
      <c r="J41" s="192">
        <v>65</v>
      </c>
      <c r="K41" s="191">
        <v>740</v>
      </c>
      <c r="L41" s="192">
        <v>99</v>
      </c>
      <c r="M41" s="191">
        <v>690</v>
      </c>
      <c r="N41" s="192">
        <v>89</v>
      </c>
      <c r="O41" s="338">
        <f t="shared" si="7"/>
        <v>1910</v>
      </c>
      <c r="P41" s="194">
        <f t="shared" si="8"/>
        <v>253</v>
      </c>
      <c r="Q41" s="195">
        <f t="shared" si="9"/>
        <v>63.25</v>
      </c>
      <c r="R41" s="196">
        <f t="shared" si="10"/>
        <v>7.549407114624506</v>
      </c>
      <c r="S41" s="191">
        <v>18788</v>
      </c>
      <c r="T41" s="197">
        <f t="shared" si="11"/>
        <v>-0.8983393655524803</v>
      </c>
      <c r="U41" s="191">
        <v>88617</v>
      </c>
      <c r="V41" s="198">
        <v>10706</v>
      </c>
      <c r="W41" s="199">
        <f t="shared" si="12"/>
        <v>8.27732112833925</v>
      </c>
      <c r="X41" s="280"/>
      <c r="Y41" s="280"/>
    </row>
    <row r="42" spans="1:24" s="281" customFormat="1" ht="27" customHeight="1">
      <c r="A42" s="279">
        <f t="shared" si="0"/>
        <v>38</v>
      </c>
      <c r="B42" s="296"/>
      <c r="C42" s="333" t="s">
        <v>154</v>
      </c>
      <c r="D42" s="329">
        <v>38723</v>
      </c>
      <c r="E42" s="326" t="s">
        <v>233</v>
      </c>
      <c r="F42" s="323">
        <v>199</v>
      </c>
      <c r="G42" s="284">
        <v>2</v>
      </c>
      <c r="H42" s="273">
        <v>12</v>
      </c>
      <c r="I42" s="191">
        <v>435</v>
      </c>
      <c r="J42" s="192">
        <v>107</v>
      </c>
      <c r="K42" s="191">
        <v>460</v>
      </c>
      <c r="L42" s="192">
        <v>112</v>
      </c>
      <c r="M42" s="191">
        <v>485</v>
      </c>
      <c r="N42" s="192">
        <v>117</v>
      </c>
      <c r="O42" s="338">
        <f t="shared" si="7"/>
        <v>1380</v>
      </c>
      <c r="P42" s="194">
        <f t="shared" si="8"/>
        <v>336</v>
      </c>
      <c r="Q42" s="195">
        <f t="shared" si="9"/>
        <v>168</v>
      </c>
      <c r="R42" s="196">
        <f t="shared" si="10"/>
        <v>4.107142857142857</v>
      </c>
      <c r="S42" s="191">
        <v>6101</v>
      </c>
      <c r="T42" s="197">
        <f t="shared" si="11"/>
        <v>-0.7738075725290936</v>
      </c>
      <c r="U42" s="191">
        <v>6503743</v>
      </c>
      <c r="V42" s="198">
        <v>990311</v>
      </c>
      <c r="W42" s="199">
        <f t="shared" si="12"/>
        <v>6.5673742894908775</v>
      </c>
      <c r="X42" s="280"/>
    </row>
    <row r="43" spans="1:24" s="281" customFormat="1" ht="27" customHeight="1">
      <c r="A43" s="279">
        <f t="shared" si="0"/>
        <v>39</v>
      </c>
      <c r="B43" s="296"/>
      <c r="C43" s="332" t="s">
        <v>142</v>
      </c>
      <c r="D43" s="329">
        <v>38765</v>
      </c>
      <c r="E43" s="326" t="s">
        <v>235</v>
      </c>
      <c r="F43" s="323">
        <v>30</v>
      </c>
      <c r="G43" s="284">
        <v>6</v>
      </c>
      <c r="H43" s="273">
        <v>6</v>
      </c>
      <c r="I43" s="191">
        <v>285.5</v>
      </c>
      <c r="J43" s="192">
        <v>74</v>
      </c>
      <c r="K43" s="191">
        <v>471</v>
      </c>
      <c r="L43" s="192">
        <v>125</v>
      </c>
      <c r="M43" s="191">
        <v>526</v>
      </c>
      <c r="N43" s="192">
        <v>131</v>
      </c>
      <c r="O43" s="338">
        <f t="shared" si="7"/>
        <v>1282.5</v>
      </c>
      <c r="P43" s="194">
        <f t="shared" si="8"/>
        <v>330</v>
      </c>
      <c r="Q43" s="195">
        <f t="shared" si="9"/>
        <v>55</v>
      </c>
      <c r="R43" s="196">
        <f t="shared" si="10"/>
        <v>3.8863636363636362</v>
      </c>
      <c r="S43" s="191">
        <v>2575</v>
      </c>
      <c r="T43" s="197">
        <f t="shared" si="11"/>
        <v>-0.5019417475728155</v>
      </c>
      <c r="U43" s="191">
        <v>121544</v>
      </c>
      <c r="V43" s="198">
        <v>17815</v>
      </c>
      <c r="W43" s="199">
        <f t="shared" si="12"/>
        <v>6.822565253999438</v>
      </c>
      <c r="X43" s="280"/>
    </row>
    <row r="44" spans="1:24" s="281" customFormat="1" ht="27" customHeight="1">
      <c r="A44" s="279">
        <f t="shared" si="0"/>
        <v>40</v>
      </c>
      <c r="B44" s="296"/>
      <c r="C44" s="333" t="s">
        <v>177</v>
      </c>
      <c r="D44" s="329">
        <v>38688</v>
      </c>
      <c r="E44" s="326" t="s">
        <v>203</v>
      </c>
      <c r="F44" s="323">
        <v>2</v>
      </c>
      <c r="G44" s="284">
        <v>2</v>
      </c>
      <c r="H44" s="273">
        <v>15</v>
      </c>
      <c r="I44" s="191">
        <v>308</v>
      </c>
      <c r="J44" s="192">
        <v>77</v>
      </c>
      <c r="K44" s="191">
        <v>579</v>
      </c>
      <c r="L44" s="192">
        <v>125</v>
      </c>
      <c r="M44" s="191">
        <v>371</v>
      </c>
      <c r="N44" s="192">
        <v>83</v>
      </c>
      <c r="O44" s="338">
        <f t="shared" si="7"/>
        <v>1258</v>
      </c>
      <c r="P44" s="194">
        <f t="shared" si="8"/>
        <v>285</v>
      </c>
      <c r="Q44" s="195">
        <f t="shared" si="9"/>
        <v>142.5</v>
      </c>
      <c r="R44" s="196">
        <f t="shared" si="10"/>
        <v>4.414035087719299</v>
      </c>
      <c r="S44" s="191">
        <v>1069</v>
      </c>
      <c r="T44" s="197">
        <f t="shared" si="11"/>
        <v>0.17680074836295603</v>
      </c>
      <c r="U44" s="191">
        <v>1744989</v>
      </c>
      <c r="V44" s="198">
        <v>260024</v>
      </c>
      <c r="W44" s="199">
        <f t="shared" si="12"/>
        <v>6.710876688305695</v>
      </c>
      <c r="X44" s="280"/>
    </row>
    <row r="45" spans="1:24" s="281" customFormat="1" ht="27" customHeight="1">
      <c r="A45" s="279">
        <f t="shared" si="0"/>
        <v>41</v>
      </c>
      <c r="B45" s="296"/>
      <c r="C45" s="332" t="s">
        <v>167</v>
      </c>
      <c r="D45" s="329">
        <v>39060</v>
      </c>
      <c r="E45" s="326" t="s">
        <v>210</v>
      </c>
      <c r="F45" s="323">
        <v>77</v>
      </c>
      <c r="G45" s="284">
        <v>6</v>
      </c>
      <c r="H45" s="273">
        <v>16</v>
      </c>
      <c r="I45" s="191">
        <v>141</v>
      </c>
      <c r="J45" s="192">
        <v>35</v>
      </c>
      <c r="K45" s="191">
        <v>450</v>
      </c>
      <c r="L45" s="192">
        <v>99</v>
      </c>
      <c r="M45" s="191">
        <v>557</v>
      </c>
      <c r="N45" s="192">
        <v>123</v>
      </c>
      <c r="O45" s="338">
        <f t="shared" si="7"/>
        <v>1148</v>
      </c>
      <c r="P45" s="194">
        <f t="shared" si="8"/>
        <v>257</v>
      </c>
      <c r="Q45" s="195">
        <f t="shared" si="9"/>
        <v>42.833333333333336</v>
      </c>
      <c r="R45" s="196">
        <f t="shared" si="10"/>
        <v>4.466926070038911</v>
      </c>
      <c r="S45" s="191"/>
      <c r="T45" s="197">
        <f t="shared" si="11"/>
      </c>
      <c r="U45" s="191">
        <v>1917960</v>
      </c>
      <c r="V45" s="198">
        <v>279811</v>
      </c>
      <c r="W45" s="199">
        <f t="shared" si="12"/>
        <v>6.854483919502807</v>
      </c>
      <c r="X45" s="280"/>
    </row>
    <row r="46" spans="1:24" s="281" customFormat="1" ht="27" customHeight="1">
      <c r="A46" s="279">
        <f t="shared" si="0"/>
        <v>42</v>
      </c>
      <c r="B46" s="296"/>
      <c r="C46" s="333" t="s">
        <v>80</v>
      </c>
      <c r="D46" s="329">
        <v>38786</v>
      </c>
      <c r="E46" s="326" t="s">
        <v>228</v>
      </c>
      <c r="F46" s="323">
        <v>4</v>
      </c>
      <c r="G46" s="284">
        <v>2</v>
      </c>
      <c r="H46" s="273">
        <v>3</v>
      </c>
      <c r="I46" s="191">
        <v>186</v>
      </c>
      <c r="J46" s="192">
        <v>26</v>
      </c>
      <c r="K46" s="191">
        <v>503</v>
      </c>
      <c r="L46" s="192">
        <v>68</v>
      </c>
      <c r="M46" s="191">
        <v>432</v>
      </c>
      <c r="N46" s="192">
        <v>66</v>
      </c>
      <c r="O46" s="338">
        <f t="shared" si="7"/>
        <v>1121</v>
      </c>
      <c r="P46" s="194">
        <f t="shared" si="8"/>
        <v>160</v>
      </c>
      <c r="Q46" s="195">
        <f t="shared" si="9"/>
        <v>80</v>
      </c>
      <c r="R46" s="196">
        <f t="shared" si="10"/>
        <v>7.00625</v>
      </c>
      <c r="S46" s="191">
        <v>40714</v>
      </c>
      <c r="T46" s="197">
        <f t="shared" si="11"/>
        <v>-0.9724664734489364</v>
      </c>
      <c r="U46" s="191">
        <v>41835</v>
      </c>
      <c r="V46" s="198">
        <v>4791</v>
      </c>
      <c r="W46" s="199">
        <f t="shared" si="12"/>
        <v>8.731997495303695</v>
      </c>
      <c r="X46" s="280"/>
    </row>
    <row r="47" spans="1:24" s="281" customFormat="1" ht="27" customHeight="1">
      <c r="A47" s="279">
        <f t="shared" si="0"/>
        <v>43</v>
      </c>
      <c r="B47" s="296"/>
      <c r="C47" s="333" t="s">
        <v>258</v>
      </c>
      <c r="D47" s="329">
        <v>38786</v>
      </c>
      <c r="E47" s="326" t="s">
        <v>237</v>
      </c>
      <c r="F47" s="323">
        <v>7</v>
      </c>
      <c r="G47" s="284">
        <v>7</v>
      </c>
      <c r="H47" s="273">
        <v>3</v>
      </c>
      <c r="I47" s="191">
        <v>256.5</v>
      </c>
      <c r="J47" s="192">
        <v>33</v>
      </c>
      <c r="K47" s="191">
        <v>413.5</v>
      </c>
      <c r="L47" s="192">
        <v>52</v>
      </c>
      <c r="M47" s="191">
        <v>411</v>
      </c>
      <c r="N47" s="192">
        <v>52</v>
      </c>
      <c r="O47" s="338">
        <f t="shared" si="7"/>
        <v>1081</v>
      </c>
      <c r="P47" s="194">
        <f t="shared" si="8"/>
        <v>137</v>
      </c>
      <c r="Q47" s="195">
        <f t="shared" si="9"/>
        <v>19.571428571428573</v>
      </c>
      <c r="R47" s="196">
        <f t="shared" si="10"/>
        <v>7.890510948905109</v>
      </c>
      <c r="S47" s="191">
        <v>1945</v>
      </c>
      <c r="T47" s="197">
        <f t="shared" si="11"/>
        <v>-0.4442159383033419</v>
      </c>
      <c r="U47" s="191">
        <v>12555</v>
      </c>
      <c r="V47" s="198">
        <v>1550</v>
      </c>
      <c r="W47" s="199">
        <f t="shared" si="12"/>
        <v>8.1</v>
      </c>
      <c r="X47" s="280"/>
    </row>
    <row r="48" spans="1:24" s="281" customFormat="1" ht="27" customHeight="1">
      <c r="A48" s="279">
        <f t="shared" si="0"/>
        <v>44</v>
      </c>
      <c r="B48" s="296"/>
      <c r="C48" s="333" t="s">
        <v>264</v>
      </c>
      <c r="D48" s="329">
        <v>38709</v>
      </c>
      <c r="E48" s="326" t="s">
        <v>265</v>
      </c>
      <c r="F48" s="323">
        <v>10</v>
      </c>
      <c r="G48" s="284">
        <v>5</v>
      </c>
      <c r="H48" s="273">
        <v>4</v>
      </c>
      <c r="I48" s="191">
        <v>209</v>
      </c>
      <c r="J48" s="192">
        <v>54</v>
      </c>
      <c r="K48" s="191">
        <v>469</v>
      </c>
      <c r="L48" s="192">
        <v>99</v>
      </c>
      <c r="M48" s="191">
        <v>355.5</v>
      </c>
      <c r="N48" s="192">
        <v>76</v>
      </c>
      <c r="O48" s="338">
        <f t="shared" si="7"/>
        <v>1033.5</v>
      </c>
      <c r="P48" s="194">
        <f t="shared" si="8"/>
        <v>229</v>
      </c>
      <c r="Q48" s="195">
        <f t="shared" si="9"/>
        <v>45.8</v>
      </c>
      <c r="R48" s="196">
        <f t="shared" si="10"/>
        <v>4.513100436681222</v>
      </c>
      <c r="S48" s="191">
        <v>1248</v>
      </c>
      <c r="T48" s="197">
        <f t="shared" si="11"/>
        <v>-0.171875</v>
      </c>
      <c r="U48" s="191">
        <v>29637.5</v>
      </c>
      <c r="V48" s="198">
        <v>4080</v>
      </c>
      <c r="W48" s="199">
        <f t="shared" si="12"/>
        <v>7.264093137254902</v>
      </c>
      <c r="X48" s="280"/>
    </row>
    <row r="49" spans="1:24" s="281" customFormat="1" ht="27" customHeight="1">
      <c r="A49" s="279">
        <f t="shared" si="0"/>
        <v>45</v>
      </c>
      <c r="B49" s="296"/>
      <c r="C49" s="333" t="s">
        <v>262</v>
      </c>
      <c r="D49" s="329">
        <v>38618</v>
      </c>
      <c r="E49" s="326" t="s">
        <v>263</v>
      </c>
      <c r="F49" s="323">
        <v>12</v>
      </c>
      <c r="G49" s="284">
        <v>2</v>
      </c>
      <c r="H49" s="273">
        <v>13</v>
      </c>
      <c r="I49" s="191">
        <v>330</v>
      </c>
      <c r="J49" s="192">
        <v>89</v>
      </c>
      <c r="K49" s="191">
        <v>397</v>
      </c>
      <c r="L49" s="192">
        <v>101</v>
      </c>
      <c r="M49" s="191">
        <v>285</v>
      </c>
      <c r="N49" s="192">
        <v>88</v>
      </c>
      <c r="O49" s="338">
        <f t="shared" si="7"/>
        <v>1012</v>
      </c>
      <c r="P49" s="194">
        <f t="shared" si="8"/>
        <v>278</v>
      </c>
      <c r="Q49" s="195">
        <f t="shared" si="9"/>
        <v>139</v>
      </c>
      <c r="R49" s="196">
        <f t="shared" si="10"/>
        <v>3.6402877697841727</v>
      </c>
      <c r="S49" s="191"/>
      <c r="T49" s="197">
        <f t="shared" si="11"/>
      </c>
      <c r="U49" s="191">
        <v>88954</v>
      </c>
      <c r="V49" s="198">
        <v>13880</v>
      </c>
      <c r="W49" s="199">
        <f t="shared" si="12"/>
        <v>6.408789625360231</v>
      </c>
      <c r="X49" s="280"/>
    </row>
    <row r="50" spans="1:29" s="282" customFormat="1" ht="27" customHeight="1">
      <c r="A50" s="279">
        <f t="shared" si="0"/>
        <v>46</v>
      </c>
      <c r="B50" s="296"/>
      <c r="C50" s="333" t="s">
        <v>266</v>
      </c>
      <c r="D50" s="329">
        <v>38716</v>
      </c>
      <c r="E50" s="326" t="s">
        <v>267</v>
      </c>
      <c r="F50" s="323">
        <v>9</v>
      </c>
      <c r="G50" s="284">
        <v>4</v>
      </c>
      <c r="H50" s="273">
        <v>13</v>
      </c>
      <c r="I50" s="191">
        <v>331</v>
      </c>
      <c r="J50" s="192">
        <v>78</v>
      </c>
      <c r="K50" s="191">
        <v>283</v>
      </c>
      <c r="L50" s="192">
        <v>66</v>
      </c>
      <c r="M50" s="191">
        <v>299</v>
      </c>
      <c r="N50" s="192">
        <v>69</v>
      </c>
      <c r="O50" s="338">
        <f t="shared" si="7"/>
        <v>913</v>
      </c>
      <c r="P50" s="194">
        <f t="shared" si="8"/>
        <v>213</v>
      </c>
      <c r="Q50" s="195">
        <f t="shared" si="9"/>
        <v>53.25</v>
      </c>
      <c r="R50" s="196">
        <f t="shared" si="10"/>
        <v>4.286384976525822</v>
      </c>
      <c r="S50" s="191">
        <v>1031</v>
      </c>
      <c r="T50" s="197">
        <f t="shared" si="11"/>
        <v>-0.11445198836081474</v>
      </c>
      <c r="U50" s="191">
        <v>93077</v>
      </c>
      <c r="V50" s="198">
        <v>13465</v>
      </c>
      <c r="W50" s="199">
        <f t="shared" si="12"/>
        <v>6.912513924990717</v>
      </c>
      <c r="X50" s="280"/>
      <c r="Y50" s="280"/>
      <c r="Z50" s="283"/>
      <c r="AA50" s="283"/>
      <c r="AB50" s="283"/>
      <c r="AC50" s="283"/>
    </row>
    <row r="51" spans="1:29" s="282" customFormat="1" ht="27" customHeight="1">
      <c r="A51" s="279">
        <f t="shared" si="0"/>
        <v>47</v>
      </c>
      <c r="B51" s="296"/>
      <c r="C51" s="333" t="s">
        <v>238</v>
      </c>
      <c r="D51" s="329">
        <v>38667</v>
      </c>
      <c r="E51" s="326" t="s">
        <v>205</v>
      </c>
      <c r="F51" s="323">
        <v>1</v>
      </c>
      <c r="G51" s="284">
        <v>1</v>
      </c>
      <c r="H51" s="273">
        <v>11</v>
      </c>
      <c r="I51" s="191">
        <v>290</v>
      </c>
      <c r="J51" s="192">
        <v>58</v>
      </c>
      <c r="K51" s="191">
        <v>290</v>
      </c>
      <c r="L51" s="192">
        <v>58</v>
      </c>
      <c r="M51" s="191">
        <v>290</v>
      </c>
      <c r="N51" s="192">
        <v>58</v>
      </c>
      <c r="O51" s="338">
        <f t="shared" si="7"/>
        <v>870</v>
      </c>
      <c r="P51" s="194">
        <f t="shared" si="8"/>
        <v>174</v>
      </c>
      <c r="Q51" s="195">
        <f t="shared" si="9"/>
        <v>174</v>
      </c>
      <c r="R51" s="196">
        <f t="shared" si="10"/>
        <v>5</v>
      </c>
      <c r="S51" s="191">
        <v>870</v>
      </c>
      <c r="T51" s="197">
        <f t="shared" si="11"/>
        <v>0</v>
      </c>
      <c r="U51" s="191">
        <v>20651</v>
      </c>
      <c r="V51" s="198">
        <v>3341</v>
      </c>
      <c r="W51" s="199">
        <f t="shared" si="12"/>
        <v>6.181083507931757</v>
      </c>
      <c r="X51" s="280"/>
      <c r="Y51" s="280"/>
      <c r="Z51" s="283"/>
      <c r="AA51" s="283"/>
      <c r="AB51" s="283"/>
      <c r="AC51" s="283"/>
    </row>
    <row r="52" spans="1:29" s="282" customFormat="1" ht="27" customHeight="1">
      <c r="A52" s="279">
        <f t="shared" si="0"/>
        <v>48</v>
      </c>
      <c r="B52" s="296"/>
      <c r="C52" s="332" t="s">
        <v>148</v>
      </c>
      <c r="D52" s="329">
        <v>38758</v>
      </c>
      <c r="E52" s="326" t="s">
        <v>217</v>
      </c>
      <c r="F52" s="323">
        <v>46</v>
      </c>
      <c r="G52" s="284">
        <v>4</v>
      </c>
      <c r="H52" s="273">
        <v>7</v>
      </c>
      <c r="I52" s="191">
        <v>370</v>
      </c>
      <c r="J52" s="192">
        <v>87</v>
      </c>
      <c r="K52" s="191">
        <v>301</v>
      </c>
      <c r="L52" s="192">
        <v>64</v>
      </c>
      <c r="M52" s="191">
        <v>176</v>
      </c>
      <c r="N52" s="192">
        <v>33</v>
      </c>
      <c r="O52" s="338">
        <f t="shared" si="7"/>
        <v>847</v>
      </c>
      <c r="P52" s="194">
        <f t="shared" si="8"/>
        <v>184</v>
      </c>
      <c r="Q52" s="195">
        <f t="shared" si="9"/>
        <v>46</v>
      </c>
      <c r="R52" s="196">
        <f t="shared" si="10"/>
        <v>4.603260869565218</v>
      </c>
      <c r="S52" s="191"/>
      <c r="T52" s="197">
        <f t="shared" si="11"/>
      </c>
      <c r="U52" s="191">
        <v>177344</v>
      </c>
      <c r="V52" s="198">
        <v>23196</v>
      </c>
      <c r="W52" s="199">
        <f t="shared" si="12"/>
        <v>7.645456113122952</v>
      </c>
      <c r="X52" s="280"/>
      <c r="Y52" s="280"/>
      <c r="Z52" s="283"/>
      <c r="AA52" s="283"/>
      <c r="AB52" s="283"/>
      <c r="AC52" s="283"/>
    </row>
    <row r="53" spans="1:29" s="282" customFormat="1" ht="27" customHeight="1">
      <c r="A53" s="279">
        <f t="shared" si="0"/>
        <v>49</v>
      </c>
      <c r="B53" s="296"/>
      <c r="C53" s="333" t="s">
        <v>240</v>
      </c>
      <c r="D53" s="329">
        <v>38667</v>
      </c>
      <c r="E53" s="326" t="s">
        <v>241</v>
      </c>
      <c r="F53" s="323">
        <v>1</v>
      </c>
      <c r="G53" s="284">
        <v>1</v>
      </c>
      <c r="H53" s="273">
        <v>12</v>
      </c>
      <c r="I53" s="191">
        <v>205</v>
      </c>
      <c r="J53" s="192">
        <v>41</v>
      </c>
      <c r="K53" s="191">
        <v>205</v>
      </c>
      <c r="L53" s="192">
        <v>41</v>
      </c>
      <c r="M53" s="191">
        <v>205</v>
      </c>
      <c r="N53" s="192">
        <v>41</v>
      </c>
      <c r="O53" s="338">
        <f t="shared" si="7"/>
        <v>615</v>
      </c>
      <c r="P53" s="194">
        <f t="shared" si="8"/>
        <v>123</v>
      </c>
      <c r="Q53" s="195">
        <f t="shared" si="9"/>
        <v>123</v>
      </c>
      <c r="R53" s="196">
        <f t="shared" si="10"/>
        <v>5</v>
      </c>
      <c r="S53" s="191">
        <v>615</v>
      </c>
      <c r="T53" s="197">
        <f t="shared" si="11"/>
        <v>0</v>
      </c>
      <c r="U53" s="191">
        <v>2488829.5</v>
      </c>
      <c r="V53" s="198">
        <v>380436</v>
      </c>
      <c r="W53" s="199">
        <f t="shared" si="12"/>
        <v>6.542045179741139</v>
      </c>
      <c r="X53" s="280"/>
      <c r="Y53" s="280"/>
      <c r="Z53" s="283"/>
      <c r="AA53" s="283"/>
      <c r="AB53" s="283"/>
      <c r="AC53" s="283"/>
    </row>
    <row r="54" spans="1:29" s="282" customFormat="1" ht="27" customHeight="1">
      <c r="A54" s="279">
        <f t="shared" si="0"/>
        <v>50</v>
      </c>
      <c r="B54" s="296"/>
      <c r="C54" s="333" t="s">
        <v>242</v>
      </c>
      <c r="D54" s="329">
        <v>38667</v>
      </c>
      <c r="E54" s="326" t="s">
        <v>243</v>
      </c>
      <c r="F54" s="323">
        <v>1</v>
      </c>
      <c r="G54" s="284">
        <v>1</v>
      </c>
      <c r="H54" s="273">
        <v>18</v>
      </c>
      <c r="I54" s="191">
        <v>205</v>
      </c>
      <c r="J54" s="192">
        <v>41</v>
      </c>
      <c r="K54" s="191">
        <v>205</v>
      </c>
      <c r="L54" s="192">
        <v>41</v>
      </c>
      <c r="M54" s="191">
        <v>205</v>
      </c>
      <c r="N54" s="192">
        <v>41</v>
      </c>
      <c r="O54" s="338">
        <f t="shared" si="7"/>
        <v>615</v>
      </c>
      <c r="P54" s="194">
        <f t="shared" si="8"/>
        <v>123</v>
      </c>
      <c r="Q54" s="195">
        <f t="shared" si="9"/>
        <v>123</v>
      </c>
      <c r="R54" s="196">
        <f t="shared" si="10"/>
        <v>5</v>
      </c>
      <c r="S54" s="191">
        <v>615</v>
      </c>
      <c r="T54" s="197">
        <f t="shared" si="11"/>
        <v>0</v>
      </c>
      <c r="U54" s="191">
        <v>994209.5</v>
      </c>
      <c r="V54" s="198">
        <v>139849</v>
      </c>
      <c r="W54" s="199">
        <f t="shared" si="12"/>
        <v>7.109164169926134</v>
      </c>
      <c r="X54" s="280"/>
      <c r="Y54" s="280"/>
      <c r="Z54" s="283"/>
      <c r="AA54" s="283"/>
      <c r="AB54" s="283"/>
      <c r="AC54" s="283"/>
    </row>
    <row r="55" spans="1:29" s="282" customFormat="1" ht="27" customHeight="1">
      <c r="A55" s="279">
        <f t="shared" si="0"/>
        <v>51</v>
      </c>
      <c r="B55" s="296"/>
      <c r="C55" s="333" t="s">
        <v>170</v>
      </c>
      <c r="D55" s="329">
        <v>38716</v>
      </c>
      <c r="E55" s="326" t="s">
        <v>203</v>
      </c>
      <c r="F55" s="323">
        <v>1</v>
      </c>
      <c r="G55" s="284">
        <v>1</v>
      </c>
      <c r="H55" s="273">
        <v>11</v>
      </c>
      <c r="I55" s="191">
        <v>76</v>
      </c>
      <c r="J55" s="192">
        <v>17</v>
      </c>
      <c r="K55" s="191">
        <v>200</v>
      </c>
      <c r="L55" s="192">
        <v>44</v>
      </c>
      <c r="M55" s="191">
        <v>322</v>
      </c>
      <c r="N55" s="192">
        <v>68</v>
      </c>
      <c r="O55" s="338">
        <f t="shared" si="7"/>
        <v>598</v>
      </c>
      <c r="P55" s="194">
        <f t="shared" si="8"/>
        <v>129</v>
      </c>
      <c r="Q55" s="195">
        <f t="shared" si="9"/>
        <v>129</v>
      </c>
      <c r="R55" s="196">
        <f t="shared" si="10"/>
        <v>4.635658914728682</v>
      </c>
      <c r="S55" s="191"/>
      <c r="T55" s="197">
        <f t="shared" si="11"/>
      </c>
      <c r="U55" s="191">
        <v>584529</v>
      </c>
      <c r="V55" s="198">
        <v>83553</v>
      </c>
      <c r="W55" s="199">
        <f t="shared" si="12"/>
        <v>6.995906789702345</v>
      </c>
      <c r="X55" s="280"/>
      <c r="Y55" s="280"/>
      <c r="Z55" s="283"/>
      <c r="AA55" s="283"/>
      <c r="AB55" s="283"/>
      <c r="AC55" s="283"/>
    </row>
    <row r="56" spans="1:29" s="282" customFormat="1" ht="27" customHeight="1">
      <c r="A56" s="279">
        <f t="shared" si="0"/>
        <v>52</v>
      </c>
      <c r="B56" s="296"/>
      <c r="C56" s="333" t="s">
        <v>268</v>
      </c>
      <c r="D56" s="329">
        <v>38751</v>
      </c>
      <c r="E56" s="326" t="s">
        <v>265</v>
      </c>
      <c r="F56" s="323">
        <v>1</v>
      </c>
      <c r="G56" s="284">
        <v>1</v>
      </c>
      <c r="H56" s="273">
        <v>6</v>
      </c>
      <c r="I56" s="191">
        <v>163</v>
      </c>
      <c r="J56" s="192">
        <v>21</v>
      </c>
      <c r="K56" s="191">
        <v>146</v>
      </c>
      <c r="L56" s="192">
        <v>18</v>
      </c>
      <c r="M56" s="191">
        <v>157</v>
      </c>
      <c r="N56" s="192">
        <v>21</v>
      </c>
      <c r="O56" s="338">
        <f t="shared" si="7"/>
        <v>466</v>
      </c>
      <c r="P56" s="194">
        <f t="shared" si="8"/>
        <v>60</v>
      </c>
      <c r="Q56" s="195">
        <f t="shared" si="9"/>
        <v>60</v>
      </c>
      <c r="R56" s="196">
        <f t="shared" si="10"/>
        <v>7.766666666666667</v>
      </c>
      <c r="S56" s="191"/>
      <c r="T56" s="197">
        <f t="shared" si="11"/>
      </c>
      <c r="U56" s="191">
        <v>19271</v>
      </c>
      <c r="V56" s="198">
        <v>2420</v>
      </c>
      <c r="W56" s="199">
        <f t="shared" si="12"/>
        <v>7.9632231404958675</v>
      </c>
      <c r="X56" s="280"/>
      <c r="Y56" s="280"/>
      <c r="Z56" s="283"/>
      <c r="AA56" s="283"/>
      <c r="AB56" s="283"/>
      <c r="AC56" s="283"/>
    </row>
    <row r="57" spans="1:29" s="282" customFormat="1" ht="27" customHeight="1">
      <c r="A57" s="279">
        <f t="shared" si="0"/>
        <v>53</v>
      </c>
      <c r="B57" s="296"/>
      <c r="C57" s="332" t="s">
        <v>171</v>
      </c>
      <c r="D57" s="329">
        <v>39067</v>
      </c>
      <c r="E57" s="326" t="s">
        <v>213</v>
      </c>
      <c r="F57" s="323">
        <v>131</v>
      </c>
      <c r="G57" s="284">
        <v>1</v>
      </c>
      <c r="H57" s="273">
        <v>15</v>
      </c>
      <c r="I57" s="191">
        <v>100</v>
      </c>
      <c r="J57" s="192">
        <v>25</v>
      </c>
      <c r="K57" s="191">
        <v>139</v>
      </c>
      <c r="L57" s="192">
        <v>29</v>
      </c>
      <c r="M57" s="191">
        <v>188</v>
      </c>
      <c r="N57" s="192">
        <v>40</v>
      </c>
      <c r="O57" s="338">
        <f t="shared" si="7"/>
        <v>427</v>
      </c>
      <c r="P57" s="194">
        <f t="shared" si="8"/>
        <v>94</v>
      </c>
      <c r="Q57" s="195">
        <f t="shared" si="9"/>
        <v>94</v>
      </c>
      <c r="R57" s="196">
        <f t="shared" si="10"/>
        <v>4.542553191489362</v>
      </c>
      <c r="S57" s="191"/>
      <c r="T57" s="197">
        <f t="shared" si="11"/>
      </c>
      <c r="U57" s="191">
        <v>3078216</v>
      </c>
      <c r="V57" s="198">
        <v>430815</v>
      </c>
      <c r="W57" s="199">
        <f t="shared" si="12"/>
        <v>7.145099404616831</v>
      </c>
      <c r="X57" s="280"/>
      <c r="Y57" s="280"/>
      <c r="Z57" s="283"/>
      <c r="AA57" s="283"/>
      <c r="AB57" s="283"/>
      <c r="AC57" s="283"/>
    </row>
    <row r="58" spans="1:29" s="282" customFormat="1" ht="27" customHeight="1">
      <c r="A58" s="279">
        <f t="shared" si="0"/>
        <v>54</v>
      </c>
      <c r="B58" s="296"/>
      <c r="C58" s="333" t="s">
        <v>244</v>
      </c>
      <c r="D58" s="329">
        <v>38702</v>
      </c>
      <c r="E58" s="326" t="s">
        <v>245</v>
      </c>
      <c r="F58" s="323">
        <v>11</v>
      </c>
      <c r="G58" s="284">
        <v>11</v>
      </c>
      <c r="H58" s="273">
        <v>1</v>
      </c>
      <c r="I58" s="191">
        <v>113</v>
      </c>
      <c r="J58" s="192">
        <v>22</v>
      </c>
      <c r="K58" s="191">
        <v>123</v>
      </c>
      <c r="L58" s="192">
        <v>24</v>
      </c>
      <c r="M58" s="191">
        <v>180</v>
      </c>
      <c r="N58" s="192">
        <v>36</v>
      </c>
      <c r="O58" s="338">
        <f t="shared" si="7"/>
        <v>416</v>
      </c>
      <c r="P58" s="194">
        <f t="shared" si="8"/>
        <v>82</v>
      </c>
      <c r="Q58" s="195">
        <f t="shared" si="9"/>
        <v>7.454545454545454</v>
      </c>
      <c r="R58" s="196">
        <f t="shared" si="10"/>
        <v>5.073170731707317</v>
      </c>
      <c r="S58" s="191">
        <v>504</v>
      </c>
      <c r="T58" s="197">
        <f t="shared" si="11"/>
        <v>-0.1746031746031746</v>
      </c>
      <c r="U58" s="191">
        <v>134129.5</v>
      </c>
      <c r="V58" s="198">
        <v>15469</v>
      </c>
      <c r="W58" s="199">
        <f t="shared" si="12"/>
        <v>8.670857844721702</v>
      </c>
      <c r="X58" s="280"/>
      <c r="Y58" s="280"/>
      <c r="Z58" s="283"/>
      <c r="AA58" s="283"/>
      <c r="AB58" s="283"/>
      <c r="AC58" s="283"/>
    </row>
    <row r="59" spans="1:29" s="282" customFormat="1" ht="27" customHeight="1">
      <c r="A59" s="279">
        <f t="shared" si="0"/>
        <v>55</v>
      </c>
      <c r="B59" s="296"/>
      <c r="C59" s="333" t="s">
        <v>246</v>
      </c>
      <c r="D59" s="329">
        <v>38681</v>
      </c>
      <c r="E59" s="326" t="s">
        <v>247</v>
      </c>
      <c r="F59" s="323">
        <v>1</v>
      </c>
      <c r="G59" s="284">
        <v>1</v>
      </c>
      <c r="H59" s="273">
        <v>15</v>
      </c>
      <c r="I59" s="191">
        <v>64</v>
      </c>
      <c r="J59" s="192">
        <v>8</v>
      </c>
      <c r="K59" s="191">
        <v>113</v>
      </c>
      <c r="L59" s="192">
        <v>15</v>
      </c>
      <c r="M59" s="191">
        <v>53</v>
      </c>
      <c r="N59" s="192">
        <v>7</v>
      </c>
      <c r="O59" s="338">
        <f t="shared" si="7"/>
        <v>230</v>
      </c>
      <c r="P59" s="194">
        <f t="shared" si="8"/>
        <v>30</v>
      </c>
      <c r="Q59" s="195">
        <f t="shared" si="9"/>
        <v>30</v>
      </c>
      <c r="R59" s="196">
        <f t="shared" si="10"/>
        <v>7.666666666666667</v>
      </c>
      <c r="S59" s="191">
        <v>83</v>
      </c>
      <c r="T59" s="197">
        <f t="shared" si="11"/>
        <v>1.7710843373493976</v>
      </c>
      <c r="U59" s="191">
        <v>399744</v>
      </c>
      <c r="V59" s="274">
        <v>48843</v>
      </c>
      <c r="W59" s="199">
        <f t="shared" si="12"/>
        <v>8.184263865855906</v>
      </c>
      <c r="X59" s="280"/>
      <c r="Y59" s="280"/>
      <c r="Z59" s="283"/>
      <c r="AA59" s="283"/>
      <c r="AB59" s="283"/>
      <c r="AC59" s="283"/>
    </row>
    <row r="60" spans="1:29" s="282" customFormat="1" ht="27" customHeight="1">
      <c r="A60" s="279">
        <f t="shared" si="0"/>
        <v>56</v>
      </c>
      <c r="B60" s="296"/>
      <c r="C60" s="333" t="s">
        <v>289</v>
      </c>
      <c r="D60" s="329">
        <v>38765</v>
      </c>
      <c r="E60" s="326" t="s">
        <v>287</v>
      </c>
      <c r="F60" s="323">
        <v>20</v>
      </c>
      <c r="G60" s="284">
        <v>3</v>
      </c>
      <c r="H60" s="273">
        <v>6</v>
      </c>
      <c r="I60" s="191">
        <v>49</v>
      </c>
      <c r="J60" s="192">
        <v>12</v>
      </c>
      <c r="K60" s="191">
        <v>73</v>
      </c>
      <c r="L60" s="192">
        <v>18</v>
      </c>
      <c r="M60" s="191">
        <v>107</v>
      </c>
      <c r="N60" s="192">
        <v>26</v>
      </c>
      <c r="O60" s="338">
        <f t="shared" si="7"/>
        <v>229</v>
      </c>
      <c r="P60" s="194">
        <f t="shared" si="8"/>
        <v>56</v>
      </c>
      <c r="Q60" s="195">
        <f t="shared" si="9"/>
        <v>18.666666666666668</v>
      </c>
      <c r="R60" s="196">
        <f t="shared" si="10"/>
        <v>4.089285714285714</v>
      </c>
      <c r="S60" s="191"/>
      <c r="T60" s="197">
        <f t="shared" si="11"/>
      </c>
      <c r="U60" s="191">
        <v>124740</v>
      </c>
      <c r="V60" s="198">
        <v>13226</v>
      </c>
      <c r="W60" s="199">
        <f t="shared" si="12"/>
        <v>9.431422954786028</v>
      </c>
      <c r="X60" s="280"/>
      <c r="Y60" s="280"/>
      <c r="Z60" s="283"/>
      <c r="AA60" s="283"/>
      <c r="AB60" s="283"/>
      <c r="AC60" s="283"/>
    </row>
    <row r="61" spans="1:29" s="282" customFormat="1" ht="27" customHeight="1">
      <c r="A61" s="279">
        <f t="shared" si="0"/>
        <v>57</v>
      </c>
      <c r="B61" s="296"/>
      <c r="C61" s="332" t="s">
        <v>291</v>
      </c>
      <c r="D61" s="329">
        <v>38653</v>
      </c>
      <c r="E61" s="326" t="s">
        <v>285</v>
      </c>
      <c r="F61" s="323">
        <v>92</v>
      </c>
      <c r="G61" s="284">
        <v>3</v>
      </c>
      <c r="H61" s="273">
        <v>22</v>
      </c>
      <c r="I61" s="191">
        <v>0</v>
      </c>
      <c r="J61" s="192">
        <v>0</v>
      </c>
      <c r="K61" s="191">
        <v>127</v>
      </c>
      <c r="L61" s="192">
        <v>21</v>
      </c>
      <c r="M61" s="191">
        <v>77</v>
      </c>
      <c r="N61" s="192">
        <v>12</v>
      </c>
      <c r="O61" s="338">
        <f t="shared" si="7"/>
        <v>204</v>
      </c>
      <c r="P61" s="194">
        <f t="shared" si="8"/>
        <v>33</v>
      </c>
      <c r="Q61" s="195">
        <f t="shared" si="9"/>
        <v>11</v>
      </c>
      <c r="R61" s="196">
        <f t="shared" si="10"/>
        <v>6.181818181818182</v>
      </c>
      <c r="S61" s="191"/>
      <c r="T61" s="197">
        <f t="shared" si="11"/>
      </c>
      <c r="U61" s="191">
        <v>1014114</v>
      </c>
      <c r="V61" s="274">
        <v>151539</v>
      </c>
      <c r="W61" s="199">
        <f t="shared" si="12"/>
        <v>6.6920990636073885</v>
      </c>
      <c r="X61" s="280"/>
      <c r="Y61" s="280"/>
      <c r="Z61" s="283"/>
      <c r="AA61" s="283"/>
      <c r="AB61" s="283"/>
      <c r="AC61" s="283"/>
    </row>
    <row r="62" spans="1:29" s="282" customFormat="1" ht="27" customHeight="1">
      <c r="A62" s="279">
        <f t="shared" si="0"/>
        <v>58</v>
      </c>
      <c r="B62" s="296"/>
      <c r="C62" s="333" t="s">
        <v>269</v>
      </c>
      <c r="D62" s="329">
        <v>38548</v>
      </c>
      <c r="E62" s="326" t="s">
        <v>270</v>
      </c>
      <c r="F62" s="323">
        <v>5</v>
      </c>
      <c r="G62" s="284">
        <v>1</v>
      </c>
      <c r="H62" s="273">
        <v>14</v>
      </c>
      <c r="I62" s="191">
        <v>104</v>
      </c>
      <c r="J62" s="192">
        <v>26</v>
      </c>
      <c r="K62" s="191">
        <v>40</v>
      </c>
      <c r="L62" s="192">
        <v>10</v>
      </c>
      <c r="M62" s="191">
        <v>48</v>
      </c>
      <c r="N62" s="192">
        <v>12</v>
      </c>
      <c r="O62" s="338">
        <f t="shared" si="7"/>
        <v>192</v>
      </c>
      <c r="P62" s="194">
        <f t="shared" si="8"/>
        <v>48</v>
      </c>
      <c r="Q62" s="195">
        <f t="shared" si="9"/>
        <v>48</v>
      </c>
      <c r="R62" s="196">
        <f t="shared" si="10"/>
        <v>4</v>
      </c>
      <c r="S62" s="191"/>
      <c r="T62" s="197">
        <f t="shared" si="11"/>
      </c>
      <c r="U62" s="191">
        <v>56801</v>
      </c>
      <c r="V62" s="198">
        <v>8460</v>
      </c>
      <c r="W62" s="199">
        <f t="shared" si="12"/>
        <v>6.714066193853428</v>
      </c>
      <c r="X62" s="280"/>
      <c r="Y62" s="280"/>
      <c r="Z62" s="283"/>
      <c r="AA62" s="283"/>
      <c r="AB62" s="283"/>
      <c r="AC62" s="283"/>
    </row>
    <row r="63" spans="1:29" s="282" customFormat="1" ht="27" customHeight="1">
      <c r="A63" s="279">
        <f t="shared" si="0"/>
        <v>59</v>
      </c>
      <c r="B63" s="296"/>
      <c r="C63" s="333" t="s">
        <v>290</v>
      </c>
      <c r="D63" s="329">
        <v>38457</v>
      </c>
      <c r="E63" s="326" t="s">
        <v>210</v>
      </c>
      <c r="F63" s="323">
        <v>86</v>
      </c>
      <c r="G63" s="284">
        <v>1</v>
      </c>
      <c r="H63" s="273">
        <v>50</v>
      </c>
      <c r="I63" s="191">
        <v>7</v>
      </c>
      <c r="J63" s="192">
        <v>3</v>
      </c>
      <c r="K63" s="191">
        <v>44</v>
      </c>
      <c r="L63" s="192">
        <v>20</v>
      </c>
      <c r="M63" s="191">
        <v>116</v>
      </c>
      <c r="N63" s="192">
        <v>51</v>
      </c>
      <c r="O63" s="338">
        <f t="shared" si="7"/>
        <v>167</v>
      </c>
      <c r="P63" s="194">
        <f t="shared" si="8"/>
        <v>74</v>
      </c>
      <c r="Q63" s="195">
        <f t="shared" si="9"/>
        <v>74</v>
      </c>
      <c r="R63" s="196">
        <f t="shared" si="10"/>
        <v>2.2567567567567566</v>
      </c>
      <c r="S63" s="191"/>
      <c r="T63" s="197"/>
      <c r="U63" s="191">
        <v>894814</v>
      </c>
      <c r="V63" s="198">
        <v>140328</v>
      </c>
      <c r="W63" s="199">
        <f t="shared" si="12"/>
        <v>6.376589134028847</v>
      </c>
      <c r="X63" s="280"/>
      <c r="Y63" s="280"/>
      <c r="Z63" s="283"/>
      <c r="AA63" s="283"/>
      <c r="AB63" s="283"/>
      <c r="AC63" s="283"/>
    </row>
    <row r="64" spans="1:29" s="282" customFormat="1" ht="27" customHeight="1">
      <c r="A64" s="279">
        <f t="shared" si="0"/>
        <v>60</v>
      </c>
      <c r="B64" s="296"/>
      <c r="C64" s="333" t="s">
        <v>239</v>
      </c>
      <c r="D64" s="329">
        <v>38695</v>
      </c>
      <c r="E64" s="326" t="s">
        <v>216</v>
      </c>
      <c r="F64" s="323">
        <v>1</v>
      </c>
      <c r="G64" s="284">
        <v>1</v>
      </c>
      <c r="H64" s="273">
        <v>11</v>
      </c>
      <c r="I64" s="191">
        <v>28</v>
      </c>
      <c r="J64" s="192">
        <v>4</v>
      </c>
      <c r="K64" s="191">
        <v>77.5</v>
      </c>
      <c r="L64" s="192">
        <v>11</v>
      </c>
      <c r="M64" s="191">
        <v>0</v>
      </c>
      <c r="N64" s="192">
        <v>0</v>
      </c>
      <c r="O64" s="338">
        <f t="shared" si="7"/>
        <v>105.5</v>
      </c>
      <c r="P64" s="194">
        <f t="shared" si="8"/>
        <v>15</v>
      </c>
      <c r="Q64" s="195">
        <f t="shared" si="9"/>
        <v>15</v>
      </c>
      <c r="R64" s="196">
        <f t="shared" si="10"/>
        <v>7.033333333333333</v>
      </c>
      <c r="S64" s="191">
        <v>844</v>
      </c>
      <c r="T64" s="197">
        <f>IF(S64&lt;&gt;0,-(S64-O64)/S64,"")</f>
        <v>-0.875</v>
      </c>
      <c r="U64" s="191">
        <v>536288</v>
      </c>
      <c r="V64" s="198">
        <v>71313</v>
      </c>
      <c r="W64" s="199">
        <f t="shared" si="12"/>
        <v>7.5201996830872355</v>
      </c>
      <c r="X64" s="280"/>
      <c r="Y64" s="280"/>
      <c r="Z64" s="283"/>
      <c r="AA64" s="283"/>
      <c r="AB64" s="283"/>
      <c r="AC64" s="283"/>
    </row>
    <row r="65" spans="1:29" s="282" customFormat="1" ht="27" customHeight="1">
      <c r="A65" s="279">
        <f t="shared" si="0"/>
        <v>61</v>
      </c>
      <c r="B65" s="296"/>
      <c r="C65" s="332" t="s">
        <v>273</v>
      </c>
      <c r="D65" s="329">
        <v>38786</v>
      </c>
      <c r="E65" s="326" t="s">
        <v>274</v>
      </c>
      <c r="F65" s="323">
        <v>6</v>
      </c>
      <c r="G65" s="284">
        <v>1</v>
      </c>
      <c r="H65" s="273">
        <v>3</v>
      </c>
      <c r="I65" s="191">
        <v>7</v>
      </c>
      <c r="J65" s="192">
        <v>1</v>
      </c>
      <c r="K65" s="191">
        <v>65</v>
      </c>
      <c r="L65" s="192">
        <v>9</v>
      </c>
      <c r="M65" s="191">
        <v>14</v>
      </c>
      <c r="N65" s="192">
        <v>2</v>
      </c>
      <c r="O65" s="338">
        <f t="shared" si="7"/>
        <v>86</v>
      </c>
      <c r="P65" s="194">
        <f t="shared" si="8"/>
        <v>12</v>
      </c>
      <c r="Q65" s="195">
        <f t="shared" si="9"/>
        <v>12</v>
      </c>
      <c r="R65" s="196">
        <f t="shared" si="10"/>
        <v>7.166666666666667</v>
      </c>
      <c r="S65" s="191">
        <v>1325</v>
      </c>
      <c r="T65" s="197">
        <f>IF(S65&lt;&gt;0,-(S65-O65)/S65,"")</f>
        <v>-0.9350943396226415</v>
      </c>
      <c r="U65" s="191">
        <v>11620.5</v>
      </c>
      <c r="V65" s="198">
        <v>1326</v>
      </c>
      <c r="W65" s="199">
        <f t="shared" si="12"/>
        <v>8.763574660633484</v>
      </c>
      <c r="X65" s="280"/>
      <c r="Y65" s="280"/>
      <c r="Z65" s="283"/>
      <c r="AA65" s="283"/>
      <c r="AB65" s="283"/>
      <c r="AC65" s="283"/>
    </row>
    <row r="66" spans="1:24" s="281" customFormat="1" ht="27" customHeight="1">
      <c r="A66" s="279">
        <f t="shared" si="0"/>
        <v>62</v>
      </c>
      <c r="B66" s="296"/>
      <c r="C66" s="333" t="s">
        <v>257</v>
      </c>
      <c r="D66" s="329">
        <v>38632</v>
      </c>
      <c r="E66" s="326" t="s">
        <v>203</v>
      </c>
      <c r="F66" s="323">
        <v>1</v>
      </c>
      <c r="G66" s="284">
        <v>1</v>
      </c>
      <c r="H66" s="273">
        <v>14</v>
      </c>
      <c r="I66" s="191">
        <v>9</v>
      </c>
      <c r="J66" s="192">
        <v>3</v>
      </c>
      <c r="K66" s="191">
        <v>17</v>
      </c>
      <c r="L66" s="192">
        <v>5</v>
      </c>
      <c r="M66" s="191">
        <v>39</v>
      </c>
      <c r="N66" s="192">
        <v>12</v>
      </c>
      <c r="O66" s="338">
        <f t="shared" si="7"/>
        <v>65</v>
      </c>
      <c r="P66" s="194">
        <f t="shared" si="8"/>
        <v>20</v>
      </c>
      <c r="Q66" s="195">
        <f t="shared" si="9"/>
        <v>20</v>
      </c>
      <c r="R66" s="196">
        <f t="shared" si="10"/>
        <v>3.25</v>
      </c>
      <c r="S66" s="191"/>
      <c r="T66" s="197">
        <f>IF(S66&lt;&gt;0,-(S66-O66)/S66,"")</f>
      </c>
      <c r="U66" s="191">
        <v>207422.5</v>
      </c>
      <c r="V66" s="198">
        <v>28871</v>
      </c>
      <c r="W66" s="199">
        <f t="shared" si="12"/>
        <v>7.1844584531190465</v>
      </c>
      <c r="X66" s="280"/>
    </row>
    <row r="67" spans="1:24" s="281" customFormat="1" ht="27" customHeight="1" thickBot="1">
      <c r="A67" s="279">
        <f t="shared" si="0"/>
        <v>63</v>
      </c>
      <c r="B67" s="297"/>
      <c r="C67" s="334" t="s">
        <v>271</v>
      </c>
      <c r="D67" s="330">
        <v>38723</v>
      </c>
      <c r="E67" s="327" t="s">
        <v>272</v>
      </c>
      <c r="F67" s="324">
        <v>5</v>
      </c>
      <c r="G67" s="298">
        <v>1</v>
      </c>
      <c r="H67" s="275">
        <v>6</v>
      </c>
      <c r="I67" s="320">
        <v>6</v>
      </c>
      <c r="J67" s="214">
        <v>2</v>
      </c>
      <c r="K67" s="320">
        <v>18</v>
      </c>
      <c r="L67" s="214">
        <v>6</v>
      </c>
      <c r="M67" s="320">
        <v>12</v>
      </c>
      <c r="N67" s="214">
        <v>4</v>
      </c>
      <c r="O67" s="339">
        <f t="shared" si="7"/>
        <v>36</v>
      </c>
      <c r="P67" s="216">
        <f t="shared" si="8"/>
        <v>12</v>
      </c>
      <c r="Q67" s="217">
        <f t="shared" si="9"/>
        <v>12</v>
      </c>
      <c r="R67" s="218">
        <f t="shared" si="10"/>
        <v>3</v>
      </c>
      <c r="S67" s="320"/>
      <c r="T67" s="219">
        <f>IF(S67&lt;&gt;0,-(S67-O67)/S67,"")</f>
      </c>
      <c r="U67" s="320">
        <v>12296</v>
      </c>
      <c r="V67" s="276">
        <v>1730</v>
      </c>
      <c r="W67" s="221">
        <f t="shared" si="12"/>
        <v>7.107514450867052</v>
      </c>
      <c r="X67" s="280"/>
    </row>
    <row r="68" spans="1:29" s="237" customFormat="1" ht="19.5" thickBot="1">
      <c r="A68" s="222"/>
      <c r="B68" s="277"/>
      <c r="C68" s="299"/>
      <c r="D68" s="300"/>
      <c r="E68" s="301"/>
      <c r="F68" s="302"/>
      <c r="G68" s="302"/>
      <c r="H68" s="302"/>
      <c r="I68" s="303"/>
      <c r="J68" s="304"/>
      <c r="K68" s="303"/>
      <c r="L68" s="304"/>
      <c r="M68" s="303"/>
      <c r="N68" s="304"/>
      <c r="O68" s="340"/>
      <c r="P68" s="305"/>
      <c r="Q68" s="306"/>
      <c r="R68" s="307"/>
      <c r="S68" s="303"/>
      <c r="T68" s="308"/>
      <c r="U68" s="308"/>
      <c r="V68" s="308"/>
      <c r="W68" s="308"/>
      <c r="X68" s="235"/>
      <c r="Y68" s="236"/>
      <c r="Z68" s="235"/>
      <c r="AA68" s="235"/>
      <c r="AB68" s="235"/>
      <c r="AC68" s="235"/>
    </row>
    <row r="69" spans="1:29" s="250" customFormat="1" ht="15.75" thickBot="1">
      <c r="A69" s="238"/>
      <c r="B69" s="704" t="s">
        <v>248</v>
      </c>
      <c r="C69" s="705"/>
      <c r="D69" s="705"/>
      <c r="E69" s="706"/>
      <c r="F69" s="309">
        <f>SUM(F5:F68)</f>
        <v>3040</v>
      </c>
      <c r="G69" s="309">
        <f>SUM(G5:G68)</f>
        <v>1388</v>
      </c>
      <c r="H69" s="310"/>
      <c r="I69" s="311">
        <f aca="true" t="shared" si="13" ref="I69:P69">SUM(I5:I68)</f>
        <v>440230.5</v>
      </c>
      <c r="J69" s="312">
        <f t="shared" si="13"/>
        <v>64797</v>
      </c>
      <c r="K69" s="311">
        <f t="shared" si="13"/>
        <v>973978.5</v>
      </c>
      <c r="L69" s="312">
        <f t="shared" si="13"/>
        <v>134811</v>
      </c>
      <c r="M69" s="311">
        <f t="shared" si="13"/>
        <v>875669.5</v>
      </c>
      <c r="N69" s="312">
        <f t="shared" si="13"/>
        <v>123534</v>
      </c>
      <c r="O69" s="335">
        <f t="shared" si="13"/>
        <v>2289878.5</v>
      </c>
      <c r="P69" s="313">
        <f t="shared" si="13"/>
        <v>323142</v>
      </c>
      <c r="Q69" s="314">
        <f>IF(O69&lt;&gt;0,P69/G69,"")</f>
        <v>232.81123919308357</v>
      </c>
      <c r="R69" s="315">
        <f>IF(O69&lt;&gt;0,O69/P69,"")</f>
        <v>7.086291785035681</v>
      </c>
      <c r="S69" s="311">
        <f>SUM(S5:S68)</f>
        <v>2653270</v>
      </c>
      <c r="T69" s="316">
        <f>IF(S69&lt;&gt;0,-(S69-O69)/S69,"")</f>
        <v>-0.13695986461988413</v>
      </c>
      <c r="U69" s="317"/>
      <c r="V69" s="318"/>
      <c r="W69" s="319"/>
      <c r="Y69" s="251"/>
      <c r="AC69" s="250" t="s">
        <v>249</v>
      </c>
    </row>
    <row r="70" spans="19:23" ht="18">
      <c r="S70" s="702" t="s">
        <v>250</v>
      </c>
      <c r="T70" s="702"/>
      <c r="U70" s="702"/>
      <c r="V70" s="702"/>
      <c r="W70" s="702"/>
    </row>
    <row r="71" spans="19:23" ht="18">
      <c r="S71" s="667"/>
      <c r="T71" s="667"/>
      <c r="U71" s="667"/>
      <c r="V71" s="667"/>
      <c r="W71" s="667"/>
    </row>
    <row r="72" spans="19:23" ht="18">
      <c r="S72" s="667"/>
      <c r="T72" s="667"/>
      <c r="U72" s="667"/>
      <c r="V72" s="667"/>
      <c r="W72" s="667"/>
    </row>
    <row r="73" spans="19:23" ht="18">
      <c r="S73" s="667"/>
      <c r="T73" s="667"/>
      <c r="U73" s="667"/>
      <c r="V73" s="667"/>
      <c r="W73" s="667"/>
    </row>
    <row r="74" spans="19:23" ht="18">
      <c r="S74" s="667"/>
      <c r="T74" s="667"/>
      <c r="U74" s="667"/>
      <c r="V74" s="667"/>
      <c r="W74" s="667"/>
    </row>
    <row r="75" spans="19:23" ht="18">
      <c r="S75" s="667"/>
      <c r="T75" s="667"/>
      <c r="U75" s="667"/>
      <c r="V75" s="667"/>
      <c r="W75" s="667"/>
    </row>
    <row r="76" spans="1:23" ht="18">
      <c r="A76" s="668" t="s">
        <v>252</v>
      </c>
      <c r="B76" s="669"/>
      <c r="C76" s="669"/>
      <c r="D76" s="669"/>
      <c r="E76" s="669"/>
      <c r="F76" s="669"/>
      <c r="G76" s="669"/>
      <c r="H76" s="669"/>
      <c r="I76" s="669"/>
      <c r="J76" s="669"/>
      <c r="K76" s="669"/>
      <c r="L76" s="669"/>
      <c r="M76" s="669"/>
      <c r="N76" s="669"/>
      <c r="O76" s="669"/>
      <c r="P76" s="669"/>
      <c r="Q76" s="669"/>
      <c r="R76" s="669"/>
      <c r="S76" s="669"/>
      <c r="T76" s="669"/>
      <c r="U76" s="669"/>
      <c r="V76" s="669"/>
      <c r="W76" s="669"/>
    </row>
    <row r="77" spans="1:23" ht="18">
      <c r="A77" s="669"/>
      <c r="B77" s="669"/>
      <c r="C77" s="669"/>
      <c r="D77" s="669"/>
      <c r="E77" s="669"/>
      <c r="F77" s="669"/>
      <c r="G77" s="669"/>
      <c r="H77" s="669"/>
      <c r="I77" s="669"/>
      <c r="J77" s="669"/>
      <c r="K77" s="669"/>
      <c r="L77" s="669"/>
      <c r="M77" s="669"/>
      <c r="N77" s="669"/>
      <c r="O77" s="669"/>
      <c r="P77" s="669"/>
      <c r="Q77" s="669"/>
      <c r="R77" s="669"/>
      <c r="S77" s="669"/>
      <c r="T77" s="669"/>
      <c r="U77" s="669"/>
      <c r="V77" s="669"/>
      <c r="W77" s="669"/>
    </row>
    <row r="78" spans="1:23" ht="18">
      <c r="A78" s="669"/>
      <c r="B78" s="669"/>
      <c r="C78" s="669"/>
      <c r="D78" s="669"/>
      <c r="E78" s="669"/>
      <c r="F78" s="669"/>
      <c r="G78" s="669"/>
      <c r="H78" s="669"/>
      <c r="I78" s="669"/>
      <c r="J78" s="669"/>
      <c r="K78" s="669"/>
      <c r="L78" s="669"/>
      <c r="M78" s="669"/>
      <c r="N78" s="669"/>
      <c r="O78" s="669"/>
      <c r="P78" s="669"/>
      <c r="Q78" s="669"/>
      <c r="R78" s="669"/>
      <c r="S78" s="669"/>
      <c r="T78" s="669"/>
      <c r="U78" s="669"/>
      <c r="V78" s="669"/>
      <c r="W78" s="669"/>
    </row>
    <row r="79" spans="1:23" ht="18">
      <c r="A79" s="669"/>
      <c r="B79" s="669"/>
      <c r="C79" s="669"/>
      <c r="D79" s="669"/>
      <c r="E79" s="669"/>
      <c r="F79" s="669"/>
      <c r="G79" s="669"/>
      <c r="H79" s="669"/>
      <c r="I79" s="669"/>
      <c r="J79" s="669"/>
      <c r="K79" s="669"/>
      <c r="L79" s="669"/>
      <c r="M79" s="669"/>
      <c r="N79" s="669"/>
      <c r="O79" s="669"/>
      <c r="P79" s="669"/>
      <c r="Q79" s="669"/>
      <c r="R79" s="669"/>
      <c r="S79" s="669"/>
      <c r="T79" s="669"/>
      <c r="U79" s="669"/>
      <c r="V79" s="669"/>
      <c r="W79" s="669"/>
    </row>
    <row r="80" spans="1:29" ht="18">
      <c r="A80" s="669"/>
      <c r="B80" s="669"/>
      <c r="C80" s="669"/>
      <c r="D80" s="669"/>
      <c r="E80" s="669"/>
      <c r="F80" s="669"/>
      <c r="G80" s="669"/>
      <c r="H80" s="669"/>
      <c r="I80" s="669"/>
      <c r="J80" s="669"/>
      <c r="K80" s="669"/>
      <c r="L80" s="669"/>
      <c r="M80" s="669"/>
      <c r="N80" s="669"/>
      <c r="O80" s="669"/>
      <c r="P80" s="669"/>
      <c r="Q80" s="669"/>
      <c r="R80" s="669"/>
      <c r="S80" s="669"/>
      <c r="T80" s="669"/>
      <c r="U80" s="669"/>
      <c r="V80" s="669"/>
      <c r="W80" s="669"/>
      <c r="AC80" s="200" t="s">
        <v>249</v>
      </c>
    </row>
  </sheetData>
  <mergeCells count="17">
    <mergeCell ref="S70:W72"/>
    <mergeCell ref="S73:W75"/>
    <mergeCell ref="A76:W80"/>
    <mergeCell ref="O3:R3"/>
    <mergeCell ref="S3:T3"/>
    <mergeCell ref="U3:W3"/>
    <mergeCell ref="B69:E69"/>
    <mergeCell ref="A2:W2"/>
    <mergeCell ref="C3:C4"/>
    <mergeCell ref="D3:D4"/>
    <mergeCell ref="E3:E4"/>
    <mergeCell ref="F3:F4"/>
    <mergeCell ref="G3:G4"/>
    <mergeCell ref="H3:H4"/>
    <mergeCell ref="I3:J3"/>
    <mergeCell ref="K3:L3"/>
    <mergeCell ref="M3:N3"/>
  </mergeCells>
  <printOptions/>
  <pageMargins left="0.6" right="0.12" top="0.99" bottom="0.5" header="0.32" footer="0.45"/>
  <pageSetup orientation="portrait" paperSize="9" scale="35" r:id="rId2"/>
  <drawing r:id="rId1"/>
</worksheet>
</file>

<file path=xl/worksheets/sheet14.xml><?xml version="1.0" encoding="utf-8"?>
<worksheet xmlns="http://schemas.openxmlformats.org/spreadsheetml/2006/main" xmlns:r="http://schemas.openxmlformats.org/officeDocument/2006/relationships">
  <dimension ref="A1:Z14"/>
  <sheetViews>
    <sheetView zoomScale="75" zoomScaleNormal="75" workbookViewId="0" topLeftCell="A1">
      <selection activeCell="C5" sqref="C5"/>
    </sheetView>
  </sheetViews>
  <sheetFormatPr defaultColWidth="9.140625" defaultRowHeight="12.75"/>
  <cols>
    <col min="1" max="1" width="3.57421875" style="252" bestFit="1" customWidth="1"/>
    <col min="2" max="2" width="1.7109375" style="253" customWidth="1"/>
    <col min="3" max="3" width="38.7109375" style="200" bestFit="1" customWidth="1"/>
    <col min="4" max="4" width="9.8515625" style="200" hidden="1" customWidth="1"/>
    <col min="5" max="5" width="30.7109375" style="254" hidden="1" customWidth="1"/>
    <col min="6" max="6" width="5.57421875" style="255" hidden="1" customWidth="1"/>
    <col min="7" max="7" width="7.28125" style="255" bestFit="1" customWidth="1"/>
    <col min="8" max="8" width="7.28125" style="200" customWidth="1"/>
    <col min="9" max="9" width="12.140625" style="200" bestFit="1" customWidth="1"/>
    <col min="10" max="10" width="7.28125" style="200" bestFit="1" customWidth="1"/>
    <col min="11" max="11" width="13.28125" style="200" bestFit="1" customWidth="1"/>
    <col min="12" max="12" width="8.421875" style="200" bestFit="1" customWidth="1"/>
    <col min="13" max="13" width="13.28125" style="200" bestFit="1" customWidth="1"/>
    <col min="14" max="14" width="8.421875" style="200" bestFit="1" customWidth="1"/>
    <col min="15" max="15" width="13.28125" style="200" bestFit="1" customWidth="1"/>
    <col min="16" max="16" width="8.421875" style="200" customWidth="1"/>
    <col min="17" max="17" width="8.140625" style="200" bestFit="1" customWidth="1"/>
    <col min="18" max="18" width="6.140625" style="200" bestFit="1" customWidth="1"/>
    <col min="19" max="19" width="13.28125" style="200" hidden="1" customWidth="1"/>
    <col min="20" max="20" width="8.421875" style="200" hidden="1" customWidth="1"/>
    <col min="21" max="21" width="16.7109375" style="200" bestFit="1" customWidth="1"/>
    <col min="22" max="22" width="11.57421875" style="200" bestFit="1" customWidth="1"/>
    <col min="23" max="23" width="6.140625" style="200" bestFit="1" customWidth="1"/>
    <col min="24" max="24" width="12.421875" style="200" bestFit="1" customWidth="1"/>
    <col min="25" max="25" width="9.140625" style="152" customWidth="1"/>
    <col min="26" max="28" width="9.140625" style="200" customWidth="1"/>
    <col min="29" max="29" width="1.421875" style="200" bestFit="1" customWidth="1"/>
    <col min="30" max="16384" width="9.140625" style="200" customWidth="1"/>
  </cols>
  <sheetData>
    <row r="1" spans="1:25" s="151" customFormat="1" ht="119.25" customHeight="1" thickBot="1">
      <c r="A1" s="143"/>
      <c r="B1" s="144"/>
      <c r="C1" s="145"/>
      <c r="D1" s="146"/>
      <c r="E1" s="147"/>
      <c r="F1" s="148"/>
      <c r="G1" s="148"/>
      <c r="H1" s="146"/>
      <c r="I1" s="146"/>
      <c r="J1" s="146"/>
      <c r="K1" s="146"/>
      <c r="L1" s="146"/>
      <c r="M1" s="146"/>
      <c r="N1" s="146"/>
      <c r="O1" s="146"/>
      <c r="P1" s="146"/>
      <c r="Q1" s="146"/>
      <c r="R1" s="146"/>
      <c r="S1" s="146"/>
      <c r="T1" s="146"/>
      <c r="U1" s="149"/>
      <c r="V1" s="149"/>
      <c r="W1" s="150"/>
      <c r="Y1" s="152"/>
    </row>
    <row r="2" spans="1:23" s="153" customFormat="1" ht="27.75" thickBot="1">
      <c r="A2" s="679" t="s">
        <v>190</v>
      </c>
      <c r="B2" s="692"/>
      <c r="C2" s="692"/>
      <c r="D2" s="692"/>
      <c r="E2" s="692"/>
      <c r="F2" s="692"/>
      <c r="G2" s="692"/>
      <c r="H2" s="692"/>
      <c r="I2" s="692"/>
      <c r="J2" s="692"/>
      <c r="K2" s="692"/>
      <c r="L2" s="692"/>
      <c r="M2" s="692"/>
      <c r="N2" s="692"/>
      <c r="O2" s="692"/>
      <c r="P2" s="693"/>
      <c r="Q2" s="693"/>
      <c r="R2" s="693"/>
      <c r="S2" s="693"/>
      <c r="T2" s="693"/>
      <c r="U2" s="693"/>
      <c r="V2" s="693"/>
      <c r="W2" s="693"/>
    </row>
    <row r="3" spans="2:25" s="154" customFormat="1" ht="18">
      <c r="B3" s="285"/>
      <c r="C3" s="694" t="s">
        <v>0</v>
      </c>
      <c r="D3" s="696" t="s">
        <v>191</v>
      </c>
      <c r="E3" s="696" t="s">
        <v>192</v>
      </c>
      <c r="F3" s="699" t="s">
        <v>193</v>
      </c>
      <c r="G3" s="699" t="s">
        <v>194</v>
      </c>
      <c r="H3" s="699" t="s">
        <v>195</v>
      </c>
      <c r="I3" s="701" t="s">
        <v>4</v>
      </c>
      <c r="J3" s="701"/>
      <c r="K3" s="701" t="s">
        <v>7</v>
      </c>
      <c r="L3" s="701"/>
      <c r="M3" s="701" t="s">
        <v>8</v>
      </c>
      <c r="N3" s="701"/>
      <c r="O3" s="701" t="s">
        <v>196</v>
      </c>
      <c r="P3" s="701"/>
      <c r="Q3" s="701"/>
      <c r="R3" s="701"/>
      <c r="S3" s="701" t="s">
        <v>197</v>
      </c>
      <c r="T3" s="701"/>
      <c r="U3" s="701" t="s">
        <v>198</v>
      </c>
      <c r="V3" s="701"/>
      <c r="W3" s="703"/>
      <c r="Y3" s="156"/>
    </row>
    <row r="4" spans="1:25" s="154" customFormat="1" ht="27.75" thickBot="1">
      <c r="A4" s="157"/>
      <c r="B4" s="286"/>
      <c r="C4" s="695"/>
      <c r="D4" s="697"/>
      <c r="E4" s="698"/>
      <c r="F4" s="700"/>
      <c r="G4" s="700"/>
      <c r="H4" s="700"/>
      <c r="I4" s="289" t="s">
        <v>116</v>
      </c>
      <c r="J4" s="289" t="s">
        <v>16</v>
      </c>
      <c r="K4" s="289" t="s">
        <v>116</v>
      </c>
      <c r="L4" s="289" t="s">
        <v>16</v>
      </c>
      <c r="M4" s="289" t="s">
        <v>116</v>
      </c>
      <c r="N4" s="289" t="s">
        <v>16</v>
      </c>
      <c r="O4" s="290" t="s">
        <v>116</v>
      </c>
      <c r="P4" s="287" t="s">
        <v>16</v>
      </c>
      <c r="Q4" s="288" t="s">
        <v>199</v>
      </c>
      <c r="R4" s="288" t="s">
        <v>200</v>
      </c>
      <c r="S4" s="289" t="s">
        <v>116</v>
      </c>
      <c r="T4" s="291" t="s">
        <v>11</v>
      </c>
      <c r="U4" s="289" t="s">
        <v>116</v>
      </c>
      <c r="V4" s="289" t="s">
        <v>16</v>
      </c>
      <c r="W4" s="292" t="s">
        <v>200</v>
      </c>
      <c r="Y4" s="156"/>
    </row>
    <row r="5" spans="1:25" s="277" customFormat="1" ht="18">
      <c r="A5" s="279">
        <f aca="true" t="shared" si="0" ref="A5:A14">ROW()-4</f>
        <v>1</v>
      </c>
      <c r="B5" s="293"/>
      <c r="C5" s="331" t="s">
        <v>276</v>
      </c>
      <c r="D5" s="328">
        <v>38800</v>
      </c>
      <c r="E5" s="325" t="s">
        <v>225</v>
      </c>
      <c r="F5" s="322">
        <v>92</v>
      </c>
      <c r="G5" s="294">
        <v>92</v>
      </c>
      <c r="H5" s="272">
        <v>1</v>
      </c>
      <c r="I5" s="176">
        <v>68215</v>
      </c>
      <c r="J5" s="177">
        <v>9420</v>
      </c>
      <c r="K5" s="176">
        <v>158896.5</v>
      </c>
      <c r="L5" s="177">
        <v>21893</v>
      </c>
      <c r="M5" s="176">
        <v>134434.5</v>
      </c>
      <c r="N5" s="177">
        <v>18743</v>
      </c>
      <c r="O5" s="178">
        <f aca="true" t="shared" si="1" ref="O5:O14">+I5+K5+M5</f>
        <v>361546</v>
      </c>
      <c r="P5" s="179">
        <f aca="true" t="shared" si="2" ref="P5:P14">+J5+L5+N5</f>
        <v>50056</v>
      </c>
      <c r="Q5" s="180">
        <f aca="true" t="shared" si="3" ref="Q5:Q14">IF(O5&lt;&gt;0,P5/G5,"")</f>
        <v>544.0869565217391</v>
      </c>
      <c r="R5" s="181">
        <f aca="true" t="shared" si="4" ref="R5:R14">IF(O5&lt;&gt;0,O5/P5,"")</f>
        <v>7.222830429918491</v>
      </c>
      <c r="S5" s="176"/>
      <c r="T5" s="182">
        <f aca="true" t="shared" si="5" ref="T5:T14">IF(S5&lt;&gt;0,-(S5-O5)/S5,"")</f>
      </c>
      <c r="U5" s="176">
        <v>361543</v>
      </c>
      <c r="V5" s="183">
        <v>50056</v>
      </c>
      <c r="W5" s="184">
        <f aca="true" t="shared" si="6" ref="W5:W14">U5/V5</f>
        <v>7.222770497043311</v>
      </c>
      <c r="Y5" s="278"/>
    </row>
    <row r="6" spans="1:25" s="277" customFormat="1" ht="18">
      <c r="A6" s="279">
        <f t="shared" si="0"/>
        <v>2</v>
      </c>
      <c r="B6" s="295"/>
      <c r="C6" s="332" t="s">
        <v>201</v>
      </c>
      <c r="D6" s="329">
        <v>38793</v>
      </c>
      <c r="E6" s="326" t="s">
        <v>202</v>
      </c>
      <c r="F6" s="323">
        <v>129</v>
      </c>
      <c r="G6" s="284">
        <v>132</v>
      </c>
      <c r="H6" s="273">
        <v>2</v>
      </c>
      <c r="I6" s="191">
        <v>67241</v>
      </c>
      <c r="J6" s="192">
        <v>9444</v>
      </c>
      <c r="K6" s="191">
        <v>136965</v>
      </c>
      <c r="L6" s="192">
        <v>18312</v>
      </c>
      <c r="M6" s="191">
        <v>128013</v>
      </c>
      <c r="N6" s="192">
        <v>17392</v>
      </c>
      <c r="O6" s="193">
        <f t="shared" si="1"/>
        <v>332219</v>
      </c>
      <c r="P6" s="194">
        <f t="shared" si="2"/>
        <v>45148</v>
      </c>
      <c r="Q6" s="195">
        <f t="shared" si="3"/>
        <v>342.030303030303</v>
      </c>
      <c r="R6" s="196">
        <f t="shared" si="4"/>
        <v>7.358443341897758</v>
      </c>
      <c r="S6" s="191">
        <v>438892</v>
      </c>
      <c r="T6" s="197">
        <f t="shared" si="5"/>
        <v>-0.24305068217237955</v>
      </c>
      <c r="U6" s="191">
        <v>1001511</v>
      </c>
      <c r="V6" s="198">
        <v>140126</v>
      </c>
      <c r="W6" s="199">
        <f t="shared" si="6"/>
        <v>7.1472175042461785</v>
      </c>
      <c r="Y6" s="278"/>
    </row>
    <row r="7" spans="1:26" s="281" customFormat="1" ht="18">
      <c r="A7" s="279">
        <f t="shared" si="0"/>
        <v>3</v>
      </c>
      <c r="B7" s="296"/>
      <c r="C7" s="332" t="s">
        <v>279</v>
      </c>
      <c r="D7" s="329">
        <v>38800</v>
      </c>
      <c r="E7" s="326" t="s">
        <v>280</v>
      </c>
      <c r="F7" s="323">
        <v>58</v>
      </c>
      <c r="G7" s="284">
        <v>58</v>
      </c>
      <c r="H7" s="273">
        <v>1</v>
      </c>
      <c r="I7" s="191">
        <v>23900.5</v>
      </c>
      <c r="J7" s="192">
        <v>3174</v>
      </c>
      <c r="K7" s="191">
        <v>130765.5</v>
      </c>
      <c r="L7" s="192">
        <v>16088</v>
      </c>
      <c r="M7" s="191">
        <v>131695.5</v>
      </c>
      <c r="N7" s="192">
        <v>16554</v>
      </c>
      <c r="O7" s="193">
        <f t="shared" si="1"/>
        <v>286361.5</v>
      </c>
      <c r="P7" s="194">
        <f t="shared" si="2"/>
        <v>35816</v>
      </c>
      <c r="Q7" s="195">
        <f t="shared" si="3"/>
        <v>617.5172413793103</v>
      </c>
      <c r="R7" s="196">
        <f t="shared" si="4"/>
        <v>7.9953512396694215</v>
      </c>
      <c r="S7" s="191"/>
      <c r="T7" s="197">
        <f t="shared" si="5"/>
      </c>
      <c r="U7" s="191">
        <v>286361.5</v>
      </c>
      <c r="V7" s="198">
        <v>35816</v>
      </c>
      <c r="W7" s="199">
        <f t="shared" si="6"/>
        <v>7.9953512396694215</v>
      </c>
      <c r="X7" s="280"/>
      <c r="Z7" s="280"/>
    </row>
    <row r="8" spans="1:25" s="282" customFormat="1" ht="18">
      <c r="A8" s="279">
        <f t="shared" si="0"/>
        <v>4</v>
      </c>
      <c r="B8" s="296"/>
      <c r="C8" s="333" t="s">
        <v>255</v>
      </c>
      <c r="D8" s="329">
        <v>38800</v>
      </c>
      <c r="E8" s="326" t="s">
        <v>243</v>
      </c>
      <c r="F8" s="323">
        <v>42</v>
      </c>
      <c r="G8" s="284">
        <v>45</v>
      </c>
      <c r="H8" s="273">
        <v>1</v>
      </c>
      <c r="I8" s="191">
        <v>47208</v>
      </c>
      <c r="J8" s="192">
        <v>5071</v>
      </c>
      <c r="K8" s="191">
        <v>76389</v>
      </c>
      <c r="L8" s="192">
        <v>7986</v>
      </c>
      <c r="M8" s="191">
        <v>64536.5</v>
      </c>
      <c r="N8" s="192">
        <v>7114</v>
      </c>
      <c r="O8" s="193">
        <f t="shared" si="1"/>
        <v>188133.5</v>
      </c>
      <c r="P8" s="194">
        <f t="shared" si="2"/>
        <v>20171</v>
      </c>
      <c r="Q8" s="195">
        <f t="shared" si="3"/>
        <v>448.24444444444447</v>
      </c>
      <c r="R8" s="196">
        <f t="shared" si="4"/>
        <v>9.326929750632095</v>
      </c>
      <c r="S8" s="191">
        <v>0</v>
      </c>
      <c r="T8" s="197">
        <f t="shared" si="5"/>
      </c>
      <c r="U8" s="191">
        <v>188133.5</v>
      </c>
      <c r="V8" s="274">
        <v>20171</v>
      </c>
      <c r="W8" s="199">
        <f t="shared" si="6"/>
        <v>9.326929750632095</v>
      </c>
      <c r="X8" s="280"/>
      <c r="Y8" s="280"/>
    </row>
    <row r="9" spans="1:25" s="282" customFormat="1" ht="18">
      <c r="A9" s="279">
        <f t="shared" si="0"/>
        <v>5</v>
      </c>
      <c r="B9" s="296"/>
      <c r="C9" s="333" t="s">
        <v>64</v>
      </c>
      <c r="D9" s="329">
        <v>38786</v>
      </c>
      <c r="E9" s="326" t="s">
        <v>203</v>
      </c>
      <c r="F9" s="323">
        <v>88</v>
      </c>
      <c r="G9" s="284">
        <v>88</v>
      </c>
      <c r="H9" s="273">
        <v>3</v>
      </c>
      <c r="I9" s="191">
        <v>34304</v>
      </c>
      <c r="J9" s="192">
        <v>4952</v>
      </c>
      <c r="K9" s="191">
        <v>69507.5</v>
      </c>
      <c r="L9" s="192">
        <v>9307</v>
      </c>
      <c r="M9" s="191">
        <v>66126.5</v>
      </c>
      <c r="N9" s="192">
        <v>8904</v>
      </c>
      <c r="O9" s="193">
        <f t="shared" si="1"/>
        <v>169938</v>
      </c>
      <c r="P9" s="194">
        <f t="shared" si="2"/>
        <v>23163</v>
      </c>
      <c r="Q9" s="195">
        <f t="shared" si="3"/>
        <v>263.21590909090907</v>
      </c>
      <c r="R9" s="196">
        <f t="shared" si="4"/>
        <v>7.336614428182878</v>
      </c>
      <c r="S9" s="191">
        <v>297030</v>
      </c>
      <c r="T9" s="197">
        <f t="shared" si="5"/>
        <v>-0.4278759721240279</v>
      </c>
      <c r="U9" s="191">
        <v>1363709.5</v>
      </c>
      <c r="V9" s="198">
        <v>186432</v>
      </c>
      <c r="W9" s="199">
        <f t="shared" si="6"/>
        <v>7.3147823335049775</v>
      </c>
      <c r="X9" s="280"/>
      <c r="Y9" s="280"/>
    </row>
    <row r="10" spans="1:25" s="282" customFormat="1" ht="18">
      <c r="A10" s="279">
        <f t="shared" si="0"/>
        <v>6</v>
      </c>
      <c r="B10" s="296"/>
      <c r="C10" s="333" t="s">
        <v>204</v>
      </c>
      <c r="D10" s="329">
        <v>38793</v>
      </c>
      <c r="E10" s="326" t="s">
        <v>205</v>
      </c>
      <c r="F10" s="323">
        <v>60</v>
      </c>
      <c r="G10" s="284">
        <v>61</v>
      </c>
      <c r="H10" s="273">
        <v>2</v>
      </c>
      <c r="I10" s="191">
        <v>35664.5</v>
      </c>
      <c r="J10" s="192">
        <v>4018</v>
      </c>
      <c r="K10" s="191">
        <v>64835</v>
      </c>
      <c r="L10" s="192">
        <v>7232</v>
      </c>
      <c r="M10" s="191">
        <v>49689</v>
      </c>
      <c r="N10" s="192">
        <v>5608</v>
      </c>
      <c r="O10" s="193">
        <f t="shared" si="1"/>
        <v>150188.5</v>
      </c>
      <c r="P10" s="194">
        <f t="shared" si="2"/>
        <v>16858</v>
      </c>
      <c r="Q10" s="195">
        <f t="shared" si="3"/>
        <v>276.3606557377049</v>
      </c>
      <c r="R10" s="196">
        <f t="shared" si="4"/>
        <v>8.909034286392217</v>
      </c>
      <c r="S10" s="191">
        <v>280846.5</v>
      </c>
      <c r="T10" s="197">
        <f t="shared" si="5"/>
        <v>-0.4652292266415996</v>
      </c>
      <c r="U10" s="191">
        <v>532838.75</v>
      </c>
      <c r="V10" s="198">
        <v>61281</v>
      </c>
      <c r="W10" s="199">
        <f t="shared" si="6"/>
        <v>8.695007424813564</v>
      </c>
      <c r="X10" s="280"/>
      <c r="Y10" s="280"/>
    </row>
    <row r="11" spans="1:25" s="282" customFormat="1" ht="18">
      <c r="A11" s="279">
        <f t="shared" si="0"/>
        <v>7</v>
      </c>
      <c r="B11" s="296"/>
      <c r="C11" s="332" t="s">
        <v>67</v>
      </c>
      <c r="D11" s="329">
        <v>38674</v>
      </c>
      <c r="E11" s="326" t="s">
        <v>206</v>
      </c>
      <c r="F11" s="323">
        <v>135</v>
      </c>
      <c r="G11" s="284">
        <v>86</v>
      </c>
      <c r="H11" s="273">
        <v>19</v>
      </c>
      <c r="I11" s="191">
        <v>21259</v>
      </c>
      <c r="J11" s="192">
        <v>4495</v>
      </c>
      <c r="K11" s="191">
        <v>44119.5</v>
      </c>
      <c r="L11" s="192">
        <v>8049</v>
      </c>
      <c r="M11" s="191">
        <v>44723.5</v>
      </c>
      <c r="N11" s="192">
        <v>7984</v>
      </c>
      <c r="O11" s="193">
        <f t="shared" si="1"/>
        <v>110102</v>
      </c>
      <c r="P11" s="194">
        <f t="shared" si="2"/>
        <v>20528</v>
      </c>
      <c r="Q11" s="195">
        <f t="shared" si="3"/>
        <v>238.69767441860466</v>
      </c>
      <c r="R11" s="196">
        <f t="shared" si="4"/>
        <v>5.363503507404521</v>
      </c>
      <c r="S11" s="191">
        <v>180522.5</v>
      </c>
      <c r="T11" s="197">
        <f t="shared" si="5"/>
        <v>-0.39009264773089225</v>
      </c>
      <c r="U11" s="191">
        <v>24831178.5</v>
      </c>
      <c r="V11" s="198">
        <v>3667425</v>
      </c>
      <c r="W11" s="199">
        <f t="shared" si="6"/>
        <v>6.77073927892186</v>
      </c>
      <c r="X11" s="280"/>
      <c r="Y11" s="280"/>
    </row>
    <row r="12" spans="1:25" s="282" customFormat="1" ht="18">
      <c r="A12" s="279">
        <f t="shared" si="0"/>
        <v>8</v>
      </c>
      <c r="B12" s="296"/>
      <c r="C12" s="333" t="s">
        <v>66</v>
      </c>
      <c r="D12" s="329">
        <v>38765</v>
      </c>
      <c r="E12" s="326" t="s">
        <v>259</v>
      </c>
      <c r="F12" s="323">
        <v>164</v>
      </c>
      <c r="G12" s="284">
        <v>99</v>
      </c>
      <c r="H12" s="273">
        <v>6</v>
      </c>
      <c r="I12" s="191">
        <v>16346</v>
      </c>
      <c r="J12" s="192">
        <v>4381</v>
      </c>
      <c r="K12" s="191">
        <v>37715</v>
      </c>
      <c r="L12" s="192">
        <v>8003</v>
      </c>
      <c r="M12" s="191">
        <v>35175</v>
      </c>
      <c r="N12" s="192">
        <v>7352</v>
      </c>
      <c r="O12" s="193">
        <f t="shared" si="1"/>
        <v>89236</v>
      </c>
      <c r="P12" s="194">
        <f t="shared" si="2"/>
        <v>19736</v>
      </c>
      <c r="Q12" s="195">
        <f t="shared" si="3"/>
        <v>199.35353535353536</v>
      </c>
      <c r="R12" s="196">
        <f t="shared" si="4"/>
        <v>4.521483583299554</v>
      </c>
      <c r="S12" s="191">
        <v>226811</v>
      </c>
      <c r="T12" s="197">
        <f t="shared" si="5"/>
        <v>-0.6065622919523304</v>
      </c>
      <c r="U12" s="191">
        <v>4095189</v>
      </c>
      <c r="V12" s="198">
        <v>603515</v>
      </c>
      <c r="W12" s="199">
        <f t="shared" si="6"/>
        <v>6.785562910615312</v>
      </c>
      <c r="X12" s="280"/>
      <c r="Y12" s="280"/>
    </row>
    <row r="13" spans="1:25" s="282" customFormat="1" ht="18">
      <c r="A13" s="279">
        <f t="shared" si="0"/>
        <v>9</v>
      </c>
      <c r="B13" s="296"/>
      <c r="C13" s="333" t="s">
        <v>208</v>
      </c>
      <c r="D13" s="329">
        <v>38793</v>
      </c>
      <c r="E13" s="326" t="s">
        <v>275</v>
      </c>
      <c r="F13" s="323">
        <v>50</v>
      </c>
      <c r="G13" s="284">
        <v>50</v>
      </c>
      <c r="H13" s="273">
        <v>2</v>
      </c>
      <c r="I13" s="191">
        <v>20197.5</v>
      </c>
      <c r="J13" s="192">
        <v>2353</v>
      </c>
      <c r="K13" s="191">
        <v>36803.5</v>
      </c>
      <c r="L13" s="192">
        <v>4134</v>
      </c>
      <c r="M13" s="191">
        <v>31466.5</v>
      </c>
      <c r="N13" s="192">
        <v>3685</v>
      </c>
      <c r="O13" s="193">
        <f t="shared" si="1"/>
        <v>88467.5</v>
      </c>
      <c r="P13" s="194">
        <f t="shared" si="2"/>
        <v>10172</v>
      </c>
      <c r="Q13" s="195">
        <f t="shared" si="3"/>
        <v>203.44</v>
      </c>
      <c r="R13" s="196">
        <f t="shared" si="4"/>
        <v>8.697158867479356</v>
      </c>
      <c r="S13" s="191">
        <v>145916.5</v>
      </c>
      <c r="T13" s="197">
        <f t="shared" si="5"/>
        <v>-0.393711471971984</v>
      </c>
      <c r="U13" s="191">
        <v>285380.5</v>
      </c>
      <c r="V13" s="198">
        <v>36904</v>
      </c>
      <c r="W13" s="199">
        <f t="shared" si="6"/>
        <v>7.733050617819207</v>
      </c>
      <c r="X13" s="280"/>
      <c r="Y13" s="280"/>
    </row>
    <row r="14" spans="1:25" s="282" customFormat="1" ht="18.75" thickBot="1">
      <c r="A14" s="279">
        <f t="shared" si="0"/>
        <v>10</v>
      </c>
      <c r="B14" s="297"/>
      <c r="C14" s="334" t="s">
        <v>68</v>
      </c>
      <c r="D14" s="330">
        <v>38758</v>
      </c>
      <c r="E14" s="327" t="s">
        <v>211</v>
      </c>
      <c r="F14" s="324">
        <v>80</v>
      </c>
      <c r="G14" s="298">
        <v>58</v>
      </c>
      <c r="H14" s="275">
        <v>7</v>
      </c>
      <c r="I14" s="320">
        <v>14629.5</v>
      </c>
      <c r="J14" s="214">
        <v>2999</v>
      </c>
      <c r="K14" s="320">
        <v>27961</v>
      </c>
      <c r="L14" s="214">
        <v>5633</v>
      </c>
      <c r="M14" s="320">
        <v>24997</v>
      </c>
      <c r="N14" s="214">
        <v>4844</v>
      </c>
      <c r="O14" s="321">
        <f t="shared" si="1"/>
        <v>67587.5</v>
      </c>
      <c r="P14" s="216">
        <f t="shared" si="2"/>
        <v>13476</v>
      </c>
      <c r="Q14" s="217">
        <f t="shared" si="3"/>
        <v>232.3448275862069</v>
      </c>
      <c r="R14" s="218">
        <f t="shared" si="4"/>
        <v>5.015397744137727</v>
      </c>
      <c r="S14" s="320">
        <v>114122.5</v>
      </c>
      <c r="T14" s="219">
        <f t="shared" si="5"/>
        <v>-0.4077635873732174</v>
      </c>
      <c r="U14" s="320">
        <v>3111590.5</v>
      </c>
      <c r="V14" s="276">
        <v>493265</v>
      </c>
      <c r="W14" s="221">
        <f t="shared" si="6"/>
        <v>6.308151804810802</v>
      </c>
      <c r="X14" s="280"/>
      <c r="Y14" s="280"/>
    </row>
  </sheetData>
  <mergeCells count="13">
    <mergeCell ref="S3:T3"/>
    <mergeCell ref="U3:W3"/>
    <mergeCell ref="A2:W2"/>
    <mergeCell ref="C3:C4"/>
    <mergeCell ref="D3:D4"/>
    <mergeCell ref="E3:E4"/>
    <mergeCell ref="F3:F4"/>
    <mergeCell ref="G3:G4"/>
    <mergeCell ref="H3:H4"/>
    <mergeCell ref="I3:J3"/>
    <mergeCell ref="K3:L3"/>
    <mergeCell ref="M3:N3"/>
    <mergeCell ref="O3:R3"/>
  </mergeCells>
  <printOptions/>
  <pageMargins left="0.57" right="0.67" top="1" bottom="1" header="0.5" footer="0.5"/>
  <pageSetup orientation="landscape" paperSize="9" scale="70" r:id="rId2"/>
  <drawing r:id="rId1"/>
</worksheet>
</file>

<file path=xl/worksheets/sheet15.xml><?xml version="1.0" encoding="utf-8"?>
<worksheet xmlns="http://schemas.openxmlformats.org/spreadsheetml/2006/main" xmlns:r="http://schemas.openxmlformats.org/officeDocument/2006/relationships">
  <dimension ref="A1:AC87"/>
  <sheetViews>
    <sheetView zoomScale="50" zoomScaleNormal="50" workbookViewId="0" topLeftCell="A1">
      <selection activeCell="A1" sqref="A1:IV16384"/>
    </sheetView>
  </sheetViews>
  <sheetFormatPr defaultColWidth="9.140625" defaultRowHeight="12.75"/>
  <cols>
    <col min="1" max="1" width="3.57421875" style="440" bestFit="1" customWidth="1"/>
    <col min="2" max="2" width="1.7109375" style="253" customWidth="1"/>
    <col min="3" max="3" width="38.7109375" style="200" customWidth="1"/>
    <col min="4" max="4" width="9.8515625" style="200" customWidth="1"/>
    <col min="5" max="5" width="28.140625" style="254" bestFit="1" customWidth="1"/>
    <col min="6" max="6" width="5.57421875" style="255" bestFit="1" customWidth="1"/>
    <col min="7" max="7" width="7.28125" style="255" bestFit="1" customWidth="1"/>
    <col min="8" max="8" width="16.140625" style="200" bestFit="1" customWidth="1"/>
    <col min="9" max="9" width="13.28125" style="200" bestFit="1" customWidth="1"/>
    <col min="10" max="10" width="8.421875" style="200" bestFit="1" customWidth="1"/>
    <col min="11" max="11" width="13.28125" style="200" bestFit="1" customWidth="1"/>
    <col min="12" max="12" width="8.421875" style="200" bestFit="1" customWidth="1"/>
    <col min="13" max="13" width="13.28125" style="200" bestFit="1" customWidth="1"/>
    <col min="14" max="14" width="8.421875" style="200" bestFit="1" customWidth="1"/>
    <col min="15" max="15" width="14.421875" style="381" customWidth="1"/>
    <col min="16" max="16" width="9.28125" style="200" customWidth="1"/>
    <col min="17" max="17" width="8.140625" style="200" bestFit="1" customWidth="1"/>
    <col min="18" max="18" width="6.140625" style="200" bestFit="1" customWidth="1"/>
    <col min="19" max="19" width="16.7109375" style="379" customWidth="1"/>
    <col min="20" max="20" width="8.421875" style="200" customWidth="1"/>
    <col min="21" max="21" width="16.7109375" style="200" bestFit="1" customWidth="1"/>
    <col min="22" max="22" width="11.57421875" style="200" bestFit="1" customWidth="1"/>
    <col min="23" max="23" width="6.140625" style="200" bestFit="1" customWidth="1"/>
    <col min="24" max="24" width="12.421875" style="200" bestFit="1" customWidth="1"/>
    <col min="25" max="25" width="9.140625" style="152" customWidth="1"/>
    <col min="26" max="28" width="9.140625" style="200" customWidth="1"/>
    <col min="29" max="29" width="2.7109375" style="200" bestFit="1" customWidth="1"/>
    <col min="30" max="16384" width="9.140625" style="200" customWidth="1"/>
  </cols>
  <sheetData>
    <row r="1" spans="1:25" s="151" customFormat="1" ht="102.75" customHeight="1" thickBot="1">
      <c r="A1" s="435"/>
      <c r="B1" s="144"/>
      <c r="C1" s="145"/>
      <c r="D1" s="146"/>
      <c r="E1" s="147"/>
      <c r="F1" s="148"/>
      <c r="G1" s="148"/>
      <c r="H1" s="146"/>
      <c r="I1" s="146"/>
      <c r="J1" s="146"/>
      <c r="K1" s="146"/>
      <c r="L1" s="146"/>
      <c r="M1" s="146"/>
      <c r="N1" s="146"/>
      <c r="O1" s="380"/>
      <c r="P1" s="146"/>
      <c r="Q1" s="146"/>
      <c r="R1" s="146"/>
      <c r="S1" s="377"/>
      <c r="T1" s="146"/>
      <c r="U1" s="149"/>
      <c r="V1" s="149"/>
      <c r="W1" s="150"/>
      <c r="Y1" s="152"/>
    </row>
    <row r="2" spans="1:23" s="153" customFormat="1" ht="27.75" thickBot="1">
      <c r="A2" s="679" t="s">
        <v>190</v>
      </c>
      <c r="B2" s="692"/>
      <c r="C2" s="692"/>
      <c r="D2" s="692"/>
      <c r="E2" s="692"/>
      <c r="F2" s="692"/>
      <c r="G2" s="692"/>
      <c r="H2" s="692"/>
      <c r="I2" s="692"/>
      <c r="J2" s="692"/>
      <c r="K2" s="692"/>
      <c r="L2" s="692"/>
      <c r="M2" s="692"/>
      <c r="N2" s="692"/>
      <c r="O2" s="692"/>
      <c r="P2" s="693"/>
      <c r="Q2" s="693"/>
      <c r="R2" s="693"/>
      <c r="S2" s="693"/>
      <c r="T2" s="693"/>
      <c r="U2" s="693"/>
      <c r="V2" s="693"/>
      <c r="W2" s="693"/>
    </row>
    <row r="3" spans="1:25" s="154" customFormat="1" ht="18">
      <c r="A3" s="436"/>
      <c r="B3" s="285"/>
      <c r="C3" s="694" t="s">
        <v>0</v>
      </c>
      <c r="D3" s="696" t="s">
        <v>191</v>
      </c>
      <c r="E3" s="696" t="s">
        <v>192</v>
      </c>
      <c r="F3" s="699" t="s">
        <v>193</v>
      </c>
      <c r="G3" s="699" t="s">
        <v>194</v>
      </c>
      <c r="H3" s="699" t="s">
        <v>195</v>
      </c>
      <c r="I3" s="701" t="s">
        <v>4</v>
      </c>
      <c r="J3" s="701"/>
      <c r="K3" s="701" t="s">
        <v>7</v>
      </c>
      <c r="L3" s="701"/>
      <c r="M3" s="701" t="s">
        <v>8</v>
      </c>
      <c r="N3" s="701"/>
      <c r="O3" s="701" t="s">
        <v>196</v>
      </c>
      <c r="P3" s="701"/>
      <c r="Q3" s="701"/>
      <c r="R3" s="701"/>
      <c r="S3" s="701" t="s">
        <v>197</v>
      </c>
      <c r="T3" s="701"/>
      <c r="U3" s="701" t="s">
        <v>198</v>
      </c>
      <c r="V3" s="701"/>
      <c r="W3" s="703"/>
      <c r="Y3" s="156"/>
    </row>
    <row r="4" spans="1:25" s="154" customFormat="1" ht="27.75" thickBot="1">
      <c r="A4" s="437"/>
      <c r="B4" s="342"/>
      <c r="C4" s="707"/>
      <c r="D4" s="708"/>
      <c r="E4" s="709"/>
      <c r="F4" s="710"/>
      <c r="G4" s="710"/>
      <c r="H4" s="710"/>
      <c r="I4" s="345" t="s">
        <v>116</v>
      </c>
      <c r="J4" s="345" t="s">
        <v>16</v>
      </c>
      <c r="K4" s="345" t="s">
        <v>116</v>
      </c>
      <c r="L4" s="345" t="s">
        <v>16</v>
      </c>
      <c r="M4" s="345" t="s">
        <v>116</v>
      </c>
      <c r="N4" s="345" t="s">
        <v>16</v>
      </c>
      <c r="O4" s="343" t="s">
        <v>116</v>
      </c>
      <c r="P4" s="343" t="s">
        <v>16</v>
      </c>
      <c r="Q4" s="344" t="s">
        <v>199</v>
      </c>
      <c r="R4" s="344" t="s">
        <v>200</v>
      </c>
      <c r="S4" s="378" t="s">
        <v>116</v>
      </c>
      <c r="T4" s="346" t="s">
        <v>11</v>
      </c>
      <c r="U4" s="345" t="s">
        <v>116</v>
      </c>
      <c r="V4" s="345" t="s">
        <v>16</v>
      </c>
      <c r="W4" s="347" t="s">
        <v>200</v>
      </c>
      <c r="Y4" s="156"/>
    </row>
    <row r="5" spans="1:25" s="277" customFormat="1" ht="18">
      <c r="A5" s="279">
        <f aca="true" t="shared" si="0" ref="A5:A74">ROW()-4</f>
        <v>1</v>
      </c>
      <c r="B5" s="293"/>
      <c r="C5" s="367" t="s">
        <v>292</v>
      </c>
      <c r="D5" s="368">
        <v>38807</v>
      </c>
      <c r="E5" s="369" t="s">
        <v>293</v>
      </c>
      <c r="F5" s="388">
        <v>115</v>
      </c>
      <c r="G5" s="384">
        <v>115</v>
      </c>
      <c r="H5" s="388">
        <v>1</v>
      </c>
      <c r="I5" s="392">
        <v>142542.5</v>
      </c>
      <c r="J5" s="401">
        <v>18020</v>
      </c>
      <c r="K5" s="392">
        <v>226728</v>
      </c>
      <c r="L5" s="401">
        <v>28195</v>
      </c>
      <c r="M5" s="392">
        <v>240901</v>
      </c>
      <c r="N5" s="401">
        <v>30842</v>
      </c>
      <c r="O5" s="406">
        <f>+I5+K5+M5</f>
        <v>610171.5</v>
      </c>
      <c r="P5" s="179">
        <f>+J5+L5+N5</f>
        <v>77057</v>
      </c>
      <c r="Q5" s="371">
        <f>IF(O5&lt;&gt;0,P5/G5,"")</f>
        <v>670.0608695652174</v>
      </c>
      <c r="R5" s="414">
        <f>IF(O5&lt;&gt;0,O5/P5,"")</f>
        <v>7.918443489884112</v>
      </c>
      <c r="S5" s="412"/>
      <c r="T5" s="418">
        <f aca="true" t="shared" si="1" ref="T5:T67">IF(S5&lt;&gt;0,-(S5-O5)/S5,"")</f>
      </c>
      <c r="U5" s="392">
        <f>+O5</f>
        <v>610171.5</v>
      </c>
      <c r="V5" s="370">
        <f>+P5</f>
        <v>77057</v>
      </c>
      <c r="W5" s="372">
        <f>U5/V5</f>
        <v>7.918443489884112</v>
      </c>
      <c r="Y5" s="278"/>
    </row>
    <row r="6" spans="1:25" s="277" customFormat="1" ht="18">
      <c r="A6" s="279">
        <f t="shared" si="0"/>
        <v>2</v>
      </c>
      <c r="B6" s="295"/>
      <c r="C6" s="348" t="s">
        <v>294</v>
      </c>
      <c r="D6" s="349">
        <v>38807</v>
      </c>
      <c r="E6" s="350" t="s">
        <v>205</v>
      </c>
      <c r="F6" s="389">
        <v>77</v>
      </c>
      <c r="G6" s="385">
        <v>79</v>
      </c>
      <c r="H6" s="389">
        <v>1</v>
      </c>
      <c r="I6" s="393">
        <v>61679.5</v>
      </c>
      <c r="J6" s="402">
        <v>7734</v>
      </c>
      <c r="K6" s="397">
        <v>92794</v>
      </c>
      <c r="L6" s="402">
        <v>11292</v>
      </c>
      <c r="M6" s="397">
        <v>83656</v>
      </c>
      <c r="N6" s="402">
        <v>10455</v>
      </c>
      <c r="O6" s="407">
        <f>+I6+K6+M6</f>
        <v>238129.5</v>
      </c>
      <c r="P6" s="353">
        <f>+J6+L6+N6</f>
        <v>29481</v>
      </c>
      <c r="Q6" s="352">
        <f>IF(O6&lt;&gt;0,P6/G6,"")</f>
        <v>373.17721518987344</v>
      </c>
      <c r="R6" s="415">
        <f>IF(O6&lt;&gt;0,O6/P6,"")</f>
        <v>8.077388826701943</v>
      </c>
      <c r="S6" s="397"/>
      <c r="T6" s="419">
        <f t="shared" si="1"/>
      </c>
      <c r="U6" s="397">
        <v>238129.5</v>
      </c>
      <c r="V6" s="351">
        <v>29481</v>
      </c>
      <c r="W6" s="373">
        <f>U6/V6</f>
        <v>8.077388826701943</v>
      </c>
      <c r="Y6" s="278"/>
    </row>
    <row r="7" spans="1:26" s="281" customFormat="1" ht="18">
      <c r="A7" s="279">
        <f t="shared" si="0"/>
        <v>3</v>
      </c>
      <c r="B7" s="296"/>
      <c r="C7" s="354" t="s">
        <v>276</v>
      </c>
      <c r="D7" s="355">
        <v>38800</v>
      </c>
      <c r="E7" s="356" t="s">
        <v>225</v>
      </c>
      <c r="F7" s="390">
        <v>92</v>
      </c>
      <c r="G7" s="386">
        <v>92</v>
      </c>
      <c r="H7" s="390">
        <v>2</v>
      </c>
      <c r="I7" s="394">
        <v>37242</v>
      </c>
      <c r="J7" s="403">
        <v>4639</v>
      </c>
      <c r="K7" s="398">
        <v>98831</v>
      </c>
      <c r="L7" s="403">
        <v>12392</v>
      </c>
      <c r="M7" s="398">
        <v>86035</v>
      </c>
      <c r="N7" s="403">
        <v>11027</v>
      </c>
      <c r="O7" s="408">
        <f>I7+K7+M7</f>
        <v>222108</v>
      </c>
      <c r="P7" s="357">
        <f>J7+L7+N7</f>
        <v>28058</v>
      </c>
      <c r="Q7" s="358">
        <f>P7/G7</f>
        <v>304.9782608695652</v>
      </c>
      <c r="R7" s="416">
        <f>O7/P7</f>
        <v>7.916031078480291</v>
      </c>
      <c r="S7" s="394">
        <v>361546</v>
      </c>
      <c r="T7" s="419">
        <f t="shared" si="1"/>
        <v>-0.3856715328063372</v>
      </c>
      <c r="U7" s="398">
        <v>703859.5</v>
      </c>
      <c r="V7" s="359">
        <v>95968</v>
      </c>
      <c r="W7" s="374">
        <f>+U7/V7</f>
        <v>7.334314563187729</v>
      </c>
      <c r="X7" s="280"/>
      <c r="Z7" s="280"/>
    </row>
    <row r="8" spans="1:25" s="282" customFormat="1" ht="18">
      <c r="A8" s="279">
        <f t="shared" si="0"/>
        <v>4</v>
      </c>
      <c r="B8" s="296"/>
      <c r="C8" s="348" t="s">
        <v>201</v>
      </c>
      <c r="D8" s="349">
        <v>38793</v>
      </c>
      <c r="E8" s="350" t="s">
        <v>202</v>
      </c>
      <c r="F8" s="389">
        <v>129</v>
      </c>
      <c r="G8" s="385">
        <v>130</v>
      </c>
      <c r="H8" s="389">
        <v>3</v>
      </c>
      <c r="I8" s="393">
        <v>38551</v>
      </c>
      <c r="J8" s="402">
        <v>5754</v>
      </c>
      <c r="K8" s="397">
        <v>79067</v>
      </c>
      <c r="L8" s="402">
        <v>11169</v>
      </c>
      <c r="M8" s="397">
        <v>86506</v>
      </c>
      <c r="N8" s="402">
        <v>12160</v>
      </c>
      <c r="O8" s="407">
        <f aca="true" t="shared" si="2" ref="O8:P11">+I8+K8+M8</f>
        <v>204124</v>
      </c>
      <c r="P8" s="353">
        <f t="shared" si="2"/>
        <v>29083</v>
      </c>
      <c r="Q8" s="352">
        <f>IF(O8&lt;&gt;0,P8/G8,"")</f>
        <v>223.7153846153846</v>
      </c>
      <c r="R8" s="415">
        <f>IF(O8&lt;&gt;0,O8/P8,"")</f>
        <v>7.018670701096861</v>
      </c>
      <c r="S8" s="413">
        <v>332219</v>
      </c>
      <c r="T8" s="419">
        <f t="shared" si="1"/>
        <v>-0.3855739737943947</v>
      </c>
      <c r="U8" s="397">
        <v>1385594</v>
      </c>
      <c r="V8" s="351">
        <v>198119</v>
      </c>
      <c r="W8" s="373">
        <f>U8/V8</f>
        <v>6.993746182849701</v>
      </c>
      <c r="X8" s="280"/>
      <c r="Y8" s="280"/>
    </row>
    <row r="9" spans="1:25" s="282" customFormat="1" ht="18">
      <c r="A9" s="279">
        <f t="shared" si="0"/>
        <v>5</v>
      </c>
      <c r="B9" s="296"/>
      <c r="C9" s="348" t="s">
        <v>279</v>
      </c>
      <c r="D9" s="349">
        <v>38800</v>
      </c>
      <c r="E9" s="350" t="s">
        <v>295</v>
      </c>
      <c r="F9" s="389">
        <v>58</v>
      </c>
      <c r="G9" s="385">
        <v>58</v>
      </c>
      <c r="H9" s="389">
        <v>2</v>
      </c>
      <c r="I9" s="393">
        <v>17537</v>
      </c>
      <c r="J9" s="402">
        <v>2487</v>
      </c>
      <c r="K9" s="397">
        <v>80916.5</v>
      </c>
      <c r="L9" s="402">
        <v>10630</v>
      </c>
      <c r="M9" s="397">
        <v>73122.5</v>
      </c>
      <c r="N9" s="402">
        <v>9703</v>
      </c>
      <c r="O9" s="407">
        <f t="shared" si="2"/>
        <v>171576</v>
      </c>
      <c r="P9" s="353">
        <f t="shared" si="2"/>
        <v>22820</v>
      </c>
      <c r="Q9" s="352">
        <f>IF(O9&lt;&gt;0,P9/G9,"")</f>
        <v>393.44827586206895</v>
      </c>
      <c r="R9" s="415">
        <f>IF(O9&lt;&gt;0,O9/P9,"")</f>
        <v>7.518667835232252</v>
      </c>
      <c r="S9" s="397">
        <v>286361.5</v>
      </c>
      <c r="T9" s="419">
        <f t="shared" si="1"/>
        <v>-0.4008412443711882</v>
      </c>
      <c r="U9" s="397">
        <f>350945.5+171576</f>
        <v>522521.5</v>
      </c>
      <c r="V9" s="351">
        <f>46256+22820</f>
        <v>69076</v>
      </c>
      <c r="W9" s="373">
        <f>IF(U9&lt;&gt;0,U9/V9,"")</f>
        <v>7.564443511494586</v>
      </c>
      <c r="X9" s="280"/>
      <c r="Y9" s="280"/>
    </row>
    <row r="10" spans="1:25" s="282" customFormat="1" ht="18">
      <c r="A10" s="279">
        <f t="shared" si="0"/>
        <v>6</v>
      </c>
      <c r="B10" s="296"/>
      <c r="C10" s="348" t="s">
        <v>296</v>
      </c>
      <c r="D10" s="349">
        <v>38807</v>
      </c>
      <c r="E10" s="350" t="s">
        <v>210</v>
      </c>
      <c r="F10" s="389">
        <v>62</v>
      </c>
      <c r="G10" s="385">
        <v>61</v>
      </c>
      <c r="H10" s="389">
        <v>1</v>
      </c>
      <c r="I10" s="393">
        <v>32430</v>
      </c>
      <c r="J10" s="402">
        <v>3758</v>
      </c>
      <c r="K10" s="397">
        <v>56705</v>
      </c>
      <c r="L10" s="402">
        <v>6453</v>
      </c>
      <c r="M10" s="397">
        <v>53533</v>
      </c>
      <c r="N10" s="402">
        <v>6298</v>
      </c>
      <c r="O10" s="407">
        <f t="shared" si="2"/>
        <v>142668</v>
      </c>
      <c r="P10" s="353">
        <f t="shared" si="2"/>
        <v>16509</v>
      </c>
      <c r="Q10" s="352">
        <f>IF(O10&lt;&gt;0,P10/G10,"")</f>
        <v>270.6393442622951</v>
      </c>
      <c r="R10" s="415">
        <f>IF(O10&lt;&gt;0,O10/P10,"")</f>
        <v>8.641831728148283</v>
      </c>
      <c r="S10" s="397"/>
      <c r="T10" s="419">
        <f t="shared" si="1"/>
      </c>
      <c r="U10" s="397">
        <v>142668</v>
      </c>
      <c r="V10" s="351">
        <v>16509</v>
      </c>
      <c r="W10" s="373">
        <f>U10/V10</f>
        <v>8.641831728148283</v>
      </c>
      <c r="X10" s="280"/>
      <c r="Y10" s="280"/>
    </row>
    <row r="11" spans="1:25" s="282" customFormat="1" ht="18">
      <c r="A11" s="279">
        <f t="shared" si="0"/>
        <v>7</v>
      </c>
      <c r="B11" s="296"/>
      <c r="C11" s="348" t="s">
        <v>255</v>
      </c>
      <c r="D11" s="349">
        <v>38800</v>
      </c>
      <c r="E11" s="350" t="s">
        <v>297</v>
      </c>
      <c r="F11" s="389">
        <v>42</v>
      </c>
      <c r="G11" s="385">
        <v>43</v>
      </c>
      <c r="H11" s="389">
        <v>2</v>
      </c>
      <c r="I11" s="393">
        <v>18200</v>
      </c>
      <c r="J11" s="402">
        <v>2086</v>
      </c>
      <c r="K11" s="397">
        <v>28204.5</v>
      </c>
      <c r="L11" s="402">
        <v>3195</v>
      </c>
      <c r="M11" s="397">
        <v>25432</v>
      </c>
      <c r="N11" s="402">
        <v>2789</v>
      </c>
      <c r="O11" s="407">
        <f t="shared" si="2"/>
        <v>71836.5</v>
      </c>
      <c r="P11" s="353">
        <f t="shared" si="2"/>
        <v>8070</v>
      </c>
      <c r="Q11" s="352">
        <f>IF(O11&lt;&gt;0,P11/G11,"")</f>
        <v>187.67441860465115</v>
      </c>
      <c r="R11" s="415">
        <f>IF(O11&lt;&gt;0,O11/P11,"")</f>
        <v>8.901672862453532</v>
      </c>
      <c r="S11" s="397">
        <v>190614.5</v>
      </c>
      <c r="T11" s="419">
        <f t="shared" si="1"/>
        <v>-0.6231320282559826</v>
      </c>
      <c r="U11" s="397">
        <v>360232</v>
      </c>
      <c r="V11" s="351">
        <v>40661</v>
      </c>
      <c r="W11" s="373">
        <f>U11/V11</f>
        <v>8.859398440766336</v>
      </c>
      <c r="X11" s="280"/>
      <c r="Y11" s="280"/>
    </row>
    <row r="12" spans="1:25" s="282" customFormat="1" ht="18">
      <c r="A12" s="279">
        <f t="shared" si="0"/>
        <v>8</v>
      </c>
      <c r="B12" s="296"/>
      <c r="C12" s="354" t="s">
        <v>298</v>
      </c>
      <c r="D12" s="355">
        <v>38807</v>
      </c>
      <c r="E12" s="356" t="s">
        <v>225</v>
      </c>
      <c r="F12" s="390">
        <v>20</v>
      </c>
      <c r="G12" s="386">
        <v>20</v>
      </c>
      <c r="H12" s="390">
        <v>1</v>
      </c>
      <c r="I12" s="394">
        <v>9397</v>
      </c>
      <c r="J12" s="403">
        <v>1076</v>
      </c>
      <c r="K12" s="398">
        <v>23361.5</v>
      </c>
      <c r="L12" s="403">
        <v>2636</v>
      </c>
      <c r="M12" s="398">
        <v>20524.5</v>
      </c>
      <c r="N12" s="403">
        <v>2356</v>
      </c>
      <c r="O12" s="408">
        <f>I12+K12+M12</f>
        <v>53283</v>
      </c>
      <c r="P12" s="357">
        <f>J12+L12+N12</f>
        <v>6068</v>
      </c>
      <c r="Q12" s="358">
        <f>P12/G12</f>
        <v>303.4</v>
      </c>
      <c r="R12" s="416">
        <f>O12/P12</f>
        <v>8.78098220171391</v>
      </c>
      <c r="S12" s="394"/>
      <c r="T12" s="419">
        <f t="shared" si="1"/>
      </c>
      <c r="U12" s="398">
        <v>53283</v>
      </c>
      <c r="V12" s="359">
        <v>6068</v>
      </c>
      <c r="W12" s="374">
        <f>+U12/V12</f>
        <v>8.78098220171391</v>
      </c>
      <c r="X12" s="280"/>
      <c r="Y12" s="280"/>
    </row>
    <row r="13" spans="1:25" s="282" customFormat="1" ht="18">
      <c r="A13" s="279">
        <f t="shared" si="0"/>
        <v>9</v>
      </c>
      <c r="B13" s="296"/>
      <c r="C13" s="354" t="s">
        <v>67</v>
      </c>
      <c r="D13" s="355" t="s">
        <v>299</v>
      </c>
      <c r="E13" s="356" t="s">
        <v>300</v>
      </c>
      <c r="F13" s="390">
        <v>135</v>
      </c>
      <c r="G13" s="386">
        <v>49</v>
      </c>
      <c r="H13" s="390">
        <v>20</v>
      </c>
      <c r="I13" s="394">
        <v>11189</v>
      </c>
      <c r="J13" s="403">
        <v>2925</v>
      </c>
      <c r="K13" s="398">
        <v>19056.5</v>
      </c>
      <c r="L13" s="403">
        <v>4355</v>
      </c>
      <c r="M13" s="398">
        <v>19177.5</v>
      </c>
      <c r="N13" s="403">
        <v>4302</v>
      </c>
      <c r="O13" s="408">
        <f>I13+K13+M13</f>
        <v>49423</v>
      </c>
      <c r="P13" s="357">
        <f>J13+L13+N13</f>
        <v>11582</v>
      </c>
      <c r="Q13" s="358">
        <f>P13/G13</f>
        <v>236.3673469387755</v>
      </c>
      <c r="R13" s="416">
        <f>O13/P13</f>
        <v>4.267225004317043</v>
      </c>
      <c r="S13" s="394">
        <v>110102</v>
      </c>
      <c r="T13" s="419">
        <f t="shared" si="1"/>
        <v>-0.5511162376705236</v>
      </c>
      <c r="U13" s="398">
        <v>24934054</v>
      </c>
      <c r="V13" s="359">
        <v>3689360</v>
      </c>
      <c r="W13" s="374">
        <f>+U13/V13</f>
        <v>6.758368389097296</v>
      </c>
      <c r="X13" s="280"/>
      <c r="Y13" s="280"/>
    </row>
    <row r="14" spans="1:25" s="282" customFormat="1" ht="18">
      <c r="A14" s="279">
        <f t="shared" si="0"/>
        <v>10</v>
      </c>
      <c r="B14" s="296"/>
      <c r="C14" s="348" t="s">
        <v>204</v>
      </c>
      <c r="D14" s="349">
        <v>38793</v>
      </c>
      <c r="E14" s="350" t="s">
        <v>205</v>
      </c>
      <c r="F14" s="389">
        <v>56</v>
      </c>
      <c r="G14" s="385">
        <v>56</v>
      </c>
      <c r="H14" s="389">
        <v>3</v>
      </c>
      <c r="I14" s="393">
        <v>10641.5</v>
      </c>
      <c r="J14" s="402">
        <v>1269</v>
      </c>
      <c r="K14" s="397">
        <v>19122.5</v>
      </c>
      <c r="L14" s="402">
        <v>2233</v>
      </c>
      <c r="M14" s="397">
        <v>17620</v>
      </c>
      <c r="N14" s="402">
        <v>2193</v>
      </c>
      <c r="O14" s="407">
        <f aca="true" t="shared" si="3" ref="O14:P16">+I14+K14+M14</f>
        <v>47384</v>
      </c>
      <c r="P14" s="353">
        <f t="shared" si="3"/>
        <v>5695</v>
      </c>
      <c r="Q14" s="352">
        <f>IF(O14&lt;&gt;0,P14/G14,"")</f>
        <v>101.69642857142857</v>
      </c>
      <c r="R14" s="415">
        <f>IF(O14&lt;&gt;0,O14/P14,"")</f>
        <v>8.320280948200175</v>
      </c>
      <c r="S14" s="397">
        <v>151842</v>
      </c>
      <c r="T14" s="419">
        <f t="shared" si="1"/>
        <v>-0.6879387784670908</v>
      </c>
      <c r="U14" s="397">
        <v>646806.25</v>
      </c>
      <c r="V14" s="351">
        <v>75278</v>
      </c>
      <c r="W14" s="373">
        <f>U14/V14</f>
        <v>8.59223478307075</v>
      </c>
      <c r="X14" s="280"/>
      <c r="Y14" s="280"/>
    </row>
    <row r="15" spans="1:25" s="282" customFormat="1" ht="18">
      <c r="A15" s="279">
        <f t="shared" si="0"/>
        <v>11</v>
      </c>
      <c r="B15" s="296"/>
      <c r="C15" s="348" t="s">
        <v>64</v>
      </c>
      <c r="D15" s="349">
        <v>38786</v>
      </c>
      <c r="E15" s="350" t="s">
        <v>203</v>
      </c>
      <c r="F15" s="389">
        <v>54</v>
      </c>
      <c r="G15" s="385">
        <v>54</v>
      </c>
      <c r="H15" s="389">
        <v>4</v>
      </c>
      <c r="I15" s="393">
        <v>10440</v>
      </c>
      <c r="J15" s="402">
        <v>1791</v>
      </c>
      <c r="K15" s="397">
        <v>17353</v>
      </c>
      <c r="L15" s="402">
        <v>2987</v>
      </c>
      <c r="M15" s="397">
        <v>19464.5</v>
      </c>
      <c r="N15" s="402">
        <v>3316</v>
      </c>
      <c r="O15" s="407">
        <f t="shared" si="3"/>
        <v>47257.5</v>
      </c>
      <c r="P15" s="353">
        <f t="shared" si="3"/>
        <v>8094</v>
      </c>
      <c r="Q15" s="352">
        <f>IF(O15&lt;&gt;0,P15/G15,"")</f>
        <v>149.88888888888889</v>
      </c>
      <c r="R15" s="415">
        <f>IF(O15&lt;&gt;0,O15/P15,"")</f>
        <v>5.838584136397332</v>
      </c>
      <c r="S15" s="397">
        <v>171941</v>
      </c>
      <c r="T15" s="419">
        <f t="shared" si="1"/>
        <v>-0.7251528140466788</v>
      </c>
      <c r="U15" s="397">
        <v>1506939</v>
      </c>
      <c r="V15" s="351">
        <v>209185</v>
      </c>
      <c r="W15" s="373">
        <f>U15/V15</f>
        <v>7.203857829194254</v>
      </c>
      <c r="X15" s="280"/>
      <c r="Y15" s="280"/>
    </row>
    <row r="16" spans="1:25" s="282" customFormat="1" ht="18">
      <c r="A16" s="279">
        <f t="shared" si="0"/>
        <v>12</v>
      </c>
      <c r="B16" s="296"/>
      <c r="C16" s="348" t="s">
        <v>256</v>
      </c>
      <c r="D16" s="349">
        <v>38800</v>
      </c>
      <c r="E16" s="350" t="s">
        <v>203</v>
      </c>
      <c r="F16" s="389">
        <v>16</v>
      </c>
      <c r="G16" s="385">
        <v>16</v>
      </c>
      <c r="H16" s="389">
        <v>2</v>
      </c>
      <c r="I16" s="393">
        <v>8054</v>
      </c>
      <c r="J16" s="402">
        <v>828</v>
      </c>
      <c r="K16" s="397">
        <v>12468</v>
      </c>
      <c r="L16" s="402">
        <v>1254</v>
      </c>
      <c r="M16" s="397">
        <v>10330.5</v>
      </c>
      <c r="N16" s="402">
        <v>1057</v>
      </c>
      <c r="O16" s="407">
        <f t="shared" si="3"/>
        <v>30852.5</v>
      </c>
      <c r="P16" s="353">
        <f t="shared" si="3"/>
        <v>3139</v>
      </c>
      <c r="Q16" s="352">
        <f>IF(O16&lt;&gt;0,P16/G16,"")</f>
        <v>196.1875</v>
      </c>
      <c r="R16" s="415">
        <f>IF(O16&lt;&gt;0,O16/P16,"")</f>
        <v>9.82876712328767</v>
      </c>
      <c r="S16" s="397">
        <v>54183.5</v>
      </c>
      <c r="T16" s="419">
        <f t="shared" si="1"/>
        <v>-0.4305923389961889</v>
      </c>
      <c r="U16" s="397">
        <v>113218</v>
      </c>
      <c r="V16" s="351">
        <v>12017</v>
      </c>
      <c r="W16" s="373">
        <f>U16/V16</f>
        <v>9.421486227843888</v>
      </c>
      <c r="X16" s="280"/>
      <c r="Y16" s="280"/>
    </row>
    <row r="17" spans="1:25" s="282" customFormat="1" ht="18">
      <c r="A17" s="279">
        <f t="shared" si="0"/>
        <v>13</v>
      </c>
      <c r="B17" s="296"/>
      <c r="C17" s="360" t="s">
        <v>301</v>
      </c>
      <c r="D17" s="355">
        <v>38793</v>
      </c>
      <c r="E17" s="356" t="s">
        <v>275</v>
      </c>
      <c r="F17" s="390">
        <v>50</v>
      </c>
      <c r="G17" s="386">
        <v>50</v>
      </c>
      <c r="H17" s="390">
        <v>3</v>
      </c>
      <c r="I17" s="394">
        <v>5808.5</v>
      </c>
      <c r="J17" s="403">
        <v>763</v>
      </c>
      <c r="K17" s="398">
        <v>12898.5</v>
      </c>
      <c r="L17" s="403">
        <v>1559</v>
      </c>
      <c r="M17" s="398">
        <v>12005.5</v>
      </c>
      <c r="N17" s="403">
        <v>1509</v>
      </c>
      <c r="O17" s="408">
        <f>I17+K17+M17</f>
        <v>30712.5</v>
      </c>
      <c r="P17" s="357">
        <f>J17+L17+N17</f>
        <v>3831</v>
      </c>
      <c r="Q17" s="358">
        <f>P17/G17</f>
        <v>76.62</v>
      </c>
      <c r="R17" s="416">
        <f>O17/P17</f>
        <v>8.016836335160532</v>
      </c>
      <c r="S17" s="394">
        <v>88467.5</v>
      </c>
      <c r="T17" s="419">
        <f t="shared" si="1"/>
        <v>-0.6528386130499901</v>
      </c>
      <c r="U17" s="400">
        <v>350835.5</v>
      </c>
      <c r="V17" s="358">
        <v>45569</v>
      </c>
      <c r="W17" s="374">
        <f>+U17/V17</f>
        <v>7.698994930764336</v>
      </c>
      <c r="X17" s="280"/>
      <c r="Y17" s="280"/>
    </row>
    <row r="18" spans="1:25" s="282" customFormat="1" ht="18">
      <c r="A18" s="279">
        <f t="shared" si="0"/>
        <v>14</v>
      </c>
      <c r="B18" s="296"/>
      <c r="C18" s="354" t="s">
        <v>66</v>
      </c>
      <c r="D18" s="355">
        <v>38765</v>
      </c>
      <c r="E18" s="356" t="s">
        <v>207</v>
      </c>
      <c r="F18" s="390">
        <v>164</v>
      </c>
      <c r="G18" s="386">
        <v>50</v>
      </c>
      <c r="H18" s="390">
        <v>7</v>
      </c>
      <c r="I18" s="394">
        <v>4878.5</v>
      </c>
      <c r="J18" s="403">
        <v>1421</v>
      </c>
      <c r="K18" s="398">
        <v>11382</v>
      </c>
      <c r="L18" s="403">
        <v>2677</v>
      </c>
      <c r="M18" s="398">
        <v>10572.5</v>
      </c>
      <c r="N18" s="403">
        <v>2545</v>
      </c>
      <c r="O18" s="408">
        <f>+M18+K18+I18</f>
        <v>26833</v>
      </c>
      <c r="P18" s="357">
        <f>+N18+L18+J18</f>
        <v>6643</v>
      </c>
      <c r="Q18" s="359">
        <f>+P18/G18</f>
        <v>132.86</v>
      </c>
      <c r="R18" s="417">
        <f>+O18/P18</f>
        <v>4.039289477645642</v>
      </c>
      <c r="S18" s="394">
        <v>4130113</v>
      </c>
      <c r="T18" s="419">
        <f t="shared" si="1"/>
        <v>-0.9935030833296813</v>
      </c>
      <c r="U18" s="398">
        <v>4156946</v>
      </c>
      <c r="V18" s="359">
        <v>619815</v>
      </c>
      <c r="W18" s="374">
        <f>+U18/V18</f>
        <v>6.706752821406387</v>
      </c>
      <c r="X18" s="280"/>
      <c r="Y18" s="280"/>
    </row>
    <row r="19" spans="1:25" s="282" customFormat="1" ht="18">
      <c r="A19" s="279">
        <f t="shared" si="0"/>
        <v>15</v>
      </c>
      <c r="B19" s="296"/>
      <c r="C19" s="354" t="s">
        <v>68</v>
      </c>
      <c r="D19" s="355">
        <v>38758</v>
      </c>
      <c r="E19" s="356" t="s">
        <v>211</v>
      </c>
      <c r="F19" s="390">
        <v>80</v>
      </c>
      <c r="G19" s="386">
        <v>32</v>
      </c>
      <c r="H19" s="390">
        <v>8</v>
      </c>
      <c r="I19" s="394">
        <v>5657</v>
      </c>
      <c r="J19" s="403">
        <v>1145</v>
      </c>
      <c r="K19" s="398">
        <v>11105.5</v>
      </c>
      <c r="L19" s="403">
        <v>2206</v>
      </c>
      <c r="M19" s="398">
        <v>9719.5</v>
      </c>
      <c r="N19" s="403">
        <v>1902</v>
      </c>
      <c r="O19" s="408">
        <f>I19+K19+M19</f>
        <v>26482</v>
      </c>
      <c r="P19" s="357">
        <f>J19+L19+N19</f>
        <v>5253</v>
      </c>
      <c r="Q19" s="358">
        <f>P19/G19</f>
        <v>164.15625</v>
      </c>
      <c r="R19" s="416">
        <f>O19/P19</f>
        <v>5.041309727774605</v>
      </c>
      <c r="S19" s="394">
        <v>67587.5</v>
      </c>
      <c r="T19" s="419">
        <f t="shared" si="1"/>
        <v>-0.6081819863140373</v>
      </c>
      <c r="U19" s="398">
        <v>3166901.5</v>
      </c>
      <c r="V19" s="359">
        <v>504667</v>
      </c>
      <c r="W19" s="374">
        <f>+U19/V19</f>
        <v>6.275230003150592</v>
      </c>
      <c r="X19" s="280"/>
      <c r="Y19" s="280"/>
    </row>
    <row r="20" spans="1:25" s="282" customFormat="1" ht="18">
      <c r="A20" s="279">
        <f t="shared" si="0"/>
        <v>16</v>
      </c>
      <c r="B20" s="296"/>
      <c r="C20" s="348" t="s">
        <v>70</v>
      </c>
      <c r="D20" s="349">
        <v>38779</v>
      </c>
      <c r="E20" s="350" t="s">
        <v>210</v>
      </c>
      <c r="F20" s="389">
        <v>72</v>
      </c>
      <c r="G20" s="385">
        <v>62</v>
      </c>
      <c r="H20" s="389">
        <v>5</v>
      </c>
      <c r="I20" s="393">
        <v>5247</v>
      </c>
      <c r="J20" s="402">
        <v>1404</v>
      </c>
      <c r="K20" s="397">
        <v>9762</v>
      </c>
      <c r="L20" s="402">
        <v>1848</v>
      </c>
      <c r="M20" s="397">
        <v>9337</v>
      </c>
      <c r="N20" s="402">
        <v>1741</v>
      </c>
      <c r="O20" s="407">
        <f>+I20+K20+M20</f>
        <v>24346</v>
      </c>
      <c r="P20" s="353">
        <f>+J20+L20+N20</f>
        <v>4993</v>
      </c>
      <c r="Q20" s="352">
        <f>IF(O20&lt;&gt;0,P20/G20,"")</f>
        <v>80.53225806451613</v>
      </c>
      <c r="R20" s="415">
        <f>IF(O20&lt;&gt;0,O20/P20,"")</f>
        <v>4.8760264370118165</v>
      </c>
      <c r="S20" s="413">
        <v>50511</v>
      </c>
      <c r="T20" s="419">
        <f t="shared" si="1"/>
        <v>-0.5180059788956861</v>
      </c>
      <c r="U20" s="397">
        <v>893827</v>
      </c>
      <c r="V20" s="351">
        <v>124815</v>
      </c>
      <c r="W20" s="373">
        <f>U20/V20</f>
        <v>7.161214597604455</v>
      </c>
      <c r="X20" s="280"/>
      <c r="Y20" s="280"/>
    </row>
    <row r="21" spans="1:25" s="282" customFormat="1" ht="18">
      <c r="A21" s="279">
        <f t="shared" si="0"/>
        <v>17</v>
      </c>
      <c r="B21" s="296"/>
      <c r="C21" s="354" t="s">
        <v>302</v>
      </c>
      <c r="D21" s="355">
        <v>38751</v>
      </c>
      <c r="E21" s="356" t="s">
        <v>212</v>
      </c>
      <c r="F21" s="390">
        <v>277</v>
      </c>
      <c r="G21" s="386">
        <v>30</v>
      </c>
      <c r="H21" s="390">
        <v>9</v>
      </c>
      <c r="I21" s="394">
        <v>2376</v>
      </c>
      <c r="J21" s="403">
        <v>926</v>
      </c>
      <c r="K21" s="398">
        <v>5730</v>
      </c>
      <c r="L21" s="403">
        <v>1520</v>
      </c>
      <c r="M21" s="398">
        <v>5835.5</v>
      </c>
      <c r="N21" s="403">
        <v>1511</v>
      </c>
      <c r="O21" s="408">
        <f>+M21+K21+I21</f>
        <v>13941.5</v>
      </c>
      <c r="P21" s="357">
        <f>+N21+L21+J21</f>
        <v>3957</v>
      </c>
      <c r="Q21" s="359">
        <f>+P21/G21</f>
        <v>131.9</v>
      </c>
      <c r="R21" s="417">
        <f>+O21/P21</f>
        <v>3.523249936820824</v>
      </c>
      <c r="S21" s="394">
        <v>27317040</v>
      </c>
      <c r="T21" s="419">
        <f t="shared" si="1"/>
        <v>-0.9994896408981354</v>
      </c>
      <c r="U21" s="398">
        <v>27330981.5</v>
      </c>
      <c r="V21" s="359">
        <v>4208701</v>
      </c>
      <c r="W21" s="374">
        <f>+U21/V21</f>
        <v>6.493923303175968</v>
      </c>
      <c r="X21" s="280"/>
      <c r="Y21" s="280"/>
    </row>
    <row r="22" spans="1:25" s="282" customFormat="1" ht="18">
      <c r="A22" s="279">
        <f t="shared" si="0"/>
        <v>18</v>
      </c>
      <c r="B22" s="296"/>
      <c r="C22" s="354" t="s">
        <v>75</v>
      </c>
      <c r="D22" s="355">
        <v>38786</v>
      </c>
      <c r="E22" s="356" t="s">
        <v>220</v>
      </c>
      <c r="F22" s="390">
        <v>30</v>
      </c>
      <c r="G22" s="386">
        <v>30</v>
      </c>
      <c r="H22" s="390">
        <v>4</v>
      </c>
      <c r="I22" s="394">
        <v>1944.5</v>
      </c>
      <c r="J22" s="403">
        <v>384</v>
      </c>
      <c r="K22" s="398">
        <v>4822.5</v>
      </c>
      <c r="L22" s="403">
        <v>941</v>
      </c>
      <c r="M22" s="398">
        <v>4796</v>
      </c>
      <c r="N22" s="403">
        <v>933</v>
      </c>
      <c r="O22" s="408">
        <f>I22+K22+M22</f>
        <v>11563</v>
      </c>
      <c r="P22" s="357">
        <f>J22+L22+N22</f>
        <v>2258</v>
      </c>
      <c r="Q22" s="358">
        <f>P22/G22</f>
        <v>75.26666666666667</v>
      </c>
      <c r="R22" s="416">
        <f>O22/P22</f>
        <v>5.120903454384411</v>
      </c>
      <c r="S22" s="394">
        <v>10298</v>
      </c>
      <c r="T22" s="419">
        <f t="shared" si="1"/>
        <v>0.12283938628859972</v>
      </c>
      <c r="U22" s="398">
        <v>165903.5</v>
      </c>
      <c r="V22" s="359">
        <v>23609</v>
      </c>
      <c r="W22" s="374">
        <f>+U22/V22</f>
        <v>7.027129484518616</v>
      </c>
      <c r="X22" s="280"/>
      <c r="Y22" s="280"/>
    </row>
    <row r="23" spans="1:25" s="282" customFormat="1" ht="18">
      <c r="A23" s="279">
        <f t="shared" si="0"/>
        <v>19</v>
      </c>
      <c r="B23" s="296"/>
      <c r="C23" s="348" t="s">
        <v>281</v>
      </c>
      <c r="D23" s="349">
        <v>38793</v>
      </c>
      <c r="E23" s="350" t="s">
        <v>215</v>
      </c>
      <c r="F23" s="389">
        <v>71</v>
      </c>
      <c r="G23" s="385">
        <v>43</v>
      </c>
      <c r="H23" s="389">
        <v>3</v>
      </c>
      <c r="I23" s="393">
        <v>1903.5</v>
      </c>
      <c r="J23" s="402">
        <v>375</v>
      </c>
      <c r="K23" s="397">
        <v>3449</v>
      </c>
      <c r="L23" s="402">
        <v>640</v>
      </c>
      <c r="M23" s="397">
        <v>4126.5</v>
      </c>
      <c r="N23" s="402">
        <v>745</v>
      </c>
      <c r="O23" s="407">
        <f>+I23+K23+M23</f>
        <v>9479</v>
      </c>
      <c r="P23" s="353">
        <f>+J23+L23+N23</f>
        <v>1760</v>
      </c>
      <c r="Q23" s="352">
        <f>IF(O23&lt;&gt;0,P23/G23,"")</f>
        <v>40.93023255813954</v>
      </c>
      <c r="R23" s="415">
        <f>IF(O23&lt;&gt;0,O23/P23,"")</f>
        <v>5.3857954545454545</v>
      </c>
      <c r="S23" s="397">
        <v>43117.5</v>
      </c>
      <c r="T23" s="419">
        <f t="shared" si="1"/>
        <v>-0.7801588682089639</v>
      </c>
      <c r="U23" s="397">
        <f>204315+9479</f>
        <v>213794</v>
      </c>
      <c r="V23" s="351">
        <f>30383+1760</f>
        <v>32143</v>
      </c>
      <c r="W23" s="373">
        <f>IF(U23&lt;&gt;0,U23/V23,"")</f>
        <v>6.651339327380767</v>
      </c>
      <c r="X23" s="280"/>
      <c r="Y23" s="280"/>
    </row>
    <row r="24" spans="1:25" s="282" customFormat="1" ht="18">
      <c r="A24" s="279">
        <f t="shared" si="0"/>
        <v>20</v>
      </c>
      <c r="B24" s="296"/>
      <c r="C24" s="354" t="s">
        <v>218</v>
      </c>
      <c r="D24" s="355">
        <v>38793</v>
      </c>
      <c r="E24" s="356" t="s">
        <v>219</v>
      </c>
      <c r="F24" s="390">
        <v>33</v>
      </c>
      <c r="G24" s="386">
        <v>32</v>
      </c>
      <c r="H24" s="390">
        <v>3</v>
      </c>
      <c r="I24" s="394">
        <v>1834.5</v>
      </c>
      <c r="J24" s="403">
        <v>296</v>
      </c>
      <c r="K24" s="398">
        <v>3635</v>
      </c>
      <c r="L24" s="403">
        <v>559</v>
      </c>
      <c r="M24" s="398">
        <v>3770</v>
      </c>
      <c r="N24" s="403">
        <v>587</v>
      </c>
      <c r="O24" s="408">
        <f>+M24+K24+I24</f>
        <v>9239.5</v>
      </c>
      <c r="P24" s="357">
        <f>+N24+L24+J24</f>
        <v>1442</v>
      </c>
      <c r="Q24" s="359">
        <f>+P24/G24</f>
        <v>45.0625</v>
      </c>
      <c r="R24" s="417">
        <f>+O24/P24</f>
        <v>6.407420249653259</v>
      </c>
      <c r="S24" s="394">
        <v>89931</v>
      </c>
      <c r="T24" s="419">
        <f t="shared" si="1"/>
        <v>-0.8972601216488196</v>
      </c>
      <c r="U24" s="398">
        <v>99170.5</v>
      </c>
      <c r="V24" s="359">
        <v>13101</v>
      </c>
      <c r="W24" s="374">
        <f>+U24/V24</f>
        <v>7.569689336691855</v>
      </c>
      <c r="X24" s="280"/>
      <c r="Y24" s="280"/>
    </row>
    <row r="25" spans="1:25" s="282" customFormat="1" ht="18">
      <c r="A25" s="279">
        <f t="shared" si="0"/>
        <v>21</v>
      </c>
      <c r="B25" s="296"/>
      <c r="C25" s="348" t="s">
        <v>76</v>
      </c>
      <c r="D25" s="349">
        <v>38765</v>
      </c>
      <c r="E25" s="350" t="s">
        <v>221</v>
      </c>
      <c r="F25" s="389">
        <v>12</v>
      </c>
      <c r="G25" s="385">
        <v>12</v>
      </c>
      <c r="H25" s="389">
        <v>7</v>
      </c>
      <c r="I25" s="393">
        <v>1446.5</v>
      </c>
      <c r="J25" s="402">
        <v>344</v>
      </c>
      <c r="K25" s="397">
        <v>2897</v>
      </c>
      <c r="L25" s="402">
        <v>608</v>
      </c>
      <c r="M25" s="397">
        <v>2580</v>
      </c>
      <c r="N25" s="402">
        <v>538</v>
      </c>
      <c r="O25" s="407">
        <f>+I25+K25+M25</f>
        <v>6923.5</v>
      </c>
      <c r="P25" s="353">
        <f>+J25+L25+N25</f>
        <v>1490</v>
      </c>
      <c r="Q25" s="352">
        <f>IF(O25&lt;&gt;0,P25/G25,"")</f>
        <v>124.16666666666667</v>
      </c>
      <c r="R25" s="415">
        <f>IF(O25&lt;&gt;0,O25/P25,"")</f>
        <v>4.646644295302013</v>
      </c>
      <c r="S25" s="397">
        <v>22528</v>
      </c>
      <c r="T25" s="419">
        <f t="shared" si="1"/>
        <v>-0.6926713423295454</v>
      </c>
      <c r="U25" s="397">
        <v>705587.5</v>
      </c>
      <c r="V25" s="351">
        <v>78997</v>
      </c>
      <c r="W25" s="373">
        <f>U25/V25</f>
        <v>8.931826525057913</v>
      </c>
      <c r="X25" s="280"/>
      <c r="Y25" s="280"/>
    </row>
    <row r="26" spans="1:25" s="282" customFormat="1" ht="18">
      <c r="A26" s="279">
        <f t="shared" si="0"/>
        <v>22</v>
      </c>
      <c r="B26" s="296"/>
      <c r="C26" s="348" t="s">
        <v>138</v>
      </c>
      <c r="D26" s="349">
        <v>38751</v>
      </c>
      <c r="E26" s="350" t="s">
        <v>217</v>
      </c>
      <c r="F26" s="389">
        <v>51</v>
      </c>
      <c r="G26" s="385">
        <v>8</v>
      </c>
      <c r="H26" s="389">
        <v>9</v>
      </c>
      <c r="I26" s="393">
        <v>1395</v>
      </c>
      <c r="J26" s="402">
        <v>288</v>
      </c>
      <c r="K26" s="397">
        <v>3155</v>
      </c>
      <c r="L26" s="402">
        <v>645</v>
      </c>
      <c r="M26" s="397">
        <v>2339</v>
      </c>
      <c r="N26" s="402">
        <v>496</v>
      </c>
      <c r="O26" s="407">
        <f>+I26+K26+M26</f>
        <v>6889</v>
      </c>
      <c r="P26" s="353">
        <f>+J26+L26+N26</f>
        <v>1429</v>
      </c>
      <c r="Q26" s="352">
        <f>IF(O26&lt;&gt;0,P26/G26,"")</f>
        <v>178.625</v>
      </c>
      <c r="R26" s="415">
        <f>IF(O26&lt;&gt;0,O26/P26,"")</f>
        <v>4.820853743876837</v>
      </c>
      <c r="S26" s="397">
        <v>10697</v>
      </c>
      <c r="T26" s="419">
        <f t="shared" si="1"/>
        <v>-0.3559876600916145</v>
      </c>
      <c r="U26" s="397">
        <v>1299616</v>
      </c>
      <c r="V26" s="351">
        <v>167425</v>
      </c>
      <c r="W26" s="373">
        <f>U26/V26</f>
        <v>7.762377183813648</v>
      </c>
      <c r="X26" s="280"/>
      <c r="Y26" s="280"/>
    </row>
    <row r="27" spans="1:25" s="282" customFormat="1" ht="18">
      <c r="A27" s="279">
        <f t="shared" si="0"/>
        <v>23</v>
      </c>
      <c r="B27" s="296"/>
      <c r="C27" s="354" t="s">
        <v>224</v>
      </c>
      <c r="D27" s="355">
        <v>38772</v>
      </c>
      <c r="E27" s="356" t="s">
        <v>225</v>
      </c>
      <c r="F27" s="390">
        <v>49</v>
      </c>
      <c r="G27" s="386">
        <v>17</v>
      </c>
      <c r="H27" s="390">
        <v>6</v>
      </c>
      <c r="I27" s="394">
        <v>1527.5</v>
      </c>
      <c r="J27" s="403">
        <v>467</v>
      </c>
      <c r="K27" s="398">
        <v>2727.5</v>
      </c>
      <c r="L27" s="403">
        <v>702</v>
      </c>
      <c r="M27" s="398">
        <v>2378.5</v>
      </c>
      <c r="N27" s="403">
        <v>635</v>
      </c>
      <c r="O27" s="408">
        <f>I27+K27+M27</f>
        <v>6633.5</v>
      </c>
      <c r="P27" s="357">
        <f>J27+L27+N27</f>
        <v>1804</v>
      </c>
      <c r="Q27" s="358">
        <f>P27/G27</f>
        <v>106.11764705882354</v>
      </c>
      <c r="R27" s="416">
        <f>O27/P27</f>
        <v>3.6771064301552108</v>
      </c>
      <c r="S27" s="394">
        <v>6414.5</v>
      </c>
      <c r="T27" s="419">
        <f t="shared" si="1"/>
        <v>0.034141398394263</v>
      </c>
      <c r="U27" s="398">
        <v>311834.5</v>
      </c>
      <c r="V27" s="359">
        <v>47631</v>
      </c>
      <c r="W27" s="374">
        <f>+U27/V27</f>
        <v>6.5468812328105646</v>
      </c>
      <c r="X27" s="280"/>
      <c r="Y27" s="280"/>
    </row>
    <row r="28" spans="1:25" s="282" customFormat="1" ht="18">
      <c r="A28" s="279">
        <f t="shared" si="0"/>
        <v>24</v>
      </c>
      <c r="B28" s="296"/>
      <c r="C28" s="348" t="s">
        <v>72</v>
      </c>
      <c r="D28" s="349">
        <v>38772</v>
      </c>
      <c r="E28" s="350" t="s">
        <v>216</v>
      </c>
      <c r="F28" s="389">
        <v>11</v>
      </c>
      <c r="G28" s="385">
        <v>11</v>
      </c>
      <c r="H28" s="389">
        <v>6</v>
      </c>
      <c r="I28" s="393">
        <v>1095</v>
      </c>
      <c r="J28" s="402">
        <v>258</v>
      </c>
      <c r="K28" s="397">
        <v>2101</v>
      </c>
      <c r="L28" s="402">
        <v>490</v>
      </c>
      <c r="M28" s="397">
        <v>2086</v>
      </c>
      <c r="N28" s="402">
        <v>466</v>
      </c>
      <c r="O28" s="407">
        <f aca="true" t="shared" si="4" ref="O28:P31">+I28+K28+M28</f>
        <v>5282</v>
      </c>
      <c r="P28" s="353">
        <f t="shared" si="4"/>
        <v>1214</v>
      </c>
      <c r="Q28" s="352">
        <f>IF(O28&lt;&gt;0,P28/G28,"")</f>
        <v>110.36363636363636</v>
      </c>
      <c r="R28" s="415">
        <f>IF(O28&lt;&gt;0,O28/P28,"")</f>
        <v>4.350906095551895</v>
      </c>
      <c r="S28" s="397">
        <v>11659.5</v>
      </c>
      <c r="T28" s="419">
        <f t="shared" si="1"/>
        <v>-0.5469788584416141</v>
      </c>
      <c r="U28" s="397">
        <v>1090977.5</v>
      </c>
      <c r="V28" s="351">
        <v>142888</v>
      </c>
      <c r="W28" s="373">
        <f>U28/V28</f>
        <v>7.635193298247579</v>
      </c>
      <c r="X28" s="280"/>
      <c r="Y28" s="280"/>
    </row>
    <row r="29" spans="1:25" s="282" customFormat="1" ht="18">
      <c r="A29" s="279">
        <f t="shared" si="0"/>
        <v>25</v>
      </c>
      <c r="B29" s="296"/>
      <c r="C29" s="348" t="s">
        <v>69</v>
      </c>
      <c r="D29" s="349">
        <v>38779</v>
      </c>
      <c r="E29" s="350" t="s">
        <v>203</v>
      </c>
      <c r="F29" s="389">
        <v>17</v>
      </c>
      <c r="G29" s="385">
        <v>17</v>
      </c>
      <c r="H29" s="389">
        <v>5</v>
      </c>
      <c r="I29" s="393">
        <v>1017.5</v>
      </c>
      <c r="J29" s="402">
        <v>224</v>
      </c>
      <c r="K29" s="397">
        <v>1949</v>
      </c>
      <c r="L29" s="402">
        <v>416</v>
      </c>
      <c r="M29" s="397">
        <v>2109.5</v>
      </c>
      <c r="N29" s="402">
        <v>459</v>
      </c>
      <c r="O29" s="407">
        <f t="shared" si="4"/>
        <v>5076</v>
      </c>
      <c r="P29" s="353">
        <f t="shared" si="4"/>
        <v>1099</v>
      </c>
      <c r="Q29" s="352">
        <f>IF(O29&lt;&gt;0,P29/G29,"")</f>
        <v>64.6470588235294</v>
      </c>
      <c r="R29" s="415">
        <f>IF(O29&lt;&gt;0,O29/P29,"")</f>
        <v>4.618744313011829</v>
      </c>
      <c r="S29" s="397">
        <v>18949</v>
      </c>
      <c r="T29" s="419">
        <f t="shared" si="1"/>
        <v>-0.7321230671803262</v>
      </c>
      <c r="U29" s="397">
        <v>1072005.5</v>
      </c>
      <c r="V29" s="351">
        <v>140177</v>
      </c>
      <c r="W29" s="373">
        <f>U29/V29</f>
        <v>7.647513500788289</v>
      </c>
      <c r="X29" s="280"/>
      <c r="Y29" s="280"/>
    </row>
    <row r="30" spans="1:25" s="282" customFormat="1" ht="18">
      <c r="A30" s="279">
        <f t="shared" si="0"/>
        <v>26</v>
      </c>
      <c r="B30" s="296"/>
      <c r="C30" s="348" t="s">
        <v>303</v>
      </c>
      <c r="D30" s="349">
        <v>38386</v>
      </c>
      <c r="E30" s="350" t="s">
        <v>304</v>
      </c>
      <c r="F30" s="389">
        <v>5</v>
      </c>
      <c r="G30" s="385">
        <v>1</v>
      </c>
      <c r="H30" s="389">
        <v>34</v>
      </c>
      <c r="I30" s="393">
        <v>1500</v>
      </c>
      <c r="J30" s="402">
        <v>750</v>
      </c>
      <c r="K30" s="397">
        <v>1500</v>
      </c>
      <c r="L30" s="402">
        <v>750</v>
      </c>
      <c r="M30" s="397">
        <v>2000</v>
      </c>
      <c r="N30" s="402">
        <v>1000</v>
      </c>
      <c r="O30" s="407">
        <f t="shared" si="4"/>
        <v>5000</v>
      </c>
      <c r="P30" s="353">
        <f t="shared" si="4"/>
        <v>2500</v>
      </c>
      <c r="Q30" s="352">
        <f>IF(O30&lt;&gt;0,P30/G30,"")</f>
        <v>2500</v>
      </c>
      <c r="R30" s="415">
        <f>IF(O30&lt;&gt;0,O30/P30,"")</f>
        <v>2</v>
      </c>
      <c r="S30" s="397">
        <v>920</v>
      </c>
      <c r="T30" s="419">
        <f t="shared" si="1"/>
        <v>4.434782608695652</v>
      </c>
      <c r="U30" s="397">
        <v>117637</v>
      </c>
      <c r="V30" s="351">
        <v>20810</v>
      </c>
      <c r="W30" s="373">
        <f>U30/V30</f>
        <v>5.652907256126862</v>
      </c>
      <c r="X30" s="280"/>
      <c r="Y30" s="280"/>
    </row>
    <row r="31" spans="1:25" s="282" customFormat="1" ht="18">
      <c r="A31" s="279">
        <f t="shared" si="0"/>
        <v>27</v>
      </c>
      <c r="B31" s="296"/>
      <c r="C31" s="348" t="s">
        <v>73</v>
      </c>
      <c r="D31" s="349">
        <v>38772</v>
      </c>
      <c r="E31" s="350" t="s">
        <v>217</v>
      </c>
      <c r="F31" s="389">
        <v>62</v>
      </c>
      <c r="G31" s="385">
        <v>17</v>
      </c>
      <c r="H31" s="389">
        <v>6</v>
      </c>
      <c r="I31" s="393">
        <v>686</v>
      </c>
      <c r="J31" s="402">
        <v>117</v>
      </c>
      <c r="K31" s="397">
        <v>2287</v>
      </c>
      <c r="L31" s="402">
        <v>314</v>
      </c>
      <c r="M31" s="397">
        <v>1773</v>
      </c>
      <c r="N31" s="402">
        <v>301</v>
      </c>
      <c r="O31" s="407">
        <f t="shared" si="4"/>
        <v>4746</v>
      </c>
      <c r="P31" s="353">
        <f t="shared" si="4"/>
        <v>732</v>
      </c>
      <c r="Q31" s="352">
        <f>IF(O31&lt;&gt;0,P31/G31,"")</f>
        <v>43.05882352941177</v>
      </c>
      <c r="R31" s="415">
        <f>IF(O31&lt;&gt;0,O31/P31,"")</f>
        <v>6.483606557377049</v>
      </c>
      <c r="S31" s="397">
        <v>15890</v>
      </c>
      <c r="T31" s="419">
        <f t="shared" si="1"/>
        <v>-0.7013215859030837</v>
      </c>
      <c r="U31" s="397">
        <v>800109</v>
      </c>
      <c r="V31" s="351">
        <v>103356</v>
      </c>
      <c r="W31" s="373">
        <f>U31/V31</f>
        <v>7.741292232671543</v>
      </c>
      <c r="X31" s="280"/>
      <c r="Y31" s="280"/>
    </row>
    <row r="32" spans="1:25" s="282" customFormat="1" ht="18">
      <c r="A32" s="279">
        <f t="shared" si="0"/>
        <v>28</v>
      </c>
      <c r="B32" s="296"/>
      <c r="C32" s="348" t="s">
        <v>222</v>
      </c>
      <c r="D32" s="349">
        <v>38793</v>
      </c>
      <c r="E32" s="350" t="s">
        <v>223</v>
      </c>
      <c r="F32" s="389">
        <v>4</v>
      </c>
      <c r="G32" s="385">
        <v>3</v>
      </c>
      <c r="H32" s="389">
        <v>3</v>
      </c>
      <c r="I32" s="395">
        <v>745</v>
      </c>
      <c r="J32" s="404">
        <v>82</v>
      </c>
      <c r="K32" s="399">
        <v>1741</v>
      </c>
      <c r="L32" s="404">
        <v>196</v>
      </c>
      <c r="M32" s="399">
        <v>2134.5</v>
      </c>
      <c r="N32" s="404">
        <v>246</v>
      </c>
      <c r="O32" s="408">
        <f>I32+K32+M32</f>
        <v>4620.5</v>
      </c>
      <c r="P32" s="357">
        <f>J32+L32+N32</f>
        <v>524</v>
      </c>
      <c r="Q32" s="358">
        <f>P32/G32</f>
        <v>174.66666666666666</v>
      </c>
      <c r="R32" s="416">
        <f>O32/P32</f>
        <v>8.817748091603054</v>
      </c>
      <c r="S32" s="399">
        <v>22406</v>
      </c>
      <c r="T32" s="419">
        <f t="shared" si="1"/>
        <v>-0.7937829152905471</v>
      </c>
      <c r="U32" s="399">
        <v>73799.5</v>
      </c>
      <c r="V32" s="362">
        <v>8032</v>
      </c>
      <c r="W32" s="374">
        <f>+U32/V32</f>
        <v>9.188184760956176</v>
      </c>
      <c r="X32" s="280"/>
      <c r="Y32" s="280"/>
    </row>
    <row r="33" spans="1:25" s="282" customFormat="1" ht="18">
      <c r="A33" s="279">
        <f t="shared" si="0"/>
        <v>29</v>
      </c>
      <c r="B33" s="296"/>
      <c r="C33" s="348" t="s">
        <v>282</v>
      </c>
      <c r="D33" s="349">
        <v>38786</v>
      </c>
      <c r="E33" s="350" t="s">
        <v>213</v>
      </c>
      <c r="F33" s="389">
        <v>63</v>
      </c>
      <c r="G33" s="385">
        <v>16</v>
      </c>
      <c r="H33" s="389">
        <v>4</v>
      </c>
      <c r="I33" s="393">
        <v>601</v>
      </c>
      <c r="J33" s="402">
        <v>107</v>
      </c>
      <c r="K33" s="397">
        <v>1980</v>
      </c>
      <c r="L33" s="402">
        <v>375</v>
      </c>
      <c r="M33" s="397">
        <v>1798</v>
      </c>
      <c r="N33" s="402">
        <v>328</v>
      </c>
      <c r="O33" s="407">
        <f>+I33+K33+M33</f>
        <v>4379</v>
      </c>
      <c r="P33" s="353">
        <f>+J33+L33+N33</f>
        <v>810</v>
      </c>
      <c r="Q33" s="352">
        <f>IF(O33&lt;&gt;0,P33/G33,"")</f>
        <v>50.625</v>
      </c>
      <c r="R33" s="415">
        <f>IF(O33&lt;&gt;0,O33/P33,"")</f>
        <v>5.406172839506173</v>
      </c>
      <c r="S33" s="397">
        <v>36231</v>
      </c>
      <c r="T33" s="419">
        <f t="shared" si="1"/>
        <v>-0.8791366509342828</v>
      </c>
      <c r="U33" s="397">
        <v>467530</v>
      </c>
      <c r="V33" s="351">
        <v>56233</v>
      </c>
      <c r="W33" s="373">
        <f>U33/V33</f>
        <v>8.314157167499511</v>
      </c>
      <c r="X33" s="280"/>
      <c r="Y33" s="280"/>
    </row>
    <row r="34" spans="1:24" s="282" customFormat="1" ht="18">
      <c r="A34" s="279">
        <f t="shared" si="0"/>
        <v>30</v>
      </c>
      <c r="B34" s="296"/>
      <c r="C34" s="354" t="s">
        <v>154</v>
      </c>
      <c r="D34" s="355">
        <v>38723</v>
      </c>
      <c r="E34" s="356" t="s">
        <v>233</v>
      </c>
      <c r="F34" s="390">
        <v>199</v>
      </c>
      <c r="G34" s="386">
        <v>5</v>
      </c>
      <c r="H34" s="390">
        <v>13</v>
      </c>
      <c r="I34" s="394">
        <v>693</v>
      </c>
      <c r="J34" s="403">
        <v>539</v>
      </c>
      <c r="K34" s="398">
        <v>1064</v>
      </c>
      <c r="L34" s="403">
        <v>625</v>
      </c>
      <c r="M34" s="398">
        <v>1023</v>
      </c>
      <c r="N34" s="403">
        <v>612</v>
      </c>
      <c r="O34" s="408">
        <f>+M34+K34+I34</f>
        <v>2780</v>
      </c>
      <c r="P34" s="357">
        <f>+N34+L34+J34</f>
        <v>1776</v>
      </c>
      <c r="Q34" s="359">
        <f>+P34/G34</f>
        <v>355.2</v>
      </c>
      <c r="R34" s="417">
        <f>+O34/P34</f>
        <v>1.5653153153153154</v>
      </c>
      <c r="S34" s="394">
        <v>6504385.1</v>
      </c>
      <c r="T34" s="419">
        <f t="shared" si="1"/>
        <v>-0.9995725960321753</v>
      </c>
      <c r="U34" s="398">
        <v>6507165.1</v>
      </c>
      <c r="V34" s="359">
        <v>992389</v>
      </c>
      <c r="W34" s="374">
        <f>+U34/V34</f>
        <v>6.557070967130833</v>
      </c>
      <c r="X34" s="280"/>
    </row>
    <row r="35" spans="1:26" s="282" customFormat="1" ht="18">
      <c r="A35" s="279">
        <f t="shared" si="0"/>
        <v>31</v>
      </c>
      <c r="B35" s="296"/>
      <c r="C35" s="348" t="s">
        <v>82</v>
      </c>
      <c r="D35" s="349">
        <v>38765</v>
      </c>
      <c r="E35" s="350" t="s">
        <v>217</v>
      </c>
      <c r="F35" s="389">
        <v>41</v>
      </c>
      <c r="G35" s="385">
        <v>7</v>
      </c>
      <c r="H35" s="389">
        <v>7</v>
      </c>
      <c r="I35" s="393">
        <v>415</v>
      </c>
      <c r="J35" s="402">
        <v>100</v>
      </c>
      <c r="K35" s="397">
        <v>1188</v>
      </c>
      <c r="L35" s="402">
        <v>287</v>
      </c>
      <c r="M35" s="397">
        <v>1059</v>
      </c>
      <c r="N35" s="402">
        <v>307</v>
      </c>
      <c r="O35" s="407">
        <f>+I35+K35+M35</f>
        <v>2662</v>
      </c>
      <c r="P35" s="353">
        <f>+J35+L35+N35</f>
        <v>694</v>
      </c>
      <c r="Q35" s="352">
        <f>IF(O35&lt;&gt;0,P35/G35,"")</f>
        <v>99.14285714285714</v>
      </c>
      <c r="R35" s="415">
        <f>IF(O35&lt;&gt;0,O35/P35,"")</f>
        <v>3.835734870317003</v>
      </c>
      <c r="S35" s="397">
        <v>2629</v>
      </c>
      <c r="T35" s="419">
        <f t="shared" si="1"/>
        <v>0.012552301255230125</v>
      </c>
      <c r="U35" s="397">
        <v>323061</v>
      </c>
      <c r="V35" s="351">
        <v>43164</v>
      </c>
      <c r="W35" s="373">
        <f aca="true" t="shared" si="5" ref="W35:W41">U35/V35</f>
        <v>7.484500973033083</v>
      </c>
      <c r="X35" s="280"/>
      <c r="Z35" s="280"/>
    </row>
    <row r="36" spans="1:26" s="281" customFormat="1" ht="18">
      <c r="A36" s="279">
        <f t="shared" si="0"/>
        <v>32</v>
      </c>
      <c r="B36" s="296"/>
      <c r="C36" s="363" t="s">
        <v>305</v>
      </c>
      <c r="D36" s="364">
        <v>38744</v>
      </c>
      <c r="E36" s="363" t="s">
        <v>306</v>
      </c>
      <c r="F36" s="391">
        <v>7</v>
      </c>
      <c r="G36" s="387">
        <v>8</v>
      </c>
      <c r="H36" s="391">
        <v>7</v>
      </c>
      <c r="I36" s="396">
        <v>444</v>
      </c>
      <c r="J36" s="405">
        <v>79</v>
      </c>
      <c r="K36" s="400">
        <v>895</v>
      </c>
      <c r="L36" s="405">
        <v>158</v>
      </c>
      <c r="M36" s="400">
        <v>653</v>
      </c>
      <c r="N36" s="405">
        <v>110</v>
      </c>
      <c r="O36" s="409">
        <f>I36+K36+M36</f>
        <v>1992</v>
      </c>
      <c r="P36" s="365">
        <f>J36+L36+N36</f>
        <v>347</v>
      </c>
      <c r="Q36" s="365">
        <f>P36/G36</f>
        <v>43.375</v>
      </c>
      <c r="R36" s="416">
        <f>O36/P36</f>
        <v>5.740634005763689</v>
      </c>
      <c r="S36" s="400"/>
      <c r="T36" s="419">
        <f t="shared" si="1"/>
      </c>
      <c r="U36" s="400">
        <v>42684.5</v>
      </c>
      <c r="V36" s="358">
        <v>6158</v>
      </c>
      <c r="W36" s="375">
        <f t="shared" si="5"/>
        <v>6.931552452094836</v>
      </c>
      <c r="X36" s="280"/>
      <c r="Z36" s="280"/>
    </row>
    <row r="37" spans="1:24" s="281" customFormat="1" ht="18">
      <c r="A37" s="279">
        <f t="shared" si="0"/>
        <v>33</v>
      </c>
      <c r="B37" s="296"/>
      <c r="C37" s="363" t="s">
        <v>260</v>
      </c>
      <c r="D37" s="364">
        <v>38758</v>
      </c>
      <c r="E37" s="363" t="s">
        <v>261</v>
      </c>
      <c r="F37" s="391">
        <v>4</v>
      </c>
      <c r="G37" s="387">
        <v>4</v>
      </c>
      <c r="H37" s="391">
        <v>8</v>
      </c>
      <c r="I37" s="396">
        <v>600</v>
      </c>
      <c r="J37" s="405">
        <v>177</v>
      </c>
      <c r="K37" s="400">
        <v>615.5</v>
      </c>
      <c r="L37" s="405">
        <v>111</v>
      </c>
      <c r="M37" s="400">
        <v>759</v>
      </c>
      <c r="N37" s="405">
        <v>142</v>
      </c>
      <c r="O37" s="409">
        <f>I37+K37+M37</f>
        <v>1974.5</v>
      </c>
      <c r="P37" s="365">
        <f>J37+L37+N37</f>
        <v>430</v>
      </c>
      <c r="Q37" s="365">
        <f>P37/G37</f>
        <v>107.5</v>
      </c>
      <c r="R37" s="416">
        <f>O37/P37</f>
        <v>4.591860465116279</v>
      </c>
      <c r="S37" s="400">
        <v>3200</v>
      </c>
      <c r="T37" s="419">
        <f t="shared" si="1"/>
        <v>-0.38296875</v>
      </c>
      <c r="U37" s="400">
        <v>37755</v>
      </c>
      <c r="V37" s="358">
        <v>6105</v>
      </c>
      <c r="W37" s="375">
        <f t="shared" si="5"/>
        <v>6.184275184275184</v>
      </c>
      <c r="X37" s="280"/>
    </row>
    <row r="38" spans="1:26" s="281" customFormat="1" ht="18">
      <c r="A38" s="279">
        <f t="shared" si="0"/>
        <v>34</v>
      </c>
      <c r="B38" s="296"/>
      <c r="C38" s="348" t="s">
        <v>155</v>
      </c>
      <c r="D38" s="349">
        <v>38737</v>
      </c>
      <c r="E38" s="350" t="s">
        <v>203</v>
      </c>
      <c r="F38" s="389">
        <v>59</v>
      </c>
      <c r="G38" s="385">
        <v>3</v>
      </c>
      <c r="H38" s="389">
        <v>11</v>
      </c>
      <c r="I38" s="393">
        <v>346.5</v>
      </c>
      <c r="J38" s="402">
        <v>69</v>
      </c>
      <c r="K38" s="397">
        <v>829</v>
      </c>
      <c r="L38" s="402">
        <v>153</v>
      </c>
      <c r="M38" s="397">
        <v>768.5</v>
      </c>
      <c r="N38" s="402">
        <v>151</v>
      </c>
      <c r="O38" s="407">
        <f aca="true" t="shared" si="6" ref="O38:P41">+I38+K38+M38</f>
        <v>1944</v>
      </c>
      <c r="P38" s="353">
        <f t="shared" si="6"/>
        <v>373</v>
      </c>
      <c r="Q38" s="352">
        <f>IF(O38&lt;&gt;0,P38/G38,"")</f>
        <v>124.33333333333333</v>
      </c>
      <c r="R38" s="415">
        <f>IF(O38&lt;&gt;0,O38/P38,"")</f>
        <v>5.2117962466487935</v>
      </c>
      <c r="S38" s="397">
        <v>5524</v>
      </c>
      <c r="T38" s="419">
        <f t="shared" si="1"/>
        <v>-0.6480811006517017</v>
      </c>
      <c r="U38" s="397">
        <v>1165154.5</v>
      </c>
      <c r="V38" s="351">
        <v>168043</v>
      </c>
      <c r="W38" s="373">
        <f t="shared" si="5"/>
        <v>6.933668763352237</v>
      </c>
      <c r="X38" s="280"/>
      <c r="Z38" s="280"/>
    </row>
    <row r="39" spans="1:24" s="282" customFormat="1" ht="18">
      <c r="A39" s="279">
        <f t="shared" si="0"/>
        <v>35</v>
      </c>
      <c r="B39" s="296"/>
      <c r="C39" s="348" t="s">
        <v>307</v>
      </c>
      <c r="D39" s="349">
        <v>38765</v>
      </c>
      <c r="E39" s="350" t="s">
        <v>287</v>
      </c>
      <c r="F39" s="389">
        <v>20</v>
      </c>
      <c r="G39" s="385">
        <v>2</v>
      </c>
      <c r="H39" s="389">
        <v>7</v>
      </c>
      <c r="I39" s="393">
        <v>26</v>
      </c>
      <c r="J39" s="402">
        <v>4</v>
      </c>
      <c r="K39" s="397">
        <v>55</v>
      </c>
      <c r="L39" s="402">
        <v>9</v>
      </c>
      <c r="M39" s="397">
        <v>1800</v>
      </c>
      <c r="N39" s="402">
        <v>533</v>
      </c>
      <c r="O39" s="407">
        <f t="shared" si="6"/>
        <v>1881</v>
      </c>
      <c r="P39" s="353">
        <f t="shared" si="6"/>
        <v>546</v>
      </c>
      <c r="Q39" s="352">
        <f>IF(O39&lt;&gt;0,P39/G39,"")</f>
        <v>273</v>
      </c>
      <c r="R39" s="415">
        <f>IF(O39&lt;&gt;0,O39/P39,"")</f>
        <v>3.4450549450549453</v>
      </c>
      <c r="S39" s="397">
        <v>229</v>
      </c>
      <c r="T39" s="419">
        <f t="shared" si="1"/>
        <v>7.213973799126638</v>
      </c>
      <c r="U39" s="397">
        <v>126756</v>
      </c>
      <c r="V39" s="351">
        <v>13805</v>
      </c>
      <c r="W39" s="373">
        <f t="shared" si="5"/>
        <v>9.181890619340818</v>
      </c>
      <c r="X39" s="280"/>
    </row>
    <row r="40" spans="1:24" s="281" customFormat="1" ht="18">
      <c r="A40" s="279">
        <f t="shared" si="0"/>
        <v>36</v>
      </c>
      <c r="B40" s="296"/>
      <c r="C40" s="350" t="s">
        <v>258</v>
      </c>
      <c r="D40" s="349">
        <v>38786</v>
      </c>
      <c r="E40" s="350" t="s">
        <v>308</v>
      </c>
      <c r="F40" s="389">
        <v>7</v>
      </c>
      <c r="G40" s="385">
        <v>6</v>
      </c>
      <c r="H40" s="389">
        <v>4</v>
      </c>
      <c r="I40" s="395">
        <v>554.5</v>
      </c>
      <c r="J40" s="404">
        <v>176</v>
      </c>
      <c r="K40" s="399">
        <v>649.5</v>
      </c>
      <c r="L40" s="404">
        <v>188</v>
      </c>
      <c r="M40" s="399">
        <v>669</v>
      </c>
      <c r="N40" s="404">
        <v>194</v>
      </c>
      <c r="O40" s="407">
        <f t="shared" si="6"/>
        <v>1873</v>
      </c>
      <c r="P40" s="353">
        <f t="shared" si="6"/>
        <v>558</v>
      </c>
      <c r="Q40" s="352">
        <f>IF(O40&lt;&gt;0,P40/G40,"")</f>
        <v>93</v>
      </c>
      <c r="R40" s="415">
        <f>IF(O40&lt;&gt;0,O40/P40,"")</f>
        <v>3.35663082437276</v>
      </c>
      <c r="S40" s="399">
        <v>1081</v>
      </c>
      <c r="T40" s="419">
        <f t="shared" si="1"/>
        <v>0.7326549491211841</v>
      </c>
      <c r="U40" s="399">
        <v>15374.5</v>
      </c>
      <c r="V40" s="362">
        <v>2239</v>
      </c>
      <c r="W40" s="376">
        <f t="shared" si="5"/>
        <v>6.866681554265297</v>
      </c>
      <c r="X40" s="280"/>
    </row>
    <row r="41" spans="1:25" s="282" customFormat="1" ht="18">
      <c r="A41" s="279">
        <f t="shared" si="0"/>
        <v>37</v>
      </c>
      <c r="B41" s="296"/>
      <c r="C41" s="348" t="s">
        <v>74</v>
      </c>
      <c r="D41" s="349">
        <v>38527</v>
      </c>
      <c r="E41" s="350" t="s">
        <v>216</v>
      </c>
      <c r="F41" s="389">
        <v>43</v>
      </c>
      <c r="G41" s="385">
        <v>2</v>
      </c>
      <c r="H41" s="389">
        <v>25</v>
      </c>
      <c r="I41" s="393">
        <v>398</v>
      </c>
      <c r="J41" s="402">
        <v>61</v>
      </c>
      <c r="K41" s="397">
        <v>880</v>
      </c>
      <c r="L41" s="402">
        <v>106</v>
      </c>
      <c r="M41" s="397">
        <v>555</v>
      </c>
      <c r="N41" s="402">
        <v>77</v>
      </c>
      <c r="O41" s="407">
        <f t="shared" si="6"/>
        <v>1833</v>
      </c>
      <c r="P41" s="353">
        <f t="shared" si="6"/>
        <v>244</v>
      </c>
      <c r="Q41" s="352">
        <f>IF(O41&lt;&gt;0,P41/G41,"")</f>
        <v>122</v>
      </c>
      <c r="R41" s="415">
        <f>IF(O41&lt;&gt;0,O41/P41,"")</f>
        <v>7.512295081967213</v>
      </c>
      <c r="S41" s="397">
        <v>23821.5</v>
      </c>
      <c r="T41" s="419">
        <f t="shared" si="1"/>
        <v>-0.9230527044896417</v>
      </c>
      <c r="U41" s="397">
        <v>736253.5</v>
      </c>
      <c r="V41" s="351">
        <v>93185</v>
      </c>
      <c r="W41" s="373">
        <f t="shared" si="5"/>
        <v>7.900987283361056</v>
      </c>
      <c r="X41" s="280"/>
      <c r="Y41" s="280"/>
    </row>
    <row r="42" spans="1:24" s="281" customFormat="1" ht="18">
      <c r="A42" s="279">
        <f t="shared" si="0"/>
        <v>38</v>
      </c>
      <c r="B42" s="296"/>
      <c r="C42" s="354" t="s">
        <v>142</v>
      </c>
      <c r="D42" s="355">
        <v>38765</v>
      </c>
      <c r="E42" s="356" t="s">
        <v>235</v>
      </c>
      <c r="F42" s="390">
        <v>30</v>
      </c>
      <c r="G42" s="386">
        <v>6</v>
      </c>
      <c r="H42" s="390">
        <v>7</v>
      </c>
      <c r="I42" s="394">
        <v>425.5</v>
      </c>
      <c r="J42" s="403">
        <v>106</v>
      </c>
      <c r="K42" s="398">
        <v>603</v>
      </c>
      <c r="L42" s="403">
        <v>153</v>
      </c>
      <c r="M42" s="398">
        <v>594</v>
      </c>
      <c r="N42" s="403">
        <v>147</v>
      </c>
      <c r="O42" s="408">
        <f>I42+K42+M42</f>
        <v>1622.5</v>
      </c>
      <c r="P42" s="357">
        <f>J42+L42+N42</f>
        <v>406</v>
      </c>
      <c r="Q42" s="358">
        <f>P42/G42</f>
        <v>67.66666666666667</v>
      </c>
      <c r="R42" s="416">
        <f>O42/P42</f>
        <v>3.9963054187192117</v>
      </c>
      <c r="S42" s="394">
        <v>1282.5</v>
      </c>
      <c r="T42" s="419">
        <f t="shared" si="1"/>
        <v>0.2651072124756335</v>
      </c>
      <c r="U42" s="398">
        <v>123868.5</v>
      </c>
      <c r="V42" s="359">
        <v>18396</v>
      </c>
      <c r="W42" s="374">
        <f>+U42/V42</f>
        <v>6.733447488584475</v>
      </c>
      <c r="X42" s="280"/>
    </row>
    <row r="43" spans="1:24" s="281" customFormat="1" ht="18">
      <c r="A43" s="279">
        <f t="shared" si="0"/>
        <v>39</v>
      </c>
      <c r="B43" s="296"/>
      <c r="C43" s="348" t="s">
        <v>171</v>
      </c>
      <c r="D43" s="349">
        <v>39067</v>
      </c>
      <c r="E43" s="350" t="s">
        <v>213</v>
      </c>
      <c r="F43" s="389">
        <v>131</v>
      </c>
      <c r="G43" s="385">
        <v>1</v>
      </c>
      <c r="H43" s="389">
        <v>16</v>
      </c>
      <c r="I43" s="393">
        <v>276</v>
      </c>
      <c r="J43" s="402">
        <v>63</v>
      </c>
      <c r="K43" s="397">
        <v>510</v>
      </c>
      <c r="L43" s="402">
        <v>119</v>
      </c>
      <c r="M43" s="397">
        <v>692</v>
      </c>
      <c r="N43" s="402">
        <v>153</v>
      </c>
      <c r="O43" s="407">
        <f>+I43+K43+M43</f>
        <v>1478</v>
      </c>
      <c r="P43" s="353">
        <f>+J43+L43+N43</f>
        <v>335</v>
      </c>
      <c r="Q43" s="352">
        <f>IF(O43&lt;&gt;0,P43/G43,"")</f>
        <v>335</v>
      </c>
      <c r="R43" s="415">
        <f>IF(O43&lt;&gt;0,O43/P43,"")</f>
        <v>4.411940298507463</v>
      </c>
      <c r="S43" s="397">
        <v>427</v>
      </c>
      <c r="T43" s="419">
        <f t="shared" si="1"/>
        <v>2.46135831381733</v>
      </c>
      <c r="U43" s="397">
        <v>3079938</v>
      </c>
      <c r="V43" s="351">
        <v>431211</v>
      </c>
      <c r="W43" s="373">
        <f>U43/V43</f>
        <v>7.1425311506431886</v>
      </c>
      <c r="X43" s="280"/>
    </row>
    <row r="44" spans="1:24" s="281" customFormat="1" ht="18">
      <c r="A44" s="279">
        <f t="shared" si="0"/>
        <v>40</v>
      </c>
      <c r="B44" s="296"/>
      <c r="C44" s="348" t="s">
        <v>136</v>
      </c>
      <c r="D44" s="349">
        <v>38758</v>
      </c>
      <c r="E44" s="350" t="s">
        <v>203</v>
      </c>
      <c r="F44" s="389">
        <v>61</v>
      </c>
      <c r="G44" s="385">
        <v>2</v>
      </c>
      <c r="H44" s="389">
        <v>8</v>
      </c>
      <c r="I44" s="393">
        <v>546</v>
      </c>
      <c r="J44" s="402">
        <v>59</v>
      </c>
      <c r="K44" s="397">
        <v>369.5</v>
      </c>
      <c r="L44" s="402">
        <v>45</v>
      </c>
      <c r="M44" s="397">
        <v>436</v>
      </c>
      <c r="N44" s="402">
        <v>53</v>
      </c>
      <c r="O44" s="407">
        <f>+I44+K44+M44</f>
        <v>1351.5</v>
      </c>
      <c r="P44" s="353">
        <f>+J44+L44+N44</f>
        <v>157</v>
      </c>
      <c r="Q44" s="352">
        <f>IF(O44&lt;&gt;0,P44/G44,"")</f>
        <v>78.5</v>
      </c>
      <c r="R44" s="415">
        <f>IF(O44&lt;&gt;0,O44/P44,"")</f>
        <v>8.60828025477707</v>
      </c>
      <c r="S44" s="397">
        <v>7385.5</v>
      </c>
      <c r="T44" s="419">
        <f t="shared" si="1"/>
        <v>-0.8170062961207772</v>
      </c>
      <c r="U44" s="397">
        <v>1271507</v>
      </c>
      <c r="V44" s="351">
        <v>154937</v>
      </c>
      <c r="W44" s="373">
        <f>U44/V44</f>
        <v>8.20660655621317</v>
      </c>
      <c r="X44" s="280"/>
    </row>
    <row r="45" spans="1:24" s="281" customFormat="1" ht="18">
      <c r="A45" s="279">
        <f t="shared" si="0"/>
        <v>41</v>
      </c>
      <c r="B45" s="296"/>
      <c r="C45" s="363" t="s">
        <v>309</v>
      </c>
      <c r="D45" s="364">
        <v>38660</v>
      </c>
      <c r="E45" s="363" t="s">
        <v>310</v>
      </c>
      <c r="F45" s="391">
        <v>8</v>
      </c>
      <c r="G45" s="387">
        <v>1</v>
      </c>
      <c r="H45" s="391">
        <v>13</v>
      </c>
      <c r="I45" s="396">
        <v>420</v>
      </c>
      <c r="J45" s="405">
        <v>140</v>
      </c>
      <c r="K45" s="400">
        <v>450</v>
      </c>
      <c r="L45" s="405">
        <v>150</v>
      </c>
      <c r="M45" s="400">
        <v>450</v>
      </c>
      <c r="N45" s="405">
        <v>150</v>
      </c>
      <c r="O45" s="409">
        <f>I45+K45+M45</f>
        <v>1320</v>
      </c>
      <c r="P45" s="365">
        <f>J45+L45+N45</f>
        <v>440</v>
      </c>
      <c r="Q45" s="365">
        <f>P45/G45</f>
        <v>440</v>
      </c>
      <c r="R45" s="416">
        <f>O45/P45</f>
        <v>3</v>
      </c>
      <c r="S45" s="400"/>
      <c r="T45" s="419">
        <f t="shared" si="1"/>
      </c>
      <c r="U45" s="400">
        <v>88952</v>
      </c>
      <c r="V45" s="358">
        <v>14134</v>
      </c>
      <c r="W45" s="375">
        <f>U45/V45</f>
        <v>6.293476722796094</v>
      </c>
      <c r="X45" s="280"/>
    </row>
    <row r="46" spans="1:24" s="281" customFormat="1" ht="18">
      <c r="A46" s="279">
        <f t="shared" si="0"/>
        <v>42</v>
      </c>
      <c r="B46" s="296"/>
      <c r="C46" s="348" t="s">
        <v>161</v>
      </c>
      <c r="D46" s="349">
        <v>38730</v>
      </c>
      <c r="E46" s="350" t="s">
        <v>205</v>
      </c>
      <c r="F46" s="389">
        <v>62</v>
      </c>
      <c r="G46" s="385">
        <v>2</v>
      </c>
      <c r="H46" s="389">
        <v>11</v>
      </c>
      <c r="I46" s="393">
        <v>336</v>
      </c>
      <c r="J46" s="402">
        <v>66</v>
      </c>
      <c r="K46" s="397">
        <v>402</v>
      </c>
      <c r="L46" s="402">
        <v>79</v>
      </c>
      <c r="M46" s="397">
        <v>482</v>
      </c>
      <c r="N46" s="402">
        <v>94</v>
      </c>
      <c r="O46" s="407">
        <f>+I46+K46+M46</f>
        <v>1220</v>
      </c>
      <c r="P46" s="353">
        <f>+J46+L46+N46</f>
        <v>239</v>
      </c>
      <c r="Q46" s="352">
        <f>IF(O46&lt;&gt;0,P46/G46,"")</f>
        <v>119.5</v>
      </c>
      <c r="R46" s="415">
        <f>IF(O46&lt;&gt;0,O46/P46,"")</f>
        <v>5.104602510460251</v>
      </c>
      <c r="S46" s="397"/>
      <c r="T46" s="419">
        <f t="shared" si="1"/>
      </c>
      <c r="U46" s="397">
        <v>1180021.5</v>
      </c>
      <c r="V46" s="351">
        <v>138486</v>
      </c>
      <c r="W46" s="373">
        <f>U46/V46</f>
        <v>8.520872145920887</v>
      </c>
      <c r="X46" s="280"/>
    </row>
    <row r="47" spans="1:24" s="281" customFormat="1" ht="18">
      <c r="A47" s="279">
        <f t="shared" si="0"/>
        <v>43</v>
      </c>
      <c r="B47" s="296"/>
      <c r="C47" s="348" t="s">
        <v>79</v>
      </c>
      <c r="D47" s="349">
        <v>38779</v>
      </c>
      <c r="E47" s="366" t="s">
        <v>229</v>
      </c>
      <c r="F47" s="389">
        <v>10</v>
      </c>
      <c r="G47" s="385">
        <v>4</v>
      </c>
      <c r="H47" s="389">
        <v>5</v>
      </c>
      <c r="I47" s="395">
        <v>243</v>
      </c>
      <c r="J47" s="404">
        <v>45</v>
      </c>
      <c r="K47" s="399">
        <v>456</v>
      </c>
      <c r="L47" s="404">
        <v>85</v>
      </c>
      <c r="M47" s="399">
        <v>452</v>
      </c>
      <c r="N47" s="404">
        <v>80</v>
      </c>
      <c r="O47" s="410">
        <f>I47+K47+M47</f>
        <v>1151</v>
      </c>
      <c r="P47" s="361">
        <f>J47+L47+N47</f>
        <v>210</v>
      </c>
      <c r="Q47" s="358">
        <f>P47/G47</f>
        <v>52.5</v>
      </c>
      <c r="R47" s="416">
        <f>O47/P47</f>
        <v>5.480952380952381</v>
      </c>
      <c r="S47" s="399">
        <v>1910</v>
      </c>
      <c r="T47" s="419">
        <f t="shared" si="1"/>
        <v>-0.3973821989528796</v>
      </c>
      <c r="U47" s="399">
        <v>90612</v>
      </c>
      <c r="V47" s="362">
        <v>11046</v>
      </c>
      <c r="W47" s="374">
        <f>+U47/V47</f>
        <v>8.203150461705595</v>
      </c>
      <c r="X47" s="280"/>
    </row>
    <row r="48" spans="1:24" s="281" customFormat="1" ht="18">
      <c r="A48" s="279">
        <f t="shared" si="0"/>
        <v>44</v>
      </c>
      <c r="B48" s="296"/>
      <c r="C48" s="348" t="s">
        <v>311</v>
      </c>
      <c r="D48" s="349">
        <v>38807</v>
      </c>
      <c r="E48" s="350" t="s">
        <v>229</v>
      </c>
      <c r="F48" s="389">
        <v>2</v>
      </c>
      <c r="G48" s="385">
        <v>2</v>
      </c>
      <c r="H48" s="389">
        <v>1</v>
      </c>
      <c r="I48" s="395">
        <v>269.5</v>
      </c>
      <c r="J48" s="404">
        <v>38</v>
      </c>
      <c r="K48" s="399">
        <v>400.5</v>
      </c>
      <c r="L48" s="404">
        <v>57</v>
      </c>
      <c r="M48" s="399">
        <v>466.5</v>
      </c>
      <c r="N48" s="404">
        <v>66</v>
      </c>
      <c r="O48" s="410">
        <f>I48+K48+M48</f>
        <v>1136.5</v>
      </c>
      <c r="P48" s="361">
        <f>J48+L48+N48</f>
        <v>161</v>
      </c>
      <c r="Q48" s="358">
        <f>P48/G48</f>
        <v>80.5</v>
      </c>
      <c r="R48" s="416">
        <f>O48/P48</f>
        <v>7.059006211180124</v>
      </c>
      <c r="S48" s="399"/>
      <c r="T48" s="419">
        <f t="shared" si="1"/>
      </c>
      <c r="U48" s="399">
        <v>1136.5</v>
      </c>
      <c r="V48" s="362">
        <v>161</v>
      </c>
      <c r="W48" s="374">
        <f>+U48/V48</f>
        <v>7.059006211180124</v>
      </c>
      <c r="X48" s="280"/>
    </row>
    <row r="49" spans="1:24" s="281" customFormat="1" ht="18">
      <c r="A49" s="279">
        <f t="shared" si="0"/>
        <v>45</v>
      </c>
      <c r="B49" s="296"/>
      <c r="C49" s="348" t="s">
        <v>167</v>
      </c>
      <c r="D49" s="349">
        <v>39060</v>
      </c>
      <c r="E49" s="350" t="s">
        <v>210</v>
      </c>
      <c r="F49" s="389">
        <v>77</v>
      </c>
      <c r="G49" s="385">
        <v>4</v>
      </c>
      <c r="H49" s="389">
        <v>17</v>
      </c>
      <c r="I49" s="393">
        <v>102</v>
      </c>
      <c r="J49" s="402">
        <v>29</v>
      </c>
      <c r="K49" s="397">
        <v>671</v>
      </c>
      <c r="L49" s="402">
        <v>148</v>
      </c>
      <c r="M49" s="397">
        <v>244</v>
      </c>
      <c r="N49" s="402">
        <v>47</v>
      </c>
      <c r="O49" s="407">
        <f>+I49+K49+M49</f>
        <v>1017</v>
      </c>
      <c r="P49" s="353">
        <f>+J49+L49+N49</f>
        <v>224</v>
      </c>
      <c r="Q49" s="352">
        <f>IF(O49&lt;&gt;0,P49/G49,"")</f>
        <v>56</v>
      </c>
      <c r="R49" s="415">
        <f>IF(O49&lt;&gt;0,O49/P49,"")</f>
        <v>4.540178571428571</v>
      </c>
      <c r="S49" s="397">
        <v>1148</v>
      </c>
      <c r="T49" s="419">
        <f t="shared" si="1"/>
        <v>-0.11411149825783973</v>
      </c>
      <c r="U49" s="397">
        <v>1919775</v>
      </c>
      <c r="V49" s="351">
        <v>280220</v>
      </c>
      <c r="W49" s="373">
        <f>U49/V49</f>
        <v>6.8509563914067515</v>
      </c>
      <c r="X49" s="280"/>
    </row>
    <row r="50" spans="1:29" s="282" customFormat="1" ht="18.75">
      <c r="A50" s="279">
        <f t="shared" si="0"/>
        <v>46</v>
      </c>
      <c r="B50" s="296"/>
      <c r="C50" s="348" t="s">
        <v>177</v>
      </c>
      <c r="D50" s="349">
        <v>38688</v>
      </c>
      <c r="E50" s="350" t="s">
        <v>203</v>
      </c>
      <c r="F50" s="389">
        <v>63</v>
      </c>
      <c r="G50" s="385">
        <v>2</v>
      </c>
      <c r="H50" s="389">
        <v>16</v>
      </c>
      <c r="I50" s="393">
        <v>152</v>
      </c>
      <c r="J50" s="402">
        <v>30</v>
      </c>
      <c r="K50" s="397">
        <v>422</v>
      </c>
      <c r="L50" s="402">
        <v>83</v>
      </c>
      <c r="M50" s="397">
        <v>411</v>
      </c>
      <c r="N50" s="402">
        <v>79</v>
      </c>
      <c r="O50" s="407">
        <f>+I50+K50+M50</f>
        <v>985</v>
      </c>
      <c r="P50" s="353">
        <f>+J50+L50+N50</f>
        <v>192</v>
      </c>
      <c r="Q50" s="352">
        <f>IF(O50&lt;&gt;0,P50/G50,"")</f>
        <v>96</v>
      </c>
      <c r="R50" s="415">
        <f>IF(O50&lt;&gt;0,O50/P50,"")</f>
        <v>5.130208333333333</v>
      </c>
      <c r="S50" s="397">
        <v>1258</v>
      </c>
      <c r="T50" s="419">
        <f t="shared" si="1"/>
        <v>-0.21701112877583467</v>
      </c>
      <c r="U50" s="397">
        <v>1746938</v>
      </c>
      <c r="V50" s="351">
        <v>260457</v>
      </c>
      <c r="W50" s="373">
        <f>U50/V50</f>
        <v>6.707203108382574</v>
      </c>
      <c r="X50" s="280"/>
      <c r="Y50" s="280"/>
      <c r="Z50" s="283"/>
      <c r="AA50" s="283"/>
      <c r="AB50" s="283"/>
      <c r="AC50" s="283"/>
    </row>
    <row r="51" spans="1:29" s="282" customFormat="1" ht="18.75">
      <c r="A51" s="279">
        <f t="shared" si="0"/>
        <v>47</v>
      </c>
      <c r="B51" s="296"/>
      <c r="C51" s="348" t="s">
        <v>312</v>
      </c>
      <c r="D51" s="349">
        <v>38934</v>
      </c>
      <c r="E51" s="350" t="s">
        <v>313</v>
      </c>
      <c r="F51" s="389">
        <v>12</v>
      </c>
      <c r="G51" s="385">
        <v>1</v>
      </c>
      <c r="H51" s="389">
        <v>14</v>
      </c>
      <c r="I51" s="395">
        <v>230</v>
      </c>
      <c r="J51" s="404">
        <v>46</v>
      </c>
      <c r="K51" s="399">
        <v>350</v>
      </c>
      <c r="L51" s="404">
        <v>70</v>
      </c>
      <c r="M51" s="399">
        <v>340</v>
      </c>
      <c r="N51" s="404">
        <v>68</v>
      </c>
      <c r="O51" s="410">
        <f>I51+K51+M51</f>
        <v>920</v>
      </c>
      <c r="P51" s="361">
        <f>J51+L51+N51</f>
        <v>184</v>
      </c>
      <c r="Q51" s="358">
        <f>P51/G51</f>
        <v>184</v>
      </c>
      <c r="R51" s="416">
        <f>O51/P51</f>
        <v>5</v>
      </c>
      <c r="S51" s="399"/>
      <c r="T51" s="419">
        <f t="shared" si="1"/>
      </c>
      <c r="U51" s="399">
        <v>110073</v>
      </c>
      <c r="V51" s="362">
        <v>17481</v>
      </c>
      <c r="W51" s="374">
        <f>+U51/V51</f>
        <v>6.296722155483096</v>
      </c>
      <c r="X51" s="280"/>
      <c r="Y51" s="280"/>
      <c r="Z51" s="283"/>
      <c r="AA51" s="283"/>
      <c r="AB51" s="283"/>
      <c r="AC51" s="283"/>
    </row>
    <row r="52" spans="1:29" s="282" customFormat="1" ht="18.75">
      <c r="A52" s="279">
        <f t="shared" si="0"/>
        <v>48</v>
      </c>
      <c r="B52" s="296"/>
      <c r="C52" s="348" t="s">
        <v>238</v>
      </c>
      <c r="D52" s="349">
        <v>38667</v>
      </c>
      <c r="E52" s="350" t="s">
        <v>205</v>
      </c>
      <c r="F52" s="389">
        <v>1</v>
      </c>
      <c r="G52" s="385">
        <v>1</v>
      </c>
      <c r="H52" s="389">
        <v>12</v>
      </c>
      <c r="I52" s="393">
        <v>290</v>
      </c>
      <c r="J52" s="402">
        <v>58</v>
      </c>
      <c r="K52" s="397">
        <v>290</v>
      </c>
      <c r="L52" s="402">
        <v>58</v>
      </c>
      <c r="M52" s="397">
        <v>290</v>
      </c>
      <c r="N52" s="402">
        <v>58</v>
      </c>
      <c r="O52" s="407">
        <f aca="true" t="shared" si="7" ref="O52:P55">+I52+K52+M52</f>
        <v>870</v>
      </c>
      <c r="P52" s="353">
        <f t="shared" si="7"/>
        <v>174</v>
      </c>
      <c r="Q52" s="352">
        <f>IF(O52&lt;&gt;0,P52/G52,"")</f>
        <v>174</v>
      </c>
      <c r="R52" s="415">
        <f>IF(O52&lt;&gt;0,O52/P52,"")</f>
        <v>5</v>
      </c>
      <c r="S52" s="397">
        <v>870</v>
      </c>
      <c r="T52" s="419">
        <f t="shared" si="1"/>
        <v>0</v>
      </c>
      <c r="U52" s="397">
        <v>22671</v>
      </c>
      <c r="V52" s="351">
        <v>3745</v>
      </c>
      <c r="W52" s="373">
        <f>U52/V52</f>
        <v>6.053671562082777</v>
      </c>
      <c r="X52" s="280"/>
      <c r="Y52" s="280"/>
      <c r="Z52" s="283"/>
      <c r="AA52" s="283"/>
      <c r="AB52" s="283"/>
      <c r="AC52" s="283"/>
    </row>
    <row r="53" spans="1:29" s="282" customFormat="1" ht="18.75">
      <c r="A53" s="279">
        <f t="shared" si="0"/>
        <v>49</v>
      </c>
      <c r="B53" s="296"/>
      <c r="C53" s="348" t="s">
        <v>286</v>
      </c>
      <c r="D53" s="349">
        <v>38751</v>
      </c>
      <c r="E53" s="350" t="s">
        <v>287</v>
      </c>
      <c r="F53" s="389">
        <v>27</v>
      </c>
      <c r="G53" s="385">
        <v>4</v>
      </c>
      <c r="H53" s="389">
        <v>9</v>
      </c>
      <c r="I53" s="393">
        <v>235</v>
      </c>
      <c r="J53" s="402">
        <v>51</v>
      </c>
      <c r="K53" s="397">
        <v>329</v>
      </c>
      <c r="L53" s="402">
        <v>66</v>
      </c>
      <c r="M53" s="397">
        <v>303</v>
      </c>
      <c r="N53" s="402">
        <v>54</v>
      </c>
      <c r="O53" s="407">
        <f t="shared" si="7"/>
        <v>867</v>
      </c>
      <c r="P53" s="353">
        <f t="shared" si="7"/>
        <v>171</v>
      </c>
      <c r="Q53" s="352">
        <f>IF(O53&lt;&gt;0,P53/G53,"")</f>
        <v>42.75</v>
      </c>
      <c r="R53" s="415">
        <f>IF(O53&lt;&gt;0,O53/P53,"")</f>
        <v>5.0701754385964914</v>
      </c>
      <c r="S53" s="397">
        <v>6012</v>
      </c>
      <c r="T53" s="419">
        <f t="shared" si="1"/>
        <v>-0.8557884231536926</v>
      </c>
      <c r="U53" s="397">
        <v>474475</v>
      </c>
      <c r="V53" s="351">
        <v>54805</v>
      </c>
      <c r="W53" s="373">
        <f>U53/V53</f>
        <v>8.657513000638628</v>
      </c>
      <c r="X53" s="280"/>
      <c r="Y53" s="280"/>
      <c r="Z53" s="283"/>
      <c r="AA53" s="283"/>
      <c r="AB53" s="283"/>
      <c r="AC53" s="283"/>
    </row>
    <row r="54" spans="1:29" s="282" customFormat="1" ht="18.75">
      <c r="A54" s="279">
        <f t="shared" si="0"/>
        <v>50</v>
      </c>
      <c r="B54" s="296"/>
      <c r="C54" s="348" t="s">
        <v>314</v>
      </c>
      <c r="D54" s="349">
        <v>38793</v>
      </c>
      <c r="E54" s="350" t="s">
        <v>227</v>
      </c>
      <c r="F54" s="389">
        <v>2</v>
      </c>
      <c r="G54" s="385">
        <v>2</v>
      </c>
      <c r="H54" s="389">
        <v>3</v>
      </c>
      <c r="I54" s="393">
        <v>167</v>
      </c>
      <c r="J54" s="402">
        <v>21</v>
      </c>
      <c r="K54" s="397">
        <v>332</v>
      </c>
      <c r="L54" s="402">
        <v>47</v>
      </c>
      <c r="M54" s="397">
        <v>318</v>
      </c>
      <c r="N54" s="402">
        <v>46</v>
      </c>
      <c r="O54" s="407">
        <f t="shared" si="7"/>
        <v>817</v>
      </c>
      <c r="P54" s="353">
        <f t="shared" si="7"/>
        <v>114</v>
      </c>
      <c r="Q54" s="352">
        <f>IF(O54&lt;&gt;0,P54/G54,"")</f>
        <v>57</v>
      </c>
      <c r="R54" s="415">
        <f>IF(O54&lt;&gt;0,O54/P54,"")</f>
        <v>7.166666666666667</v>
      </c>
      <c r="S54" s="397">
        <v>2095</v>
      </c>
      <c r="T54" s="419">
        <f t="shared" si="1"/>
        <v>-0.6100238663484487</v>
      </c>
      <c r="U54" s="397">
        <f>24837.5+817</f>
        <v>25654.5</v>
      </c>
      <c r="V54" s="351">
        <f>2700+114</f>
        <v>2814</v>
      </c>
      <c r="W54" s="373">
        <f>IF(U54&lt;&gt;0,U54/V54,"")</f>
        <v>9.116737739872068</v>
      </c>
      <c r="X54" s="280"/>
      <c r="Y54" s="280"/>
      <c r="Z54" s="283"/>
      <c r="AA54" s="283"/>
      <c r="AB54" s="283"/>
      <c r="AC54" s="283"/>
    </row>
    <row r="55" spans="1:29" s="282" customFormat="1" ht="18.75">
      <c r="A55" s="279">
        <f t="shared" si="0"/>
        <v>51</v>
      </c>
      <c r="B55" s="296"/>
      <c r="C55" s="348" t="s">
        <v>288</v>
      </c>
      <c r="D55" s="349">
        <v>38730</v>
      </c>
      <c r="E55" s="350" t="s">
        <v>210</v>
      </c>
      <c r="F55" s="389">
        <v>116</v>
      </c>
      <c r="G55" s="385">
        <v>4</v>
      </c>
      <c r="H55" s="389">
        <v>12</v>
      </c>
      <c r="I55" s="393">
        <v>68</v>
      </c>
      <c r="J55" s="402">
        <v>13</v>
      </c>
      <c r="K55" s="397">
        <v>408</v>
      </c>
      <c r="L55" s="402">
        <v>84</v>
      </c>
      <c r="M55" s="397">
        <v>322</v>
      </c>
      <c r="N55" s="402">
        <v>65</v>
      </c>
      <c r="O55" s="407">
        <f t="shared" si="7"/>
        <v>798</v>
      </c>
      <c r="P55" s="353">
        <f t="shared" si="7"/>
        <v>162</v>
      </c>
      <c r="Q55" s="352">
        <f>IF(O55&lt;&gt;0,P55/G55,"")</f>
        <v>40.5</v>
      </c>
      <c r="R55" s="415">
        <f>IF(O55&lt;&gt;0,O55/P55,"")</f>
        <v>4.925925925925926</v>
      </c>
      <c r="S55" s="397">
        <v>2547</v>
      </c>
      <c r="T55" s="419">
        <f t="shared" si="1"/>
        <v>-0.6866902237926973</v>
      </c>
      <c r="U55" s="397">
        <v>3268455</v>
      </c>
      <c r="V55" s="351">
        <v>464575</v>
      </c>
      <c r="W55" s="373">
        <f>U55/V55</f>
        <v>7.035365656783081</v>
      </c>
      <c r="X55" s="280"/>
      <c r="Y55" s="280"/>
      <c r="Z55" s="283"/>
      <c r="AA55" s="283"/>
      <c r="AB55" s="283"/>
      <c r="AC55" s="283"/>
    </row>
    <row r="56" spans="1:29" s="282" customFormat="1" ht="18.75">
      <c r="A56" s="279">
        <f t="shared" si="0"/>
        <v>52</v>
      </c>
      <c r="B56" s="296"/>
      <c r="C56" s="363" t="s">
        <v>315</v>
      </c>
      <c r="D56" s="364">
        <v>38779</v>
      </c>
      <c r="E56" s="363" t="s">
        <v>316</v>
      </c>
      <c r="F56" s="391">
        <v>10</v>
      </c>
      <c r="G56" s="387">
        <v>1</v>
      </c>
      <c r="H56" s="391">
        <v>5</v>
      </c>
      <c r="I56" s="396">
        <v>225</v>
      </c>
      <c r="J56" s="405">
        <v>75</v>
      </c>
      <c r="K56" s="400">
        <v>240</v>
      </c>
      <c r="L56" s="405">
        <v>80</v>
      </c>
      <c r="M56" s="400">
        <v>240</v>
      </c>
      <c r="N56" s="405">
        <v>80</v>
      </c>
      <c r="O56" s="409">
        <f>I56+K56+M56</f>
        <v>705</v>
      </c>
      <c r="P56" s="365">
        <f>J56+L56+N56</f>
        <v>235</v>
      </c>
      <c r="Q56" s="365">
        <f>P56/G56</f>
        <v>235</v>
      </c>
      <c r="R56" s="416">
        <f>O56/P56</f>
        <v>3</v>
      </c>
      <c r="S56" s="400">
        <v>1033.5</v>
      </c>
      <c r="T56" s="419">
        <f t="shared" si="1"/>
        <v>-0.3178519593613933</v>
      </c>
      <c r="U56" s="400">
        <v>31241.5</v>
      </c>
      <c r="V56" s="358">
        <v>4524</v>
      </c>
      <c r="W56" s="375">
        <f>U56/V56</f>
        <v>6.905725022104332</v>
      </c>
      <c r="X56" s="280"/>
      <c r="Y56" s="280"/>
      <c r="Z56" s="283"/>
      <c r="AA56" s="283"/>
      <c r="AB56" s="283"/>
      <c r="AC56" s="283"/>
    </row>
    <row r="57" spans="1:29" s="282" customFormat="1" ht="18.75">
      <c r="A57" s="279">
        <f t="shared" si="0"/>
        <v>53</v>
      </c>
      <c r="B57" s="296"/>
      <c r="C57" s="348" t="s">
        <v>317</v>
      </c>
      <c r="D57" s="349">
        <v>38639</v>
      </c>
      <c r="E57" s="350" t="s">
        <v>318</v>
      </c>
      <c r="F57" s="389">
        <v>4</v>
      </c>
      <c r="G57" s="385">
        <v>1</v>
      </c>
      <c r="H57" s="389">
        <v>8</v>
      </c>
      <c r="I57" s="393">
        <v>160.5</v>
      </c>
      <c r="J57" s="402">
        <v>24</v>
      </c>
      <c r="K57" s="397">
        <v>226.5</v>
      </c>
      <c r="L57" s="402">
        <v>33</v>
      </c>
      <c r="M57" s="397">
        <v>283.5</v>
      </c>
      <c r="N57" s="402">
        <v>42</v>
      </c>
      <c r="O57" s="407">
        <f>+I57+K57+M57</f>
        <v>670.5</v>
      </c>
      <c r="P57" s="353">
        <f>+J57+L57+N57</f>
        <v>99</v>
      </c>
      <c r="Q57" s="352">
        <f>IF(O57&lt;&gt;0,P57/G57,"")</f>
        <v>99</v>
      </c>
      <c r="R57" s="415">
        <f>IF(O57&lt;&gt;0,O57/P57,"")</f>
        <v>6.7727272727272725</v>
      </c>
      <c r="S57" s="397"/>
      <c r="T57" s="419">
        <f t="shared" si="1"/>
      </c>
      <c r="U57" s="397">
        <f>25402+670.5</f>
        <v>26072.5</v>
      </c>
      <c r="V57" s="351">
        <f>3576+99</f>
        <v>3675</v>
      </c>
      <c r="W57" s="373">
        <f>IF(U57&lt;&gt;0,U57/V57,"")</f>
        <v>7.094557823129252</v>
      </c>
      <c r="X57" s="280"/>
      <c r="Y57" s="280"/>
      <c r="Z57" s="283"/>
      <c r="AA57" s="283"/>
      <c r="AB57" s="283"/>
      <c r="AC57" s="283"/>
    </row>
    <row r="58" spans="1:29" s="282" customFormat="1" ht="18.75">
      <c r="A58" s="279">
        <f t="shared" si="0"/>
        <v>54</v>
      </c>
      <c r="B58" s="296"/>
      <c r="C58" s="363" t="s">
        <v>264</v>
      </c>
      <c r="D58" s="364">
        <v>38709</v>
      </c>
      <c r="E58" s="363" t="s">
        <v>265</v>
      </c>
      <c r="F58" s="391">
        <v>2</v>
      </c>
      <c r="G58" s="387">
        <v>1</v>
      </c>
      <c r="H58" s="391">
        <v>10</v>
      </c>
      <c r="I58" s="396">
        <v>210</v>
      </c>
      <c r="J58" s="405">
        <v>70</v>
      </c>
      <c r="K58" s="400">
        <v>225</v>
      </c>
      <c r="L58" s="405">
        <v>75</v>
      </c>
      <c r="M58" s="400">
        <v>225</v>
      </c>
      <c r="N58" s="405">
        <v>75</v>
      </c>
      <c r="O58" s="409">
        <f>I58+K58+M58</f>
        <v>660</v>
      </c>
      <c r="P58" s="365">
        <f>J58+L58+N58</f>
        <v>220</v>
      </c>
      <c r="Q58" s="365">
        <f>P58/G58</f>
        <v>220</v>
      </c>
      <c r="R58" s="416">
        <f>O58/P58</f>
        <v>3</v>
      </c>
      <c r="S58" s="400">
        <v>750</v>
      </c>
      <c r="T58" s="419">
        <f t="shared" si="1"/>
        <v>-0.12</v>
      </c>
      <c r="U58" s="400">
        <v>10432</v>
      </c>
      <c r="V58" s="358">
        <v>2332</v>
      </c>
      <c r="W58" s="375">
        <f aca="true" t="shared" si="8" ref="W58:W63">U58/V58</f>
        <v>4.473413379073756</v>
      </c>
      <c r="X58" s="280"/>
      <c r="Y58" s="280"/>
      <c r="Z58" s="283"/>
      <c r="AA58" s="283"/>
      <c r="AB58" s="283"/>
      <c r="AC58" s="283"/>
    </row>
    <row r="59" spans="1:29" s="282" customFormat="1" ht="18.75">
      <c r="A59" s="279">
        <f t="shared" si="0"/>
        <v>55</v>
      </c>
      <c r="B59" s="296"/>
      <c r="C59" s="348" t="s">
        <v>240</v>
      </c>
      <c r="D59" s="349">
        <v>38667</v>
      </c>
      <c r="E59" s="350" t="s">
        <v>216</v>
      </c>
      <c r="F59" s="389">
        <v>76</v>
      </c>
      <c r="G59" s="385">
        <v>1</v>
      </c>
      <c r="H59" s="389">
        <v>13</v>
      </c>
      <c r="I59" s="393">
        <v>205</v>
      </c>
      <c r="J59" s="402">
        <v>41</v>
      </c>
      <c r="K59" s="397">
        <v>205</v>
      </c>
      <c r="L59" s="402">
        <v>41</v>
      </c>
      <c r="M59" s="397">
        <v>205</v>
      </c>
      <c r="N59" s="402">
        <v>41</v>
      </c>
      <c r="O59" s="407">
        <f aca="true" t="shared" si="9" ref="O59:P63">+I59+K59+M59</f>
        <v>615</v>
      </c>
      <c r="P59" s="353">
        <f t="shared" si="9"/>
        <v>123</v>
      </c>
      <c r="Q59" s="352">
        <f>IF(O59&lt;&gt;0,P59/G59,"")</f>
        <v>123</v>
      </c>
      <c r="R59" s="415">
        <f>IF(O59&lt;&gt;0,O59/P59,"")</f>
        <v>5</v>
      </c>
      <c r="S59" s="397">
        <v>615</v>
      </c>
      <c r="T59" s="419">
        <f t="shared" si="1"/>
        <v>0</v>
      </c>
      <c r="U59" s="397">
        <v>2490254.5</v>
      </c>
      <c r="V59" s="351">
        <v>380721</v>
      </c>
      <c r="W59" s="373">
        <f t="shared" si="8"/>
        <v>6.540890836071559</v>
      </c>
      <c r="X59" s="280"/>
      <c r="Y59" s="280"/>
      <c r="Z59" s="283"/>
      <c r="AA59" s="283"/>
      <c r="AB59" s="283"/>
      <c r="AC59" s="283"/>
    </row>
    <row r="60" spans="1:29" s="282" customFormat="1" ht="18.75">
      <c r="A60" s="279">
        <f t="shared" si="0"/>
        <v>56</v>
      </c>
      <c r="B60" s="296"/>
      <c r="C60" s="348" t="s">
        <v>242</v>
      </c>
      <c r="D60" s="349">
        <v>38667</v>
      </c>
      <c r="E60" s="350" t="s">
        <v>297</v>
      </c>
      <c r="F60" s="389">
        <v>51</v>
      </c>
      <c r="G60" s="385">
        <v>1</v>
      </c>
      <c r="H60" s="389">
        <v>19</v>
      </c>
      <c r="I60" s="393">
        <v>205</v>
      </c>
      <c r="J60" s="402">
        <v>41</v>
      </c>
      <c r="K60" s="397">
        <v>205</v>
      </c>
      <c r="L60" s="402">
        <v>41</v>
      </c>
      <c r="M60" s="397">
        <v>205</v>
      </c>
      <c r="N60" s="402">
        <v>41</v>
      </c>
      <c r="O60" s="407">
        <f t="shared" si="9"/>
        <v>615</v>
      </c>
      <c r="P60" s="353">
        <f t="shared" si="9"/>
        <v>123</v>
      </c>
      <c r="Q60" s="352">
        <f>IF(O60&lt;&gt;0,P60/G60,"")</f>
        <v>123</v>
      </c>
      <c r="R60" s="415">
        <f>IF(O60&lt;&gt;0,O60/P60,"")</f>
        <v>5</v>
      </c>
      <c r="S60" s="397">
        <v>615</v>
      </c>
      <c r="T60" s="419">
        <f t="shared" si="1"/>
        <v>0</v>
      </c>
      <c r="U60" s="397">
        <v>995634.5</v>
      </c>
      <c r="V60" s="351">
        <v>140134</v>
      </c>
      <c r="W60" s="373">
        <f t="shared" si="8"/>
        <v>7.104874620006565</v>
      </c>
      <c r="X60" s="280"/>
      <c r="Y60" s="280"/>
      <c r="Z60" s="283"/>
      <c r="AA60" s="283"/>
      <c r="AB60" s="283"/>
      <c r="AC60" s="283"/>
    </row>
    <row r="61" spans="1:29" s="282" customFormat="1" ht="18.75">
      <c r="A61" s="279">
        <f t="shared" si="0"/>
        <v>57</v>
      </c>
      <c r="B61" s="296"/>
      <c r="C61" s="348" t="s">
        <v>148</v>
      </c>
      <c r="D61" s="349">
        <v>38758</v>
      </c>
      <c r="E61" s="350" t="s">
        <v>217</v>
      </c>
      <c r="F61" s="389">
        <v>46</v>
      </c>
      <c r="G61" s="385">
        <v>3</v>
      </c>
      <c r="H61" s="389">
        <v>8</v>
      </c>
      <c r="I61" s="393">
        <v>123</v>
      </c>
      <c r="J61" s="402">
        <v>24</v>
      </c>
      <c r="K61" s="397">
        <v>213</v>
      </c>
      <c r="L61" s="402">
        <v>41</v>
      </c>
      <c r="M61" s="397">
        <v>279</v>
      </c>
      <c r="N61" s="402">
        <v>53</v>
      </c>
      <c r="O61" s="407">
        <f t="shared" si="9"/>
        <v>615</v>
      </c>
      <c r="P61" s="353">
        <f t="shared" si="9"/>
        <v>118</v>
      </c>
      <c r="Q61" s="352">
        <f>IF(O61&lt;&gt;0,P61/G61,"")</f>
        <v>39.333333333333336</v>
      </c>
      <c r="R61" s="415">
        <f>IF(O61&lt;&gt;0,O61/P61,"")</f>
        <v>5.211864406779661</v>
      </c>
      <c r="S61" s="397">
        <v>847</v>
      </c>
      <c r="T61" s="419">
        <f t="shared" si="1"/>
        <v>-0.27390791027154665</v>
      </c>
      <c r="U61" s="397">
        <v>178495</v>
      </c>
      <c r="V61" s="351">
        <v>23429</v>
      </c>
      <c r="W61" s="373">
        <f t="shared" si="8"/>
        <v>7.618549660676939</v>
      </c>
      <c r="X61" s="280"/>
      <c r="Y61" s="280"/>
      <c r="Z61" s="283"/>
      <c r="AA61" s="283"/>
      <c r="AB61" s="283"/>
      <c r="AC61" s="283"/>
    </row>
    <row r="62" spans="1:29" s="282" customFormat="1" ht="18.75">
      <c r="A62" s="279">
        <f t="shared" si="0"/>
        <v>58</v>
      </c>
      <c r="B62" s="296"/>
      <c r="C62" s="348" t="s">
        <v>181</v>
      </c>
      <c r="D62" s="349">
        <v>38674</v>
      </c>
      <c r="E62" s="350" t="s">
        <v>205</v>
      </c>
      <c r="F62" s="389">
        <v>234</v>
      </c>
      <c r="G62" s="385">
        <v>1</v>
      </c>
      <c r="H62" s="389">
        <v>14</v>
      </c>
      <c r="I62" s="393">
        <v>594</v>
      </c>
      <c r="J62" s="402">
        <v>131</v>
      </c>
      <c r="K62" s="397">
        <v>0</v>
      </c>
      <c r="L62" s="402">
        <v>0</v>
      </c>
      <c r="M62" s="397">
        <v>0</v>
      </c>
      <c r="N62" s="402">
        <v>0</v>
      </c>
      <c r="O62" s="407">
        <f t="shared" si="9"/>
        <v>594</v>
      </c>
      <c r="P62" s="353">
        <f t="shared" si="9"/>
        <v>131</v>
      </c>
      <c r="Q62" s="352">
        <f>IF(O62&lt;&gt;0,P62/G62,"")</f>
        <v>131</v>
      </c>
      <c r="R62" s="415">
        <f>IF(O62&lt;&gt;0,O62/P62,"")</f>
        <v>4.534351145038168</v>
      </c>
      <c r="S62" s="397"/>
      <c r="T62" s="419">
        <f t="shared" si="1"/>
      </c>
      <c r="U62" s="397">
        <v>5054103</v>
      </c>
      <c r="V62" s="351">
        <v>762399</v>
      </c>
      <c r="W62" s="373">
        <f t="shared" si="8"/>
        <v>6.62920990190176</v>
      </c>
      <c r="X62" s="280"/>
      <c r="Y62" s="280"/>
      <c r="Z62" s="283"/>
      <c r="AA62" s="283"/>
      <c r="AB62" s="283"/>
      <c r="AC62" s="283"/>
    </row>
    <row r="63" spans="1:29" s="282" customFormat="1" ht="18.75">
      <c r="A63" s="279">
        <f t="shared" si="0"/>
        <v>59</v>
      </c>
      <c r="B63" s="296"/>
      <c r="C63" s="348" t="s">
        <v>231</v>
      </c>
      <c r="D63" s="349">
        <v>38779</v>
      </c>
      <c r="E63" s="350" t="s">
        <v>319</v>
      </c>
      <c r="F63" s="389">
        <v>8</v>
      </c>
      <c r="G63" s="385">
        <v>4</v>
      </c>
      <c r="H63" s="389">
        <v>5</v>
      </c>
      <c r="I63" s="393">
        <v>111</v>
      </c>
      <c r="J63" s="402">
        <v>21</v>
      </c>
      <c r="K63" s="397">
        <v>276</v>
      </c>
      <c r="L63" s="402">
        <v>52</v>
      </c>
      <c r="M63" s="397">
        <v>201</v>
      </c>
      <c r="N63" s="402">
        <v>38</v>
      </c>
      <c r="O63" s="407">
        <f t="shared" si="9"/>
        <v>588</v>
      </c>
      <c r="P63" s="353">
        <f t="shared" si="9"/>
        <v>111</v>
      </c>
      <c r="Q63" s="352">
        <f>IF(O63&lt;&gt;0,P63/G63,"")</f>
        <v>27.75</v>
      </c>
      <c r="R63" s="415">
        <f>IF(O63&lt;&gt;0,O63/P63,"")</f>
        <v>5.297297297297297</v>
      </c>
      <c r="S63" s="397">
        <v>2654</v>
      </c>
      <c r="T63" s="419">
        <f t="shared" si="1"/>
        <v>-0.7784476262245666</v>
      </c>
      <c r="U63" s="397">
        <v>77421.4</v>
      </c>
      <c r="V63" s="351">
        <v>8856</v>
      </c>
      <c r="W63" s="373">
        <f t="shared" si="8"/>
        <v>8.742253839205057</v>
      </c>
      <c r="X63" s="280"/>
      <c r="Y63" s="280"/>
      <c r="Z63" s="283"/>
      <c r="AA63" s="283"/>
      <c r="AB63" s="283"/>
      <c r="AC63" s="283"/>
    </row>
    <row r="64" spans="1:29" s="282" customFormat="1" ht="18.75">
      <c r="A64" s="279">
        <f t="shared" si="0"/>
        <v>60</v>
      </c>
      <c r="B64" s="296"/>
      <c r="C64" s="354" t="s">
        <v>159</v>
      </c>
      <c r="D64" s="355">
        <v>38709</v>
      </c>
      <c r="E64" s="356" t="s">
        <v>234</v>
      </c>
      <c r="F64" s="390">
        <v>233</v>
      </c>
      <c r="G64" s="386">
        <v>5</v>
      </c>
      <c r="H64" s="390">
        <v>15</v>
      </c>
      <c r="I64" s="394">
        <v>35</v>
      </c>
      <c r="J64" s="403">
        <v>14</v>
      </c>
      <c r="K64" s="398">
        <v>182.5</v>
      </c>
      <c r="L64" s="403">
        <v>80</v>
      </c>
      <c r="M64" s="398">
        <v>340</v>
      </c>
      <c r="N64" s="403">
        <v>136</v>
      </c>
      <c r="O64" s="408">
        <f>+M64+K64+I64</f>
        <v>557.5</v>
      </c>
      <c r="P64" s="357">
        <f>+N64+L64+J64</f>
        <v>230</v>
      </c>
      <c r="Q64" s="359">
        <f>+P64/G64</f>
        <v>46</v>
      </c>
      <c r="R64" s="417">
        <f>+O64/P64</f>
        <v>2.4239130434782608</v>
      </c>
      <c r="S64" s="394">
        <v>17051570.5</v>
      </c>
      <c r="T64" s="419">
        <f t="shared" si="1"/>
        <v>-0.9999673050643634</v>
      </c>
      <c r="U64" s="398">
        <v>17052128</v>
      </c>
      <c r="V64" s="359">
        <v>2559374</v>
      </c>
      <c r="W64" s="374">
        <f>+U64/V64</f>
        <v>6.662616717994322</v>
      </c>
      <c r="X64" s="280"/>
      <c r="Y64" s="280"/>
      <c r="Z64" s="283"/>
      <c r="AA64" s="283"/>
      <c r="AB64" s="283"/>
      <c r="AC64" s="283"/>
    </row>
    <row r="65" spans="1:29" s="282" customFormat="1" ht="18.75">
      <c r="A65" s="279">
        <f t="shared" si="0"/>
        <v>61</v>
      </c>
      <c r="B65" s="296"/>
      <c r="C65" s="363" t="s">
        <v>266</v>
      </c>
      <c r="D65" s="364">
        <v>38716</v>
      </c>
      <c r="E65" s="363" t="s">
        <v>320</v>
      </c>
      <c r="F65" s="391">
        <v>9</v>
      </c>
      <c r="G65" s="387">
        <v>3</v>
      </c>
      <c r="H65" s="391">
        <v>14</v>
      </c>
      <c r="I65" s="396">
        <v>27</v>
      </c>
      <c r="J65" s="405">
        <v>5</v>
      </c>
      <c r="K65" s="400">
        <v>231</v>
      </c>
      <c r="L65" s="405">
        <v>45</v>
      </c>
      <c r="M65" s="400">
        <v>289</v>
      </c>
      <c r="N65" s="405">
        <v>54</v>
      </c>
      <c r="O65" s="409">
        <f>I65+K65+M65</f>
        <v>547</v>
      </c>
      <c r="P65" s="365">
        <f>J65+L65+N65</f>
        <v>104</v>
      </c>
      <c r="Q65" s="365">
        <f>P65/G65</f>
        <v>34.666666666666664</v>
      </c>
      <c r="R65" s="416">
        <f>O65/P65</f>
        <v>5.259615384615385</v>
      </c>
      <c r="S65" s="400">
        <v>913</v>
      </c>
      <c r="T65" s="419">
        <f t="shared" si="1"/>
        <v>-0.4008762322015334</v>
      </c>
      <c r="U65" s="400">
        <v>94110</v>
      </c>
      <c r="V65" s="358">
        <v>13685</v>
      </c>
      <c r="W65" s="375">
        <f>U65/V65</f>
        <v>6.876872488125685</v>
      </c>
      <c r="X65" s="280"/>
      <c r="Y65" s="280"/>
      <c r="Z65" s="283"/>
      <c r="AA65" s="283"/>
      <c r="AB65" s="283"/>
      <c r="AC65" s="283"/>
    </row>
    <row r="66" spans="1:29" s="282" customFormat="1" ht="18.75">
      <c r="A66" s="279">
        <f t="shared" si="0"/>
        <v>62</v>
      </c>
      <c r="B66" s="296"/>
      <c r="C66" s="348" t="s">
        <v>239</v>
      </c>
      <c r="D66" s="349">
        <v>38695</v>
      </c>
      <c r="E66" s="350" t="s">
        <v>216</v>
      </c>
      <c r="F66" s="389">
        <v>51</v>
      </c>
      <c r="G66" s="385">
        <v>1</v>
      </c>
      <c r="H66" s="389">
        <v>12</v>
      </c>
      <c r="I66" s="393">
        <v>52</v>
      </c>
      <c r="J66" s="402">
        <v>10</v>
      </c>
      <c r="K66" s="397">
        <v>107</v>
      </c>
      <c r="L66" s="402">
        <v>21</v>
      </c>
      <c r="M66" s="397">
        <v>286</v>
      </c>
      <c r="N66" s="402">
        <v>54</v>
      </c>
      <c r="O66" s="407">
        <f>+I66+K66+M66</f>
        <v>445</v>
      </c>
      <c r="P66" s="353">
        <f>+J66+L66+N66</f>
        <v>85</v>
      </c>
      <c r="Q66" s="352">
        <f aca="true" t="shared" si="10" ref="Q66:Q71">IF(O66&lt;&gt;0,P66/G66,"")</f>
        <v>85</v>
      </c>
      <c r="R66" s="415">
        <f aca="true" t="shared" si="11" ref="R66:R71">IF(O66&lt;&gt;0,O66/P66,"")</f>
        <v>5.235294117647059</v>
      </c>
      <c r="S66" s="397">
        <v>105.5</v>
      </c>
      <c r="T66" s="419">
        <f t="shared" si="1"/>
        <v>3.2180094786729856</v>
      </c>
      <c r="U66" s="397">
        <v>536898.5</v>
      </c>
      <c r="V66" s="351">
        <v>71423</v>
      </c>
      <c r="W66" s="373">
        <f>U66/V66</f>
        <v>7.517165338896434</v>
      </c>
      <c r="X66" s="280"/>
      <c r="Y66" s="280"/>
      <c r="Z66" s="283"/>
      <c r="AA66" s="283"/>
      <c r="AB66" s="283"/>
      <c r="AC66" s="283"/>
    </row>
    <row r="67" spans="1:29" s="282" customFormat="1" ht="18.75">
      <c r="A67" s="279">
        <f t="shared" si="0"/>
        <v>63</v>
      </c>
      <c r="B67" s="296"/>
      <c r="C67" s="348" t="s">
        <v>321</v>
      </c>
      <c r="D67" s="349">
        <v>38765</v>
      </c>
      <c r="E67" s="350" t="s">
        <v>297</v>
      </c>
      <c r="F67" s="389">
        <v>43</v>
      </c>
      <c r="G67" s="385">
        <v>1</v>
      </c>
      <c r="H67" s="389">
        <v>12</v>
      </c>
      <c r="I67" s="393">
        <v>74</v>
      </c>
      <c r="J67" s="402">
        <v>12</v>
      </c>
      <c r="K67" s="397">
        <v>213</v>
      </c>
      <c r="L67" s="402">
        <v>37</v>
      </c>
      <c r="M67" s="397">
        <v>144</v>
      </c>
      <c r="N67" s="402">
        <v>26</v>
      </c>
      <c r="O67" s="407">
        <f>+I67+K67+M67</f>
        <v>431</v>
      </c>
      <c r="P67" s="353">
        <f>+J67+L67+N67</f>
        <v>75</v>
      </c>
      <c r="Q67" s="352">
        <f t="shared" si="10"/>
        <v>75</v>
      </c>
      <c r="R67" s="415">
        <f t="shared" si="11"/>
        <v>5.746666666666667</v>
      </c>
      <c r="S67" s="397"/>
      <c r="T67" s="419">
        <f t="shared" si="1"/>
      </c>
      <c r="U67" s="397">
        <v>463842</v>
      </c>
      <c r="V67" s="351">
        <v>58105</v>
      </c>
      <c r="W67" s="373">
        <f>U67/V67</f>
        <v>7.9828241975733585</v>
      </c>
      <c r="X67" s="280"/>
      <c r="Y67" s="280"/>
      <c r="Z67" s="283"/>
      <c r="AA67" s="283"/>
      <c r="AB67" s="283"/>
      <c r="AC67" s="283"/>
    </row>
    <row r="68" spans="1:29" s="282" customFormat="1" ht="18.75">
      <c r="A68" s="279">
        <f t="shared" si="0"/>
        <v>64</v>
      </c>
      <c r="B68" s="296"/>
      <c r="C68" s="348" t="s">
        <v>322</v>
      </c>
      <c r="D68" s="349">
        <v>38604</v>
      </c>
      <c r="E68" s="350" t="s">
        <v>323</v>
      </c>
      <c r="F68" s="389">
        <v>11</v>
      </c>
      <c r="G68" s="385">
        <v>1</v>
      </c>
      <c r="H68" s="389">
        <v>9</v>
      </c>
      <c r="I68" s="395">
        <v>136</v>
      </c>
      <c r="J68" s="404">
        <v>45</v>
      </c>
      <c r="K68" s="399">
        <v>136</v>
      </c>
      <c r="L68" s="404">
        <v>45</v>
      </c>
      <c r="M68" s="399">
        <v>136</v>
      </c>
      <c r="N68" s="404">
        <v>45</v>
      </c>
      <c r="O68" s="410">
        <v>408</v>
      </c>
      <c r="P68" s="361">
        <v>135</v>
      </c>
      <c r="Q68" s="352">
        <f t="shared" si="10"/>
        <v>135</v>
      </c>
      <c r="R68" s="415">
        <f t="shared" si="11"/>
        <v>3.022222222222222</v>
      </c>
      <c r="S68" s="399"/>
      <c r="T68" s="420"/>
      <c r="U68" s="399">
        <v>62468</v>
      </c>
      <c r="V68" s="362">
        <v>9493</v>
      </c>
      <c r="W68" s="376">
        <v>6.6</v>
      </c>
      <c r="X68" s="280"/>
      <c r="Y68" s="280"/>
      <c r="Z68" s="283"/>
      <c r="AA68" s="283"/>
      <c r="AB68" s="283"/>
      <c r="AC68" s="283"/>
    </row>
    <row r="69" spans="1:29" s="282" customFormat="1" ht="18.75">
      <c r="A69" s="279">
        <f t="shared" si="0"/>
        <v>65</v>
      </c>
      <c r="B69" s="296"/>
      <c r="C69" s="348" t="s">
        <v>170</v>
      </c>
      <c r="D69" s="349">
        <v>38716</v>
      </c>
      <c r="E69" s="350" t="s">
        <v>203</v>
      </c>
      <c r="F69" s="389">
        <v>65</v>
      </c>
      <c r="G69" s="385">
        <v>1</v>
      </c>
      <c r="H69" s="389">
        <v>12</v>
      </c>
      <c r="I69" s="393">
        <v>326</v>
      </c>
      <c r="J69" s="402">
        <v>73</v>
      </c>
      <c r="K69" s="397">
        <v>0</v>
      </c>
      <c r="L69" s="402">
        <v>0</v>
      </c>
      <c r="M69" s="397">
        <v>0</v>
      </c>
      <c r="N69" s="402">
        <v>0</v>
      </c>
      <c r="O69" s="407">
        <f aca="true" t="shared" si="12" ref="O69:P71">+I69+K69+M69</f>
        <v>326</v>
      </c>
      <c r="P69" s="353">
        <f t="shared" si="12"/>
        <v>73</v>
      </c>
      <c r="Q69" s="352">
        <f t="shared" si="10"/>
        <v>73</v>
      </c>
      <c r="R69" s="415">
        <f t="shared" si="11"/>
        <v>4.465753424657534</v>
      </c>
      <c r="S69" s="397">
        <v>598</v>
      </c>
      <c r="T69" s="419">
        <f aca="true" t="shared" si="13" ref="T69:T74">IF(S69&lt;&gt;0,-(S69-O69)/S69,"")</f>
        <v>-0.45484949832775917</v>
      </c>
      <c r="U69" s="397">
        <v>585119</v>
      </c>
      <c r="V69" s="351">
        <v>83689</v>
      </c>
      <c r="W69" s="373">
        <f>U69/V69</f>
        <v>6.991587902830719</v>
      </c>
      <c r="X69" s="280"/>
      <c r="Y69" s="280"/>
      <c r="Z69" s="283"/>
      <c r="AA69" s="283"/>
      <c r="AB69" s="283"/>
      <c r="AC69" s="283"/>
    </row>
    <row r="70" spans="1:29" s="282" customFormat="1" ht="18.75">
      <c r="A70" s="279">
        <f t="shared" si="0"/>
        <v>66</v>
      </c>
      <c r="B70" s="296"/>
      <c r="C70" s="348" t="s">
        <v>324</v>
      </c>
      <c r="D70" s="349">
        <v>38653</v>
      </c>
      <c r="E70" s="350" t="s">
        <v>285</v>
      </c>
      <c r="F70" s="389">
        <v>92</v>
      </c>
      <c r="G70" s="385">
        <v>1</v>
      </c>
      <c r="H70" s="389">
        <v>23</v>
      </c>
      <c r="I70" s="393">
        <v>0</v>
      </c>
      <c r="J70" s="402">
        <v>0</v>
      </c>
      <c r="K70" s="397">
        <v>66</v>
      </c>
      <c r="L70" s="402">
        <v>11</v>
      </c>
      <c r="M70" s="397">
        <v>72</v>
      </c>
      <c r="N70" s="402">
        <v>12</v>
      </c>
      <c r="O70" s="407">
        <f t="shared" si="12"/>
        <v>138</v>
      </c>
      <c r="P70" s="353">
        <f t="shared" si="12"/>
        <v>23</v>
      </c>
      <c r="Q70" s="352">
        <f t="shared" si="10"/>
        <v>23</v>
      </c>
      <c r="R70" s="415">
        <f t="shared" si="11"/>
        <v>6</v>
      </c>
      <c r="S70" s="397">
        <v>204</v>
      </c>
      <c r="T70" s="419">
        <f t="shared" si="13"/>
        <v>-0.3235294117647059</v>
      </c>
      <c r="U70" s="397">
        <v>1041342</v>
      </c>
      <c r="V70" s="351">
        <v>151577</v>
      </c>
      <c r="W70" s="373">
        <f>U70/V70</f>
        <v>6.870052844428904</v>
      </c>
      <c r="X70" s="280"/>
      <c r="Y70" s="280"/>
      <c r="Z70" s="283"/>
      <c r="AA70" s="283"/>
      <c r="AB70" s="283"/>
      <c r="AC70" s="283"/>
    </row>
    <row r="71" spans="1:29" s="282" customFormat="1" ht="18.75">
      <c r="A71" s="279">
        <f t="shared" si="0"/>
        <v>67</v>
      </c>
      <c r="B71" s="296"/>
      <c r="C71" s="348" t="s">
        <v>246</v>
      </c>
      <c r="D71" s="349">
        <v>38681</v>
      </c>
      <c r="E71" s="350" t="s">
        <v>247</v>
      </c>
      <c r="F71" s="389">
        <v>23</v>
      </c>
      <c r="G71" s="385">
        <v>1</v>
      </c>
      <c r="H71" s="389">
        <v>16</v>
      </c>
      <c r="I71" s="393">
        <v>0</v>
      </c>
      <c r="J71" s="402">
        <v>0</v>
      </c>
      <c r="K71" s="397">
        <v>44</v>
      </c>
      <c r="L71" s="402">
        <v>6</v>
      </c>
      <c r="M71" s="397">
        <v>59</v>
      </c>
      <c r="N71" s="402">
        <v>8</v>
      </c>
      <c r="O71" s="407">
        <f t="shared" si="12"/>
        <v>103</v>
      </c>
      <c r="P71" s="353">
        <f t="shared" si="12"/>
        <v>14</v>
      </c>
      <c r="Q71" s="352">
        <f t="shared" si="10"/>
        <v>14</v>
      </c>
      <c r="R71" s="415">
        <f t="shared" si="11"/>
        <v>7.357142857142857</v>
      </c>
      <c r="S71" s="397">
        <v>230</v>
      </c>
      <c r="T71" s="419">
        <f t="shared" si="13"/>
        <v>-0.5521739130434783</v>
      </c>
      <c r="U71" s="397">
        <v>399981</v>
      </c>
      <c r="V71" s="351">
        <v>48875</v>
      </c>
      <c r="W71" s="373">
        <f>U71/V71</f>
        <v>8.183754475703324</v>
      </c>
      <c r="X71" s="280"/>
      <c r="Y71" s="280"/>
      <c r="Z71" s="283"/>
      <c r="AA71" s="283"/>
      <c r="AB71" s="283"/>
      <c r="AC71" s="283"/>
    </row>
    <row r="72" spans="1:29" s="282" customFormat="1" ht="18.75">
      <c r="A72" s="279">
        <f t="shared" si="0"/>
        <v>68</v>
      </c>
      <c r="B72" s="296"/>
      <c r="C72" s="348" t="s">
        <v>244</v>
      </c>
      <c r="D72" s="349">
        <v>39067</v>
      </c>
      <c r="E72" s="350" t="s">
        <v>325</v>
      </c>
      <c r="F72" s="389">
        <v>10</v>
      </c>
      <c r="G72" s="385">
        <v>2</v>
      </c>
      <c r="H72" s="389">
        <v>12</v>
      </c>
      <c r="I72" s="395">
        <v>0</v>
      </c>
      <c r="J72" s="404">
        <v>0</v>
      </c>
      <c r="K72" s="399">
        <v>19</v>
      </c>
      <c r="L72" s="404">
        <v>5</v>
      </c>
      <c r="M72" s="399">
        <v>58</v>
      </c>
      <c r="N72" s="404">
        <v>14</v>
      </c>
      <c r="O72" s="410">
        <f>I72+K72+M72</f>
        <v>77</v>
      </c>
      <c r="P72" s="361">
        <f>J72+L72+N72</f>
        <v>19</v>
      </c>
      <c r="Q72" s="358">
        <f>P72/G72</f>
        <v>9.5</v>
      </c>
      <c r="R72" s="416">
        <f>O72/P72</f>
        <v>4.052631578947368</v>
      </c>
      <c r="S72" s="399">
        <v>416</v>
      </c>
      <c r="T72" s="419">
        <f t="shared" si="13"/>
        <v>-0.8149038461538461</v>
      </c>
      <c r="U72" s="399">
        <v>135113.5</v>
      </c>
      <c r="V72" s="362">
        <v>15647</v>
      </c>
      <c r="W72" s="374">
        <f>+U72/V72</f>
        <v>8.635105771074327</v>
      </c>
      <c r="X72" s="280"/>
      <c r="Y72" s="280"/>
      <c r="Z72" s="283"/>
      <c r="AA72" s="283"/>
      <c r="AB72" s="283"/>
      <c r="AC72" s="283"/>
    </row>
    <row r="73" spans="1:29" s="282" customFormat="1" ht="18.75">
      <c r="A73" s="279">
        <f t="shared" si="0"/>
        <v>69</v>
      </c>
      <c r="B73" s="296"/>
      <c r="C73" s="348" t="s">
        <v>80</v>
      </c>
      <c r="D73" s="349">
        <v>38786</v>
      </c>
      <c r="E73" s="350" t="s">
        <v>228</v>
      </c>
      <c r="F73" s="389">
        <v>4</v>
      </c>
      <c r="G73" s="385">
        <v>1</v>
      </c>
      <c r="H73" s="389">
        <v>4</v>
      </c>
      <c r="I73" s="395">
        <v>0</v>
      </c>
      <c r="J73" s="404">
        <v>0</v>
      </c>
      <c r="K73" s="399">
        <v>48</v>
      </c>
      <c r="L73" s="404">
        <v>9</v>
      </c>
      <c r="M73" s="399">
        <v>22</v>
      </c>
      <c r="N73" s="404">
        <v>4</v>
      </c>
      <c r="O73" s="410">
        <v>70</v>
      </c>
      <c r="P73" s="361">
        <v>13</v>
      </c>
      <c r="Q73" s="352">
        <f>IF(O73&lt;&gt;0,P73/G73,"")</f>
        <v>13</v>
      </c>
      <c r="R73" s="415">
        <f>IF(O73&lt;&gt;0,O73/P73,"")</f>
        <v>5.384615384615385</v>
      </c>
      <c r="S73" s="399">
        <v>1121</v>
      </c>
      <c r="T73" s="419">
        <f t="shared" si="13"/>
        <v>-0.9375557537912578</v>
      </c>
      <c r="U73" s="399">
        <v>43094</v>
      </c>
      <c r="V73" s="362">
        <v>4981</v>
      </c>
      <c r="W73" s="376">
        <v>8.7</v>
      </c>
      <c r="X73" s="280"/>
      <c r="Y73" s="280"/>
      <c r="Z73" s="283"/>
      <c r="AA73" s="283"/>
      <c r="AB73" s="283"/>
      <c r="AC73" s="283"/>
    </row>
    <row r="74" spans="1:29" s="282" customFormat="1" ht="19.5" thickBot="1">
      <c r="A74" s="279">
        <f t="shared" si="0"/>
        <v>70</v>
      </c>
      <c r="B74" s="297"/>
      <c r="C74" s="441" t="s">
        <v>262</v>
      </c>
      <c r="D74" s="442">
        <v>38618</v>
      </c>
      <c r="E74" s="441" t="s">
        <v>263</v>
      </c>
      <c r="F74" s="443">
        <v>12</v>
      </c>
      <c r="G74" s="444">
        <v>1</v>
      </c>
      <c r="H74" s="443">
        <v>14</v>
      </c>
      <c r="I74" s="445">
        <v>28</v>
      </c>
      <c r="J74" s="446">
        <v>4</v>
      </c>
      <c r="K74" s="447">
        <v>0</v>
      </c>
      <c r="L74" s="446">
        <v>0</v>
      </c>
      <c r="M74" s="447">
        <v>20</v>
      </c>
      <c r="N74" s="446">
        <v>2</v>
      </c>
      <c r="O74" s="448">
        <f>I74+K74+M74</f>
        <v>48</v>
      </c>
      <c r="P74" s="449">
        <f>J74+L74+N74</f>
        <v>6</v>
      </c>
      <c r="Q74" s="449">
        <f>P74/G74</f>
        <v>6</v>
      </c>
      <c r="R74" s="450">
        <f>O74/P74</f>
        <v>8</v>
      </c>
      <c r="S74" s="447">
        <v>1012</v>
      </c>
      <c r="T74" s="432">
        <f t="shared" si="13"/>
        <v>-0.9525691699604744</v>
      </c>
      <c r="U74" s="447">
        <v>89727</v>
      </c>
      <c r="V74" s="451">
        <v>14116</v>
      </c>
      <c r="W74" s="452">
        <f>U74/V74</f>
        <v>6.3564040804760555</v>
      </c>
      <c r="X74" s="280"/>
      <c r="Y74" s="280"/>
      <c r="Z74" s="283"/>
      <c r="AA74" s="283"/>
      <c r="AB74" s="283"/>
      <c r="AC74" s="283"/>
    </row>
    <row r="75" spans="1:29" s="237" customFormat="1" ht="19.5" thickBot="1">
      <c r="A75" s="438"/>
      <c r="B75" s="277"/>
      <c r="C75" s="299"/>
      <c r="D75" s="300"/>
      <c r="E75" s="301"/>
      <c r="F75" s="302"/>
      <c r="G75" s="302"/>
      <c r="H75" s="302"/>
      <c r="I75" s="303"/>
      <c r="J75" s="304"/>
      <c r="K75" s="303"/>
      <c r="L75" s="304"/>
      <c r="M75" s="303"/>
      <c r="N75" s="304"/>
      <c r="O75" s="340"/>
      <c r="P75" s="305"/>
      <c r="Q75" s="306"/>
      <c r="R75" s="307"/>
      <c r="S75" s="303"/>
      <c r="T75" s="308"/>
      <c r="U75" s="308"/>
      <c r="V75" s="308"/>
      <c r="W75" s="308"/>
      <c r="X75" s="235"/>
      <c r="Y75" s="236"/>
      <c r="Z75" s="235"/>
      <c r="AA75" s="235"/>
      <c r="AB75" s="235"/>
      <c r="AC75" s="235"/>
    </row>
    <row r="76" spans="1:29" s="382" customFormat="1" ht="15.75" thickBot="1">
      <c r="A76" s="439"/>
      <c r="B76" s="704" t="s">
        <v>248</v>
      </c>
      <c r="C76" s="705"/>
      <c r="D76" s="705"/>
      <c r="E76" s="706"/>
      <c r="F76" s="309"/>
      <c r="G76" s="309">
        <f>SUM(G5:G75)</f>
        <v>1308</v>
      </c>
      <c r="H76" s="310"/>
      <c r="I76" s="311"/>
      <c r="J76" s="312"/>
      <c r="K76" s="311"/>
      <c r="L76" s="312"/>
      <c r="M76" s="311"/>
      <c r="N76" s="312"/>
      <c r="O76" s="311">
        <f>SUM(O5:O75)</f>
        <v>2131665.5</v>
      </c>
      <c r="P76" s="313">
        <f>SUM(P5:P75)</f>
        <v>297469</v>
      </c>
      <c r="Q76" s="314">
        <f>P76/G76</f>
        <v>227.42278287461772</v>
      </c>
      <c r="R76" s="315">
        <f>O76/P76</f>
        <v>7.166008895044525</v>
      </c>
      <c r="S76" s="311"/>
      <c r="T76" s="316"/>
      <c r="U76" s="317"/>
      <c r="V76" s="318"/>
      <c r="W76" s="319"/>
      <c r="Y76" s="383"/>
      <c r="AC76" s="382" t="s">
        <v>249</v>
      </c>
    </row>
    <row r="77" spans="19:23" ht="18">
      <c r="S77" s="702" t="s">
        <v>250</v>
      </c>
      <c r="T77" s="702"/>
      <c r="U77" s="702"/>
      <c r="V77" s="702"/>
      <c r="W77" s="702"/>
    </row>
    <row r="78" spans="19:23" ht="18">
      <c r="S78" s="667"/>
      <c r="T78" s="667"/>
      <c r="U78" s="667"/>
      <c r="V78" s="667"/>
      <c r="W78" s="667"/>
    </row>
    <row r="79" spans="19:23" ht="18">
      <c r="S79" s="667"/>
      <c r="T79" s="667"/>
      <c r="U79" s="667"/>
      <c r="V79" s="667"/>
      <c r="W79" s="667"/>
    </row>
    <row r="80" spans="19:23" ht="18">
      <c r="S80" s="667"/>
      <c r="T80" s="667"/>
      <c r="U80" s="667"/>
      <c r="V80" s="667"/>
      <c r="W80" s="667"/>
    </row>
    <row r="81" spans="19:23" ht="18">
      <c r="S81" s="667"/>
      <c r="T81" s="667"/>
      <c r="U81" s="667"/>
      <c r="V81" s="667"/>
      <c r="W81" s="667"/>
    </row>
    <row r="82" spans="19:23" ht="18">
      <c r="S82" s="667"/>
      <c r="T82" s="667"/>
      <c r="U82" s="667"/>
      <c r="V82" s="667"/>
      <c r="W82" s="667"/>
    </row>
    <row r="83" spans="1:23" ht="18">
      <c r="A83" s="668" t="s">
        <v>252</v>
      </c>
      <c r="B83" s="669"/>
      <c r="C83" s="669"/>
      <c r="D83" s="669"/>
      <c r="E83" s="669"/>
      <c r="F83" s="669"/>
      <c r="G83" s="669"/>
      <c r="H83" s="669"/>
      <c r="I83" s="669"/>
      <c r="J83" s="669"/>
      <c r="K83" s="669"/>
      <c r="L83" s="669"/>
      <c r="M83" s="669"/>
      <c r="N83" s="669"/>
      <c r="O83" s="669"/>
      <c r="P83" s="669"/>
      <c r="Q83" s="669"/>
      <c r="R83" s="669"/>
      <c r="S83" s="669"/>
      <c r="T83" s="669"/>
      <c r="U83" s="669"/>
      <c r="V83" s="669"/>
      <c r="W83" s="669"/>
    </row>
    <row r="84" spans="1:23" ht="18">
      <c r="A84" s="669"/>
      <c r="B84" s="669"/>
      <c r="C84" s="669"/>
      <c r="D84" s="669"/>
      <c r="E84" s="669"/>
      <c r="F84" s="669"/>
      <c r="G84" s="669"/>
      <c r="H84" s="669"/>
      <c r="I84" s="669"/>
      <c r="J84" s="669"/>
      <c r="K84" s="669"/>
      <c r="L84" s="669"/>
      <c r="M84" s="669"/>
      <c r="N84" s="669"/>
      <c r="O84" s="669"/>
      <c r="P84" s="669"/>
      <c r="Q84" s="669"/>
      <c r="R84" s="669"/>
      <c r="S84" s="669"/>
      <c r="T84" s="669"/>
      <c r="U84" s="669"/>
      <c r="V84" s="669"/>
      <c r="W84" s="669"/>
    </row>
    <row r="85" spans="1:23" ht="18">
      <c r="A85" s="669"/>
      <c r="B85" s="669"/>
      <c r="C85" s="669"/>
      <c r="D85" s="669"/>
      <c r="E85" s="669"/>
      <c r="F85" s="669"/>
      <c r="G85" s="669"/>
      <c r="H85" s="669"/>
      <c r="I85" s="669"/>
      <c r="J85" s="669"/>
      <c r="K85" s="669"/>
      <c r="L85" s="669"/>
      <c r="M85" s="669"/>
      <c r="N85" s="669"/>
      <c r="O85" s="669"/>
      <c r="P85" s="669"/>
      <c r="Q85" s="669"/>
      <c r="R85" s="669"/>
      <c r="S85" s="669"/>
      <c r="T85" s="669"/>
      <c r="U85" s="669"/>
      <c r="V85" s="669"/>
      <c r="W85" s="669"/>
    </row>
    <row r="86" spans="1:23" ht="18">
      <c r="A86" s="669"/>
      <c r="B86" s="669"/>
      <c r="C86" s="669"/>
      <c r="D86" s="669"/>
      <c r="E86" s="669"/>
      <c r="F86" s="669"/>
      <c r="G86" s="669"/>
      <c r="H86" s="669"/>
      <c r="I86" s="669"/>
      <c r="J86" s="669"/>
      <c r="K86" s="669"/>
      <c r="L86" s="669"/>
      <c r="M86" s="669"/>
      <c r="N86" s="669"/>
      <c r="O86" s="669"/>
      <c r="P86" s="669"/>
      <c r="Q86" s="669"/>
      <c r="R86" s="669"/>
      <c r="S86" s="669"/>
      <c r="T86" s="669"/>
      <c r="U86" s="669"/>
      <c r="V86" s="669"/>
      <c r="W86" s="669"/>
    </row>
    <row r="87" spans="1:29" ht="18">
      <c r="A87" s="669"/>
      <c r="B87" s="669"/>
      <c r="C87" s="669"/>
      <c r="D87" s="669"/>
      <c r="E87" s="669"/>
      <c r="F87" s="669"/>
      <c r="G87" s="669"/>
      <c r="H87" s="669"/>
      <c r="I87" s="669"/>
      <c r="J87" s="669"/>
      <c r="K87" s="669"/>
      <c r="L87" s="669"/>
      <c r="M87" s="669"/>
      <c r="N87" s="669"/>
      <c r="O87" s="669"/>
      <c r="P87" s="669"/>
      <c r="Q87" s="669"/>
      <c r="R87" s="669"/>
      <c r="S87" s="669"/>
      <c r="T87" s="669"/>
      <c r="U87" s="669"/>
      <c r="V87" s="669"/>
      <c r="W87" s="669"/>
      <c r="AC87" s="200" t="s">
        <v>249</v>
      </c>
    </row>
  </sheetData>
  <mergeCells count="17">
    <mergeCell ref="A2:W2"/>
    <mergeCell ref="C3:C4"/>
    <mergeCell ref="D3:D4"/>
    <mergeCell ref="E3:E4"/>
    <mergeCell ref="F3:F4"/>
    <mergeCell ref="G3:G4"/>
    <mergeCell ref="H3:H4"/>
    <mergeCell ref="I3:J3"/>
    <mergeCell ref="K3:L3"/>
    <mergeCell ref="M3:N3"/>
    <mergeCell ref="S77:W79"/>
    <mergeCell ref="S80:W82"/>
    <mergeCell ref="A83:W87"/>
    <mergeCell ref="O3:R3"/>
    <mergeCell ref="S3:T3"/>
    <mergeCell ref="U3:W3"/>
    <mergeCell ref="B76:E76"/>
  </mergeCells>
  <printOptions/>
  <pageMargins left="0.42" right="0.32" top="1" bottom="1" header="0.5" footer="0.5"/>
  <pageSetup orientation="portrait" paperSize="9" scale="35" r:id="rId2"/>
  <ignoredErrors>
    <ignoredError sqref="U5:W6 O70:P74 Q70:R71 U70:W74" unlockedFormula="1"/>
    <ignoredError sqref="U47:W69 U7:W46 O47:R69 Q72:R74" formula="1" unlockedFormula="1"/>
    <ignoredError sqref="S7:T69 O7:R46" formula="1"/>
    <ignoredError sqref="D13" twoDigitTextYear="1"/>
  </ignoredErrors>
  <drawing r:id="rId1"/>
</worksheet>
</file>

<file path=xl/worksheets/sheet16.xml><?xml version="1.0" encoding="utf-8"?>
<worksheet xmlns="http://schemas.openxmlformats.org/spreadsheetml/2006/main" xmlns:r="http://schemas.openxmlformats.org/officeDocument/2006/relationships">
  <dimension ref="A1:AC24"/>
  <sheetViews>
    <sheetView zoomScale="75" zoomScaleNormal="75" workbookViewId="0" topLeftCell="A1">
      <selection activeCell="E19" sqref="E19"/>
    </sheetView>
  </sheetViews>
  <sheetFormatPr defaultColWidth="9.140625" defaultRowHeight="12.75"/>
  <cols>
    <col min="1" max="1" width="3.57421875" style="440" bestFit="1" customWidth="1"/>
    <col min="2" max="2" width="1.7109375" style="253" customWidth="1"/>
    <col min="3" max="3" width="38.7109375" style="200" customWidth="1"/>
    <col min="4" max="4" width="9.8515625" style="200" bestFit="1" customWidth="1"/>
    <col min="5" max="5" width="28.140625" style="254" bestFit="1" customWidth="1"/>
    <col min="6" max="6" width="6.421875" style="255" customWidth="1"/>
    <col min="7" max="7" width="7.28125" style="255" bestFit="1" customWidth="1"/>
    <col min="8" max="8" width="7.57421875" style="200" customWidth="1"/>
    <col min="9" max="9" width="13.28125" style="200" hidden="1" customWidth="1"/>
    <col min="10" max="10" width="8.421875" style="200" hidden="1" customWidth="1"/>
    <col min="11" max="11" width="13.28125" style="200" hidden="1" customWidth="1"/>
    <col min="12" max="12" width="9.28125" style="200" hidden="1" customWidth="1"/>
    <col min="13" max="13" width="13.28125" style="200" hidden="1" customWidth="1"/>
    <col min="14" max="14" width="9.28125" style="200" hidden="1" customWidth="1"/>
    <col min="15" max="15" width="14.421875" style="381" customWidth="1"/>
    <col min="16" max="16" width="9.28125" style="200" customWidth="1"/>
    <col min="17" max="17" width="8.140625" style="200" bestFit="1" customWidth="1"/>
    <col min="18" max="18" width="6.140625" style="200" bestFit="1" customWidth="1"/>
    <col min="19" max="19" width="16.7109375" style="379" hidden="1" customWidth="1"/>
    <col min="20" max="20" width="8.421875" style="200" hidden="1" customWidth="1"/>
    <col min="21" max="21" width="16.7109375" style="200" bestFit="1" customWidth="1"/>
    <col min="22" max="22" width="11.57421875" style="200" bestFit="1" customWidth="1"/>
    <col min="23" max="23" width="6.140625" style="200" bestFit="1" customWidth="1"/>
    <col min="24" max="24" width="12.421875" style="200" bestFit="1" customWidth="1"/>
    <col min="25" max="25" width="9.140625" style="152" customWidth="1"/>
    <col min="26" max="28" width="9.140625" style="200" customWidth="1"/>
    <col min="29" max="29" width="2.7109375" style="200" bestFit="1" customWidth="1"/>
    <col min="30" max="16384" width="9.140625" style="200" customWidth="1"/>
  </cols>
  <sheetData>
    <row r="1" spans="1:25" s="151" customFormat="1" ht="102.75" customHeight="1" thickBot="1">
      <c r="A1" s="435"/>
      <c r="B1" s="144"/>
      <c r="C1" s="145"/>
      <c r="D1" s="146"/>
      <c r="E1" s="147"/>
      <c r="F1" s="148"/>
      <c r="G1" s="148"/>
      <c r="H1" s="146"/>
      <c r="I1" s="146"/>
      <c r="J1" s="146"/>
      <c r="K1" s="146"/>
      <c r="L1" s="146"/>
      <c r="M1" s="146"/>
      <c r="N1" s="146"/>
      <c r="O1" s="380"/>
      <c r="P1" s="146"/>
      <c r="Q1" s="146"/>
      <c r="R1" s="146"/>
      <c r="S1" s="377"/>
      <c r="T1" s="146"/>
      <c r="U1" s="149"/>
      <c r="V1" s="149"/>
      <c r="W1" s="150"/>
      <c r="Y1" s="152"/>
    </row>
    <row r="2" spans="1:23" s="153" customFormat="1" ht="27.75" thickBot="1">
      <c r="A2" s="679" t="s">
        <v>190</v>
      </c>
      <c r="B2" s="692"/>
      <c r="C2" s="692"/>
      <c r="D2" s="692"/>
      <c r="E2" s="692"/>
      <c r="F2" s="692"/>
      <c r="G2" s="692"/>
      <c r="H2" s="692"/>
      <c r="I2" s="692"/>
      <c r="J2" s="692"/>
      <c r="K2" s="692"/>
      <c r="L2" s="692"/>
      <c r="M2" s="692"/>
      <c r="N2" s="692"/>
      <c r="O2" s="692"/>
      <c r="P2" s="693"/>
      <c r="Q2" s="693"/>
      <c r="R2" s="693"/>
      <c r="S2" s="693"/>
      <c r="T2" s="693"/>
      <c r="U2" s="693"/>
      <c r="V2" s="693"/>
      <c r="W2" s="693"/>
    </row>
    <row r="3" spans="1:25" s="154" customFormat="1" ht="18">
      <c r="A3" s="436"/>
      <c r="B3" s="285"/>
      <c r="C3" s="694" t="s">
        <v>0</v>
      </c>
      <c r="D3" s="696" t="s">
        <v>191</v>
      </c>
      <c r="E3" s="696" t="s">
        <v>192</v>
      </c>
      <c r="F3" s="699" t="s">
        <v>193</v>
      </c>
      <c r="G3" s="699" t="s">
        <v>194</v>
      </c>
      <c r="H3" s="699" t="s">
        <v>195</v>
      </c>
      <c r="I3" s="701" t="s">
        <v>4</v>
      </c>
      <c r="J3" s="701"/>
      <c r="K3" s="701" t="s">
        <v>7</v>
      </c>
      <c r="L3" s="701"/>
      <c r="M3" s="701" t="s">
        <v>8</v>
      </c>
      <c r="N3" s="701"/>
      <c r="O3" s="701" t="s">
        <v>196</v>
      </c>
      <c r="P3" s="701"/>
      <c r="Q3" s="701"/>
      <c r="R3" s="701"/>
      <c r="S3" s="701" t="s">
        <v>197</v>
      </c>
      <c r="T3" s="701"/>
      <c r="U3" s="701" t="s">
        <v>198</v>
      </c>
      <c r="V3" s="701"/>
      <c r="W3" s="703"/>
      <c r="Y3" s="156"/>
    </row>
    <row r="4" spans="1:25" s="154" customFormat="1" ht="27.75" thickBot="1">
      <c r="A4" s="437"/>
      <c r="B4" s="342"/>
      <c r="C4" s="707"/>
      <c r="D4" s="708"/>
      <c r="E4" s="709"/>
      <c r="F4" s="710"/>
      <c r="G4" s="710"/>
      <c r="H4" s="710"/>
      <c r="I4" s="345" t="s">
        <v>116</v>
      </c>
      <c r="J4" s="345" t="s">
        <v>16</v>
      </c>
      <c r="K4" s="345" t="s">
        <v>116</v>
      </c>
      <c r="L4" s="345" t="s">
        <v>16</v>
      </c>
      <c r="M4" s="345" t="s">
        <v>116</v>
      </c>
      <c r="N4" s="345" t="s">
        <v>16</v>
      </c>
      <c r="O4" s="343" t="s">
        <v>116</v>
      </c>
      <c r="P4" s="343" t="s">
        <v>16</v>
      </c>
      <c r="Q4" s="344" t="s">
        <v>199</v>
      </c>
      <c r="R4" s="344" t="s">
        <v>200</v>
      </c>
      <c r="S4" s="378" t="s">
        <v>116</v>
      </c>
      <c r="T4" s="346" t="s">
        <v>11</v>
      </c>
      <c r="U4" s="345" t="s">
        <v>116</v>
      </c>
      <c r="V4" s="345" t="s">
        <v>16</v>
      </c>
      <c r="W4" s="347" t="s">
        <v>200</v>
      </c>
      <c r="Y4" s="156"/>
    </row>
    <row r="5" spans="1:25" s="277" customFormat="1" ht="18">
      <c r="A5" s="279">
        <f aca="true" t="shared" si="0" ref="A5:A14">ROW()-4</f>
        <v>1</v>
      </c>
      <c r="B5" s="293"/>
      <c r="C5" s="367" t="s">
        <v>292</v>
      </c>
      <c r="D5" s="368">
        <v>38807</v>
      </c>
      <c r="E5" s="369" t="s">
        <v>293</v>
      </c>
      <c r="F5" s="388">
        <v>115</v>
      </c>
      <c r="G5" s="384">
        <v>115</v>
      </c>
      <c r="H5" s="388">
        <v>1</v>
      </c>
      <c r="I5" s="392">
        <v>142542.5</v>
      </c>
      <c r="J5" s="401">
        <v>18020</v>
      </c>
      <c r="K5" s="392">
        <v>226728</v>
      </c>
      <c r="L5" s="401">
        <v>28195</v>
      </c>
      <c r="M5" s="392">
        <v>240901</v>
      </c>
      <c r="N5" s="401">
        <v>30842</v>
      </c>
      <c r="O5" s="406">
        <f>+I5+K5+M5</f>
        <v>610171.5</v>
      </c>
      <c r="P5" s="179">
        <f>+J5+L5+N5</f>
        <v>77057</v>
      </c>
      <c r="Q5" s="371">
        <f>IF(O5&lt;&gt;0,P5/G5,"")</f>
        <v>670.0608695652174</v>
      </c>
      <c r="R5" s="414">
        <f>IF(O5&lt;&gt;0,O5/P5,"")</f>
        <v>7.918443489884112</v>
      </c>
      <c r="S5" s="412"/>
      <c r="T5" s="418">
        <f aca="true" t="shared" si="1" ref="T5:T14">IF(S5&lt;&gt;0,-(S5-O5)/S5,"")</f>
      </c>
      <c r="U5" s="392">
        <f>+O5</f>
        <v>610171.5</v>
      </c>
      <c r="V5" s="370">
        <f>+P5</f>
        <v>77057</v>
      </c>
      <c r="W5" s="372">
        <f>U5/V5</f>
        <v>7.918443489884112</v>
      </c>
      <c r="Y5" s="278"/>
    </row>
    <row r="6" spans="1:25" s="277" customFormat="1" ht="18">
      <c r="A6" s="279">
        <f t="shared" si="0"/>
        <v>2</v>
      </c>
      <c r="B6" s="295"/>
      <c r="C6" s="348" t="s">
        <v>294</v>
      </c>
      <c r="D6" s="349">
        <v>38807</v>
      </c>
      <c r="E6" s="350" t="s">
        <v>205</v>
      </c>
      <c r="F6" s="389">
        <v>77</v>
      </c>
      <c r="G6" s="385">
        <v>79</v>
      </c>
      <c r="H6" s="389">
        <v>1</v>
      </c>
      <c r="I6" s="393">
        <v>61679.5</v>
      </c>
      <c r="J6" s="402">
        <v>7734</v>
      </c>
      <c r="K6" s="397">
        <v>92794</v>
      </c>
      <c r="L6" s="402">
        <v>11292</v>
      </c>
      <c r="M6" s="397">
        <v>83656</v>
      </c>
      <c r="N6" s="402">
        <v>10455</v>
      </c>
      <c r="O6" s="407">
        <f>+I6+K6+M6</f>
        <v>238129.5</v>
      </c>
      <c r="P6" s="353">
        <f>+J6+L6+N6</f>
        <v>29481</v>
      </c>
      <c r="Q6" s="352">
        <f>IF(O6&lt;&gt;0,P6/G6,"")</f>
        <v>373.17721518987344</v>
      </c>
      <c r="R6" s="415">
        <f>IF(O6&lt;&gt;0,O6/P6,"")</f>
        <v>8.077388826701943</v>
      </c>
      <c r="S6" s="397"/>
      <c r="T6" s="419">
        <f t="shared" si="1"/>
      </c>
      <c r="U6" s="397">
        <v>238129.5</v>
      </c>
      <c r="V6" s="351">
        <v>29481</v>
      </c>
      <c r="W6" s="373">
        <f>U6/V6</f>
        <v>8.077388826701943</v>
      </c>
      <c r="Y6" s="278"/>
    </row>
    <row r="7" spans="1:26" s="281" customFormat="1" ht="18">
      <c r="A7" s="279">
        <f t="shared" si="0"/>
        <v>3</v>
      </c>
      <c r="B7" s="296"/>
      <c r="C7" s="354" t="s">
        <v>276</v>
      </c>
      <c r="D7" s="355">
        <v>38800</v>
      </c>
      <c r="E7" s="356" t="s">
        <v>225</v>
      </c>
      <c r="F7" s="390">
        <v>92</v>
      </c>
      <c r="G7" s="386">
        <v>92</v>
      </c>
      <c r="H7" s="390">
        <v>2</v>
      </c>
      <c r="I7" s="394">
        <v>37242</v>
      </c>
      <c r="J7" s="403">
        <v>4639</v>
      </c>
      <c r="K7" s="398">
        <v>98831</v>
      </c>
      <c r="L7" s="403">
        <v>12392</v>
      </c>
      <c r="M7" s="398">
        <v>86035</v>
      </c>
      <c r="N7" s="403">
        <v>11027</v>
      </c>
      <c r="O7" s="408">
        <f>I7+K7+M7</f>
        <v>222108</v>
      </c>
      <c r="P7" s="357">
        <f>J7+L7+N7</f>
        <v>28058</v>
      </c>
      <c r="Q7" s="358">
        <f>P7/G7</f>
        <v>304.9782608695652</v>
      </c>
      <c r="R7" s="416">
        <f>O7/P7</f>
        <v>7.916031078480291</v>
      </c>
      <c r="S7" s="394">
        <v>361546</v>
      </c>
      <c r="T7" s="419">
        <f t="shared" si="1"/>
        <v>-0.3856715328063372</v>
      </c>
      <c r="U7" s="398">
        <v>703859.5</v>
      </c>
      <c r="V7" s="359">
        <v>95968</v>
      </c>
      <c r="W7" s="374">
        <f>+U7/V7</f>
        <v>7.334314563187729</v>
      </c>
      <c r="X7" s="280"/>
      <c r="Z7" s="280"/>
    </row>
    <row r="8" spans="1:25" s="282" customFormat="1" ht="18">
      <c r="A8" s="279">
        <f t="shared" si="0"/>
        <v>4</v>
      </c>
      <c r="B8" s="296"/>
      <c r="C8" s="348" t="s">
        <v>201</v>
      </c>
      <c r="D8" s="349">
        <v>38793</v>
      </c>
      <c r="E8" s="350" t="s">
        <v>202</v>
      </c>
      <c r="F8" s="389">
        <v>129</v>
      </c>
      <c r="G8" s="385">
        <v>130</v>
      </c>
      <c r="H8" s="389">
        <v>3</v>
      </c>
      <c r="I8" s="393">
        <v>38551</v>
      </c>
      <c r="J8" s="402">
        <v>5754</v>
      </c>
      <c r="K8" s="397">
        <v>79067</v>
      </c>
      <c r="L8" s="402">
        <v>11169</v>
      </c>
      <c r="M8" s="397">
        <v>86506</v>
      </c>
      <c r="N8" s="402">
        <v>12160</v>
      </c>
      <c r="O8" s="407">
        <f aca="true" t="shared" si="2" ref="O8:P11">+I8+K8+M8</f>
        <v>204124</v>
      </c>
      <c r="P8" s="353">
        <f t="shared" si="2"/>
        <v>29083</v>
      </c>
      <c r="Q8" s="352">
        <f>IF(O8&lt;&gt;0,P8/G8,"")</f>
        <v>223.7153846153846</v>
      </c>
      <c r="R8" s="415">
        <f>IF(O8&lt;&gt;0,O8/P8,"")</f>
        <v>7.018670701096861</v>
      </c>
      <c r="S8" s="413">
        <v>332219</v>
      </c>
      <c r="T8" s="419">
        <f t="shared" si="1"/>
        <v>-0.3855739737943947</v>
      </c>
      <c r="U8" s="397">
        <v>1385594</v>
      </c>
      <c r="V8" s="351">
        <v>198119</v>
      </c>
      <c r="W8" s="373">
        <f>U8/V8</f>
        <v>6.993746182849701</v>
      </c>
      <c r="X8" s="280"/>
      <c r="Y8" s="280"/>
    </row>
    <row r="9" spans="1:25" s="282" customFormat="1" ht="18">
      <c r="A9" s="279">
        <f t="shared" si="0"/>
        <v>5</v>
      </c>
      <c r="B9" s="296"/>
      <c r="C9" s="348" t="s">
        <v>279</v>
      </c>
      <c r="D9" s="349">
        <v>38800</v>
      </c>
      <c r="E9" s="350" t="s">
        <v>295</v>
      </c>
      <c r="F9" s="389">
        <v>58</v>
      </c>
      <c r="G9" s="385">
        <v>58</v>
      </c>
      <c r="H9" s="389">
        <v>2</v>
      </c>
      <c r="I9" s="393">
        <v>17537</v>
      </c>
      <c r="J9" s="402">
        <v>2487</v>
      </c>
      <c r="K9" s="397">
        <v>80916.5</v>
      </c>
      <c r="L9" s="402">
        <v>10630</v>
      </c>
      <c r="M9" s="397">
        <v>73122.5</v>
      </c>
      <c r="N9" s="402">
        <v>9703</v>
      </c>
      <c r="O9" s="407">
        <f t="shared" si="2"/>
        <v>171576</v>
      </c>
      <c r="P9" s="353">
        <f t="shared" si="2"/>
        <v>22820</v>
      </c>
      <c r="Q9" s="352">
        <f>IF(O9&lt;&gt;0,P9/G9,"")</f>
        <v>393.44827586206895</v>
      </c>
      <c r="R9" s="415">
        <f>IF(O9&lt;&gt;0,O9/P9,"")</f>
        <v>7.518667835232252</v>
      </c>
      <c r="S9" s="397">
        <v>286361.5</v>
      </c>
      <c r="T9" s="419">
        <f t="shared" si="1"/>
        <v>-0.4008412443711882</v>
      </c>
      <c r="U9" s="397">
        <f>350945.5+171576</f>
        <v>522521.5</v>
      </c>
      <c r="V9" s="351">
        <f>46256+22820</f>
        <v>69076</v>
      </c>
      <c r="W9" s="373">
        <f>IF(U9&lt;&gt;0,U9/V9,"")</f>
        <v>7.564443511494586</v>
      </c>
      <c r="X9" s="280"/>
      <c r="Y9" s="280"/>
    </row>
    <row r="10" spans="1:25" s="282" customFormat="1" ht="18">
      <c r="A10" s="279">
        <f t="shared" si="0"/>
        <v>6</v>
      </c>
      <c r="B10" s="296"/>
      <c r="C10" s="348" t="s">
        <v>296</v>
      </c>
      <c r="D10" s="349">
        <v>38807</v>
      </c>
      <c r="E10" s="350" t="s">
        <v>210</v>
      </c>
      <c r="F10" s="389">
        <v>62</v>
      </c>
      <c r="G10" s="385">
        <v>61</v>
      </c>
      <c r="H10" s="389">
        <v>1</v>
      </c>
      <c r="I10" s="393">
        <v>32430</v>
      </c>
      <c r="J10" s="402">
        <v>3758</v>
      </c>
      <c r="K10" s="397">
        <v>56705</v>
      </c>
      <c r="L10" s="402">
        <v>6453</v>
      </c>
      <c r="M10" s="397">
        <v>53533</v>
      </c>
      <c r="N10" s="402">
        <v>6298</v>
      </c>
      <c r="O10" s="407">
        <f t="shared" si="2"/>
        <v>142668</v>
      </c>
      <c r="P10" s="353">
        <f t="shared" si="2"/>
        <v>16509</v>
      </c>
      <c r="Q10" s="352">
        <f>IF(O10&lt;&gt;0,P10/G10,"")</f>
        <v>270.6393442622951</v>
      </c>
      <c r="R10" s="415">
        <f>IF(O10&lt;&gt;0,O10/P10,"")</f>
        <v>8.641831728148283</v>
      </c>
      <c r="S10" s="397"/>
      <c r="T10" s="419">
        <f t="shared" si="1"/>
      </c>
      <c r="U10" s="397">
        <v>142668</v>
      </c>
      <c r="V10" s="351">
        <v>16509</v>
      </c>
      <c r="W10" s="373">
        <f>U10/V10</f>
        <v>8.641831728148283</v>
      </c>
      <c r="X10" s="280"/>
      <c r="Y10" s="280"/>
    </row>
    <row r="11" spans="1:25" s="282" customFormat="1" ht="18">
      <c r="A11" s="279">
        <f t="shared" si="0"/>
        <v>7</v>
      </c>
      <c r="B11" s="296"/>
      <c r="C11" s="348" t="s">
        <v>255</v>
      </c>
      <c r="D11" s="349">
        <v>38800</v>
      </c>
      <c r="E11" s="350" t="s">
        <v>297</v>
      </c>
      <c r="F11" s="389">
        <v>42</v>
      </c>
      <c r="G11" s="385">
        <v>43</v>
      </c>
      <c r="H11" s="389">
        <v>2</v>
      </c>
      <c r="I11" s="393">
        <v>18200</v>
      </c>
      <c r="J11" s="402">
        <v>2086</v>
      </c>
      <c r="K11" s="397">
        <v>28204.5</v>
      </c>
      <c r="L11" s="402">
        <v>3195</v>
      </c>
      <c r="M11" s="397">
        <v>25432</v>
      </c>
      <c r="N11" s="402">
        <v>2789</v>
      </c>
      <c r="O11" s="407">
        <f t="shared" si="2"/>
        <v>71836.5</v>
      </c>
      <c r="P11" s="353">
        <f t="shared" si="2"/>
        <v>8070</v>
      </c>
      <c r="Q11" s="352">
        <f>IF(O11&lt;&gt;0,P11/G11,"")</f>
        <v>187.67441860465115</v>
      </c>
      <c r="R11" s="415">
        <f>IF(O11&lt;&gt;0,O11/P11,"")</f>
        <v>8.901672862453532</v>
      </c>
      <c r="S11" s="397">
        <v>190614.5</v>
      </c>
      <c r="T11" s="419">
        <f t="shared" si="1"/>
        <v>-0.6231320282559826</v>
      </c>
      <c r="U11" s="397">
        <v>360232</v>
      </c>
      <c r="V11" s="351">
        <v>40661</v>
      </c>
      <c r="W11" s="373">
        <f>U11/V11</f>
        <v>8.859398440766336</v>
      </c>
      <c r="X11" s="280"/>
      <c r="Y11" s="280"/>
    </row>
    <row r="12" spans="1:25" s="282" customFormat="1" ht="18">
      <c r="A12" s="279">
        <f t="shared" si="0"/>
        <v>8</v>
      </c>
      <c r="B12" s="296"/>
      <c r="C12" s="354" t="s">
        <v>298</v>
      </c>
      <c r="D12" s="355">
        <v>38807</v>
      </c>
      <c r="E12" s="356" t="s">
        <v>225</v>
      </c>
      <c r="F12" s="390">
        <v>20</v>
      </c>
      <c r="G12" s="386">
        <v>20</v>
      </c>
      <c r="H12" s="390">
        <v>1</v>
      </c>
      <c r="I12" s="394">
        <v>9397</v>
      </c>
      <c r="J12" s="403">
        <v>1076</v>
      </c>
      <c r="K12" s="398">
        <v>23361.5</v>
      </c>
      <c r="L12" s="403">
        <v>2636</v>
      </c>
      <c r="M12" s="398">
        <v>20524.5</v>
      </c>
      <c r="N12" s="403">
        <v>2356</v>
      </c>
      <c r="O12" s="408">
        <f>I12+K12+M12</f>
        <v>53283</v>
      </c>
      <c r="P12" s="357">
        <f>J12+L12+N12</f>
        <v>6068</v>
      </c>
      <c r="Q12" s="358">
        <f>P12/G12</f>
        <v>303.4</v>
      </c>
      <c r="R12" s="416">
        <f>O12/P12</f>
        <v>8.78098220171391</v>
      </c>
      <c r="S12" s="394"/>
      <c r="T12" s="419">
        <f t="shared" si="1"/>
      </c>
      <c r="U12" s="398">
        <v>53283</v>
      </c>
      <c r="V12" s="359">
        <v>6068</v>
      </c>
      <c r="W12" s="374">
        <f>+U12/V12</f>
        <v>8.78098220171391</v>
      </c>
      <c r="X12" s="280"/>
      <c r="Y12" s="280"/>
    </row>
    <row r="13" spans="1:25" s="282" customFormat="1" ht="18">
      <c r="A13" s="279">
        <f t="shared" si="0"/>
        <v>9</v>
      </c>
      <c r="B13" s="296"/>
      <c r="C13" s="354" t="s">
        <v>67</v>
      </c>
      <c r="D13" s="355" t="s">
        <v>299</v>
      </c>
      <c r="E13" s="356" t="s">
        <v>300</v>
      </c>
      <c r="F13" s="390">
        <v>135</v>
      </c>
      <c r="G13" s="386">
        <v>49</v>
      </c>
      <c r="H13" s="390">
        <v>20</v>
      </c>
      <c r="I13" s="394">
        <v>11189</v>
      </c>
      <c r="J13" s="403">
        <v>2925</v>
      </c>
      <c r="K13" s="398">
        <v>19056.5</v>
      </c>
      <c r="L13" s="403">
        <v>4355</v>
      </c>
      <c r="M13" s="398">
        <v>19177.5</v>
      </c>
      <c r="N13" s="403">
        <v>4302</v>
      </c>
      <c r="O13" s="408">
        <f>I13+K13+M13</f>
        <v>49423</v>
      </c>
      <c r="P13" s="357">
        <f>J13+L13+N13</f>
        <v>11582</v>
      </c>
      <c r="Q13" s="358">
        <f>P13/G13</f>
        <v>236.3673469387755</v>
      </c>
      <c r="R13" s="416">
        <f>O13/P13</f>
        <v>4.267225004317043</v>
      </c>
      <c r="S13" s="394">
        <v>110102</v>
      </c>
      <c r="T13" s="419">
        <f t="shared" si="1"/>
        <v>-0.5511162376705236</v>
      </c>
      <c r="U13" s="398">
        <v>24934054</v>
      </c>
      <c r="V13" s="359">
        <v>3689360</v>
      </c>
      <c r="W13" s="374">
        <f>+U13/V13</f>
        <v>6.758368389097296</v>
      </c>
      <c r="X13" s="280"/>
      <c r="Y13" s="280"/>
    </row>
    <row r="14" spans="1:25" s="282" customFormat="1" ht="18.75" thickBot="1">
      <c r="A14" s="279">
        <f t="shared" si="0"/>
        <v>10</v>
      </c>
      <c r="B14" s="297"/>
      <c r="C14" s="421" t="s">
        <v>204</v>
      </c>
      <c r="D14" s="422">
        <v>38793</v>
      </c>
      <c r="E14" s="423" t="s">
        <v>205</v>
      </c>
      <c r="F14" s="424">
        <v>56</v>
      </c>
      <c r="G14" s="425">
        <v>56</v>
      </c>
      <c r="H14" s="424">
        <v>3</v>
      </c>
      <c r="I14" s="426">
        <v>10641.5</v>
      </c>
      <c r="J14" s="427">
        <v>1269</v>
      </c>
      <c r="K14" s="428">
        <v>19122.5</v>
      </c>
      <c r="L14" s="427">
        <v>2233</v>
      </c>
      <c r="M14" s="428">
        <v>17620</v>
      </c>
      <c r="N14" s="427">
        <v>2193</v>
      </c>
      <c r="O14" s="411">
        <f>+I14+K14+M14</f>
        <v>47384</v>
      </c>
      <c r="P14" s="429">
        <f>+J14+L14+N14</f>
        <v>5695</v>
      </c>
      <c r="Q14" s="430">
        <f>IF(O14&lt;&gt;0,P14/G14,"")</f>
        <v>101.69642857142857</v>
      </c>
      <c r="R14" s="431">
        <f>IF(O14&lt;&gt;0,O14/P14,"")</f>
        <v>8.320280948200175</v>
      </c>
      <c r="S14" s="428">
        <v>151842</v>
      </c>
      <c r="T14" s="432">
        <f t="shared" si="1"/>
        <v>-0.6879387784670908</v>
      </c>
      <c r="U14" s="428">
        <v>646806.25</v>
      </c>
      <c r="V14" s="433">
        <v>75278</v>
      </c>
      <c r="W14" s="434">
        <f>U14/V14</f>
        <v>8.59223478307075</v>
      </c>
      <c r="X14" s="280"/>
      <c r="Y14" s="280"/>
    </row>
    <row r="15" spans="1:29" s="237" customFormat="1" ht="19.5" thickBot="1">
      <c r="A15" s="438"/>
      <c r="B15" s="277"/>
      <c r="C15" s="299"/>
      <c r="D15" s="300"/>
      <c r="E15" s="301"/>
      <c r="F15" s="302"/>
      <c r="G15" s="302"/>
      <c r="H15" s="302"/>
      <c r="I15" s="303"/>
      <c r="J15" s="304"/>
      <c r="K15" s="303"/>
      <c r="L15" s="304"/>
      <c r="M15" s="303"/>
      <c r="N15" s="304"/>
      <c r="O15" s="340"/>
      <c r="P15" s="305"/>
      <c r="Q15" s="306"/>
      <c r="R15" s="307"/>
      <c r="S15" s="303"/>
      <c r="T15" s="308"/>
      <c r="U15" s="308"/>
      <c r="V15" s="308"/>
      <c r="W15" s="308"/>
      <c r="X15" s="235"/>
      <c r="Y15" s="236"/>
      <c r="Z15" s="235"/>
      <c r="AA15" s="235"/>
      <c r="AB15" s="235"/>
      <c r="AC15" s="235"/>
    </row>
    <row r="16" spans="1:29" s="382" customFormat="1" ht="15.75" thickBot="1">
      <c r="A16" s="439"/>
      <c r="B16" s="704" t="s">
        <v>248</v>
      </c>
      <c r="C16" s="705"/>
      <c r="D16" s="705"/>
      <c r="E16" s="706"/>
      <c r="F16" s="309"/>
      <c r="G16" s="309">
        <f>SUM(G5:G15)</f>
        <v>703</v>
      </c>
      <c r="H16" s="310"/>
      <c r="I16" s="311"/>
      <c r="J16" s="312"/>
      <c r="K16" s="311"/>
      <c r="L16" s="312"/>
      <c r="M16" s="311"/>
      <c r="N16" s="312"/>
      <c r="O16" s="311">
        <f>SUM(O5:O15)</f>
        <v>1810703.5</v>
      </c>
      <c r="P16" s="313">
        <f>SUM(P5:P15)</f>
        <v>234423</v>
      </c>
      <c r="Q16" s="314">
        <f>P16/G16</f>
        <v>333.46088193456615</v>
      </c>
      <c r="R16" s="315">
        <f>O16/P16</f>
        <v>7.724086373777317</v>
      </c>
      <c r="S16" s="311"/>
      <c r="T16" s="316"/>
      <c r="U16" s="317"/>
      <c r="V16" s="318"/>
      <c r="W16" s="319"/>
      <c r="Y16" s="383"/>
      <c r="AC16" s="382" t="s">
        <v>249</v>
      </c>
    </row>
    <row r="17" spans="19:23" ht="18">
      <c r="S17" s="702" t="s">
        <v>250</v>
      </c>
      <c r="T17" s="702"/>
      <c r="U17" s="702"/>
      <c r="V17" s="702"/>
      <c r="W17" s="702"/>
    </row>
    <row r="18" spans="19:23" ht="18">
      <c r="S18" s="667"/>
      <c r="T18" s="667"/>
      <c r="U18" s="667"/>
      <c r="V18" s="667"/>
      <c r="W18" s="667"/>
    </row>
    <row r="19" spans="19:23" ht="18">
      <c r="S19" s="667"/>
      <c r="T19" s="667"/>
      <c r="U19" s="667"/>
      <c r="V19" s="667"/>
      <c r="W19" s="667"/>
    </row>
    <row r="20" spans="1:23" ht="18">
      <c r="A20" s="668" t="s">
        <v>252</v>
      </c>
      <c r="B20" s="669"/>
      <c r="C20" s="669"/>
      <c r="D20" s="669"/>
      <c r="E20" s="669"/>
      <c r="F20" s="669"/>
      <c r="G20" s="669"/>
      <c r="H20" s="669"/>
      <c r="I20" s="669"/>
      <c r="J20" s="669"/>
      <c r="K20" s="669"/>
      <c r="L20" s="669"/>
      <c r="M20" s="669"/>
      <c r="N20" s="669"/>
      <c r="O20" s="669"/>
      <c r="P20" s="669"/>
      <c r="Q20" s="669"/>
      <c r="R20" s="669"/>
      <c r="S20" s="669"/>
      <c r="T20" s="669"/>
      <c r="U20" s="669"/>
      <c r="V20" s="669"/>
      <c r="W20" s="669"/>
    </row>
    <row r="21" spans="1:23" ht="18">
      <c r="A21" s="669"/>
      <c r="B21" s="669"/>
      <c r="C21" s="669"/>
      <c r="D21" s="669"/>
      <c r="E21" s="669"/>
      <c r="F21" s="669"/>
      <c r="G21" s="669"/>
      <c r="H21" s="669"/>
      <c r="I21" s="669"/>
      <c r="J21" s="669"/>
      <c r="K21" s="669"/>
      <c r="L21" s="669"/>
      <c r="M21" s="669"/>
      <c r="N21" s="669"/>
      <c r="O21" s="669"/>
      <c r="P21" s="669"/>
      <c r="Q21" s="669"/>
      <c r="R21" s="669"/>
      <c r="S21" s="669"/>
      <c r="T21" s="669"/>
      <c r="U21" s="669"/>
      <c r="V21" s="669"/>
      <c r="W21" s="669"/>
    </row>
    <row r="22" spans="1:23" ht="18">
      <c r="A22" s="669"/>
      <c r="B22" s="669"/>
      <c r="C22" s="669"/>
      <c r="D22" s="669"/>
      <c r="E22" s="669"/>
      <c r="F22" s="669"/>
      <c r="G22" s="669"/>
      <c r="H22" s="669"/>
      <c r="I22" s="669"/>
      <c r="J22" s="669"/>
      <c r="K22" s="669"/>
      <c r="L22" s="669"/>
      <c r="M22" s="669"/>
      <c r="N22" s="669"/>
      <c r="O22" s="669"/>
      <c r="P22" s="669"/>
      <c r="Q22" s="669"/>
      <c r="R22" s="669"/>
      <c r="S22" s="669"/>
      <c r="T22" s="669"/>
      <c r="U22" s="669"/>
      <c r="V22" s="669"/>
      <c r="W22" s="669"/>
    </row>
    <row r="23" spans="1:23" ht="18">
      <c r="A23" s="669"/>
      <c r="B23" s="669"/>
      <c r="C23" s="669"/>
      <c r="D23" s="669"/>
      <c r="E23" s="669"/>
      <c r="F23" s="669"/>
      <c r="G23" s="669"/>
      <c r="H23" s="669"/>
      <c r="I23" s="669"/>
      <c r="J23" s="669"/>
      <c r="K23" s="669"/>
      <c r="L23" s="669"/>
      <c r="M23" s="669"/>
      <c r="N23" s="669"/>
      <c r="O23" s="669"/>
      <c r="P23" s="669"/>
      <c r="Q23" s="669"/>
      <c r="R23" s="669"/>
      <c r="S23" s="669"/>
      <c r="T23" s="669"/>
      <c r="U23" s="669"/>
      <c r="V23" s="669"/>
      <c r="W23" s="669"/>
    </row>
    <row r="24" spans="1:29" ht="18">
      <c r="A24" s="669"/>
      <c r="B24" s="669"/>
      <c r="C24" s="669"/>
      <c r="D24" s="669"/>
      <c r="E24" s="669"/>
      <c r="F24" s="669"/>
      <c r="G24" s="669"/>
      <c r="H24" s="669"/>
      <c r="I24" s="669"/>
      <c r="J24" s="669"/>
      <c r="K24" s="669"/>
      <c r="L24" s="669"/>
      <c r="M24" s="669"/>
      <c r="N24" s="669"/>
      <c r="O24" s="669"/>
      <c r="P24" s="669"/>
      <c r="Q24" s="669"/>
      <c r="R24" s="669"/>
      <c r="S24" s="669"/>
      <c r="T24" s="669"/>
      <c r="U24" s="669"/>
      <c r="V24" s="669"/>
      <c r="W24" s="669"/>
      <c r="AC24" s="200" t="s">
        <v>249</v>
      </c>
    </row>
  </sheetData>
  <mergeCells count="16">
    <mergeCell ref="S17:W19"/>
    <mergeCell ref="A20:W24"/>
    <mergeCell ref="O3:R3"/>
    <mergeCell ref="S3:T3"/>
    <mergeCell ref="U3:W3"/>
    <mergeCell ref="B16:E16"/>
    <mergeCell ref="A2:W2"/>
    <mergeCell ref="C3:C4"/>
    <mergeCell ref="D3:D4"/>
    <mergeCell ref="E3:E4"/>
    <mergeCell ref="F3:F4"/>
    <mergeCell ref="G3:G4"/>
    <mergeCell ref="H3:H4"/>
    <mergeCell ref="I3:J3"/>
    <mergeCell ref="K3:L3"/>
    <mergeCell ref="M3:N3"/>
  </mergeCells>
  <printOptions/>
  <pageMargins left="0.75" right="0.75" top="1" bottom="1" header="0.5" footer="0.5"/>
  <pageSetup orientation="portrait" paperSize="9"/>
  <ignoredErrors>
    <ignoredError sqref="U5:V11 W5:W6 W11" unlockedFormula="1"/>
    <ignoredError sqref="O7:S10" formula="1"/>
    <ignoredError sqref="W7:W10" formula="1" unlockedFormula="1"/>
  </ignoredErrors>
  <drawing r:id="rId1"/>
</worksheet>
</file>

<file path=xl/worksheets/sheet17.xml><?xml version="1.0" encoding="utf-8"?>
<worksheet xmlns="http://schemas.openxmlformats.org/spreadsheetml/2006/main" xmlns:r="http://schemas.openxmlformats.org/officeDocument/2006/relationships">
  <dimension ref="A1:AD86"/>
  <sheetViews>
    <sheetView zoomScale="50" zoomScaleNormal="50" workbookViewId="0" topLeftCell="A1">
      <selection activeCell="T12" sqref="T12"/>
    </sheetView>
  </sheetViews>
  <sheetFormatPr defaultColWidth="9.140625" defaultRowHeight="12.75"/>
  <cols>
    <col min="1" max="1" width="3.57421875" style="440" bestFit="1" customWidth="1"/>
    <col min="2" max="2" width="1.7109375" style="253" customWidth="1"/>
    <col min="3" max="3" width="39.00390625" style="200" bestFit="1" customWidth="1"/>
    <col min="4" max="4" width="9.8515625" style="200" customWidth="1"/>
    <col min="5" max="5" width="13.8515625" style="200" bestFit="1" customWidth="1"/>
    <col min="6" max="6" width="23.57421875" style="254" bestFit="1" customWidth="1"/>
    <col min="7" max="7" width="5.57421875" style="255" bestFit="1" customWidth="1"/>
    <col min="8" max="8" width="7.28125" style="255" bestFit="1" customWidth="1"/>
    <col min="9" max="9" width="8.421875" style="200" customWidth="1"/>
    <col min="10" max="10" width="12.140625" style="200" bestFit="1" customWidth="1"/>
    <col min="11" max="11" width="7.28125" style="200" bestFit="1" customWidth="1"/>
    <col min="12" max="12" width="13.28125" style="200" bestFit="1" customWidth="1"/>
    <col min="13" max="13" width="8.421875" style="200" bestFit="1" customWidth="1"/>
    <col min="14" max="14" width="13.28125" style="200" bestFit="1" customWidth="1"/>
    <col min="15" max="15" width="8.421875" style="200" bestFit="1" customWidth="1"/>
    <col min="16" max="16" width="14.421875" style="381" customWidth="1"/>
    <col min="17" max="17" width="9.28125" style="200" customWidth="1"/>
    <col min="18" max="18" width="8.140625" style="200" bestFit="1" customWidth="1"/>
    <col min="19" max="19" width="7.28125" style="200" bestFit="1" customWidth="1"/>
    <col min="20" max="20" width="16.7109375" style="379" customWidth="1"/>
    <col min="21" max="21" width="8.421875" style="200" customWidth="1"/>
    <col min="22" max="22" width="20.421875" style="200" bestFit="1" customWidth="1"/>
    <col min="23" max="23" width="11.57421875" style="200" bestFit="1" customWidth="1"/>
    <col min="24" max="24" width="6.140625" style="200" bestFit="1" customWidth="1"/>
    <col min="25" max="25" width="12.421875" style="200" bestFit="1" customWidth="1"/>
    <col min="26" max="26" width="9.140625" style="152" customWidth="1"/>
    <col min="27" max="29" width="9.140625" style="200" customWidth="1"/>
    <col min="30" max="30" width="2.7109375" style="200" bestFit="1" customWidth="1"/>
    <col min="31" max="16384" width="9.140625" style="200" customWidth="1"/>
  </cols>
  <sheetData>
    <row r="1" spans="1:26" s="151" customFormat="1" ht="102.75" customHeight="1" thickBot="1">
      <c r="A1" s="435"/>
      <c r="B1" s="144"/>
      <c r="C1" s="145"/>
      <c r="D1" s="146"/>
      <c r="E1" s="146"/>
      <c r="F1" s="147"/>
      <c r="G1" s="148"/>
      <c r="H1" s="148"/>
      <c r="I1" s="146"/>
      <c r="J1" s="146"/>
      <c r="K1" s="146"/>
      <c r="L1" s="146"/>
      <c r="M1" s="146"/>
      <c r="N1" s="146"/>
      <c r="O1" s="146"/>
      <c r="P1" s="380"/>
      <c r="Q1" s="146"/>
      <c r="R1" s="146"/>
      <c r="S1" s="146"/>
      <c r="T1" s="377"/>
      <c r="U1" s="146"/>
      <c r="V1" s="149"/>
      <c r="W1" s="149"/>
      <c r="X1" s="150"/>
      <c r="Z1" s="152"/>
    </row>
    <row r="2" spans="1:24" s="153" customFormat="1" ht="27.75" thickBot="1">
      <c r="A2" s="679" t="s">
        <v>190</v>
      </c>
      <c r="B2" s="692"/>
      <c r="C2" s="692"/>
      <c r="D2" s="692"/>
      <c r="E2" s="692"/>
      <c r="F2" s="692"/>
      <c r="G2" s="692"/>
      <c r="H2" s="692"/>
      <c r="I2" s="692"/>
      <c r="J2" s="692"/>
      <c r="K2" s="692"/>
      <c r="L2" s="692"/>
      <c r="M2" s="692"/>
      <c r="N2" s="692"/>
      <c r="O2" s="692"/>
      <c r="P2" s="692"/>
      <c r="Q2" s="693"/>
      <c r="R2" s="693"/>
      <c r="S2" s="693"/>
      <c r="T2" s="693"/>
      <c r="U2" s="693"/>
      <c r="V2" s="693"/>
      <c r="W2" s="693"/>
      <c r="X2" s="693"/>
    </row>
    <row r="3" spans="1:26" s="154" customFormat="1" ht="18">
      <c r="A3" s="436"/>
      <c r="B3" s="285"/>
      <c r="C3" s="694" t="s">
        <v>0</v>
      </c>
      <c r="D3" s="696" t="s">
        <v>191</v>
      </c>
      <c r="E3" s="696" t="s">
        <v>2</v>
      </c>
      <c r="F3" s="696" t="s">
        <v>383</v>
      </c>
      <c r="G3" s="699" t="s">
        <v>193</v>
      </c>
      <c r="H3" s="699" t="s">
        <v>194</v>
      </c>
      <c r="I3" s="699" t="s">
        <v>195</v>
      </c>
      <c r="J3" s="701" t="s">
        <v>4</v>
      </c>
      <c r="K3" s="701"/>
      <c r="L3" s="701" t="s">
        <v>7</v>
      </c>
      <c r="M3" s="701"/>
      <c r="N3" s="701" t="s">
        <v>8</v>
      </c>
      <c r="O3" s="701"/>
      <c r="P3" s="701" t="s">
        <v>196</v>
      </c>
      <c r="Q3" s="701"/>
      <c r="R3" s="701"/>
      <c r="S3" s="701"/>
      <c r="T3" s="701" t="s">
        <v>197</v>
      </c>
      <c r="U3" s="701"/>
      <c r="V3" s="701" t="s">
        <v>198</v>
      </c>
      <c r="W3" s="701"/>
      <c r="X3" s="703"/>
      <c r="Z3" s="156"/>
    </row>
    <row r="4" spans="1:26" s="154" customFormat="1" ht="27.75" thickBot="1">
      <c r="A4" s="437"/>
      <c r="B4" s="342"/>
      <c r="C4" s="707"/>
      <c r="D4" s="708"/>
      <c r="E4" s="709"/>
      <c r="F4" s="709"/>
      <c r="G4" s="710"/>
      <c r="H4" s="710"/>
      <c r="I4" s="710"/>
      <c r="J4" s="345" t="s">
        <v>116</v>
      </c>
      <c r="K4" s="345" t="s">
        <v>16</v>
      </c>
      <c r="L4" s="345" t="s">
        <v>116</v>
      </c>
      <c r="M4" s="345" t="s">
        <v>16</v>
      </c>
      <c r="N4" s="345" t="s">
        <v>116</v>
      </c>
      <c r="O4" s="345" t="s">
        <v>16</v>
      </c>
      <c r="P4" s="343" t="s">
        <v>116</v>
      </c>
      <c r="Q4" s="343" t="s">
        <v>16</v>
      </c>
      <c r="R4" s="344" t="s">
        <v>199</v>
      </c>
      <c r="S4" s="344" t="s">
        <v>200</v>
      </c>
      <c r="T4" s="378" t="s">
        <v>116</v>
      </c>
      <c r="U4" s="346" t="s">
        <v>11</v>
      </c>
      <c r="V4" s="345" t="s">
        <v>116</v>
      </c>
      <c r="W4" s="345" t="s">
        <v>16</v>
      </c>
      <c r="X4" s="347" t="s">
        <v>200</v>
      </c>
      <c r="Z4" s="156"/>
    </row>
    <row r="5" spans="1:26" s="277" customFormat="1" ht="18">
      <c r="A5" s="487">
        <f aca="true" t="shared" si="0" ref="A5:A73">ROW()-4</f>
        <v>1</v>
      </c>
      <c r="B5" s="293"/>
      <c r="C5" s="367" t="s">
        <v>292</v>
      </c>
      <c r="D5" s="368">
        <v>38807</v>
      </c>
      <c r="E5" s="369" t="s">
        <v>326</v>
      </c>
      <c r="F5" s="369" t="s">
        <v>327</v>
      </c>
      <c r="G5" s="388">
        <v>115</v>
      </c>
      <c r="H5" s="384">
        <v>115</v>
      </c>
      <c r="I5" s="388">
        <v>2</v>
      </c>
      <c r="J5" s="392">
        <v>76175.5</v>
      </c>
      <c r="K5" s="401">
        <v>9745</v>
      </c>
      <c r="L5" s="392">
        <v>154359.5</v>
      </c>
      <c r="M5" s="401">
        <v>18679</v>
      </c>
      <c r="N5" s="392">
        <v>138964</v>
      </c>
      <c r="O5" s="401">
        <v>17048</v>
      </c>
      <c r="P5" s="406">
        <f aca="true" t="shared" si="1" ref="P5:Q7">+J5+L5+N5</f>
        <v>369499</v>
      </c>
      <c r="Q5" s="179">
        <f t="shared" si="1"/>
        <v>45472</v>
      </c>
      <c r="R5" s="371">
        <f>IF(P5&lt;&gt;0,Q5/H5,"")</f>
        <v>395.4086956521739</v>
      </c>
      <c r="S5" s="488">
        <f>IF(P5&lt;&gt;0,P5/Q5,"")</f>
        <v>8.125857670654469</v>
      </c>
      <c r="T5" s="412">
        <v>953677.5</v>
      </c>
      <c r="U5" s="418">
        <f>IF(T5&lt;&gt;0,-(T5-P5)/T5,"")</f>
        <v>-0.612553509965371</v>
      </c>
      <c r="V5" s="392">
        <v>1323176.5</v>
      </c>
      <c r="W5" s="370">
        <v>171612</v>
      </c>
      <c r="X5" s="489">
        <f>V5/W5</f>
        <v>7.710279584178263</v>
      </c>
      <c r="Z5" s="278"/>
    </row>
    <row r="6" spans="1:26" s="277" customFormat="1" ht="18">
      <c r="A6" s="490">
        <f t="shared" si="0"/>
        <v>2</v>
      </c>
      <c r="B6" s="295"/>
      <c r="C6" s="350" t="s">
        <v>328</v>
      </c>
      <c r="D6" s="349">
        <v>38814</v>
      </c>
      <c r="E6" s="455" t="s">
        <v>88</v>
      </c>
      <c r="F6" s="350" t="s">
        <v>329</v>
      </c>
      <c r="G6" s="389">
        <v>124</v>
      </c>
      <c r="H6" s="385">
        <v>129</v>
      </c>
      <c r="I6" s="389">
        <v>1</v>
      </c>
      <c r="J6" s="393">
        <v>60675</v>
      </c>
      <c r="K6" s="402">
        <v>8929</v>
      </c>
      <c r="L6" s="393">
        <v>107635</v>
      </c>
      <c r="M6" s="402">
        <v>15239</v>
      </c>
      <c r="N6" s="393">
        <v>109612</v>
      </c>
      <c r="O6" s="402">
        <v>15235</v>
      </c>
      <c r="P6" s="456">
        <f t="shared" si="1"/>
        <v>277922</v>
      </c>
      <c r="Q6" s="353">
        <f t="shared" si="1"/>
        <v>39403</v>
      </c>
      <c r="R6" s="352">
        <f>IF(P6&lt;&gt;0,Q6/H6,"")</f>
        <v>305.4496124031008</v>
      </c>
      <c r="S6" s="457">
        <f>IF(P6&lt;&gt;0,P6/Q6,"")</f>
        <v>7.053320813136056</v>
      </c>
      <c r="T6" s="393"/>
      <c r="U6" s="458">
        <f>IF(T6&lt;&gt;0,-(T6-P6)/T6,"")</f>
      </c>
      <c r="V6" s="393">
        <v>277922</v>
      </c>
      <c r="W6" s="459">
        <v>39403</v>
      </c>
      <c r="X6" s="491">
        <f>V6/W6</f>
        <v>7.053320813136056</v>
      </c>
      <c r="Z6" s="278"/>
    </row>
    <row r="7" spans="1:27" s="281" customFormat="1" ht="18">
      <c r="A7" s="490">
        <f t="shared" si="0"/>
        <v>3</v>
      </c>
      <c r="B7" s="296"/>
      <c r="C7" s="350" t="s">
        <v>294</v>
      </c>
      <c r="D7" s="349">
        <v>38807</v>
      </c>
      <c r="E7" s="455" t="s">
        <v>88</v>
      </c>
      <c r="F7" s="350" t="s">
        <v>91</v>
      </c>
      <c r="G7" s="389">
        <v>77</v>
      </c>
      <c r="H7" s="385">
        <v>78</v>
      </c>
      <c r="I7" s="389">
        <v>2</v>
      </c>
      <c r="J7" s="393">
        <v>41365.5</v>
      </c>
      <c r="K7" s="402">
        <v>5274</v>
      </c>
      <c r="L7" s="393">
        <v>79078</v>
      </c>
      <c r="M7" s="402">
        <v>9514</v>
      </c>
      <c r="N7" s="393">
        <v>71314</v>
      </c>
      <c r="O7" s="402">
        <v>8615</v>
      </c>
      <c r="P7" s="456">
        <f t="shared" si="1"/>
        <v>191757.5</v>
      </c>
      <c r="Q7" s="353">
        <f t="shared" si="1"/>
        <v>23403</v>
      </c>
      <c r="R7" s="352">
        <f>IF(P7&lt;&gt;0,Q7/H7,"")</f>
        <v>300.03846153846155</v>
      </c>
      <c r="S7" s="457">
        <f>IF(P7&lt;&gt;0,P7/Q7,"")</f>
        <v>8.193714481049438</v>
      </c>
      <c r="T7" s="393">
        <v>238008</v>
      </c>
      <c r="U7" s="458">
        <f>IF(T7&lt;&gt;0,-(T7-P7)/T7,"")</f>
        <v>-0.19432330005714094</v>
      </c>
      <c r="V7" s="393">
        <v>552388.5</v>
      </c>
      <c r="W7" s="459">
        <v>70611</v>
      </c>
      <c r="X7" s="491">
        <f>V7/W7</f>
        <v>7.822980838679526</v>
      </c>
      <c r="Y7" s="280"/>
      <c r="AA7" s="280"/>
    </row>
    <row r="8" spans="1:26" s="282" customFormat="1" ht="18">
      <c r="A8" s="490">
        <f t="shared" si="0"/>
        <v>4</v>
      </c>
      <c r="B8" s="296"/>
      <c r="C8" s="460" t="s">
        <v>276</v>
      </c>
      <c r="D8" s="461">
        <v>38800</v>
      </c>
      <c r="E8" s="460" t="s">
        <v>330</v>
      </c>
      <c r="F8" s="460" t="s">
        <v>331</v>
      </c>
      <c r="G8" s="462">
        <v>92</v>
      </c>
      <c r="H8" s="463">
        <v>92</v>
      </c>
      <c r="I8" s="462">
        <v>3</v>
      </c>
      <c r="J8" s="464">
        <v>31032.5</v>
      </c>
      <c r="K8" s="465">
        <v>4051</v>
      </c>
      <c r="L8" s="464">
        <v>80361.5</v>
      </c>
      <c r="M8" s="465">
        <v>10265</v>
      </c>
      <c r="N8" s="464">
        <v>69275</v>
      </c>
      <c r="O8" s="465">
        <v>8805</v>
      </c>
      <c r="P8" s="466">
        <f>J8+L8+N8</f>
        <v>180669</v>
      </c>
      <c r="Q8" s="467">
        <f>K8+M8+O8</f>
        <v>23121</v>
      </c>
      <c r="R8" s="468">
        <f>Q8/H8</f>
        <v>251.31521739130434</v>
      </c>
      <c r="S8" s="469">
        <f>P8/Q8</f>
        <v>7.814065135591021</v>
      </c>
      <c r="T8" s="464">
        <v>222108</v>
      </c>
      <c r="U8" s="458">
        <f>IF(T8&lt;&gt;0,-(T8-P8)/T8,"")</f>
        <v>-0.186571397698417</v>
      </c>
      <c r="V8" s="470">
        <v>970840</v>
      </c>
      <c r="W8" s="467">
        <v>131837</v>
      </c>
      <c r="X8" s="492">
        <f>V8/W8</f>
        <v>7.363941837268748</v>
      </c>
      <c r="Y8" s="280"/>
      <c r="Z8" s="280"/>
    </row>
    <row r="9" spans="1:26" s="282" customFormat="1" ht="18">
      <c r="A9" s="490">
        <f t="shared" si="0"/>
        <v>5</v>
      </c>
      <c r="B9" s="296"/>
      <c r="C9" s="350" t="s">
        <v>332</v>
      </c>
      <c r="D9" s="349">
        <v>38814</v>
      </c>
      <c r="E9" s="350" t="s">
        <v>333</v>
      </c>
      <c r="F9" s="350" t="s">
        <v>334</v>
      </c>
      <c r="G9" s="389">
        <v>56</v>
      </c>
      <c r="H9" s="385">
        <v>56</v>
      </c>
      <c r="I9" s="389">
        <v>1</v>
      </c>
      <c r="J9" s="393">
        <v>25762.5</v>
      </c>
      <c r="K9" s="402">
        <v>3541</v>
      </c>
      <c r="L9" s="393">
        <v>62029</v>
      </c>
      <c r="M9" s="402">
        <v>7840</v>
      </c>
      <c r="N9" s="393">
        <v>65875.5</v>
      </c>
      <c r="O9" s="402">
        <v>8397</v>
      </c>
      <c r="P9" s="456">
        <f>+J9+L9+N9</f>
        <v>153667</v>
      </c>
      <c r="Q9" s="353">
        <f>+K9+M9+O9</f>
        <v>19778</v>
      </c>
      <c r="R9" s="352">
        <f>IF(P9&lt;&gt;0,Q9/H9,"")</f>
        <v>353.17857142857144</v>
      </c>
      <c r="S9" s="457">
        <f>IF(P9&lt;&gt;0,P9/Q9,"")</f>
        <v>7.769592476489028</v>
      </c>
      <c r="T9" s="393"/>
      <c r="U9" s="458"/>
      <c r="V9" s="393">
        <v>153667</v>
      </c>
      <c r="W9" s="459">
        <v>19778</v>
      </c>
      <c r="X9" s="491">
        <f>IF(V9&lt;&gt;0,V9/W9,"")</f>
        <v>7.769592476489028</v>
      </c>
      <c r="Y9" s="280"/>
      <c r="Z9" s="280"/>
    </row>
    <row r="10" spans="1:26" s="282" customFormat="1" ht="18">
      <c r="A10" s="490">
        <f t="shared" si="0"/>
        <v>6</v>
      </c>
      <c r="B10" s="296"/>
      <c r="C10" s="350" t="s">
        <v>296</v>
      </c>
      <c r="D10" s="349">
        <v>38807</v>
      </c>
      <c r="E10" s="350" t="s">
        <v>92</v>
      </c>
      <c r="F10" s="350" t="s">
        <v>335</v>
      </c>
      <c r="G10" s="389">
        <v>62</v>
      </c>
      <c r="H10" s="385">
        <v>62</v>
      </c>
      <c r="I10" s="389">
        <v>2</v>
      </c>
      <c r="J10" s="393">
        <v>27025</v>
      </c>
      <c r="K10" s="402">
        <v>3223</v>
      </c>
      <c r="L10" s="393">
        <v>56327</v>
      </c>
      <c r="M10" s="402">
        <v>6289</v>
      </c>
      <c r="N10" s="393">
        <v>50718</v>
      </c>
      <c r="O10" s="402">
        <v>5686</v>
      </c>
      <c r="P10" s="456">
        <f>+J10+L10+N10</f>
        <v>134070</v>
      </c>
      <c r="Q10" s="353">
        <f>+K10+M10+O10</f>
        <v>15198</v>
      </c>
      <c r="R10" s="352">
        <f>IF(P10&lt;&gt;0,Q10/H10,"")</f>
        <v>245.1290322580645</v>
      </c>
      <c r="S10" s="457">
        <f>IF(P10&lt;&gt;0,P10/Q10,"")</f>
        <v>8.821555467824714</v>
      </c>
      <c r="T10" s="393">
        <v>142668</v>
      </c>
      <c r="U10" s="458">
        <f>IF(T10&lt;&gt;0,-(T10-P10)/T10,"")</f>
        <v>-0.060265791908486833</v>
      </c>
      <c r="V10" s="393">
        <v>352562</v>
      </c>
      <c r="W10" s="459">
        <v>42316</v>
      </c>
      <c r="X10" s="491">
        <f>V10/W10</f>
        <v>8.331647603743265</v>
      </c>
      <c r="Y10" s="280"/>
      <c r="Z10" s="280"/>
    </row>
    <row r="11" spans="1:26" s="282" customFormat="1" ht="18">
      <c r="A11" s="490">
        <f t="shared" si="0"/>
        <v>7</v>
      </c>
      <c r="B11" s="296"/>
      <c r="C11" s="350" t="s">
        <v>336</v>
      </c>
      <c r="D11" s="349">
        <v>38814</v>
      </c>
      <c r="E11" s="350" t="s">
        <v>92</v>
      </c>
      <c r="F11" s="350" t="s">
        <v>335</v>
      </c>
      <c r="G11" s="389">
        <v>94</v>
      </c>
      <c r="H11" s="385">
        <v>76</v>
      </c>
      <c r="I11" s="389">
        <v>1</v>
      </c>
      <c r="J11" s="393">
        <v>0</v>
      </c>
      <c r="K11" s="402">
        <v>0</v>
      </c>
      <c r="L11" s="393">
        <v>53269</v>
      </c>
      <c r="M11" s="402">
        <v>6427</v>
      </c>
      <c r="N11" s="393">
        <v>67227</v>
      </c>
      <c r="O11" s="402">
        <v>8002</v>
      </c>
      <c r="P11" s="456">
        <v>120496</v>
      </c>
      <c r="Q11" s="353">
        <v>14429</v>
      </c>
      <c r="R11" s="352">
        <f>IF(P11&lt;&gt;0,Q11/H11,"")</f>
        <v>189.85526315789474</v>
      </c>
      <c r="S11" s="457">
        <f>IF(P11&lt;&gt;0,P11/Q11,"")</f>
        <v>8.350959872479036</v>
      </c>
      <c r="T11" s="471"/>
      <c r="U11" s="458"/>
      <c r="V11" s="393">
        <v>120496</v>
      </c>
      <c r="W11" s="459">
        <v>14429</v>
      </c>
      <c r="X11" s="491">
        <f>V11/W11</f>
        <v>8.350959872479036</v>
      </c>
      <c r="Y11" s="280"/>
      <c r="Z11" s="280"/>
    </row>
    <row r="12" spans="1:26" s="282" customFormat="1" ht="18">
      <c r="A12" s="490">
        <f t="shared" si="0"/>
        <v>8</v>
      </c>
      <c r="B12" s="296"/>
      <c r="C12" s="350" t="s">
        <v>279</v>
      </c>
      <c r="D12" s="349">
        <v>38800</v>
      </c>
      <c r="E12" s="350" t="s">
        <v>333</v>
      </c>
      <c r="F12" s="350" t="s">
        <v>334</v>
      </c>
      <c r="G12" s="389">
        <v>58</v>
      </c>
      <c r="H12" s="385">
        <v>58</v>
      </c>
      <c r="I12" s="389">
        <v>3</v>
      </c>
      <c r="J12" s="393">
        <v>16024</v>
      </c>
      <c r="K12" s="402">
        <v>2624</v>
      </c>
      <c r="L12" s="393">
        <v>42275.5</v>
      </c>
      <c r="M12" s="402">
        <v>5780</v>
      </c>
      <c r="N12" s="393">
        <v>47994.5</v>
      </c>
      <c r="O12" s="402">
        <v>6412</v>
      </c>
      <c r="P12" s="456">
        <f>+J12+L12+N12</f>
        <v>106294</v>
      </c>
      <c r="Q12" s="353">
        <f>+K12+M12+O12</f>
        <v>14816</v>
      </c>
      <c r="R12" s="352">
        <f>IF(P12&lt;&gt;0,Q12/H12,"")</f>
        <v>255.44827586206895</v>
      </c>
      <c r="S12" s="457">
        <f>IF(P12&lt;&gt;0,P12/Q12,"")</f>
        <v>7.174271058315335</v>
      </c>
      <c r="T12" s="393">
        <v>171576</v>
      </c>
      <c r="U12" s="458">
        <f aca="true" t="shared" si="2" ref="U12:U43">IF(T12&lt;&gt;0,-(T12-P12)/T12,"")</f>
        <v>-0.3804844500396326</v>
      </c>
      <c r="V12" s="393">
        <f>573463+106294</f>
        <v>679757</v>
      </c>
      <c r="W12" s="459">
        <f>77862+14816</f>
        <v>92678</v>
      </c>
      <c r="X12" s="491">
        <f>IF(V12&lt;&gt;0,V12/W12,"")</f>
        <v>7.334610155592482</v>
      </c>
      <c r="Y12" s="280"/>
      <c r="Z12" s="280"/>
    </row>
    <row r="13" spans="1:26" s="282" customFormat="1" ht="18">
      <c r="A13" s="490">
        <f t="shared" si="0"/>
        <v>9</v>
      </c>
      <c r="B13" s="296"/>
      <c r="C13" s="460" t="s">
        <v>337</v>
      </c>
      <c r="D13" s="461">
        <v>38814</v>
      </c>
      <c r="E13" s="460" t="s">
        <v>330</v>
      </c>
      <c r="F13" s="460" t="s">
        <v>90</v>
      </c>
      <c r="G13" s="462">
        <v>50</v>
      </c>
      <c r="H13" s="463">
        <v>50</v>
      </c>
      <c r="I13" s="462">
        <v>1</v>
      </c>
      <c r="J13" s="464">
        <v>19201.5</v>
      </c>
      <c r="K13" s="465">
        <v>2388</v>
      </c>
      <c r="L13" s="464">
        <v>42492</v>
      </c>
      <c r="M13" s="465">
        <v>5092</v>
      </c>
      <c r="N13" s="464">
        <v>42178.5</v>
      </c>
      <c r="O13" s="465">
        <v>5022</v>
      </c>
      <c r="P13" s="466">
        <f>SUM(J13+L13+N13)</f>
        <v>103872</v>
      </c>
      <c r="Q13" s="467">
        <f>SUM(K13+M13+O13)</f>
        <v>12502</v>
      </c>
      <c r="R13" s="468">
        <f>Q13/H13</f>
        <v>250.04</v>
      </c>
      <c r="S13" s="469">
        <f>P13/Q13</f>
        <v>8.308430651095824</v>
      </c>
      <c r="T13" s="464"/>
      <c r="U13" s="458">
        <f t="shared" si="2"/>
      </c>
      <c r="V13" s="472">
        <v>103872</v>
      </c>
      <c r="W13" s="467">
        <v>12502</v>
      </c>
      <c r="X13" s="492">
        <f aca="true" t="shared" si="3" ref="X13:X19">V13/W13</f>
        <v>8.308430651095824</v>
      </c>
      <c r="Y13" s="280"/>
      <c r="Z13" s="280"/>
    </row>
    <row r="14" spans="1:26" s="282" customFormat="1" ht="18">
      <c r="A14" s="490">
        <f t="shared" si="0"/>
        <v>10</v>
      </c>
      <c r="B14" s="296"/>
      <c r="C14" s="350" t="s">
        <v>201</v>
      </c>
      <c r="D14" s="349">
        <v>38793</v>
      </c>
      <c r="E14" s="350" t="s">
        <v>92</v>
      </c>
      <c r="F14" s="350" t="s">
        <v>338</v>
      </c>
      <c r="G14" s="389">
        <v>129</v>
      </c>
      <c r="H14" s="385">
        <v>100</v>
      </c>
      <c r="I14" s="389">
        <v>4</v>
      </c>
      <c r="J14" s="393">
        <v>18098</v>
      </c>
      <c r="K14" s="402">
        <v>3154</v>
      </c>
      <c r="L14" s="393">
        <v>37428</v>
      </c>
      <c r="M14" s="402">
        <v>5978</v>
      </c>
      <c r="N14" s="393">
        <v>37806</v>
      </c>
      <c r="O14" s="402">
        <v>5929</v>
      </c>
      <c r="P14" s="456">
        <f>+J14+L14+N14</f>
        <v>93332</v>
      </c>
      <c r="Q14" s="353">
        <f>+K14+M14+O14</f>
        <v>15061</v>
      </c>
      <c r="R14" s="352">
        <f>IF(P14&lt;&gt;0,Q14/H14,"")</f>
        <v>150.61</v>
      </c>
      <c r="S14" s="457">
        <f>IF(P14&lt;&gt;0,P14/Q14,"")</f>
        <v>6.19693247460328</v>
      </c>
      <c r="T14" s="471">
        <v>204124</v>
      </c>
      <c r="U14" s="458">
        <f t="shared" si="2"/>
        <v>-0.5427681213380102</v>
      </c>
      <c r="V14" s="393">
        <v>1599032</v>
      </c>
      <c r="W14" s="459">
        <v>232698</v>
      </c>
      <c r="X14" s="491">
        <f t="shared" si="3"/>
        <v>6.8717049566390775</v>
      </c>
      <c r="Y14" s="280"/>
      <c r="Z14" s="280"/>
    </row>
    <row r="15" spans="1:26" s="282" customFormat="1" ht="18">
      <c r="A15" s="490">
        <f t="shared" si="0"/>
        <v>11</v>
      </c>
      <c r="B15" s="296"/>
      <c r="C15" s="350" t="s">
        <v>255</v>
      </c>
      <c r="D15" s="349">
        <v>38800</v>
      </c>
      <c r="E15" s="455" t="s">
        <v>88</v>
      </c>
      <c r="F15" s="350" t="s">
        <v>339</v>
      </c>
      <c r="G15" s="389">
        <v>36</v>
      </c>
      <c r="H15" s="385">
        <v>36</v>
      </c>
      <c r="I15" s="389">
        <v>3</v>
      </c>
      <c r="J15" s="393">
        <v>12758.5</v>
      </c>
      <c r="K15" s="402">
        <v>1389</v>
      </c>
      <c r="L15" s="393">
        <v>17306.5</v>
      </c>
      <c r="M15" s="402">
        <v>1851</v>
      </c>
      <c r="N15" s="393">
        <v>15422.5</v>
      </c>
      <c r="O15" s="402">
        <v>1647</v>
      </c>
      <c r="P15" s="456">
        <f>+J15+L15+N15</f>
        <v>45487.5</v>
      </c>
      <c r="Q15" s="353">
        <f>+K15+M15+O15</f>
        <v>4887</v>
      </c>
      <c r="R15" s="352">
        <f>IF(P15&lt;&gt;0,Q15/H15,"")</f>
        <v>135.75</v>
      </c>
      <c r="S15" s="457">
        <f>IF(P15&lt;&gt;0,P15/Q15,"")</f>
        <v>9.307857581338244</v>
      </c>
      <c r="T15" s="393">
        <v>72346.5</v>
      </c>
      <c r="U15" s="458">
        <f t="shared" si="2"/>
        <v>-0.3712550019696875</v>
      </c>
      <c r="V15" s="393">
        <v>451190</v>
      </c>
      <c r="W15" s="459">
        <v>51230</v>
      </c>
      <c r="X15" s="491">
        <f t="shared" si="3"/>
        <v>8.807144251415187</v>
      </c>
      <c r="Y15" s="280"/>
      <c r="Z15" s="280"/>
    </row>
    <row r="16" spans="1:26" s="282" customFormat="1" ht="18">
      <c r="A16" s="490">
        <f t="shared" si="0"/>
        <v>12</v>
      </c>
      <c r="B16" s="296"/>
      <c r="C16" s="460" t="s">
        <v>298</v>
      </c>
      <c r="D16" s="461">
        <v>38807</v>
      </c>
      <c r="E16" s="460" t="s">
        <v>330</v>
      </c>
      <c r="F16" s="460" t="s">
        <v>331</v>
      </c>
      <c r="G16" s="462">
        <v>20</v>
      </c>
      <c r="H16" s="463">
        <v>20</v>
      </c>
      <c r="I16" s="462">
        <v>2</v>
      </c>
      <c r="J16" s="464">
        <v>8077</v>
      </c>
      <c r="K16" s="465">
        <v>1026</v>
      </c>
      <c r="L16" s="464">
        <v>18413.5</v>
      </c>
      <c r="M16" s="465">
        <v>2253</v>
      </c>
      <c r="N16" s="464">
        <v>15194</v>
      </c>
      <c r="O16" s="465">
        <v>1817</v>
      </c>
      <c r="P16" s="466">
        <f aca="true" t="shared" si="4" ref="P16:Q19">J16+L16+N16</f>
        <v>41684.5</v>
      </c>
      <c r="Q16" s="467">
        <f t="shared" si="4"/>
        <v>5096</v>
      </c>
      <c r="R16" s="468">
        <f>Q16/H16</f>
        <v>254.8</v>
      </c>
      <c r="S16" s="469">
        <f>P16/Q16</f>
        <v>8.17984693877551</v>
      </c>
      <c r="T16" s="464">
        <v>53283</v>
      </c>
      <c r="U16" s="458">
        <f t="shared" si="2"/>
        <v>-0.21767730795938667</v>
      </c>
      <c r="V16" s="470">
        <v>121543</v>
      </c>
      <c r="W16" s="467">
        <v>14590</v>
      </c>
      <c r="X16" s="492">
        <f t="shared" si="3"/>
        <v>8.330568882796436</v>
      </c>
      <c r="Y16" s="280"/>
      <c r="Z16" s="280"/>
    </row>
    <row r="17" spans="1:26" s="282" customFormat="1" ht="18">
      <c r="A17" s="490">
        <f t="shared" si="0"/>
        <v>13</v>
      </c>
      <c r="B17" s="296"/>
      <c r="C17" s="363" t="s">
        <v>340</v>
      </c>
      <c r="D17" s="364">
        <v>38814</v>
      </c>
      <c r="E17" s="473" t="s">
        <v>178</v>
      </c>
      <c r="F17" s="363" t="s">
        <v>341</v>
      </c>
      <c r="G17" s="391">
        <v>14</v>
      </c>
      <c r="H17" s="387">
        <v>15</v>
      </c>
      <c r="I17" s="391">
        <v>1</v>
      </c>
      <c r="J17" s="396">
        <v>4221.5</v>
      </c>
      <c r="K17" s="405">
        <v>461</v>
      </c>
      <c r="L17" s="396">
        <v>13876</v>
      </c>
      <c r="M17" s="405">
        <v>1333</v>
      </c>
      <c r="N17" s="396">
        <v>12965</v>
      </c>
      <c r="O17" s="405">
        <v>1301</v>
      </c>
      <c r="P17" s="474">
        <f t="shared" si="4"/>
        <v>31062.5</v>
      </c>
      <c r="Q17" s="365">
        <f t="shared" si="4"/>
        <v>3095</v>
      </c>
      <c r="R17" s="365">
        <f>Q17/H17</f>
        <v>206.33333333333334</v>
      </c>
      <c r="S17" s="475">
        <f>P17/Q17</f>
        <v>10.036348949919224</v>
      </c>
      <c r="T17" s="396"/>
      <c r="U17" s="458">
        <f t="shared" si="2"/>
      </c>
      <c r="V17" s="396"/>
      <c r="W17" s="365">
        <v>3095</v>
      </c>
      <c r="X17" s="493">
        <f t="shared" si="3"/>
        <v>0</v>
      </c>
      <c r="Y17" s="280"/>
      <c r="Z17" s="280"/>
    </row>
    <row r="18" spans="1:26" s="282" customFormat="1" ht="18">
      <c r="A18" s="490">
        <f t="shared" si="0"/>
        <v>14</v>
      </c>
      <c r="B18" s="296"/>
      <c r="C18" s="460" t="s">
        <v>342</v>
      </c>
      <c r="D18" s="461" t="s">
        <v>299</v>
      </c>
      <c r="E18" s="460" t="s">
        <v>330</v>
      </c>
      <c r="F18" s="460" t="s">
        <v>343</v>
      </c>
      <c r="G18" s="462">
        <v>72</v>
      </c>
      <c r="H18" s="463">
        <v>27</v>
      </c>
      <c r="I18" s="462">
        <v>21</v>
      </c>
      <c r="J18" s="464">
        <v>6379.5</v>
      </c>
      <c r="K18" s="465">
        <v>2425</v>
      </c>
      <c r="L18" s="464">
        <v>10267.5</v>
      </c>
      <c r="M18" s="465">
        <v>3152</v>
      </c>
      <c r="N18" s="464">
        <v>10242.5</v>
      </c>
      <c r="O18" s="465">
        <v>3021</v>
      </c>
      <c r="P18" s="466">
        <f t="shared" si="4"/>
        <v>26889.5</v>
      </c>
      <c r="Q18" s="467">
        <f t="shared" si="4"/>
        <v>8598</v>
      </c>
      <c r="R18" s="468">
        <f>Q18/H18</f>
        <v>318.44444444444446</v>
      </c>
      <c r="S18" s="469">
        <f>P18/Q18</f>
        <v>3.127413351942312</v>
      </c>
      <c r="T18" s="464">
        <v>49423</v>
      </c>
      <c r="U18" s="458">
        <f t="shared" si="2"/>
        <v>-0.45593144892054305</v>
      </c>
      <c r="V18" s="470">
        <v>24985354</v>
      </c>
      <c r="W18" s="467">
        <v>3703067</v>
      </c>
      <c r="X18" s="492">
        <f t="shared" si="3"/>
        <v>6.747205492096146</v>
      </c>
      <c r="Y18" s="280"/>
      <c r="Z18" s="280"/>
    </row>
    <row r="19" spans="1:26" s="282" customFormat="1" ht="18">
      <c r="A19" s="490">
        <f t="shared" si="0"/>
        <v>15</v>
      </c>
      <c r="B19" s="296"/>
      <c r="C19" s="460" t="s">
        <v>68</v>
      </c>
      <c r="D19" s="461">
        <v>38758</v>
      </c>
      <c r="E19" s="460" t="s">
        <v>330</v>
      </c>
      <c r="F19" s="460" t="s">
        <v>344</v>
      </c>
      <c r="G19" s="462">
        <v>58</v>
      </c>
      <c r="H19" s="463">
        <v>23</v>
      </c>
      <c r="I19" s="462">
        <v>9</v>
      </c>
      <c r="J19" s="464">
        <v>5433</v>
      </c>
      <c r="K19" s="465">
        <v>1221</v>
      </c>
      <c r="L19" s="464">
        <v>9583</v>
      </c>
      <c r="M19" s="465">
        <v>2100</v>
      </c>
      <c r="N19" s="464">
        <v>6642.5</v>
      </c>
      <c r="O19" s="465">
        <v>1444</v>
      </c>
      <c r="P19" s="466">
        <f t="shared" si="4"/>
        <v>21658.5</v>
      </c>
      <c r="Q19" s="467">
        <f t="shared" si="4"/>
        <v>4765</v>
      </c>
      <c r="R19" s="468">
        <f>Q19/H19</f>
        <v>207.17391304347825</v>
      </c>
      <c r="S19" s="469">
        <f>P19/Q19</f>
        <v>4.545330535152151</v>
      </c>
      <c r="T19" s="464">
        <v>26482</v>
      </c>
      <c r="U19" s="458">
        <f t="shared" si="2"/>
        <v>-0.18214258741786873</v>
      </c>
      <c r="V19" s="470">
        <v>3203428</v>
      </c>
      <c r="W19" s="467">
        <v>512497</v>
      </c>
      <c r="X19" s="492">
        <f t="shared" si="3"/>
        <v>6.250627808553026</v>
      </c>
      <c r="Y19" s="280"/>
      <c r="Z19" s="280"/>
    </row>
    <row r="20" spans="1:26" s="282" customFormat="1" ht="18">
      <c r="A20" s="490">
        <f t="shared" si="0"/>
        <v>16</v>
      </c>
      <c r="B20" s="296"/>
      <c r="C20" s="476" t="s">
        <v>65</v>
      </c>
      <c r="D20" s="477">
        <v>38751</v>
      </c>
      <c r="E20" s="476" t="s">
        <v>89</v>
      </c>
      <c r="F20" s="476" t="s">
        <v>345</v>
      </c>
      <c r="G20" s="478">
        <v>277</v>
      </c>
      <c r="H20" s="479">
        <v>85</v>
      </c>
      <c r="I20" s="478">
        <v>10</v>
      </c>
      <c r="J20" s="480">
        <v>4179</v>
      </c>
      <c r="K20" s="481">
        <v>1395</v>
      </c>
      <c r="L20" s="480">
        <v>7860</v>
      </c>
      <c r="M20" s="481">
        <v>2624</v>
      </c>
      <c r="N20" s="480">
        <v>9127</v>
      </c>
      <c r="O20" s="481">
        <v>3042.333333333333</v>
      </c>
      <c r="P20" s="482">
        <f>+N20+L20+J20</f>
        <v>21166</v>
      </c>
      <c r="Q20" s="483">
        <f>+O20+M20+K20</f>
        <v>7061.333333333333</v>
      </c>
      <c r="R20" s="352">
        <f>IF(P20&lt;&gt;0,Q20/H20,"")</f>
        <v>83.07450980392157</v>
      </c>
      <c r="S20" s="457">
        <f>IF(P20&lt;&gt;0,P20/Q20,"")</f>
        <v>2.997450906344411</v>
      </c>
      <c r="T20" s="480">
        <v>9239.5</v>
      </c>
      <c r="U20" s="458">
        <f t="shared" si="2"/>
        <v>1.2908166026300125</v>
      </c>
      <c r="V20" s="480">
        <v>27361999</v>
      </c>
      <c r="W20" s="483">
        <v>4220146.333333333</v>
      </c>
      <c r="X20" s="494">
        <f>+V20/W20</f>
        <v>6.483661190579569</v>
      </c>
      <c r="Y20" s="280"/>
      <c r="Z20" s="280"/>
    </row>
    <row r="21" spans="1:26" s="282" customFormat="1" ht="18">
      <c r="A21" s="490">
        <f t="shared" si="0"/>
        <v>17</v>
      </c>
      <c r="B21" s="296"/>
      <c r="C21" s="350" t="s">
        <v>64</v>
      </c>
      <c r="D21" s="349">
        <v>38786</v>
      </c>
      <c r="E21" s="455" t="s">
        <v>88</v>
      </c>
      <c r="F21" s="350" t="s">
        <v>346</v>
      </c>
      <c r="G21" s="389">
        <v>36</v>
      </c>
      <c r="H21" s="385">
        <v>36</v>
      </c>
      <c r="I21" s="389">
        <v>5</v>
      </c>
      <c r="J21" s="393">
        <v>3940</v>
      </c>
      <c r="K21" s="402">
        <v>837</v>
      </c>
      <c r="L21" s="393">
        <v>7340.5</v>
      </c>
      <c r="M21" s="402">
        <v>1461</v>
      </c>
      <c r="N21" s="393">
        <v>6665</v>
      </c>
      <c r="O21" s="402">
        <v>1333</v>
      </c>
      <c r="P21" s="456">
        <f>+J21+L21+N21</f>
        <v>17945.5</v>
      </c>
      <c r="Q21" s="353">
        <f>+K21+M21+O21</f>
        <v>3631</v>
      </c>
      <c r="R21" s="352">
        <f>IF(P21&lt;&gt;0,Q21/H21,"")</f>
        <v>100.86111111111111</v>
      </c>
      <c r="S21" s="457">
        <f>IF(P21&lt;&gt;0,P21/Q21,"")</f>
        <v>4.94230239603415</v>
      </c>
      <c r="T21" s="393">
        <v>46890.5</v>
      </c>
      <c r="U21" s="458">
        <f t="shared" si="2"/>
        <v>-0.6172892163657884</v>
      </c>
      <c r="V21" s="393">
        <v>1557189.5</v>
      </c>
      <c r="W21" s="459">
        <v>219165</v>
      </c>
      <c r="X21" s="491">
        <f>V21/W21</f>
        <v>7.10510117947665</v>
      </c>
      <c r="Y21" s="280"/>
      <c r="Z21" s="280"/>
    </row>
    <row r="22" spans="1:26" s="282" customFormat="1" ht="18">
      <c r="A22" s="490">
        <f t="shared" si="0"/>
        <v>18</v>
      </c>
      <c r="B22" s="296"/>
      <c r="C22" s="484" t="s">
        <v>301</v>
      </c>
      <c r="D22" s="461">
        <v>38793</v>
      </c>
      <c r="E22" s="460" t="s">
        <v>330</v>
      </c>
      <c r="F22" s="460" t="s">
        <v>347</v>
      </c>
      <c r="G22" s="462">
        <v>50</v>
      </c>
      <c r="H22" s="463">
        <v>41</v>
      </c>
      <c r="I22" s="462">
        <v>4</v>
      </c>
      <c r="J22" s="464">
        <v>3327.5</v>
      </c>
      <c r="K22" s="465">
        <v>537</v>
      </c>
      <c r="L22" s="464">
        <v>6446.5</v>
      </c>
      <c r="M22" s="465">
        <v>1067</v>
      </c>
      <c r="N22" s="464">
        <v>6213</v>
      </c>
      <c r="O22" s="465">
        <v>1053</v>
      </c>
      <c r="P22" s="466">
        <f>J22+L22+N22</f>
        <v>15987</v>
      </c>
      <c r="Q22" s="467">
        <f>K22+M22+O22</f>
        <v>2657</v>
      </c>
      <c r="R22" s="468">
        <f>Q22/H22</f>
        <v>64.8048780487805</v>
      </c>
      <c r="S22" s="469">
        <f>P22/Q22</f>
        <v>6.016936394429808</v>
      </c>
      <c r="T22" s="464">
        <v>30712.5</v>
      </c>
      <c r="U22" s="458">
        <f t="shared" si="2"/>
        <v>-0.47946275946275946</v>
      </c>
      <c r="V22" s="485">
        <v>381870</v>
      </c>
      <c r="W22" s="468">
        <v>50392</v>
      </c>
      <c r="X22" s="492">
        <f>V22/W22</f>
        <v>7.577988569614225</v>
      </c>
      <c r="Y22" s="280"/>
      <c r="Z22" s="280"/>
    </row>
    <row r="23" spans="1:26" s="282" customFormat="1" ht="18">
      <c r="A23" s="490">
        <f t="shared" si="0"/>
        <v>19</v>
      </c>
      <c r="B23" s="296"/>
      <c r="C23" s="350" t="s">
        <v>70</v>
      </c>
      <c r="D23" s="349">
        <v>38779</v>
      </c>
      <c r="E23" s="350" t="s">
        <v>92</v>
      </c>
      <c r="F23" s="350" t="s">
        <v>335</v>
      </c>
      <c r="G23" s="389">
        <v>72</v>
      </c>
      <c r="H23" s="385">
        <v>38</v>
      </c>
      <c r="I23" s="389">
        <v>6</v>
      </c>
      <c r="J23" s="393">
        <v>2777</v>
      </c>
      <c r="K23" s="402">
        <v>689</v>
      </c>
      <c r="L23" s="393">
        <v>4377</v>
      </c>
      <c r="M23" s="402">
        <v>803</v>
      </c>
      <c r="N23" s="393">
        <v>4920</v>
      </c>
      <c r="O23" s="402">
        <v>919</v>
      </c>
      <c r="P23" s="456">
        <f aca="true" t="shared" si="5" ref="P23:Q25">+J23+L23+N23</f>
        <v>12074</v>
      </c>
      <c r="Q23" s="353">
        <f t="shared" si="5"/>
        <v>2411</v>
      </c>
      <c r="R23" s="352">
        <f>IF(P23&lt;&gt;0,Q23/H23,"")</f>
        <v>63.44736842105263</v>
      </c>
      <c r="S23" s="457">
        <f>IF(P23&lt;&gt;0,P23/Q23,"")</f>
        <v>5.007880547490668</v>
      </c>
      <c r="T23" s="471">
        <v>24346</v>
      </c>
      <c r="U23" s="458">
        <f t="shared" si="2"/>
        <v>-0.504066376406802</v>
      </c>
      <c r="V23" s="393">
        <v>926322</v>
      </c>
      <c r="W23" s="459">
        <v>133138</v>
      </c>
      <c r="X23" s="491">
        <f>V23/W23</f>
        <v>6.957607895567006</v>
      </c>
      <c r="Y23" s="280"/>
      <c r="Z23" s="280"/>
    </row>
    <row r="24" spans="1:26" s="282" customFormat="1" ht="18">
      <c r="A24" s="490">
        <f t="shared" si="0"/>
        <v>20</v>
      </c>
      <c r="B24" s="296"/>
      <c r="C24" s="350" t="s">
        <v>204</v>
      </c>
      <c r="D24" s="349">
        <v>38793</v>
      </c>
      <c r="E24" s="455" t="s">
        <v>88</v>
      </c>
      <c r="F24" s="350" t="s">
        <v>91</v>
      </c>
      <c r="G24" s="389">
        <v>20</v>
      </c>
      <c r="H24" s="385">
        <v>20</v>
      </c>
      <c r="I24" s="389">
        <v>4</v>
      </c>
      <c r="J24" s="393">
        <v>2373</v>
      </c>
      <c r="K24" s="402">
        <v>435</v>
      </c>
      <c r="L24" s="393">
        <v>4300</v>
      </c>
      <c r="M24" s="402">
        <v>760</v>
      </c>
      <c r="N24" s="393">
        <v>3969</v>
      </c>
      <c r="O24" s="402">
        <v>682</v>
      </c>
      <c r="P24" s="456">
        <f t="shared" si="5"/>
        <v>10642</v>
      </c>
      <c r="Q24" s="353">
        <f t="shared" si="5"/>
        <v>1877</v>
      </c>
      <c r="R24" s="352">
        <f>IF(P24&lt;&gt;0,Q24/H24,"")</f>
        <v>93.85</v>
      </c>
      <c r="S24" s="457">
        <f>IF(P24&lt;&gt;0,P24/Q24,"")</f>
        <v>5.669685668620138</v>
      </c>
      <c r="T24" s="393">
        <v>47378.5</v>
      </c>
      <c r="U24" s="458">
        <f t="shared" si="2"/>
        <v>-0.7753833489874099</v>
      </c>
      <c r="V24" s="393">
        <v>690857.25</v>
      </c>
      <c r="W24" s="459">
        <v>82154</v>
      </c>
      <c r="X24" s="491">
        <f>V24/W24</f>
        <v>8.409295347761521</v>
      </c>
      <c r="Y24" s="280"/>
      <c r="Z24" s="280"/>
    </row>
    <row r="25" spans="1:26" s="282" customFormat="1" ht="18">
      <c r="A25" s="490">
        <f t="shared" si="0"/>
        <v>21</v>
      </c>
      <c r="B25" s="296"/>
      <c r="C25" s="350" t="s">
        <v>256</v>
      </c>
      <c r="D25" s="349">
        <v>38800</v>
      </c>
      <c r="E25" s="455" t="s">
        <v>88</v>
      </c>
      <c r="F25" s="350" t="s">
        <v>346</v>
      </c>
      <c r="G25" s="389">
        <v>12</v>
      </c>
      <c r="H25" s="385">
        <v>12</v>
      </c>
      <c r="I25" s="389">
        <v>3</v>
      </c>
      <c r="J25" s="393">
        <v>2212.5</v>
      </c>
      <c r="K25" s="402">
        <v>251</v>
      </c>
      <c r="L25" s="393">
        <v>4175.5</v>
      </c>
      <c r="M25" s="402">
        <v>455</v>
      </c>
      <c r="N25" s="393">
        <v>4042</v>
      </c>
      <c r="O25" s="402">
        <v>438</v>
      </c>
      <c r="P25" s="456">
        <f t="shared" si="5"/>
        <v>10430</v>
      </c>
      <c r="Q25" s="353">
        <f t="shared" si="5"/>
        <v>1144</v>
      </c>
      <c r="R25" s="352">
        <f>IF(P25&lt;&gt;0,Q25/H25,"")</f>
        <v>95.33333333333333</v>
      </c>
      <c r="S25" s="457">
        <f>IF(P25&lt;&gt;0,P25/Q25,"")</f>
        <v>9.117132867132867</v>
      </c>
      <c r="T25" s="393">
        <v>30852.5</v>
      </c>
      <c r="U25" s="458">
        <f t="shared" si="2"/>
        <v>-0.6619398752127056</v>
      </c>
      <c r="V25" s="393">
        <v>149047</v>
      </c>
      <c r="W25" s="459">
        <v>15728</v>
      </c>
      <c r="X25" s="491">
        <f>V25/W25</f>
        <v>9.476538657171922</v>
      </c>
      <c r="Y25" s="280"/>
      <c r="Z25" s="280"/>
    </row>
    <row r="26" spans="1:26" s="282" customFormat="1" ht="18">
      <c r="A26" s="490">
        <f t="shared" si="0"/>
        <v>22</v>
      </c>
      <c r="B26" s="296"/>
      <c r="C26" s="476" t="s">
        <v>66</v>
      </c>
      <c r="D26" s="477">
        <v>38765</v>
      </c>
      <c r="E26" s="476" t="s">
        <v>89</v>
      </c>
      <c r="F26" s="476" t="s">
        <v>348</v>
      </c>
      <c r="G26" s="478">
        <v>164</v>
      </c>
      <c r="H26" s="479">
        <v>27</v>
      </c>
      <c r="I26" s="478">
        <v>8</v>
      </c>
      <c r="J26" s="480">
        <v>2074.5</v>
      </c>
      <c r="K26" s="481">
        <v>485</v>
      </c>
      <c r="L26" s="480">
        <v>3864</v>
      </c>
      <c r="M26" s="481">
        <v>1016</v>
      </c>
      <c r="N26" s="480">
        <v>3354.5</v>
      </c>
      <c r="O26" s="481">
        <v>829</v>
      </c>
      <c r="P26" s="482">
        <f>+N26+L26+J26</f>
        <v>9293</v>
      </c>
      <c r="Q26" s="483">
        <f>+O26+M26+K26</f>
        <v>2330</v>
      </c>
      <c r="R26" s="352">
        <f>IF(P26&lt;&gt;0,Q26/H26,"")</f>
        <v>86.29629629629629</v>
      </c>
      <c r="S26" s="457">
        <f>IF(P26&lt;&gt;0,P26/Q26,"")</f>
        <v>3.988412017167382</v>
      </c>
      <c r="T26" s="480">
        <v>26833000</v>
      </c>
      <c r="U26" s="458">
        <f t="shared" si="2"/>
        <v>-0.9996536727164312</v>
      </c>
      <c r="V26" s="480">
        <v>4180452</v>
      </c>
      <c r="W26" s="483">
        <v>625481</v>
      </c>
      <c r="X26" s="494">
        <f>+V26/W26</f>
        <v>6.68357951720356</v>
      </c>
      <c r="Y26" s="280"/>
      <c r="Z26" s="280"/>
    </row>
    <row r="27" spans="1:26" s="282" customFormat="1" ht="18">
      <c r="A27" s="490">
        <f t="shared" si="0"/>
        <v>23</v>
      </c>
      <c r="B27" s="296"/>
      <c r="C27" s="476" t="s">
        <v>218</v>
      </c>
      <c r="D27" s="477">
        <v>38793</v>
      </c>
      <c r="E27" s="476" t="s">
        <v>89</v>
      </c>
      <c r="F27" s="476" t="s">
        <v>349</v>
      </c>
      <c r="G27" s="478">
        <v>33</v>
      </c>
      <c r="H27" s="479">
        <v>24</v>
      </c>
      <c r="I27" s="478">
        <v>4</v>
      </c>
      <c r="J27" s="480">
        <v>1128.5</v>
      </c>
      <c r="K27" s="481">
        <v>216</v>
      </c>
      <c r="L27" s="480">
        <v>2911</v>
      </c>
      <c r="M27" s="481">
        <v>589</v>
      </c>
      <c r="N27" s="480">
        <v>2908</v>
      </c>
      <c r="O27" s="481">
        <v>560</v>
      </c>
      <c r="P27" s="482">
        <f>+N27+L27+J27</f>
        <v>6947.5</v>
      </c>
      <c r="Q27" s="483">
        <f>+O27+M27+K27</f>
        <v>1365</v>
      </c>
      <c r="R27" s="352">
        <f>IF(P27&lt;&gt;0,Q27/H27,"")</f>
        <v>56.875</v>
      </c>
      <c r="S27" s="457">
        <f>IF(P27&lt;&gt;0,P27/Q27,"")</f>
        <v>5.089743589743589</v>
      </c>
      <c r="T27" s="480">
        <v>23317040</v>
      </c>
      <c r="U27" s="458">
        <f t="shared" si="2"/>
        <v>-0.9997020419401433</v>
      </c>
      <c r="V27" s="480">
        <v>112035</v>
      </c>
      <c r="W27" s="483">
        <v>15432</v>
      </c>
      <c r="X27" s="494">
        <f>+V27/W27</f>
        <v>7.259914463452566</v>
      </c>
      <c r="Y27" s="280"/>
      <c r="Z27" s="280"/>
    </row>
    <row r="28" spans="1:26" s="282" customFormat="1" ht="18">
      <c r="A28" s="490">
        <f t="shared" si="0"/>
        <v>24</v>
      </c>
      <c r="B28" s="296"/>
      <c r="C28" s="460" t="s">
        <v>75</v>
      </c>
      <c r="D28" s="461">
        <v>38786</v>
      </c>
      <c r="E28" s="460" t="s">
        <v>330</v>
      </c>
      <c r="F28" s="460" t="s">
        <v>350</v>
      </c>
      <c r="G28" s="462">
        <v>30</v>
      </c>
      <c r="H28" s="463">
        <v>25</v>
      </c>
      <c r="I28" s="462">
        <v>5</v>
      </c>
      <c r="J28" s="464">
        <v>1515</v>
      </c>
      <c r="K28" s="465">
        <v>301</v>
      </c>
      <c r="L28" s="464">
        <v>2858.5</v>
      </c>
      <c r="M28" s="465">
        <v>597</v>
      </c>
      <c r="N28" s="464">
        <v>2481.5</v>
      </c>
      <c r="O28" s="465">
        <v>511</v>
      </c>
      <c r="P28" s="466">
        <f>J28+L28+N28</f>
        <v>6855</v>
      </c>
      <c r="Q28" s="467">
        <f>K28+M28+O28</f>
        <v>1409</v>
      </c>
      <c r="R28" s="468">
        <f>Q28/H28</f>
        <v>56.36</v>
      </c>
      <c r="S28" s="469">
        <f>P28/Q28</f>
        <v>4.865152590489709</v>
      </c>
      <c r="T28" s="464">
        <v>11563</v>
      </c>
      <c r="U28" s="458">
        <f t="shared" si="2"/>
        <v>-0.4071607714261005</v>
      </c>
      <c r="V28" s="470">
        <v>178057.5</v>
      </c>
      <c r="W28" s="467">
        <v>26096</v>
      </c>
      <c r="X28" s="492">
        <f>V28/W28</f>
        <v>6.823172133660331</v>
      </c>
      <c r="Y28" s="280"/>
      <c r="Z28" s="280"/>
    </row>
    <row r="29" spans="1:26" s="282" customFormat="1" ht="18">
      <c r="A29" s="490">
        <f t="shared" si="0"/>
        <v>25</v>
      </c>
      <c r="B29" s="296"/>
      <c r="C29" s="363" t="s">
        <v>222</v>
      </c>
      <c r="D29" s="364">
        <v>38793</v>
      </c>
      <c r="E29" s="363" t="s">
        <v>351</v>
      </c>
      <c r="F29" s="363" t="s">
        <v>352</v>
      </c>
      <c r="G29" s="391">
        <v>4</v>
      </c>
      <c r="H29" s="387">
        <v>4</v>
      </c>
      <c r="I29" s="391">
        <v>4</v>
      </c>
      <c r="J29" s="396">
        <v>714.5</v>
      </c>
      <c r="K29" s="405">
        <v>83</v>
      </c>
      <c r="L29" s="396">
        <v>1666</v>
      </c>
      <c r="M29" s="405">
        <v>193</v>
      </c>
      <c r="N29" s="396">
        <v>1929.5</v>
      </c>
      <c r="O29" s="405">
        <v>229</v>
      </c>
      <c r="P29" s="466">
        <f>+N29+L29+J29</f>
        <v>4310</v>
      </c>
      <c r="Q29" s="467">
        <f>+O29+M29+K29</f>
        <v>505</v>
      </c>
      <c r="R29" s="468">
        <f>Q29/H29</f>
        <v>126.25</v>
      </c>
      <c r="S29" s="469">
        <f>P29/Q29</f>
        <v>8.534653465346535</v>
      </c>
      <c r="T29" s="396">
        <v>4620.5</v>
      </c>
      <c r="U29" s="458">
        <f t="shared" si="2"/>
        <v>-0.06720051942430473</v>
      </c>
      <c r="V29" s="396">
        <v>82156</v>
      </c>
      <c r="W29" s="365">
        <v>9025</v>
      </c>
      <c r="X29" s="495">
        <f>+V29/W29</f>
        <v>9.103157894736842</v>
      </c>
      <c r="Y29" s="280"/>
      <c r="Z29" s="280"/>
    </row>
    <row r="30" spans="1:26" s="282" customFormat="1" ht="18">
      <c r="A30" s="490">
        <f t="shared" si="0"/>
        <v>26</v>
      </c>
      <c r="B30" s="296"/>
      <c r="C30" s="350" t="s">
        <v>281</v>
      </c>
      <c r="D30" s="349">
        <v>38793</v>
      </c>
      <c r="E30" s="350" t="s">
        <v>333</v>
      </c>
      <c r="F30" s="350" t="s">
        <v>353</v>
      </c>
      <c r="G30" s="389">
        <v>71</v>
      </c>
      <c r="H30" s="385">
        <v>21</v>
      </c>
      <c r="I30" s="389">
        <v>4</v>
      </c>
      <c r="J30" s="393">
        <v>1008.5</v>
      </c>
      <c r="K30" s="402">
        <v>211</v>
      </c>
      <c r="L30" s="393">
        <v>1440.5</v>
      </c>
      <c r="M30" s="402">
        <v>305</v>
      </c>
      <c r="N30" s="393">
        <v>1642</v>
      </c>
      <c r="O30" s="402">
        <v>337</v>
      </c>
      <c r="P30" s="456">
        <f aca="true" t="shared" si="6" ref="P30:Q32">+J30+L30+N30</f>
        <v>4091</v>
      </c>
      <c r="Q30" s="353">
        <f t="shared" si="6"/>
        <v>853</v>
      </c>
      <c r="R30" s="352">
        <f aca="true" t="shared" si="7" ref="R30:R35">IF(P30&lt;&gt;0,Q30/H30,"")</f>
        <v>40.61904761904762</v>
      </c>
      <c r="S30" s="457">
        <f aca="true" t="shared" si="8" ref="S30:S35">IF(P30&lt;&gt;0,P30/Q30,"")</f>
        <v>4.79601406799531</v>
      </c>
      <c r="T30" s="393">
        <v>9479</v>
      </c>
      <c r="U30" s="458">
        <f t="shared" si="2"/>
        <v>-0.5684143897035552</v>
      </c>
      <c r="V30" s="393">
        <f>219635+4091</f>
        <v>223726</v>
      </c>
      <c r="W30" s="459">
        <f>33328+853</f>
        <v>34181</v>
      </c>
      <c r="X30" s="491">
        <f>IF(V30&lt;&gt;0,V30/W30,"")</f>
        <v>6.545332202100582</v>
      </c>
      <c r="Y30" s="280"/>
      <c r="Z30" s="280"/>
    </row>
    <row r="31" spans="1:26" s="282" customFormat="1" ht="18">
      <c r="A31" s="490">
        <f t="shared" si="0"/>
        <v>27</v>
      </c>
      <c r="B31" s="296"/>
      <c r="C31" s="350" t="s">
        <v>82</v>
      </c>
      <c r="D31" s="349">
        <v>38765</v>
      </c>
      <c r="E31" s="350" t="s">
        <v>92</v>
      </c>
      <c r="F31" s="350" t="s">
        <v>354</v>
      </c>
      <c r="G31" s="389">
        <v>41</v>
      </c>
      <c r="H31" s="385">
        <v>5</v>
      </c>
      <c r="I31" s="389">
        <v>8</v>
      </c>
      <c r="J31" s="393">
        <v>711</v>
      </c>
      <c r="K31" s="402">
        <v>138</v>
      </c>
      <c r="L31" s="393">
        <v>1353</v>
      </c>
      <c r="M31" s="402">
        <v>240</v>
      </c>
      <c r="N31" s="393">
        <v>1761</v>
      </c>
      <c r="O31" s="402">
        <v>313</v>
      </c>
      <c r="P31" s="456">
        <f t="shared" si="6"/>
        <v>3825</v>
      </c>
      <c r="Q31" s="353">
        <f t="shared" si="6"/>
        <v>691</v>
      </c>
      <c r="R31" s="352">
        <f t="shared" si="7"/>
        <v>138.2</v>
      </c>
      <c r="S31" s="457">
        <f t="shared" si="8"/>
        <v>5.535455861070912</v>
      </c>
      <c r="T31" s="393">
        <v>2662</v>
      </c>
      <c r="U31" s="458">
        <f t="shared" si="2"/>
        <v>0.4368895567242675</v>
      </c>
      <c r="V31" s="393">
        <v>328503</v>
      </c>
      <c r="W31" s="459">
        <v>44313</v>
      </c>
      <c r="X31" s="491">
        <f>V31/W31</f>
        <v>7.41324216369914</v>
      </c>
      <c r="Y31" s="280"/>
      <c r="Z31" s="280"/>
    </row>
    <row r="32" spans="1:26" s="282" customFormat="1" ht="18">
      <c r="A32" s="490">
        <f t="shared" si="0"/>
        <v>28</v>
      </c>
      <c r="B32" s="296"/>
      <c r="C32" s="350" t="s">
        <v>155</v>
      </c>
      <c r="D32" s="349">
        <v>38737</v>
      </c>
      <c r="E32" s="455" t="s">
        <v>88</v>
      </c>
      <c r="F32" s="350" t="s">
        <v>346</v>
      </c>
      <c r="G32" s="389">
        <v>59</v>
      </c>
      <c r="H32" s="385">
        <v>5</v>
      </c>
      <c r="I32" s="389">
        <v>12</v>
      </c>
      <c r="J32" s="393">
        <v>527</v>
      </c>
      <c r="K32" s="402">
        <v>115</v>
      </c>
      <c r="L32" s="393">
        <v>1457</v>
      </c>
      <c r="M32" s="402">
        <v>296</v>
      </c>
      <c r="N32" s="393">
        <v>1660</v>
      </c>
      <c r="O32" s="402">
        <v>335</v>
      </c>
      <c r="P32" s="456">
        <f t="shared" si="6"/>
        <v>3644</v>
      </c>
      <c r="Q32" s="353">
        <f t="shared" si="6"/>
        <v>746</v>
      </c>
      <c r="R32" s="352">
        <f t="shared" si="7"/>
        <v>149.2</v>
      </c>
      <c r="S32" s="457">
        <f t="shared" si="8"/>
        <v>4.884718498659518</v>
      </c>
      <c r="T32" s="393">
        <v>1945</v>
      </c>
      <c r="U32" s="458">
        <f t="shared" si="2"/>
        <v>0.8735218508997429</v>
      </c>
      <c r="V32" s="393">
        <v>1169508.5</v>
      </c>
      <c r="W32" s="459">
        <v>168929</v>
      </c>
      <c r="X32" s="491">
        <f>V32/W32</f>
        <v>6.923077150755643</v>
      </c>
      <c r="Y32" s="280"/>
      <c r="Z32" s="280"/>
    </row>
    <row r="33" spans="1:26" s="282" customFormat="1" ht="18">
      <c r="A33" s="490">
        <f t="shared" si="0"/>
        <v>29</v>
      </c>
      <c r="B33" s="296"/>
      <c r="C33" s="476" t="s">
        <v>159</v>
      </c>
      <c r="D33" s="477">
        <v>38709</v>
      </c>
      <c r="E33" s="476" t="s">
        <v>89</v>
      </c>
      <c r="F33" s="476" t="s">
        <v>355</v>
      </c>
      <c r="G33" s="478">
        <v>233</v>
      </c>
      <c r="H33" s="479">
        <v>2</v>
      </c>
      <c r="I33" s="478">
        <v>16</v>
      </c>
      <c r="J33" s="480">
        <v>582</v>
      </c>
      <c r="K33" s="481">
        <v>523</v>
      </c>
      <c r="L33" s="480">
        <v>806</v>
      </c>
      <c r="M33" s="481">
        <v>578</v>
      </c>
      <c r="N33" s="480">
        <v>808</v>
      </c>
      <c r="O33" s="481">
        <v>576</v>
      </c>
      <c r="P33" s="482">
        <f>+N33+L33+J33</f>
        <v>2196</v>
      </c>
      <c r="Q33" s="483">
        <f>+O33+M33+K33</f>
        <v>1677</v>
      </c>
      <c r="R33" s="352">
        <f t="shared" si="7"/>
        <v>838.5</v>
      </c>
      <c r="S33" s="457">
        <f t="shared" si="8"/>
        <v>1.3094812164579606</v>
      </c>
      <c r="T33" s="480">
        <v>557.5</v>
      </c>
      <c r="U33" s="458">
        <f t="shared" si="2"/>
        <v>2.939013452914798</v>
      </c>
      <c r="V33" s="480">
        <v>17054801.5</v>
      </c>
      <c r="W33" s="483">
        <v>2561235</v>
      </c>
      <c r="X33" s="494">
        <f>+V33/W33</f>
        <v>6.658819475760717</v>
      </c>
      <c r="Y33" s="280"/>
      <c r="Z33" s="280"/>
    </row>
    <row r="34" spans="1:25" s="282" customFormat="1" ht="18">
      <c r="A34" s="490">
        <f t="shared" si="0"/>
        <v>30</v>
      </c>
      <c r="B34" s="296"/>
      <c r="C34" s="350" t="s">
        <v>136</v>
      </c>
      <c r="D34" s="349">
        <v>38758</v>
      </c>
      <c r="E34" s="455" t="s">
        <v>88</v>
      </c>
      <c r="F34" s="350" t="s">
        <v>346</v>
      </c>
      <c r="G34" s="389">
        <v>61</v>
      </c>
      <c r="H34" s="385">
        <v>2</v>
      </c>
      <c r="I34" s="389">
        <v>9</v>
      </c>
      <c r="J34" s="393">
        <v>553</v>
      </c>
      <c r="K34" s="402">
        <v>63</v>
      </c>
      <c r="L34" s="393">
        <v>780</v>
      </c>
      <c r="M34" s="402">
        <v>90</v>
      </c>
      <c r="N34" s="393">
        <v>816</v>
      </c>
      <c r="O34" s="402">
        <v>93</v>
      </c>
      <c r="P34" s="456">
        <f>+J34+L34+N34</f>
        <v>2149</v>
      </c>
      <c r="Q34" s="353">
        <f>+K34+M34+O34</f>
        <v>246</v>
      </c>
      <c r="R34" s="352">
        <f t="shared" si="7"/>
        <v>123</v>
      </c>
      <c r="S34" s="457">
        <f t="shared" si="8"/>
        <v>8.735772357723578</v>
      </c>
      <c r="T34" s="393">
        <v>1351.5</v>
      </c>
      <c r="U34" s="458">
        <f t="shared" si="2"/>
        <v>0.5900850906400296</v>
      </c>
      <c r="V34" s="393">
        <v>1274613.5</v>
      </c>
      <c r="W34" s="459">
        <v>155291</v>
      </c>
      <c r="X34" s="491">
        <f aca="true" t="shared" si="9" ref="X34:X39">V34/W34</f>
        <v>8.207903226845085</v>
      </c>
      <c r="Y34" s="280"/>
    </row>
    <row r="35" spans="1:27" s="282" customFormat="1" ht="18">
      <c r="A35" s="490">
        <f t="shared" si="0"/>
        <v>31</v>
      </c>
      <c r="B35" s="296"/>
      <c r="C35" s="350" t="s">
        <v>69</v>
      </c>
      <c r="D35" s="349">
        <v>38779</v>
      </c>
      <c r="E35" s="455" t="s">
        <v>88</v>
      </c>
      <c r="F35" s="350" t="s">
        <v>346</v>
      </c>
      <c r="G35" s="389">
        <v>97</v>
      </c>
      <c r="H35" s="385">
        <v>4</v>
      </c>
      <c r="I35" s="389">
        <v>6</v>
      </c>
      <c r="J35" s="393">
        <v>579</v>
      </c>
      <c r="K35" s="402">
        <v>157</v>
      </c>
      <c r="L35" s="393">
        <v>691.5</v>
      </c>
      <c r="M35" s="402">
        <v>185</v>
      </c>
      <c r="N35" s="393">
        <v>748</v>
      </c>
      <c r="O35" s="402">
        <v>204</v>
      </c>
      <c r="P35" s="456">
        <f>+J35+L35+N35</f>
        <v>2018.5</v>
      </c>
      <c r="Q35" s="353">
        <f>+K35+M35+O35</f>
        <v>546</v>
      </c>
      <c r="R35" s="352">
        <f t="shared" si="7"/>
        <v>136.5</v>
      </c>
      <c r="S35" s="457">
        <f t="shared" si="8"/>
        <v>3.696886446886447</v>
      </c>
      <c r="T35" s="393">
        <v>5076</v>
      </c>
      <c r="U35" s="458">
        <f t="shared" si="2"/>
        <v>-0.602344365642238</v>
      </c>
      <c r="V35" s="393">
        <v>1081787</v>
      </c>
      <c r="W35" s="459">
        <v>142430</v>
      </c>
      <c r="X35" s="491">
        <f t="shared" si="9"/>
        <v>7.5952187039247345</v>
      </c>
      <c r="Y35" s="280"/>
      <c r="AA35" s="280"/>
    </row>
    <row r="36" spans="1:27" s="281" customFormat="1" ht="18">
      <c r="A36" s="490">
        <f t="shared" si="0"/>
        <v>32</v>
      </c>
      <c r="B36" s="296"/>
      <c r="C36" s="460" t="s">
        <v>77</v>
      </c>
      <c r="D36" s="461">
        <v>38772</v>
      </c>
      <c r="E36" s="460" t="s">
        <v>330</v>
      </c>
      <c r="F36" s="460" t="s">
        <v>331</v>
      </c>
      <c r="G36" s="462">
        <v>49</v>
      </c>
      <c r="H36" s="463">
        <v>5</v>
      </c>
      <c r="I36" s="462">
        <v>7</v>
      </c>
      <c r="J36" s="464">
        <v>396</v>
      </c>
      <c r="K36" s="465">
        <v>91</v>
      </c>
      <c r="L36" s="464">
        <v>708</v>
      </c>
      <c r="M36" s="465">
        <v>164</v>
      </c>
      <c r="N36" s="464">
        <v>763</v>
      </c>
      <c r="O36" s="465">
        <v>152</v>
      </c>
      <c r="P36" s="466">
        <f>J36+L36+N36</f>
        <v>1867</v>
      </c>
      <c r="Q36" s="467">
        <f>K36+M36+O36</f>
        <v>407</v>
      </c>
      <c r="R36" s="468">
        <f>Q36/H36</f>
        <v>81.4</v>
      </c>
      <c r="S36" s="469">
        <f>P36/Q36</f>
        <v>4.587223587223587</v>
      </c>
      <c r="T36" s="464">
        <v>6633.5</v>
      </c>
      <c r="U36" s="458">
        <f t="shared" si="2"/>
        <v>-0.7185497851812769</v>
      </c>
      <c r="V36" s="470">
        <v>316022</v>
      </c>
      <c r="W36" s="467">
        <v>48277</v>
      </c>
      <c r="X36" s="492">
        <f t="shared" si="9"/>
        <v>6.546015701058475</v>
      </c>
      <c r="Y36" s="280"/>
      <c r="AA36" s="280"/>
    </row>
    <row r="37" spans="1:25" s="281" customFormat="1" ht="18">
      <c r="A37" s="490">
        <f t="shared" si="0"/>
        <v>33</v>
      </c>
      <c r="B37" s="296"/>
      <c r="C37" s="350" t="s">
        <v>73</v>
      </c>
      <c r="D37" s="349">
        <v>38772</v>
      </c>
      <c r="E37" s="350" t="s">
        <v>92</v>
      </c>
      <c r="F37" s="350" t="s">
        <v>354</v>
      </c>
      <c r="G37" s="389">
        <v>62</v>
      </c>
      <c r="H37" s="385">
        <v>5</v>
      </c>
      <c r="I37" s="389">
        <v>7</v>
      </c>
      <c r="J37" s="393">
        <v>219</v>
      </c>
      <c r="K37" s="402">
        <v>34</v>
      </c>
      <c r="L37" s="393">
        <v>782</v>
      </c>
      <c r="M37" s="402">
        <v>146</v>
      </c>
      <c r="N37" s="393">
        <v>780</v>
      </c>
      <c r="O37" s="402">
        <v>144</v>
      </c>
      <c r="P37" s="456">
        <f aca="true" t="shared" si="10" ref="P37:Q39">+J37+L37+N37</f>
        <v>1781</v>
      </c>
      <c r="Q37" s="353">
        <f t="shared" si="10"/>
        <v>324</v>
      </c>
      <c r="R37" s="352">
        <f>IF(P37&lt;&gt;0,Q37/H37,"")</f>
        <v>64.8</v>
      </c>
      <c r="S37" s="457">
        <f>IF(P37&lt;&gt;0,P37/Q37,"")</f>
        <v>5.496913580246914</v>
      </c>
      <c r="T37" s="393">
        <v>4746</v>
      </c>
      <c r="U37" s="458">
        <f t="shared" si="2"/>
        <v>-0.6247366203118415</v>
      </c>
      <c r="V37" s="393">
        <v>804338</v>
      </c>
      <c r="W37" s="459">
        <v>104250</v>
      </c>
      <c r="X37" s="491">
        <f t="shared" si="9"/>
        <v>7.7154724220623505</v>
      </c>
      <c r="Y37" s="280"/>
    </row>
    <row r="38" spans="1:27" s="281" customFormat="1" ht="18">
      <c r="A38" s="490">
        <f t="shared" si="0"/>
        <v>34</v>
      </c>
      <c r="B38" s="296"/>
      <c r="C38" s="350" t="s">
        <v>74</v>
      </c>
      <c r="D38" s="349">
        <v>38527</v>
      </c>
      <c r="E38" s="455" t="s">
        <v>88</v>
      </c>
      <c r="F38" s="350" t="s">
        <v>356</v>
      </c>
      <c r="G38" s="389">
        <v>43</v>
      </c>
      <c r="H38" s="385">
        <v>2</v>
      </c>
      <c r="I38" s="389">
        <v>26</v>
      </c>
      <c r="J38" s="393">
        <v>490</v>
      </c>
      <c r="K38" s="402">
        <v>136</v>
      </c>
      <c r="L38" s="393">
        <v>553</v>
      </c>
      <c r="M38" s="402">
        <v>157</v>
      </c>
      <c r="N38" s="393">
        <v>595</v>
      </c>
      <c r="O38" s="402">
        <v>171</v>
      </c>
      <c r="P38" s="456">
        <f t="shared" si="10"/>
        <v>1638</v>
      </c>
      <c r="Q38" s="353">
        <f t="shared" si="10"/>
        <v>464</v>
      </c>
      <c r="R38" s="352">
        <f>IF(P38&lt;&gt;0,Q38/H38,"")</f>
        <v>232</v>
      </c>
      <c r="S38" s="457">
        <f>IF(P38&lt;&gt;0,P38/Q38,"")</f>
        <v>3.5301724137931036</v>
      </c>
      <c r="T38" s="393">
        <v>1833</v>
      </c>
      <c r="U38" s="458">
        <f t="shared" si="2"/>
        <v>-0.10638297872340426</v>
      </c>
      <c r="V38" s="393">
        <v>738920.5</v>
      </c>
      <c r="W38" s="459">
        <v>93834</v>
      </c>
      <c r="X38" s="491">
        <f t="shared" si="9"/>
        <v>7.874762879126969</v>
      </c>
      <c r="Y38" s="280"/>
      <c r="AA38" s="280"/>
    </row>
    <row r="39" spans="1:25" s="282" customFormat="1" ht="18">
      <c r="A39" s="490">
        <f t="shared" si="0"/>
        <v>35</v>
      </c>
      <c r="B39" s="296"/>
      <c r="C39" s="350" t="s">
        <v>171</v>
      </c>
      <c r="D39" s="349">
        <v>39067</v>
      </c>
      <c r="E39" s="350" t="s">
        <v>92</v>
      </c>
      <c r="F39" s="350" t="s">
        <v>357</v>
      </c>
      <c r="G39" s="389">
        <v>131</v>
      </c>
      <c r="H39" s="385">
        <v>2</v>
      </c>
      <c r="I39" s="389">
        <v>17</v>
      </c>
      <c r="J39" s="393">
        <v>462</v>
      </c>
      <c r="K39" s="402">
        <v>126</v>
      </c>
      <c r="L39" s="393">
        <v>610</v>
      </c>
      <c r="M39" s="402">
        <v>156</v>
      </c>
      <c r="N39" s="393">
        <v>538</v>
      </c>
      <c r="O39" s="402">
        <v>134</v>
      </c>
      <c r="P39" s="456">
        <f t="shared" si="10"/>
        <v>1610</v>
      </c>
      <c r="Q39" s="353">
        <f t="shared" si="10"/>
        <v>416</v>
      </c>
      <c r="R39" s="352">
        <f>IF(P39&lt;&gt;0,Q39/H39,"")</f>
        <v>208</v>
      </c>
      <c r="S39" s="457">
        <f>IF(P39&lt;&gt;0,P39/Q39,"")</f>
        <v>3.8701923076923075</v>
      </c>
      <c r="T39" s="393">
        <v>1478</v>
      </c>
      <c r="U39" s="458">
        <f t="shared" si="2"/>
        <v>0.08930987821380243</v>
      </c>
      <c r="V39" s="393">
        <v>3082486</v>
      </c>
      <c r="W39" s="459">
        <v>431744</v>
      </c>
      <c r="X39" s="491">
        <f t="shared" si="9"/>
        <v>7.139615142306552</v>
      </c>
      <c r="Y39" s="280"/>
    </row>
    <row r="40" spans="1:25" s="281" customFormat="1" ht="18">
      <c r="A40" s="490">
        <f t="shared" si="0"/>
        <v>36</v>
      </c>
      <c r="B40" s="296"/>
      <c r="C40" s="460" t="s">
        <v>358</v>
      </c>
      <c r="D40" s="461">
        <v>38786</v>
      </c>
      <c r="E40" s="460" t="s">
        <v>94</v>
      </c>
      <c r="F40" s="460" t="s">
        <v>359</v>
      </c>
      <c r="G40" s="462">
        <v>4</v>
      </c>
      <c r="H40" s="463">
        <v>2</v>
      </c>
      <c r="I40" s="462">
        <v>5</v>
      </c>
      <c r="J40" s="464">
        <v>235</v>
      </c>
      <c r="K40" s="465">
        <v>34</v>
      </c>
      <c r="L40" s="464">
        <v>710</v>
      </c>
      <c r="M40" s="465">
        <v>102</v>
      </c>
      <c r="N40" s="464">
        <v>653</v>
      </c>
      <c r="O40" s="465">
        <v>92</v>
      </c>
      <c r="P40" s="466">
        <f>+N40+L40+J40</f>
        <v>1598</v>
      </c>
      <c r="Q40" s="467">
        <f>+O40+M40+K40</f>
        <v>228</v>
      </c>
      <c r="R40" s="468">
        <f>Q40/H40</f>
        <v>114</v>
      </c>
      <c r="S40" s="469">
        <f>P40/Q40</f>
        <v>7.008771929824562</v>
      </c>
      <c r="T40" s="464"/>
      <c r="U40" s="458">
        <f t="shared" si="2"/>
      </c>
      <c r="V40" s="486">
        <v>44756</v>
      </c>
      <c r="W40" s="467">
        <v>5222</v>
      </c>
      <c r="X40" s="495">
        <f>+V40/W40</f>
        <v>8.570662581386442</v>
      </c>
      <c r="Y40" s="280"/>
    </row>
    <row r="41" spans="1:26" s="282" customFormat="1" ht="18">
      <c r="A41" s="490">
        <f t="shared" si="0"/>
        <v>37</v>
      </c>
      <c r="B41" s="296"/>
      <c r="C41" s="350" t="s">
        <v>76</v>
      </c>
      <c r="D41" s="349">
        <v>38765</v>
      </c>
      <c r="E41" s="455" t="s">
        <v>88</v>
      </c>
      <c r="F41" s="350" t="s">
        <v>94</v>
      </c>
      <c r="G41" s="389">
        <v>12</v>
      </c>
      <c r="H41" s="385">
        <v>4</v>
      </c>
      <c r="I41" s="389">
        <v>8</v>
      </c>
      <c r="J41" s="393">
        <v>378</v>
      </c>
      <c r="K41" s="402">
        <v>67</v>
      </c>
      <c r="L41" s="393">
        <v>579</v>
      </c>
      <c r="M41" s="402">
        <v>100</v>
      </c>
      <c r="N41" s="393">
        <v>449</v>
      </c>
      <c r="O41" s="402">
        <v>75</v>
      </c>
      <c r="P41" s="456">
        <f aca="true" t="shared" si="11" ref="P41:Q43">+J41+L41+N41</f>
        <v>1406</v>
      </c>
      <c r="Q41" s="353">
        <f t="shared" si="11"/>
        <v>242</v>
      </c>
      <c r="R41" s="352">
        <f>IF(P41&lt;&gt;0,Q41/H41,"")</f>
        <v>60.5</v>
      </c>
      <c r="S41" s="457">
        <f>IF(P41&lt;&gt;0,P41/Q41,"")</f>
        <v>5.809917355371901</v>
      </c>
      <c r="T41" s="393">
        <v>6923.5</v>
      </c>
      <c r="U41" s="458">
        <f t="shared" si="2"/>
        <v>-0.7969235213403625</v>
      </c>
      <c r="V41" s="393">
        <v>711711</v>
      </c>
      <c r="W41" s="459">
        <v>80327</v>
      </c>
      <c r="X41" s="491">
        <f>V41/W41</f>
        <v>8.860171548794304</v>
      </c>
      <c r="Y41" s="280"/>
      <c r="Z41" s="280"/>
    </row>
    <row r="42" spans="1:25" s="281" customFormat="1" ht="18">
      <c r="A42" s="490">
        <f t="shared" si="0"/>
        <v>38</v>
      </c>
      <c r="B42" s="296"/>
      <c r="C42" s="350" t="s">
        <v>360</v>
      </c>
      <c r="D42" s="349">
        <v>38751</v>
      </c>
      <c r="E42" s="350" t="s">
        <v>92</v>
      </c>
      <c r="F42" s="350" t="s">
        <v>354</v>
      </c>
      <c r="G42" s="389">
        <v>51</v>
      </c>
      <c r="H42" s="385">
        <v>4</v>
      </c>
      <c r="I42" s="389">
        <v>9</v>
      </c>
      <c r="J42" s="393">
        <v>275</v>
      </c>
      <c r="K42" s="402">
        <v>62</v>
      </c>
      <c r="L42" s="393">
        <v>481</v>
      </c>
      <c r="M42" s="402">
        <v>108</v>
      </c>
      <c r="N42" s="393">
        <v>608</v>
      </c>
      <c r="O42" s="402">
        <v>123</v>
      </c>
      <c r="P42" s="456">
        <f t="shared" si="11"/>
        <v>1364</v>
      </c>
      <c r="Q42" s="353">
        <f t="shared" si="11"/>
        <v>293</v>
      </c>
      <c r="R42" s="352">
        <f>IF(P42&lt;&gt;0,Q42/H42,"")</f>
        <v>73.25</v>
      </c>
      <c r="S42" s="457">
        <f>IF(P42&lt;&gt;0,P42/Q42,"")</f>
        <v>4.6552901023890785</v>
      </c>
      <c r="T42" s="393">
        <v>6889</v>
      </c>
      <c r="U42" s="458">
        <f t="shared" si="2"/>
        <v>-0.8020031934968791</v>
      </c>
      <c r="V42" s="393">
        <v>1306701</v>
      </c>
      <c r="W42" s="459">
        <v>168956</v>
      </c>
      <c r="X42" s="491">
        <f>V42/W42</f>
        <v>7.733972158431781</v>
      </c>
      <c r="Y42" s="280"/>
    </row>
    <row r="43" spans="1:25" s="281" customFormat="1" ht="18">
      <c r="A43" s="490">
        <f t="shared" si="0"/>
        <v>39</v>
      </c>
      <c r="B43" s="296"/>
      <c r="C43" s="350" t="s">
        <v>317</v>
      </c>
      <c r="D43" s="349">
        <v>38639</v>
      </c>
      <c r="E43" s="350" t="s">
        <v>333</v>
      </c>
      <c r="F43" s="350" t="s">
        <v>359</v>
      </c>
      <c r="G43" s="389">
        <v>4</v>
      </c>
      <c r="H43" s="385">
        <v>1</v>
      </c>
      <c r="I43" s="389">
        <v>9</v>
      </c>
      <c r="J43" s="393">
        <v>248.5</v>
      </c>
      <c r="K43" s="402">
        <v>58</v>
      </c>
      <c r="L43" s="393">
        <v>393</v>
      </c>
      <c r="M43" s="402">
        <v>90</v>
      </c>
      <c r="N43" s="393">
        <v>642.5</v>
      </c>
      <c r="O43" s="402">
        <v>149</v>
      </c>
      <c r="P43" s="456">
        <f t="shared" si="11"/>
        <v>1284</v>
      </c>
      <c r="Q43" s="353">
        <f t="shared" si="11"/>
        <v>297</v>
      </c>
      <c r="R43" s="352">
        <f>IF(P43&lt;&gt;0,Q43/H43,"")</f>
        <v>297</v>
      </c>
      <c r="S43" s="457">
        <f>IF(P43&lt;&gt;0,P43/Q43,"")</f>
        <v>4.3232323232323235</v>
      </c>
      <c r="T43" s="393">
        <v>670.5</v>
      </c>
      <c r="U43" s="458">
        <f t="shared" si="2"/>
        <v>0.9149888143176734</v>
      </c>
      <c r="V43" s="393">
        <f>26531.5+1284</f>
        <v>27815.5</v>
      </c>
      <c r="W43" s="459">
        <f>3749+297</f>
        <v>4046</v>
      </c>
      <c r="X43" s="491">
        <f>IF(V43&lt;&gt;0,V43/W43,"")</f>
        <v>6.874814631735047</v>
      </c>
      <c r="Y43" s="280"/>
    </row>
    <row r="44" spans="1:25" s="281" customFormat="1" ht="18">
      <c r="A44" s="490">
        <f t="shared" si="0"/>
        <v>40</v>
      </c>
      <c r="B44" s="296"/>
      <c r="C44" s="363" t="s">
        <v>315</v>
      </c>
      <c r="D44" s="364">
        <v>38779</v>
      </c>
      <c r="E44" s="473" t="s">
        <v>178</v>
      </c>
      <c r="F44" s="363" t="s">
        <v>361</v>
      </c>
      <c r="G44" s="391">
        <v>10</v>
      </c>
      <c r="H44" s="387">
        <v>5</v>
      </c>
      <c r="I44" s="391">
        <v>6</v>
      </c>
      <c r="J44" s="396">
        <v>295</v>
      </c>
      <c r="K44" s="405">
        <v>80</v>
      </c>
      <c r="L44" s="396">
        <v>490</v>
      </c>
      <c r="M44" s="405">
        <v>125</v>
      </c>
      <c r="N44" s="396">
        <v>467</v>
      </c>
      <c r="O44" s="405">
        <v>120</v>
      </c>
      <c r="P44" s="474">
        <f>J44+L44+N44</f>
        <v>1252</v>
      </c>
      <c r="Q44" s="365">
        <f>K44+M44+O44</f>
        <v>325</v>
      </c>
      <c r="R44" s="365">
        <f>Q44/H44</f>
        <v>65</v>
      </c>
      <c r="S44" s="475">
        <f>P44/Q44</f>
        <v>3.852307692307692</v>
      </c>
      <c r="T44" s="396">
        <v>235</v>
      </c>
      <c r="U44" s="458">
        <f aca="true" t="shared" si="12" ref="U44:U73">IF(T44&lt;&gt;0,-(T44-P44)/T44,"")</f>
        <v>4.327659574468085</v>
      </c>
      <c r="V44" s="396">
        <v>33213.5</v>
      </c>
      <c r="W44" s="365">
        <v>5089</v>
      </c>
      <c r="X44" s="493">
        <f>V44/W44</f>
        <v>6.526527805069758</v>
      </c>
      <c r="Y44" s="280"/>
    </row>
    <row r="45" spans="1:25" s="281" customFormat="1" ht="18">
      <c r="A45" s="490">
        <f t="shared" si="0"/>
        <v>41</v>
      </c>
      <c r="B45" s="296"/>
      <c r="C45" s="350" t="s">
        <v>71</v>
      </c>
      <c r="D45" s="349">
        <v>38786</v>
      </c>
      <c r="E45" s="350" t="s">
        <v>92</v>
      </c>
      <c r="F45" s="350" t="s">
        <v>357</v>
      </c>
      <c r="G45" s="389">
        <v>63</v>
      </c>
      <c r="H45" s="385">
        <v>3</v>
      </c>
      <c r="I45" s="389">
        <v>5</v>
      </c>
      <c r="J45" s="393">
        <v>336</v>
      </c>
      <c r="K45" s="402">
        <v>118</v>
      </c>
      <c r="L45" s="393">
        <v>442</v>
      </c>
      <c r="M45" s="402">
        <v>210</v>
      </c>
      <c r="N45" s="393">
        <v>461</v>
      </c>
      <c r="O45" s="402">
        <v>241</v>
      </c>
      <c r="P45" s="456">
        <f>+J45+L45+N45</f>
        <v>1239</v>
      </c>
      <c r="Q45" s="353">
        <f>+K45+M45+O45</f>
        <v>569</v>
      </c>
      <c r="R45" s="352">
        <f>IF(P45&lt;&gt;0,Q45/H45,"")</f>
        <v>189.66666666666666</v>
      </c>
      <c r="S45" s="457">
        <f>IF(P45&lt;&gt;0,P45/Q45,"")</f>
        <v>2.177504393673111</v>
      </c>
      <c r="T45" s="393">
        <v>4379</v>
      </c>
      <c r="U45" s="458">
        <f t="shared" si="12"/>
        <v>-0.7170586891984472</v>
      </c>
      <c r="V45" s="393">
        <v>494011</v>
      </c>
      <c r="W45" s="459">
        <v>60837</v>
      </c>
      <c r="X45" s="491">
        <f>V45/W45</f>
        <v>8.120239328040501</v>
      </c>
      <c r="Y45" s="280"/>
    </row>
    <row r="46" spans="1:25" s="281" customFormat="1" ht="18">
      <c r="A46" s="490">
        <f t="shared" si="0"/>
        <v>42</v>
      </c>
      <c r="B46" s="296"/>
      <c r="C46" s="350" t="s">
        <v>72</v>
      </c>
      <c r="D46" s="349">
        <v>38772</v>
      </c>
      <c r="E46" s="455" t="s">
        <v>88</v>
      </c>
      <c r="F46" s="350" t="s">
        <v>356</v>
      </c>
      <c r="G46" s="389">
        <v>85</v>
      </c>
      <c r="H46" s="385">
        <v>3</v>
      </c>
      <c r="I46" s="389">
        <v>7</v>
      </c>
      <c r="J46" s="393">
        <v>318</v>
      </c>
      <c r="K46" s="402">
        <v>106</v>
      </c>
      <c r="L46" s="393">
        <v>555</v>
      </c>
      <c r="M46" s="402">
        <v>173</v>
      </c>
      <c r="N46" s="393">
        <v>332</v>
      </c>
      <c r="O46" s="402">
        <v>99</v>
      </c>
      <c r="P46" s="456">
        <f>+J46+L46+N46</f>
        <v>1205</v>
      </c>
      <c r="Q46" s="353">
        <f>+K46+M46+O46</f>
        <v>378</v>
      </c>
      <c r="R46" s="352">
        <f>IF(P46&lt;&gt;0,Q46/H46,"")</f>
        <v>126</v>
      </c>
      <c r="S46" s="457">
        <f>IF(P46&lt;&gt;0,P46/Q46,"")</f>
        <v>3.187830687830688</v>
      </c>
      <c r="T46" s="393">
        <v>5282</v>
      </c>
      <c r="U46" s="458">
        <f t="shared" si="12"/>
        <v>-0.7718667171525937</v>
      </c>
      <c r="V46" s="393">
        <v>1097652.5</v>
      </c>
      <c r="W46" s="459">
        <v>144585</v>
      </c>
      <c r="X46" s="491">
        <f>V46/W46</f>
        <v>7.591745340111353</v>
      </c>
      <c r="Y46" s="280"/>
    </row>
    <row r="47" spans="1:25" s="281" customFormat="1" ht="18">
      <c r="A47" s="490">
        <f t="shared" si="0"/>
        <v>43</v>
      </c>
      <c r="B47" s="296"/>
      <c r="C47" s="363" t="s">
        <v>305</v>
      </c>
      <c r="D47" s="364">
        <v>38744</v>
      </c>
      <c r="E47" s="473" t="s">
        <v>178</v>
      </c>
      <c r="F47" s="363" t="s">
        <v>362</v>
      </c>
      <c r="G47" s="391">
        <v>7</v>
      </c>
      <c r="H47" s="387">
        <v>6</v>
      </c>
      <c r="I47" s="391">
        <v>9</v>
      </c>
      <c r="J47" s="396">
        <v>138</v>
      </c>
      <c r="K47" s="405">
        <v>24</v>
      </c>
      <c r="L47" s="396">
        <v>427.5</v>
      </c>
      <c r="M47" s="405">
        <v>74</v>
      </c>
      <c r="N47" s="396">
        <v>603</v>
      </c>
      <c r="O47" s="405">
        <v>109</v>
      </c>
      <c r="P47" s="474">
        <f>J47+L47+N47</f>
        <v>1168.5</v>
      </c>
      <c r="Q47" s="365">
        <f>K47+M47+O47</f>
        <v>207</v>
      </c>
      <c r="R47" s="365">
        <f>Q47/H47</f>
        <v>34.5</v>
      </c>
      <c r="S47" s="475">
        <f>P47/Q47</f>
        <v>5.644927536231884</v>
      </c>
      <c r="T47" s="396">
        <v>347</v>
      </c>
      <c r="U47" s="458">
        <f t="shared" si="12"/>
        <v>2.367435158501441</v>
      </c>
      <c r="V47" s="396">
        <v>45251</v>
      </c>
      <c r="W47" s="365">
        <v>6615</v>
      </c>
      <c r="X47" s="493">
        <f>V47/W47</f>
        <v>6.8406651549508695</v>
      </c>
      <c r="Y47" s="280"/>
    </row>
    <row r="48" spans="1:25" s="281" customFormat="1" ht="18">
      <c r="A48" s="490">
        <f t="shared" si="0"/>
        <v>44</v>
      </c>
      <c r="B48" s="296"/>
      <c r="C48" s="363" t="s">
        <v>79</v>
      </c>
      <c r="D48" s="364">
        <v>38779</v>
      </c>
      <c r="E48" s="363" t="s">
        <v>351</v>
      </c>
      <c r="F48" s="363" t="s">
        <v>363</v>
      </c>
      <c r="G48" s="391">
        <v>10</v>
      </c>
      <c r="H48" s="387">
        <v>3</v>
      </c>
      <c r="I48" s="391">
        <v>6</v>
      </c>
      <c r="J48" s="396">
        <v>264</v>
      </c>
      <c r="K48" s="405">
        <v>54</v>
      </c>
      <c r="L48" s="396">
        <v>467</v>
      </c>
      <c r="M48" s="405">
        <v>93</v>
      </c>
      <c r="N48" s="396">
        <v>337</v>
      </c>
      <c r="O48" s="405">
        <v>67</v>
      </c>
      <c r="P48" s="466">
        <f>+N48+L48+J48</f>
        <v>1068</v>
      </c>
      <c r="Q48" s="467">
        <f>+O48+M48+K48</f>
        <v>214</v>
      </c>
      <c r="R48" s="468">
        <f>Q48/H48</f>
        <v>71.33333333333333</v>
      </c>
      <c r="S48" s="469">
        <f>P48/Q48</f>
        <v>4.990654205607477</v>
      </c>
      <c r="T48" s="396">
        <v>1151</v>
      </c>
      <c r="U48" s="458">
        <f t="shared" si="12"/>
        <v>-0.07211120764552563</v>
      </c>
      <c r="V48" s="396">
        <v>92631</v>
      </c>
      <c r="W48" s="365">
        <v>11434</v>
      </c>
      <c r="X48" s="495">
        <f>+V48/W48</f>
        <v>8.101364351932832</v>
      </c>
      <c r="Y48" s="280"/>
    </row>
    <row r="49" spans="1:25" s="281" customFormat="1" ht="18">
      <c r="A49" s="490">
        <f t="shared" si="0"/>
        <v>45</v>
      </c>
      <c r="B49" s="296"/>
      <c r="C49" s="350" t="s">
        <v>288</v>
      </c>
      <c r="D49" s="349">
        <v>38730</v>
      </c>
      <c r="E49" s="350" t="s">
        <v>92</v>
      </c>
      <c r="F49" s="350" t="s">
        <v>335</v>
      </c>
      <c r="G49" s="389">
        <v>116</v>
      </c>
      <c r="H49" s="385">
        <v>3</v>
      </c>
      <c r="I49" s="389">
        <v>13</v>
      </c>
      <c r="J49" s="393">
        <v>129</v>
      </c>
      <c r="K49" s="402">
        <v>41</v>
      </c>
      <c r="L49" s="393">
        <v>448</v>
      </c>
      <c r="M49" s="402">
        <v>128</v>
      </c>
      <c r="N49" s="393">
        <v>374</v>
      </c>
      <c r="O49" s="402">
        <v>112</v>
      </c>
      <c r="P49" s="456">
        <f aca="true" t="shared" si="13" ref="P49:Q51">+J49+L49+N49</f>
        <v>951</v>
      </c>
      <c r="Q49" s="353">
        <f t="shared" si="13"/>
        <v>281</v>
      </c>
      <c r="R49" s="352">
        <f>IF(P49&lt;&gt;0,Q49/H49,"")</f>
        <v>93.66666666666667</v>
      </c>
      <c r="S49" s="457">
        <f>IF(P49&lt;&gt;0,P49/Q49,"")</f>
        <v>3.3843416370106763</v>
      </c>
      <c r="T49" s="393">
        <v>798</v>
      </c>
      <c r="U49" s="458">
        <f t="shared" si="12"/>
        <v>0.19172932330827067</v>
      </c>
      <c r="V49" s="393">
        <v>3269761</v>
      </c>
      <c r="W49" s="459">
        <v>464929</v>
      </c>
      <c r="X49" s="491">
        <f aca="true" t="shared" si="14" ref="X49:X55">V49/W49</f>
        <v>7.032817914133125</v>
      </c>
      <c r="Y49" s="280"/>
    </row>
    <row r="50" spans="1:30" s="282" customFormat="1" ht="18.75">
      <c r="A50" s="490">
        <f t="shared" si="0"/>
        <v>46</v>
      </c>
      <c r="B50" s="296"/>
      <c r="C50" s="350" t="s">
        <v>238</v>
      </c>
      <c r="D50" s="349">
        <v>38667</v>
      </c>
      <c r="E50" s="455" t="s">
        <v>88</v>
      </c>
      <c r="F50" s="350" t="s">
        <v>91</v>
      </c>
      <c r="G50" s="389">
        <v>1</v>
      </c>
      <c r="H50" s="385">
        <v>1</v>
      </c>
      <c r="I50" s="389">
        <v>13</v>
      </c>
      <c r="J50" s="393">
        <v>290</v>
      </c>
      <c r="K50" s="402">
        <v>58</v>
      </c>
      <c r="L50" s="393">
        <v>290</v>
      </c>
      <c r="M50" s="402">
        <v>58</v>
      </c>
      <c r="N50" s="393">
        <v>290</v>
      </c>
      <c r="O50" s="402">
        <v>58</v>
      </c>
      <c r="P50" s="456">
        <f t="shared" si="13"/>
        <v>870</v>
      </c>
      <c r="Q50" s="353">
        <f t="shared" si="13"/>
        <v>174</v>
      </c>
      <c r="R50" s="352">
        <f>IF(P50&lt;&gt;0,Q50/H50,"")</f>
        <v>174</v>
      </c>
      <c r="S50" s="457">
        <f>IF(P50&lt;&gt;0,P50/Q50,"")</f>
        <v>5</v>
      </c>
      <c r="T50" s="393">
        <v>870</v>
      </c>
      <c r="U50" s="458">
        <f t="shared" si="12"/>
        <v>0</v>
      </c>
      <c r="V50" s="393">
        <v>24691</v>
      </c>
      <c r="W50" s="459">
        <v>4149</v>
      </c>
      <c r="X50" s="491">
        <f t="shared" si="14"/>
        <v>5.951072547601831</v>
      </c>
      <c r="Y50" s="280"/>
      <c r="Z50" s="280"/>
      <c r="AA50" s="283"/>
      <c r="AB50" s="283"/>
      <c r="AC50" s="283"/>
      <c r="AD50" s="283"/>
    </row>
    <row r="51" spans="1:30" s="282" customFormat="1" ht="18.75">
      <c r="A51" s="490">
        <f t="shared" si="0"/>
        <v>47</v>
      </c>
      <c r="B51" s="296"/>
      <c r="C51" s="350" t="s">
        <v>321</v>
      </c>
      <c r="D51" s="349">
        <v>38765</v>
      </c>
      <c r="E51" s="455" t="s">
        <v>88</v>
      </c>
      <c r="F51" s="350" t="s">
        <v>339</v>
      </c>
      <c r="G51" s="389">
        <v>43</v>
      </c>
      <c r="H51" s="385">
        <v>2</v>
      </c>
      <c r="I51" s="389">
        <v>13</v>
      </c>
      <c r="J51" s="393">
        <v>87.5</v>
      </c>
      <c r="K51" s="402">
        <v>13</v>
      </c>
      <c r="L51" s="393">
        <v>339.5</v>
      </c>
      <c r="M51" s="402">
        <v>50</v>
      </c>
      <c r="N51" s="393">
        <v>274.5</v>
      </c>
      <c r="O51" s="402">
        <v>41</v>
      </c>
      <c r="P51" s="456">
        <f t="shared" si="13"/>
        <v>701.5</v>
      </c>
      <c r="Q51" s="353">
        <f t="shared" si="13"/>
        <v>104</v>
      </c>
      <c r="R51" s="352">
        <f>IF(P51&lt;&gt;0,Q51/H51,"")</f>
        <v>52</v>
      </c>
      <c r="S51" s="457">
        <f>IF(P51&lt;&gt;0,P51/Q51,"")</f>
        <v>6.7451923076923075</v>
      </c>
      <c r="T51" s="393">
        <v>431</v>
      </c>
      <c r="U51" s="458">
        <f t="shared" si="12"/>
        <v>0.6276102088167054</v>
      </c>
      <c r="V51" s="393">
        <v>463842</v>
      </c>
      <c r="W51" s="459">
        <v>58105</v>
      </c>
      <c r="X51" s="491">
        <f t="shared" si="14"/>
        <v>7.9828241975733585</v>
      </c>
      <c r="Y51" s="280"/>
      <c r="Z51" s="280"/>
      <c r="AA51" s="283"/>
      <c r="AB51" s="283"/>
      <c r="AC51" s="283"/>
      <c r="AD51" s="283"/>
    </row>
    <row r="52" spans="1:30" s="282" customFormat="1" ht="18.75">
      <c r="A52" s="490">
        <f t="shared" si="0"/>
        <v>48</v>
      </c>
      <c r="B52" s="296"/>
      <c r="C52" s="363" t="s">
        <v>260</v>
      </c>
      <c r="D52" s="364">
        <v>38758</v>
      </c>
      <c r="E52" s="473" t="s">
        <v>178</v>
      </c>
      <c r="F52" s="363" t="s">
        <v>364</v>
      </c>
      <c r="G52" s="391">
        <v>4</v>
      </c>
      <c r="H52" s="387">
        <v>4</v>
      </c>
      <c r="I52" s="391">
        <v>9</v>
      </c>
      <c r="J52" s="396">
        <v>68</v>
      </c>
      <c r="K52" s="405">
        <v>18</v>
      </c>
      <c r="L52" s="396">
        <v>234</v>
      </c>
      <c r="M52" s="405">
        <v>57</v>
      </c>
      <c r="N52" s="396">
        <v>380</v>
      </c>
      <c r="O52" s="405">
        <v>87</v>
      </c>
      <c r="P52" s="474">
        <f>J52+L52+N52</f>
        <v>682</v>
      </c>
      <c r="Q52" s="365">
        <f>K52+M52+O52</f>
        <v>162</v>
      </c>
      <c r="R52" s="365">
        <f>Q52/H52</f>
        <v>40.5</v>
      </c>
      <c r="S52" s="475">
        <f>P52/Q52</f>
        <v>4.209876543209877</v>
      </c>
      <c r="T52" s="396">
        <v>430</v>
      </c>
      <c r="U52" s="458">
        <f t="shared" si="12"/>
        <v>0.586046511627907</v>
      </c>
      <c r="V52" s="396">
        <v>40304</v>
      </c>
      <c r="W52" s="365">
        <v>6641</v>
      </c>
      <c r="X52" s="493">
        <f t="shared" si="14"/>
        <v>6.068965517241379</v>
      </c>
      <c r="Y52" s="280"/>
      <c r="Z52" s="280"/>
      <c r="AA52" s="283"/>
      <c r="AB52" s="283"/>
      <c r="AC52" s="283"/>
      <c r="AD52" s="283"/>
    </row>
    <row r="53" spans="1:30" s="282" customFormat="1" ht="18.75">
      <c r="A53" s="490">
        <f t="shared" si="0"/>
        <v>49</v>
      </c>
      <c r="B53" s="296"/>
      <c r="C53" s="350" t="s">
        <v>240</v>
      </c>
      <c r="D53" s="349">
        <v>38667</v>
      </c>
      <c r="E53" s="455" t="s">
        <v>88</v>
      </c>
      <c r="F53" s="350" t="s">
        <v>365</v>
      </c>
      <c r="G53" s="389">
        <v>76</v>
      </c>
      <c r="H53" s="385">
        <v>1</v>
      </c>
      <c r="I53" s="389">
        <v>14</v>
      </c>
      <c r="J53" s="393">
        <v>205</v>
      </c>
      <c r="K53" s="402">
        <v>41</v>
      </c>
      <c r="L53" s="393">
        <v>205</v>
      </c>
      <c r="M53" s="402">
        <v>41</v>
      </c>
      <c r="N53" s="393">
        <v>205</v>
      </c>
      <c r="O53" s="402">
        <v>41</v>
      </c>
      <c r="P53" s="456">
        <f aca="true" t="shared" si="15" ref="P53:Q55">+J53+L53+N53</f>
        <v>615</v>
      </c>
      <c r="Q53" s="353">
        <f t="shared" si="15"/>
        <v>123</v>
      </c>
      <c r="R53" s="352">
        <f>IF(P53&lt;&gt;0,Q53/H53,"")</f>
        <v>123</v>
      </c>
      <c r="S53" s="457">
        <f>IF(P53&lt;&gt;0,P53/Q53,"")</f>
        <v>5</v>
      </c>
      <c r="T53" s="393">
        <v>615</v>
      </c>
      <c r="U53" s="458">
        <f t="shared" si="12"/>
        <v>0</v>
      </c>
      <c r="V53" s="393">
        <v>2491679.5</v>
      </c>
      <c r="W53" s="459">
        <v>381006</v>
      </c>
      <c r="X53" s="491">
        <f t="shared" si="14"/>
        <v>6.539738219345627</v>
      </c>
      <c r="Y53" s="280"/>
      <c r="Z53" s="280"/>
      <c r="AA53" s="283"/>
      <c r="AB53" s="283"/>
      <c r="AC53" s="283"/>
      <c r="AD53" s="283"/>
    </row>
    <row r="54" spans="1:30" s="282" customFormat="1" ht="18.75">
      <c r="A54" s="490">
        <f t="shared" si="0"/>
        <v>50</v>
      </c>
      <c r="B54" s="296"/>
      <c r="C54" s="350" t="s">
        <v>242</v>
      </c>
      <c r="D54" s="349">
        <v>38667</v>
      </c>
      <c r="E54" s="455" t="s">
        <v>88</v>
      </c>
      <c r="F54" s="350" t="s">
        <v>339</v>
      </c>
      <c r="G54" s="389">
        <v>51</v>
      </c>
      <c r="H54" s="385">
        <v>1</v>
      </c>
      <c r="I54" s="389">
        <v>20</v>
      </c>
      <c r="J54" s="393">
        <v>205</v>
      </c>
      <c r="K54" s="402">
        <v>41</v>
      </c>
      <c r="L54" s="393">
        <v>205</v>
      </c>
      <c r="M54" s="402">
        <v>41</v>
      </c>
      <c r="N54" s="393">
        <v>205</v>
      </c>
      <c r="O54" s="402">
        <v>41</v>
      </c>
      <c r="P54" s="456">
        <f t="shared" si="15"/>
        <v>615</v>
      </c>
      <c r="Q54" s="353">
        <f t="shared" si="15"/>
        <v>123</v>
      </c>
      <c r="R54" s="352">
        <f>IF(P54&lt;&gt;0,Q54/H54,"")</f>
        <v>123</v>
      </c>
      <c r="S54" s="457">
        <f>IF(P54&lt;&gt;0,P54/Q54,"")</f>
        <v>5</v>
      </c>
      <c r="T54" s="393">
        <f>205+205+205</f>
        <v>615</v>
      </c>
      <c r="U54" s="458">
        <f t="shared" si="12"/>
        <v>0</v>
      </c>
      <c r="V54" s="393">
        <v>997059.5</v>
      </c>
      <c r="W54" s="459">
        <v>140419</v>
      </c>
      <c r="X54" s="491">
        <f t="shared" si="14"/>
        <v>7.1006024825700225</v>
      </c>
      <c r="Y54" s="280"/>
      <c r="Z54" s="280"/>
      <c r="AA54" s="283"/>
      <c r="AB54" s="283"/>
      <c r="AC54" s="283"/>
      <c r="AD54" s="283"/>
    </row>
    <row r="55" spans="1:30" s="282" customFormat="1" ht="18.75">
      <c r="A55" s="490">
        <f t="shared" si="0"/>
        <v>51</v>
      </c>
      <c r="B55" s="296"/>
      <c r="C55" s="350" t="s">
        <v>167</v>
      </c>
      <c r="D55" s="349">
        <v>39060</v>
      </c>
      <c r="E55" s="350" t="s">
        <v>92</v>
      </c>
      <c r="F55" s="350" t="s">
        <v>335</v>
      </c>
      <c r="G55" s="389">
        <v>77</v>
      </c>
      <c r="H55" s="385">
        <v>3</v>
      </c>
      <c r="I55" s="389">
        <v>18</v>
      </c>
      <c r="J55" s="393">
        <v>347</v>
      </c>
      <c r="K55" s="402">
        <v>99</v>
      </c>
      <c r="L55" s="393">
        <v>91</v>
      </c>
      <c r="M55" s="402">
        <v>17</v>
      </c>
      <c r="N55" s="393">
        <v>150</v>
      </c>
      <c r="O55" s="402">
        <v>29</v>
      </c>
      <c r="P55" s="456">
        <f t="shared" si="15"/>
        <v>588</v>
      </c>
      <c r="Q55" s="353">
        <f t="shared" si="15"/>
        <v>145</v>
      </c>
      <c r="R55" s="352">
        <f>IF(P55&lt;&gt;0,Q55/H55,"")</f>
        <v>48.333333333333336</v>
      </c>
      <c r="S55" s="457">
        <f>IF(P55&lt;&gt;0,P55/Q55,"")</f>
        <v>4.055172413793104</v>
      </c>
      <c r="T55" s="393">
        <v>1017</v>
      </c>
      <c r="U55" s="458">
        <f t="shared" si="12"/>
        <v>-0.4218289085545723</v>
      </c>
      <c r="V55" s="393">
        <v>1921178</v>
      </c>
      <c r="W55" s="459">
        <v>280578</v>
      </c>
      <c r="X55" s="491">
        <f t="shared" si="14"/>
        <v>6.847215391085545</v>
      </c>
      <c r="Y55" s="280"/>
      <c r="Z55" s="280"/>
      <c r="AA55" s="283"/>
      <c r="AB55" s="283"/>
      <c r="AC55" s="283"/>
      <c r="AD55" s="283"/>
    </row>
    <row r="56" spans="1:30" s="282" customFormat="1" ht="18.75">
      <c r="A56" s="490">
        <f t="shared" si="0"/>
        <v>52</v>
      </c>
      <c r="B56" s="296"/>
      <c r="C56" s="363" t="s">
        <v>311</v>
      </c>
      <c r="D56" s="364">
        <v>38807</v>
      </c>
      <c r="E56" s="363" t="s">
        <v>351</v>
      </c>
      <c r="F56" s="363" t="s">
        <v>363</v>
      </c>
      <c r="G56" s="391">
        <v>2</v>
      </c>
      <c r="H56" s="387">
        <v>2</v>
      </c>
      <c r="I56" s="391">
        <v>2</v>
      </c>
      <c r="J56" s="396">
        <v>180</v>
      </c>
      <c r="K56" s="405">
        <v>27</v>
      </c>
      <c r="L56" s="396">
        <v>191</v>
      </c>
      <c r="M56" s="405">
        <v>28</v>
      </c>
      <c r="N56" s="396">
        <v>191</v>
      </c>
      <c r="O56" s="405">
        <v>28</v>
      </c>
      <c r="P56" s="466">
        <f>+N56+L56+J56</f>
        <v>562</v>
      </c>
      <c r="Q56" s="467">
        <f>+O56+M56+K56</f>
        <v>83</v>
      </c>
      <c r="R56" s="468">
        <f>Q56/H56</f>
        <v>41.5</v>
      </c>
      <c r="S56" s="469">
        <f>P56/Q56</f>
        <v>6.771084337349397</v>
      </c>
      <c r="T56" s="396">
        <v>1136.5</v>
      </c>
      <c r="U56" s="458">
        <f t="shared" si="12"/>
        <v>-0.5054993400791905</v>
      </c>
      <c r="V56" s="396">
        <v>2690.5</v>
      </c>
      <c r="W56" s="365">
        <v>391</v>
      </c>
      <c r="X56" s="495">
        <f>+V56/W56</f>
        <v>6.881074168797954</v>
      </c>
      <c r="Y56" s="280"/>
      <c r="Z56" s="280"/>
      <c r="AA56" s="283"/>
      <c r="AB56" s="283"/>
      <c r="AC56" s="283"/>
      <c r="AD56" s="283"/>
    </row>
    <row r="57" spans="1:30" s="282" customFormat="1" ht="18.75">
      <c r="A57" s="490">
        <f t="shared" si="0"/>
        <v>53</v>
      </c>
      <c r="B57" s="296"/>
      <c r="C57" s="350" t="s">
        <v>307</v>
      </c>
      <c r="D57" s="349">
        <v>38765</v>
      </c>
      <c r="E57" s="350" t="s">
        <v>92</v>
      </c>
      <c r="F57" s="350" t="s">
        <v>326</v>
      </c>
      <c r="G57" s="389">
        <v>20</v>
      </c>
      <c r="H57" s="385">
        <v>2</v>
      </c>
      <c r="I57" s="389">
        <v>8</v>
      </c>
      <c r="J57" s="393">
        <v>172</v>
      </c>
      <c r="K57" s="402">
        <v>36</v>
      </c>
      <c r="L57" s="393">
        <v>212</v>
      </c>
      <c r="M57" s="402">
        <v>52</v>
      </c>
      <c r="N57" s="393">
        <v>121</v>
      </c>
      <c r="O57" s="402">
        <v>23</v>
      </c>
      <c r="P57" s="456">
        <f aca="true" t="shared" si="16" ref="P57:P65">+J57+L57+N57</f>
        <v>505</v>
      </c>
      <c r="Q57" s="353">
        <f aca="true" t="shared" si="17" ref="Q57:Q65">+K57+M57+O57</f>
        <v>111</v>
      </c>
      <c r="R57" s="352">
        <f aca="true" t="shared" si="18" ref="R57:R65">IF(P57&lt;&gt;0,Q57/H57,"")</f>
        <v>55.5</v>
      </c>
      <c r="S57" s="457">
        <f aca="true" t="shared" si="19" ref="S57:S65">IF(P57&lt;&gt;0,P57/Q57,"")</f>
        <v>4.54954954954955</v>
      </c>
      <c r="T57" s="393">
        <v>1881</v>
      </c>
      <c r="U57" s="458">
        <f t="shared" si="12"/>
        <v>-0.7315257841573631</v>
      </c>
      <c r="V57" s="393">
        <v>125614</v>
      </c>
      <c r="W57" s="459">
        <v>13408</v>
      </c>
      <c r="X57" s="491">
        <f>V57/W57</f>
        <v>9.368585918854416</v>
      </c>
      <c r="Y57" s="280"/>
      <c r="Z57" s="280"/>
      <c r="AA57" s="283"/>
      <c r="AB57" s="283"/>
      <c r="AC57" s="283"/>
      <c r="AD57" s="283"/>
    </row>
    <row r="58" spans="1:30" s="282" customFormat="1" ht="18.75">
      <c r="A58" s="490">
        <f t="shared" si="0"/>
        <v>54</v>
      </c>
      <c r="B58" s="296"/>
      <c r="C58" s="350" t="s">
        <v>148</v>
      </c>
      <c r="D58" s="349">
        <v>38758</v>
      </c>
      <c r="E58" s="350" t="s">
        <v>92</v>
      </c>
      <c r="F58" s="350" t="s">
        <v>354</v>
      </c>
      <c r="G58" s="389">
        <v>46</v>
      </c>
      <c r="H58" s="385">
        <v>2</v>
      </c>
      <c r="I58" s="389">
        <v>9</v>
      </c>
      <c r="J58" s="393">
        <v>50</v>
      </c>
      <c r="K58" s="402">
        <v>7</v>
      </c>
      <c r="L58" s="393">
        <v>202</v>
      </c>
      <c r="M58" s="402">
        <v>29</v>
      </c>
      <c r="N58" s="393">
        <v>248</v>
      </c>
      <c r="O58" s="402">
        <v>42</v>
      </c>
      <c r="P58" s="456">
        <f t="shared" si="16"/>
        <v>500</v>
      </c>
      <c r="Q58" s="353">
        <f t="shared" si="17"/>
        <v>78</v>
      </c>
      <c r="R58" s="352">
        <f t="shared" si="18"/>
        <v>39</v>
      </c>
      <c r="S58" s="457">
        <f t="shared" si="19"/>
        <v>6.410256410256411</v>
      </c>
      <c r="T58" s="393">
        <v>615</v>
      </c>
      <c r="U58" s="458">
        <f t="shared" si="12"/>
        <v>-0.18699186991869918</v>
      </c>
      <c r="V58" s="393">
        <v>179921</v>
      </c>
      <c r="W58" s="459">
        <v>23719</v>
      </c>
      <c r="X58" s="491">
        <f>V58/W58</f>
        <v>7.585522155234201</v>
      </c>
      <c r="Y58" s="280"/>
      <c r="Z58" s="280"/>
      <c r="AA58" s="283"/>
      <c r="AB58" s="283"/>
      <c r="AC58" s="283"/>
      <c r="AD58" s="283"/>
    </row>
    <row r="59" spans="1:30" s="282" customFormat="1" ht="18.75">
      <c r="A59" s="490">
        <f t="shared" si="0"/>
        <v>55</v>
      </c>
      <c r="B59" s="296"/>
      <c r="C59" s="350" t="s">
        <v>314</v>
      </c>
      <c r="D59" s="349">
        <v>38793</v>
      </c>
      <c r="E59" s="350" t="s">
        <v>333</v>
      </c>
      <c r="F59" s="350" t="s">
        <v>366</v>
      </c>
      <c r="G59" s="389">
        <v>2</v>
      </c>
      <c r="H59" s="385">
        <v>2</v>
      </c>
      <c r="I59" s="389">
        <v>4</v>
      </c>
      <c r="J59" s="393">
        <v>217</v>
      </c>
      <c r="K59" s="402">
        <v>27</v>
      </c>
      <c r="L59" s="393">
        <v>89</v>
      </c>
      <c r="M59" s="402">
        <v>11</v>
      </c>
      <c r="N59" s="393">
        <v>137</v>
      </c>
      <c r="O59" s="402">
        <v>17</v>
      </c>
      <c r="P59" s="456">
        <f t="shared" si="16"/>
        <v>443</v>
      </c>
      <c r="Q59" s="353">
        <f t="shared" si="17"/>
        <v>55</v>
      </c>
      <c r="R59" s="352">
        <f t="shared" si="18"/>
        <v>27.5</v>
      </c>
      <c r="S59" s="457">
        <f t="shared" si="19"/>
        <v>8.054545454545455</v>
      </c>
      <c r="T59" s="393">
        <v>817</v>
      </c>
      <c r="U59" s="458">
        <f t="shared" si="12"/>
        <v>-0.45777233782129745</v>
      </c>
      <c r="V59" s="393">
        <f>26545.5+443</f>
        <v>26988.5</v>
      </c>
      <c r="W59" s="459">
        <f>2953+55</f>
        <v>3008</v>
      </c>
      <c r="X59" s="491">
        <f>IF(V59&lt;&gt;0,V59/W59,"")</f>
        <v>8.972240691489361</v>
      </c>
      <c r="Y59" s="280"/>
      <c r="Z59" s="280"/>
      <c r="AA59" s="283"/>
      <c r="AB59" s="283"/>
      <c r="AC59" s="283"/>
      <c r="AD59" s="283"/>
    </row>
    <row r="60" spans="1:30" s="282" customFormat="1" ht="18.75">
      <c r="A60" s="490">
        <f t="shared" si="0"/>
        <v>56</v>
      </c>
      <c r="B60" s="296"/>
      <c r="C60" s="363" t="s">
        <v>258</v>
      </c>
      <c r="D60" s="364">
        <v>38786</v>
      </c>
      <c r="E60" s="363" t="s">
        <v>367</v>
      </c>
      <c r="F60" s="363" t="s">
        <v>368</v>
      </c>
      <c r="G60" s="391">
        <v>7</v>
      </c>
      <c r="H60" s="387">
        <v>3</v>
      </c>
      <c r="I60" s="391">
        <v>5</v>
      </c>
      <c r="J60" s="396">
        <v>91</v>
      </c>
      <c r="K60" s="405">
        <v>16</v>
      </c>
      <c r="L60" s="396">
        <v>139</v>
      </c>
      <c r="M60" s="405">
        <v>25</v>
      </c>
      <c r="N60" s="396">
        <v>146</v>
      </c>
      <c r="O60" s="405">
        <v>25</v>
      </c>
      <c r="P60" s="407">
        <f t="shared" si="16"/>
        <v>376</v>
      </c>
      <c r="Q60" s="194">
        <f t="shared" si="17"/>
        <v>66</v>
      </c>
      <c r="R60" s="352">
        <f t="shared" si="18"/>
        <v>22</v>
      </c>
      <c r="S60" s="454">
        <f t="shared" si="19"/>
        <v>5.696969696969697</v>
      </c>
      <c r="T60" s="396">
        <v>1873</v>
      </c>
      <c r="U60" s="419">
        <f t="shared" si="12"/>
        <v>-0.799252536038441</v>
      </c>
      <c r="V60" s="396">
        <v>16467.5</v>
      </c>
      <c r="W60" s="365">
        <v>2841</v>
      </c>
      <c r="X60" s="496">
        <f aca="true" t="shared" si="20" ref="X60:X69">V60/W60</f>
        <v>5.796374516015487</v>
      </c>
      <c r="Y60" s="280"/>
      <c r="Z60" s="280"/>
      <c r="AA60" s="283"/>
      <c r="AB60" s="283"/>
      <c r="AC60" s="283"/>
      <c r="AD60" s="283"/>
    </row>
    <row r="61" spans="1:30" s="282" customFormat="1" ht="18.75">
      <c r="A61" s="490">
        <f t="shared" si="0"/>
        <v>57</v>
      </c>
      <c r="B61" s="296"/>
      <c r="C61" s="350" t="s">
        <v>369</v>
      </c>
      <c r="D61" s="349">
        <v>38688</v>
      </c>
      <c r="E61" s="350" t="s">
        <v>92</v>
      </c>
      <c r="F61" s="350" t="s">
        <v>370</v>
      </c>
      <c r="G61" s="389">
        <v>20</v>
      </c>
      <c r="H61" s="385">
        <v>1</v>
      </c>
      <c r="I61" s="389"/>
      <c r="J61" s="393">
        <v>14</v>
      </c>
      <c r="K61" s="402">
        <v>2</v>
      </c>
      <c r="L61" s="393">
        <v>198</v>
      </c>
      <c r="M61" s="402">
        <v>36</v>
      </c>
      <c r="N61" s="393">
        <v>138</v>
      </c>
      <c r="O61" s="402">
        <v>24</v>
      </c>
      <c r="P61" s="456">
        <f t="shared" si="16"/>
        <v>350</v>
      </c>
      <c r="Q61" s="353">
        <f t="shared" si="17"/>
        <v>62</v>
      </c>
      <c r="R61" s="352">
        <f t="shared" si="18"/>
        <v>62</v>
      </c>
      <c r="S61" s="457">
        <f t="shared" si="19"/>
        <v>5.645161290322581</v>
      </c>
      <c r="T61" s="393"/>
      <c r="U61" s="458">
        <f t="shared" si="12"/>
      </c>
      <c r="V61" s="393">
        <v>235121</v>
      </c>
      <c r="W61" s="459">
        <v>28576</v>
      </c>
      <c r="X61" s="491">
        <f t="shared" si="20"/>
        <v>8.227918533034714</v>
      </c>
      <c r="Y61" s="280"/>
      <c r="Z61" s="280"/>
      <c r="AA61" s="283"/>
      <c r="AB61" s="283"/>
      <c r="AC61" s="283"/>
      <c r="AD61" s="283"/>
    </row>
    <row r="62" spans="1:30" s="282" customFormat="1" ht="18.75">
      <c r="A62" s="490">
        <f t="shared" si="0"/>
        <v>58</v>
      </c>
      <c r="B62" s="296"/>
      <c r="C62" s="350" t="s">
        <v>177</v>
      </c>
      <c r="D62" s="349">
        <v>38688</v>
      </c>
      <c r="E62" s="455" t="s">
        <v>88</v>
      </c>
      <c r="F62" s="350" t="s">
        <v>346</v>
      </c>
      <c r="G62" s="389">
        <v>63</v>
      </c>
      <c r="H62" s="385">
        <v>2</v>
      </c>
      <c r="I62" s="389">
        <v>17</v>
      </c>
      <c r="J62" s="393">
        <v>135</v>
      </c>
      <c r="K62" s="402">
        <v>28</v>
      </c>
      <c r="L62" s="393">
        <v>85</v>
      </c>
      <c r="M62" s="402">
        <v>19</v>
      </c>
      <c r="N62" s="393">
        <v>115</v>
      </c>
      <c r="O62" s="402">
        <v>23</v>
      </c>
      <c r="P62" s="456">
        <f t="shared" si="16"/>
        <v>335</v>
      </c>
      <c r="Q62" s="353">
        <f t="shared" si="17"/>
        <v>70</v>
      </c>
      <c r="R62" s="352">
        <f t="shared" si="18"/>
        <v>35</v>
      </c>
      <c r="S62" s="457">
        <f t="shared" si="19"/>
        <v>4.785714285714286</v>
      </c>
      <c r="T62" s="393">
        <v>985</v>
      </c>
      <c r="U62" s="458">
        <f t="shared" si="12"/>
        <v>-0.6598984771573604</v>
      </c>
      <c r="V62" s="393">
        <v>1747763</v>
      </c>
      <c r="W62" s="459">
        <v>260622</v>
      </c>
      <c r="X62" s="491">
        <f t="shared" si="20"/>
        <v>6.706122276707262</v>
      </c>
      <c r="Y62" s="280"/>
      <c r="Z62" s="280"/>
      <c r="AA62" s="283"/>
      <c r="AB62" s="283"/>
      <c r="AC62" s="283"/>
      <c r="AD62" s="283"/>
    </row>
    <row r="63" spans="1:30" s="282" customFormat="1" ht="18.75">
      <c r="A63" s="490">
        <f t="shared" si="0"/>
        <v>59</v>
      </c>
      <c r="B63" s="296"/>
      <c r="C63" s="350" t="s">
        <v>162</v>
      </c>
      <c r="D63" s="349">
        <v>38737</v>
      </c>
      <c r="E63" s="350" t="s">
        <v>92</v>
      </c>
      <c r="F63" s="350" t="s">
        <v>370</v>
      </c>
      <c r="G63" s="389">
        <v>28</v>
      </c>
      <c r="H63" s="385">
        <v>1</v>
      </c>
      <c r="I63" s="389"/>
      <c r="J63" s="393">
        <v>110</v>
      </c>
      <c r="K63" s="402">
        <v>18</v>
      </c>
      <c r="L63" s="393">
        <v>155</v>
      </c>
      <c r="M63" s="402">
        <v>27</v>
      </c>
      <c r="N63" s="393">
        <v>56</v>
      </c>
      <c r="O63" s="402">
        <v>10</v>
      </c>
      <c r="P63" s="456">
        <f t="shared" si="16"/>
        <v>321</v>
      </c>
      <c r="Q63" s="353">
        <f t="shared" si="17"/>
        <v>55</v>
      </c>
      <c r="R63" s="352">
        <f t="shared" si="18"/>
        <v>55</v>
      </c>
      <c r="S63" s="457">
        <f t="shared" si="19"/>
        <v>5.836363636363636</v>
      </c>
      <c r="T63" s="393"/>
      <c r="U63" s="458">
        <f t="shared" si="12"/>
      </c>
      <c r="V63" s="393">
        <v>244875</v>
      </c>
      <c r="W63" s="459">
        <v>29947</v>
      </c>
      <c r="X63" s="491">
        <f t="shared" si="20"/>
        <v>8.176945937823488</v>
      </c>
      <c r="Y63" s="280"/>
      <c r="Z63" s="280"/>
      <c r="AA63" s="283"/>
      <c r="AB63" s="283"/>
      <c r="AC63" s="283"/>
      <c r="AD63" s="283"/>
    </row>
    <row r="64" spans="1:30" s="282" customFormat="1" ht="18.75">
      <c r="A64" s="490">
        <f t="shared" si="0"/>
        <v>60</v>
      </c>
      <c r="B64" s="296"/>
      <c r="C64" s="350" t="s">
        <v>371</v>
      </c>
      <c r="D64" s="349">
        <v>38744</v>
      </c>
      <c r="E64" s="350" t="s">
        <v>92</v>
      </c>
      <c r="F64" s="350" t="s">
        <v>372</v>
      </c>
      <c r="G64" s="389">
        <v>71</v>
      </c>
      <c r="H64" s="385">
        <v>1</v>
      </c>
      <c r="I64" s="389">
        <v>10</v>
      </c>
      <c r="J64" s="393">
        <v>44</v>
      </c>
      <c r="K64" s="402">
        <v>11</v>
      </c>
      <c r="L64" s="393">
        <v>139</v>
      </c>
      <c r="M64" s="402">
        <v>29</v>
      </c>
      <c r="N64" s="393">
        <v>70</v>
      </c>
      <c r="O64" s="402">
        <v>15</v>
      </c>
      <c r="P64" s="456">
        <f t="shared" si="16"/>
        <v>253</v>
      </c>
      <c r="Q64" s="353">
        <f t="shared" si="17"/>
        <v>55</v>
      </c>
      <c r="R64" s="352">
        <f t="shared" si="18"/>
        <v>55</v>
      </c>
      <c r="S64" s="457">
        <f t="shared" si="19"/>
        <v>4.6</v>
      </c>
      <c r="T64" s="393">
        <v>5105</v>
      </c>
      <c r="U64" s="458">
        <f t="shared" si="12"/>
        <v>-0.9504407443682664</v>
      </c>
      <c r="V64" s="393">
        <v>1839563</v>
      </c>
      <c r="W64" s="459">
        <v>227620</v>
      </c>
      <c r="X64" s="491">
        <f t="shared" si="20"/>
        <v>8.081728319128372</v>
      </c>
      <c r="Y64" s="280"/>
      <c r="Z64" s="280"/>
      <c r="AA64" s="283"/>
      <c r="AB64" s="283"/>
      <c r="AC64" s="283"/>
      <c r="AD64" s="283"/>
    </row>
    <row r="65" spans="1:30" s="282" customFormat="1" ht="18.75">
      <c r="A65" s="490">
        <f t="shared" si="0"/>
        <v>61</v>
      </c>
      <c r="B65" s="296"/>
      <c r="C65" s="350" t="s">
        <v>161</v>
      </c>
      <c r="D65" s="349">
        <v>38730</v>
      </c>
      <c r="E65" s="455" t="s">
        <v>88</v>
      </c>
      <c r="F65" s="350" t="s">
        <v>91</v>
      </c>
      <c r="G65" s="389">
        <v>62</v>
      </c>
      <c r="H65" s="385">
        <v>2</v>
      </c>
      <c r="I65" s="389">
        <v>12</v>
      </c>
      <c r="J65" s="393">
        <v>74</v>
      </c>
      <c r="K65" s="402">
        <v>14</v>
      </c>
      <c r="L65" s="393">
        <v>50</v>
      </c>
      <c r="M65" s="402">
        <v>10</v>
      </c>
      <c r="N65" s="393">
        <v>120</v>
      </c>
      <c r="O65" s="402">
        <v>24</v>
      </c>
      <c r="P65" s="456">
        <f t="shared" si="16"/>
        <v>244</v>
      </c>
      <c r="Q65" s="353">
        <f t="shared" si="17"/>
        <v>48</v>
      </c>
      <c r="R65" s="352">
        <f t="shared" si="18"/>
        <v>24</v>
      </c>
      <c r="S65" s="457">
        <f t="shared" si="19"/>
        <v>5.083333333333333</v>
      </c>
      <c r="T65" s="393">
        <v>1220</v>
      </c>
      <c r="U65" s="458">
        <f t="shared" si="12"/>
        <v>-0.8</v>
      </c>
      <c r="V65" s="393">
        <v>1180612.5</v>
      </c>
      <c r="W65" s="459">
        <v>138602</v>
      </c>
      <c r="X65" s="491">
        <f t="shared" si="20"/>
        <v>8.518004790695661</v>
      </c>
      <c r="Y65" s="280"/>
      <c r="Z65" s="280"/>
      <c r="AA65" s="283"/>
      <c r="AB65" s="283"/>
      <c r="AC65" s="283"/>
      <c r="AD65" s="283"/>
    </row>
    <row r="66" spans="1:30" s="282" customFormat="1" ht="18.75">
      <c r="A66" s="490">
        <f t="shared" si="0"/>
        <v>62</v>
      </c>
      <c r="B66" s="296"/>
      <c r="C66" s="363" t="s">
        <v>373</v>
      </c>
      <c r="D66" s="364">
        <v>38639</v>
      </c>
      <c r="E66" s="473" t="s">
        <v>178</v>
      </c>
      <c r="F66" s="363" t="s">
        <v>374</v>
      </c>
      <c r="G66" s="391">
        <v>7</v>
      </c>
      <c r="H66" s="387">
        <v>1</v>
      </c>
      <c r="I66" s="391">
        <v>14</v>
      </c>
      <c r="J66" s="396">
        <v>82</v>
      </c>
      <c r="K66" s="405">
        <v>13</v>
      </c>
      <c r="L66" s="396">
        <v>62</v>
      </c>
      <c r="M66" s="405">
        <v>10</v>
      </c>
      <c r="N66" s="396">
        <v>96</v>
      </c>
      <c r="O66" s="405">
        <v>15</v>
      </c>
      <c r="P66" s="474">
        <f>J66+L66+N66</f>
        <v>240</v>
      </c>
      <c r="Q66" s="365">
        <f>K66+M66+O66</f>
        <v>38</v>
      </c>
      <c r="R66" s="365">
        <f>Q66/H66</f>
        <v>38</v>
      </c>
      <c r="S66" s="475">
        <f>P66/Q66</f>
        <v>6.315789473684211</v>
      </c>
      <c r="T66" s="396"/>
      <c r="U66" s="458">
        <f t="shared" si="12"/>
      </c>
      <c r="V66" s="396">
        <v>102070</v>
      </c>
      <c r="W66" s="365">
        <v>14886</v>
      </c>
      <c r="X66" s="493">
        <f t="shared" si="20"/>
        <v>6.856778180841059</v>
      </c>
      <c r="Y66" s="280"/>
      <c r="Z66" s="280"/>
      <c r="AA66" s="283"/>
      <c r="AB66" s="283"/>
      <c r="AC66" s="283"/>
      <c r="AD66" s="283"/>
    </row>
    <row r="67" spans="1:30" s="282" customFormat="1" ht="18.75">
      <c r="A67" s="490">
        <f t="shared" si="0"/>
        <v>63</v>
      </c>
      <c r="B67" s="296"/>
      <c r="C67" s="350" t="s">
        <v>324</v>
      </c>
      <c r="D67" s="349">
        <v>38653</v>
      </c>
      <c r="E67" s="350" t="s">
        <v>92</v>
      </c>
      <c r="F67" s="350" t="s">
        <v>372</v>
      </c>
      <c r="G67" s="389">
        <v>92</v>
      </c>
      <c r="H67" s="385">
        <v>1</v>
      </c>
      <c r="I67" s="389">
        <v>24</v>
      </c>
      <c r="J67" s="393">
        <v>43</v>
      </c>
      <c r="K67" s="402">
        <v>20</v>
      </c>
      <c r="L67" s="393">
        <v>81</v>
      </c>
      <c r="M67" s="402">
        <v>35</v>
      </c>
      <c r="N67" s="393">
        <v>78</v>
      </c>
      <c r="O67" s="402">
        <v>37</v>
      </c>
      <c r="P67" s="456">
        <f aca="true" t="shared" si="21" ref="P67:Q69">+J67+L67+N67</f>
        <v>202</v>
      </c>
      <c r="Q67" s="353">
        <f t="shared" si="21"/>
        <v>92</v>
      </c>
      <c r="R67" s="352">
        <f>IF(P67&lt;&gt;0,Q67/H67,"")</f>
        <v>92</v>
      </c>
      <c r="S67" s="457">
        <f>IF(P67&lt;&gt;0,P67/Q67,"")</f>
        <v>2.1956521739130435</v>
      </c>
      <c r="T67" s="393">
        <v>138</v>
      </c>
      <c r="U67" s="458">
        <f t="shared" si="12"/>
        <v>0.463768115942029</v>
      </c>
      <c r="V67" s="393">
        <v>1041544</v>
      </c>
      <c r="W67" s="459">
        <v>151699</v>
      </c>
      <c r="X67" s="491">
        <f t="shared" si="20"/>
        <v>6.865859366244998</v>
      </c>
      <c r="Y67" s="280"/>
      <c r="Z67" s="280"/>
      <c r="AA67" s="283"/>
      <c r="AB67" s="283"/>
      <c r="AC67" s="283"/>
      <c r="AD67" s="283"/>
    </row>
    <row r="68" spans="1:30" s="282" customFormat="1" ht="18.75">
      <c r="A68" s="490">
        <f t="shared" si="0"/>
        <v>64</v>
      </c>
      <c r="B68" s="296"/>
      <c r="C68" s="363" t="s">
        <v>253</v>
      </c>
      <c r="D68" s="364">
        <v>38772</v>
      </c>
      <c r="E68" s="363" t="s">
        <v>375</v>
      </c>
      <c r="F68" s="363" t="s">
        <v>350</v>
      </c>
      <c r="G68" s="391">
        <v>4</v>
      </c>
      <c r="H68" s="387">
        <v>1</v>
      </c>
      <c r="I68" s="391">
        <v>6</v>
      </c>
      <c r="J68" s="396">
        <v>35</v>
      </c>
      <c r="K68" s="405">
        <v>9</v>
      </c>
      <c r="L68" s="396">
        <v>80</v>
      </c>
      <c r="M68" s="405">
        <v>15</v>
      </c>
      <c r="N68" s="396">
        <v>80</v>
      </c>
      <c r="O68" s="405">
        <v>15</v>
      </c>
      <c r="P68" s="407">
        <f t="shared" si="21"/>
        <v>195</v>
      </c>
      <c r="Q68" s="194">
        <f t="shared" si="21"/>
        <v>39</v>
      </c>
      <c r="R68" s="352">
        <f>IF(P68&lt;&gt;0,Q68/H68,"")</f>
        <v>39</v>
      </c>
      <c r="S68" s="454">
        <f>IF(P68&lt;&gt;0,P68/Q68,"")</f>
        <v>5</v>
      </c>
      <c r="T68" s="396"/>
      <c r="U68" s="419">
        <f t="shared" si="12"/>
      </c>
      <c r="V68" s="396">
        <v>15069</v>
      </c>
      <c r="W68" s="365">
        <v>1984</v>
      </c>
      <c r="X68" s="496">
        <f t="shared" si="20"/>
        <v>7.595262096774194</v>
      </c>
      <c r="Y68" s="280"/>
      <c r="Z68" s="280"/>
      <c r="AA68" s="283"/>
      <c r="AB68" s="283"/>
      <c r="AC68" s="283"/>
      <c r="AD68" s="283"/>
    </row>
    <row r="69" spans="1:30" s="282" customFormat="1" ht="18.75">
      <c r="A69" s="490">
        <f t="shared" si="0"/>
        <v>65</v>
      </c>
      <c r="B69" s="296"/>
      <c r="C69" s="348" t="s">
        <v>83</v>
      </c>
      <c r="D69" s="349">
        <v>38779</v>
      </c>
      <c r="E69" s="455" t="s">
        <v>376</v>
      </c>
      <c r="F69" s="350" t="s">
        <v>377</v>
      </c>
      <c r="G69" s="389">
        <v>8</v>
      </c>
      <c r="H69" s="385">
        <v>3</v>
      </c>
      <c r="I69" s="389">
        <v>6</v>
      </c>
      <c r="J69" s="397">
        <v>6</v>
      </c>
      <c r="K69" s="453">
        <v>2</v>
      </c>
      <c r="L69" s="397">
        <v>88</v>
      </c>
      <c r="M69" s="453">
        <v>17</v>
      </c>
      <c r="N69" s="397">
        <v>91</v>
      </c>
      <c r="O69" s="453">
        <v>19</v>
      </c>
      <c r="P69" s="407">
        <f t="shared" si="21"/>
        <v>185</v>
      </c>
      <c r="Q69" s="194">
        <f t="shared" si="21"/>
        <v>38</v>
      </c>
      <c r="R69" s="352">
        <f>IF(P69&lt;&gt;0,Q69/H69,"")</f>
        <v>12.666666666666666</v>
      </c>
      <c r="S69" s="454">
        <f>IF(P69&lt;&gt;0,P69/Q69,"")</f>
        <v>4.868421052631579</v>
      </c>
      <c r="T69" s="397">
        <v>588</v>
      </c>
      <c r="U69" s="419">
        <f t="shared" si="12"/>
        <v>-0.685374149659864</v>
      </c>
      <c r="V69" s="397">
        <v>78155.4</v>
      </c>
      <c r="W69" s="351">
        <v>9003</v>
      </c>
      <c r="X69" s="496">
        <f t="shared" si="20"/>
        <v>8.681039653448849</v>
      </c>
      <c r="Y69" s="280"/>
      <c r="Z69" s="280"/>
      <c r="AA69" s="283"/>
      <c r="AB69" s="283"/>
      <c r="AC69" s="283"/>
      <c r="AD69" s="283"/>
    </row>
    <row r="70" spans="1:30" s="282" customFormat="1" ht="18.75">
      <c r="A70" s="490">
        <f t="shared" si="0"/>
        <v>66</v>
      </c>
      <c r="B70" s="296"/>
      <c r="C70" s="363" t="s">
        <v>244</v>
      </c>
      <c r="D70" s="364">
        <v>39067</v>
      </c>
      <c r="E70" s="363" t="s">
        <v>351</v>
      </c>
      <c r="F70" s="363" t="s">
        <v>343</v>
      </c>
      <c r="G70" s="391">
        <v>10</v>
      </c>
      <c r="H70" s="387">
        <v>1</v>
      </c>
      <c r="I70" s="391">
        <v>13</v>
      </c>
      <c r="J70" s="396">
        <v>60</v>
      </c>
      <c r="K70" s="405">
        <v>13</v>
      </c>
      <c r="L70" s="396">
        <v>45</v>
      </c>
      <c r="M70" s="405">
        <v>10</v>
      </c>
      <c r="N70" s="396">
        <v>69</v>
      </c>
      <c r="O70" s="405">
        <v>11</v>
      </c>
      <c r="P70" s="466">
        <f>+N70+L70+J70</f>
        <v>174</v>
      </c>
      <c r="Q70" s="467">
        <f>+O70+M70+K70</f>
        <v>34</v>
      </c>
      <c r="R70" s="468">
        <f>Q70/H70</f>
        <v>34</v>
      </c>
      <c r="S70" s="469">
        <f>P70/Q70</f>
        <v>5.117647058823529</v>
      </c>
      <c r="T70" s="396">
        <v>77</v>
      </c>
      <c r="U70" s="458">
        <f t="shared" si="12"/>
        <v>1.2597402597402598</v>
      </c>
      <c r="V70" s="396">
        <v>135340.5</v>
      </c>
      <c r="W70" s="365">
        <v>15695</v>
      </c>
      <c r="X70" s="495">
        <f>+V70/W70</f>
        <v>8.623160242115324</v>
      </c>
      <c r="Y70" s="280"/>
      <c r="Z70" s="280"/>
      <c r="AA70" s="283"/>
      <c r="AB70" s="283"/>
      <c r="AC70" s="283"/>
      <c r="AD70" s="283"/>
    </row>
    <row r="71" spans="1:30" s="282" customFormat="1" ht="18.75">
      <c r="A71" s="490">
        <f t="shared" si="0"/>
        <v>67</v>
      </c>
      <c r="B71" s="296"/>
      <c r="C71" s="363" t="s">
        <v>378</v>
      </c>
      <c r="D71" s="364">
        <v>38527</v>
      </c>
      <c r="E71" s="473" t="s">
        <v>178</v>
      </c>
      <c r="F71" s="363" t="s">
        <v>379</v>
      </c>
      <c r="G71" s="391">
        <v>40</v>
      </c>
      <c r="H71" s="387">
        <v>1</v>
      </c>
      <c r="I71" s="391">
        <v>19</v>
      </c>
      <c r="J71" s="396">
        <v>46</v>
      </c>
      <c r="K71" s="405">
        <v>10</v>
      </c>
      <c r="L71" s="396">
        <v>48</v>
      </c>
      <c r="M71" s="405">
        <v>10</v>
      </c>
      <c r="N71" s="396">
        <v>42</v>
      </c>
      <c r="O71" s="405">
        <v>10</v>
      </c>
      <c r="P71" s="474">
        <f>J71+L71+N71</f>
        <v>136</v>
      </c>
      <c r="Q71" s="365">
        <f>K71+M71+O71</f>
        <v>30</v>
      </c>
      <c r="R71" s="365">
        <f>Q71/H71</f>
        <v>30</v>
      </c>
      <c r="S71" s="475">
        <f>P71/Q71</f>
        <v>4.533333333333333</v>
      </c>
      <c r="T71" s="396"/>
      <c r="U71" s="458">
        <f t="shared" si="12"/>
      </c>
      <c r="V71" s="396">
        <v>410277.5</v>
      </c>
      <c r="W71" s="365">
        <v>67487</v>
      </c>
      <c r="X71" s="493">
        <f>V71/W71</f>
        <v>6.079356024123165</v>
      </c>
      <c r="Y71" s="280"/>
      <c r="Z71" s="280"/>
      <c r="AA71" s="283"/>
      <c r="AB71" s="283"/>
      <c r="AC71" s="283"/>
      <c r="AD71" s="283"/>
    </row>
    <row r="72" spans="1:30" s="282" customFormat="1" ht="18.75">
      <c r="A72" s="490">
        <f t="shared" si="0"/>
        <v>68</v>
      </c>
      <c r="B72" s="296"/>
      <c r="C72" s="350" t="s">
        <v>380</v>
      </c>
      <c r="D72" s="349">
        <v>38002</v>
      </c>
      <c r="E72" s="455" t="s">
        <v>88</v>
      </c>
      <c r="F72" s="350" t="s">
        <v>356</v>
      </c>
      <c r="G72" s="389">
        <v>75</v>
      </c>
      <c r="H72" s="385">
        <v>1</v>
      </c>
      <c r="I72" s="389">
        <v>26</v>
      </c>
      <c r="J72" s="393">
        <v>0</v>
      </c>
      <c r="K72" s="402">
        <v>0</v>
      </c>
      <c r="L72" s="393">
        <v>42</v>
      </c>
      <c r="M72" s="402">
        <v>5</v>
      </c>
      <c r="N72" s="393">
        <v>0</v>
      </c>
      <c r="O72" s="402">
        <v>0</v>
      </c>
      <c r="P72" s="456">
        <f>+J72+L72+N72</f>
        <v>42</v>
      </c>
      <c r="Q72" s="353">
        <f>+K72+M72+O72</f>
        <v>5</v>
      </c>
      <c r="R72" s="352">
        <f>IF(P72&lt;&gt;0,Q72/H72,"")</f>
        <v>5</v>
      </c>
      <c r="S72" s="457">
        <f>IF(P72&lt;&gt;0,P72/Q72,"")</f>
        <v>8.4</v>
      </c>
      <c r="T72" s="393"/>
      <c r="U72" s="458">
        <f t="shared" si="12"/>
      </c>
      <c r="V72" s="393">
        <v>964051.2</v>
      </c>
      <c r="W72" s="459">
        <v>162246</v>
      </c>
      <c r="X72" s="491">
        <f>V72/W72</f>
        <v>5.941910432306497</v>
      </c>
      <c r="Y72" s="280"/>
      <c r="Z72" s="280"/>
      <c r="AA72" s="283"/>
      <c r="AB72" s="283"/>
      <c r="AC72" s="283"/>
      <c r="AD72" s="283"/>
    </row>
    <row r="73" spans="1:30" s="282" customFormat="1" ht="19.5" thickBot="1">
      <c r="A73" s="497">
        <f t="shared" si="0"/>
        <v>69</v>
      </c>
      <c r="B73" s="297"/>
      <c r="C73" s="498" t="s">
        <v>381</v>
      </c>
      <c r="D73" s="499">
        <v>38723</v>
      </c>
      <c r="E73" s="498" t="s">
        <v>89</v>
      </c>
      <c r="F73" s="498" t="s">
        <v>382</v>
      </c>
      <c r="G73" s="500">
        <v>199</v>
      </c>
      <c r="H73" s="501">
        <v>1</v>
      </c>
      <c r="I73" s="500">
        <v>14</v>
      </c>
      <c r="J73" s="502">
        <v>0</v>
      </c>
      <c r="K73" s="503">
        <v>0</v>
      </c>
      <c r="L73" s="502">
        <v>0</v>
      </c>
      <c r="M73" s="503">
        <v>0</v>
      </c>
      <c r="N73" s="502">
        <v>0</v>
      </c>
      <c r="O73" s="503">
        <v>0</v>
      </c>
      <c r="P73" s="504">
        <f>+N73+L73+J73</f>
        <v>0</v>
      </c>
      <c r="Q73" s="505">
        <f>+O73+M73+K73</f>
        <v>0</v>
      </c>
      <c r="R73" s="430">
        <v>0</v>
      </c>
      <c r="S73" s="506">
        <v>0</v>
      </c>
      <c r="T73" s="502">
        <v>2780000</v>
      </c>
      <c r="U73" s="507">
        <f t="shared" si="12"/>
        <v>-1</v>
      </c>
      <c r="V73" s="502">
        <v>6502772.1</v>
      </c>
      <c r="W73" s="505">
        <v>993423</v>
      </c>
      <c r="X73" s="508">
        <f>+V73/W73</f>
        <v>6.545823984345037</v>
      </c>
      <c r="Y73" s="280"/>
      <c r="Z73" s="280"/>
      <c r="AA73" s="283"/>
      <c r="AB73" s="283"/>
      <c r="AC73" s="283"/>
      <c r="AD73" s="283"/>
    </row>
    <row r="74" spans="1:30" s="237" customFormat="1" ht="19.5" thickBot="1">
      <c r="A74" s="438"/>
      <c r="B74" s="277"/>
      <c r="C74" s="299"/>
      <c r="D74" s="300"/>
      <c r="E74" s="300"/>
      <c r="F74" s="301"/>
      <c r="G74" s="302"/>
      <c r="H74" s="302"/>
      <c r="I74" s="302"/>
      <c r="J74" s="303"/>
      <c r="K74" s="304"/>
      <c r="L74" s="303"/>
      <c r="M74" s="304"/>
      <c r="N74" s="303"/>
      <c r="O74" s="304"/>
      <c r="P74" s="340"/>
      <c r="Q74" s="305"/>
      <c r="R74" s="306"/>
      <c r="S74" s="307"/>
      <c r="T74" s="303"/>
      <c r="U74" s="308"/>
      <c r="V74" s="308"/>
      <c r="W74" s="308"/>
      <c r="X74" s="308"/>
      <c r="Y74" s="235"/>
      <c r="Z74" s="236"/>
      <c r="AA74" s="235"/>
      <c r="AB74" s="235"/>
      <c r="AC74" s="235"/>
      <c r="AD74" s="235"/>
    </row>
    <row r="75" spans="1:30" s="382" customFormat="1" ht="15.75" thickBot="1">
      <c r="A75" s="439"/>
      <c r="B75" s="711" t="s">
        <v>248</v>
      </c>
      <c r="C75" s="712"/>
      <c r="D75" s="712"/>
      <c r="E75" s="712"/>
      <c r="F75" s="713"/>
      <c r="G75" s="309"/>
      <c r="H75" s="309">
        <f>SUM(H5:H74)</f>
        <v>1376</v>
      </c>
      <c r="I75" s="310"/>
      <c r="J75" s="311"/>
      <c r="K75" s="312"/>
      <c r="L75" s="311"/>
      <c r="M75" s="312"/>
      <c r="N75" s="311"/>
      <c r="O75" s="312"/>
      <c r="P75" s="311">
        <f>SUM(P5:P74)</f>
        <v>2060500.5</v>
      </c>
      <c r="Q75" s="313">
        <f>SUM(Q5:Q74)</f>
        <v>285208.3333333334</v>
      </c>
      <c r="R75" s="314">
        <f>P75/H75</f>
        <v>1497.4567587209303</v>
      </c>
      <c r="S75" s="315">
        <f>P75/Q75</f>
        <v>7.2245452154857555</v>
      </c>
      <c r="T75" s="311"/>
      <c r="U75" s="316"/>
      <c r="V75" s="317"/>
      <c r="W75" s="318"/>
      <c r="X75" s="319"/>
      <c r="Z75" s="383"/>
      <c r="AD75" s="382" t="s">
        <v>249</v>
      </c>
    </row>
    <row r="76" spans="20:24" ht="18">
      <c r="T76" s="702" t="s">
        <v>250</v>
      </c>
      <c r="U76" s="702"/>
      <c r="V76" s="702"/>
      <c r="W76" s="702"/>
      <c r="X76" s="702"/>
    </row>
    <row r="77" spans="20:24" ht="18">
      <c r="T77" s="667"/>
      <c r="U77" s="667"/>
      <c r="V77" s="667"/>
      <c r="W77" s="667"/>
      <c r="X77" s="667"/>
    </row>
    <row r="78" spans="20:24" ht="18">
      <c r="T78" s="667"/>
      <c r="U78" s="667"/>
      <c r="V78" s="667"/>
      <c r="W78" s="667"/>
      <c r="X78" s="667"/>
    </row>
    <row r="79" spans="20:24" ht="18">
      <c r="T79" s="667"/>
      <c r="U79" s="667"/>
      <c r="V79" s="667"/>
      <c r="W79" s="667"/>
      <c r="X79" s="667"/>
    </row>
    <row r="80" spans="20:24" ht="18">
      <c r="T80" s="667"/>
      <c r="U80" s="667"/>
      <c r="V80" s="667"/>
      <c r="W80" s="667"/>
      <c r="X80" s="667"/>
    </row>
    <row r="81" spans="20:24" ht="18">
      <c r="T81" s="667"/>
      <c r="U81" s="667"/>
      <c r="V81" s="667"/>
      <c r="W81" s="667"/>
      <c r="X81" s="667"/>
    </row>
    <row r="82" spans="1:24" ht="18">
      <c r="A82" s="668" t="s">
        <v>252</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row>
    <row r="83" spans="1:24" ht="18">
      <c r="A83" s="669"/>
      <c r="B83" s="669"/>
      <c r="C83" s="669"/>
      <c r="D83" s="669"/>
      <c r="E83" s="669"/>
      <c r="F83" s="669"/>
      <c r="G83" s="669"/>
      <c r="H83" s="669"/>
      <c r="I83" s="669"/>
      <c r="J83" s="669"/>
      <c r="K83" s="669"/>
      <c r="L83" s="669"/>
      <c r="M83" s="669"/>
      <c r="N83" s="669"/>
      <c r="O83" s="669"/>
      <c r="P83" s="669"/>
      <c r="Q83" s="669"/>
      <c r="R83" s="669"/>
      <c r="S83" s="669"/>
      <c r="T83" s="669"/>
      <c r="U83" s="669"/>
      <c r="V83" s="669"/>
      <c r="W83" s="669"/>
      <c r="X83" s="669"/>
    </row>
    <row r="84" spans="1:24" ht="18">
      <c r="A84" s="669"/>
      <c r="B84" s="669"/>
      <c r="C84" s="669"/>
      <c r="D84" s="669"/>
      <c r="E84" s="669"/>
      <c r="F84" s="669"/>
      <c r="G84" s="669"/>
      <c r="H84" s="669"/>
      <c r="I84" s="669"/>
      <c r="J84" s="669"/>
      <c r="K84" s="669"/>
      <c r="L84" s="669"/>
      <c r="M84" s="669"/>
      <c r="N84" s="669"/>
      <c r="O84" s="669"/>
      <c r="P84" s="669"/>
      <c r="Q84" s="669"/>
      <c r="R84" s="669"/>
      <c r="S84" s="669"/>
      <c r="T84" s="669"/>
      <c r="U84" s="669"/>
      <c r="V84" s="669"/>
      <c r="W84" s="669"/>
      <c r="X84" s="669"/>
    </row>
    <row r="85" spans="1:24" ht="18">
      <c r="A85" s="669"/>
      <c r="B85" s="669"/>
      <c r="C85" s="669"/>
      <c r="D85" s="669"/>
      <c r="E85" s="669"/>
      <c r="F85" s="669"/>
      <c r="G85" s="669"/>
      <c r="H85" s="669"/>
      <c r="I85" s="669"/>
      <c r="J85" s="669"/>
      <c r="K85" s="669"/>
      <c r="L85" s="669"/>
      <c r="M85" s="669"/>
      <c r="N85" s="669"/>
      <c r="O85" s="669"/>
      <c r="P85" s="669"/>
      <c r="Q85" s="669"/>
      <c r="R85" s="669"/>
      <c r="S85" s="669"/>
      <c r="T85" s="669"/>
      <c r="U85" s="669"/>
      <c r="V85" s="669"/>
      <c r="W85" s="669"/>
      <c r="X85" s="669"/>
    </row>
    <row r="86" spans="1:30" ht="18">
      <c r="A86" s="669"/>
      <c r="B86" s="669"/>
      <c r="C86" s="669"/>
      <c r="D86" s="669"/>
      <c r="E86" s="669"/>
      <c r="F86" s="669"/>
      <c r="G86" s="669"/>
      <c r="H86" s="669"/>
      <c r="I86" s="669"/>
      <c r="J86" s="669"/>
      <c r="K86" s="669"/>
      <c r="L86" s="669"/>
      <c r="M86" s="669"/>
      <c r="N86" s="669"/>
      <c r="O86" s="669"/>
      <c r="P86" s="669"/>
      <c r="Q86" s="669"/>
      <c r="R86" s="669"/>
      <c r="S86" s="669"/>
      <c r="T86" s="669"/>
      <c r="U86" s="669"/>
      <c r="V86" s="669"/>
      <c r="W86" s="669"/>
      <c r="X86" s="669"/>
      <c r="AD86" s="200" t="s">
        <v>249</v>
      </c>
    </row>
  </sheetData>
  <mergeCells count="18">
    <mergeCell ref="A2:X2"/>
    <mergeCell ref="C3:C4"/>
    <mergeCell ref="D3:D4"/>
    <mergeCell ref="F3:F4"/>
    <mergeCell ref="G3:G4"/>
    <mergeCell ref="H3:H4"/>
    <mergeCell ref="I3:I4"/>
    <mergeCell ref="J3:K3"/>
    <mergeCell ref="L3:M3"/>
    <mergeCell ref="N3:O3"/>
    <mergeCell ref="T76:X78"/>
    <mergeCell ref="T79:X81"/>
    <mergeCell ref="A82:X86"/>
    <mergeCell ref="P3:S3"/>
    <mergeCell ref="T3:U3"/>
    <mergeCell ref="V3:X3"/>
    <mergeCell ref="B75:F75"/>
    <mergeCell ref="E3:E4"/>
  </mergeCells>
  <printOptions/>
  <pageMargins left="0.33" right="0.12" top="1" bottom="1" header="0.5" footer="0.5"/>
  <pageSetup orientation="portrait" paperSize="9" scale="35" r:id="rId2"/>
  <ignoredErrors>
    <ignoredError sqref="V67:W70 X8:X70 V8:W11 P8:S70 U8:U70 T8:T53 T55:T70" formula="1"/>
    <ignoredError sqref="V12:W66 T54" formula="1" unlockedFormula="1"/>
  </ignoredErrors>
  <drawing r:id="rId1"/>
</worksheet>
</file>

<file path=xl/worksheets/sheet18.xml><?xml version="1.0" encoding="utf-8"?>
<worksheet xmlns="http://schemas.openxmlformats.org/spreadsheetml/2006/main" xmlns:r="http://schemas.openxmlformats.org/officeDocument/2006/relationships">
  <dimension ref="A1:AC21"/>
  <sheetViews>
    <sheetView zoomScale="80" zoomScaleNormal="80" workbookViewId="0" topLeftCell="A1">
      <selection activeCell="E16" sqref="E16"/>
    </sheetView>
  </sheetViews>
  <sheetFormatPr defaultColWidth="9.140625" defaultRowHeight="12.75"/>
  <cols>
    <col min="1" max="1" width="3.57421875" style="440" bestFit="1" customWidth="1"/>
    <col min="2" max="2" width="1.7109375" style="253" customWidth="1"/>
    <col min="3" max="3" width="39.00390625" style="200" bestFit="1" customWidth="1"/>
    <col min="4" max="4" width="9.8515625" style="200" customWidth="1"/>
    <col min="5" max="5" width="13.8515625" style="200" bestFit="1" customWidth="1"/>
    <col min="6" max="6" width="5.57421875" style="255" bestFit="1" customWidth="1"/>
    <col min="7" max="7" width="7.28125" style="255" bestFit="1" customWidth="1"/>
    <col min="8" max="8" width="8.7109375" style="200" customWidth="1"/>
    <col min="9" max="9" width="12.140625" style="200" hidden="1" customWidth="1"/>
    <col min="10" max="10" width="7.28125" style="200" hidden="1" customWidth="1"/>
    <col min="11" max="11" width="13.28125" style="200" hidden="1" customWidth="1"/>
    <col min="12" max="12" width="8.421875" style="200" hidden="1" customWidth="1"/>
    <col min="13" max="13" width="13.28125" style="200" hidden="1" customWidth="1"/>
    <col min="14" max="14" width="8.421875" style="200" hidden="1" customWidth="1"/>
    <col min="15" max="15" width="14.421875" style="381" customWidth="1"/>
    <col min="16" max="16" width="9.28125" style="200" customWidth="1"/>
    <col min="17" max="17" width="8.140625" style="200" bestFit="1" customWidth="1"/>
    <col min="18" max="18" width="7.28125" style="200" bestFit="1" customWidth="1"/>
    <col min="19" max="19" width="16.7109375" style="379" hidden="1" customWidth="1"/>
    <col min="20" max="20" width="8.421875" style="200" hidden="1" customWidth="1"/>
    <col min="21" max="21" width="20.421875" style="200" bestFit="1" customWidth="1"/>
    <col min="22" max="22" width="11.57421875" style="200" bestFit="1" customWidth="1"/>
    <col min="23" max="23" width="6.140625" style="200" bestFit="1" customWidth="1"/>
    <col min="24" max="24" width="12.421875" style="200" bestFit="1" customWidth="1"/>
    <col min="25" max="25" width="9.140625" style="152" customWidth="1"/>
    <col min="26" max="28" width="9.140625" style="200" customWidth="1"/>
    <col min="29" max="29" width="2.7109375" style="200" bestFit="1" customWidth="1"/>
    <col min="30" max="16384" width="9.140625" style="200" customWidth="1"/>
  </cols>
  <sheetData>
    <row r="1" spans="1:25" s="151" customFormat="1" ht="102.75" customHeight="1" thickBot="1">
      <c r="A1" s="435"/>
      <c r="B1" s="144"/>
      <c r="C1" s="145"/>
      <c r="D1" s="146"/>
      <c r="E1" s="146"/>
      <c r="F1" s="148"/>
      <c r="G1" s="148"/>
      <c r="H1" s="146"/>
      <c r="I1" s="146"/>
      <c r="J1" s="146"/>
      <c r="K1" s="146"/>
      <c r="L1" s="146"/>
      <c r="M1" s="146"/>
      <c r="N1" s="146"/>
      <c r="O1" s="380"/>
      <c r="P1" s="146"/>
      <c r="Q1" s="146"/>
      <c r="R1" s="146"/>
      <c r="S1" s="377"/>
      <c r="T1" s="146"/>
      <c r="U1" s="149"/>
      <c r="V1" s="149"/>
      <c r="W1" s="150"/>
      <c r="Y1" s="152"/>
    </row>
    <row r="2" spans="1:23" s="153" customFormat="1" ht="27.75" thickBot="1">
      <c r="A2" s="679" t="s">
        <v>190</v>
      </c>
      <c r="B2" s="692"/>
      <c r="C2" s="692"/>
      <c r="D2" s="692"/>
      <c r="E2" s="692"/>
      <c r="F2" s="692"/>
      <c r="G2" s="692"/>
      <c r="H2" s="692"/>
      <c r="I2" s="692"/>
      <c r="J2" s="692"/>
      <c r="K2" s="692"/>
      <c r="L2" s="692"/>
      <c r="M2" s="692"/>
      <c r="N2" s="692"/>
      <c r="O2" s="692"/>
      <c r="P2" s="693"/>
      <c r="Q2" s="693"/>
      <c r="R2" s="693"/>
      <c r="S2" s="693"/>
      <c r="T2" s="693"/>
      <c r="U2" s="693"/>
      <c r="V2" s="693"/>
      <c r="W2" s="693"/>
    </row>
    <row r="3" spans="1:25" s="154" customFormat="1" ht="18">
      <c r="A3" s="436"/>
      <c r="B3" s="285"/>
      <c r="C3" s="694" t="s">
        <v>0</v>
      </c>
      <c r="D3" s="696" t="s">
        <v>191</v>
      </c>
      <c r="E3" s="696" t="s">
        <v>2</v>
      </c>
      <c r="F3" s="699" t="s">
        <v>193</v>
      </c>
      <c r="G3" s="699" t="s">
        <v>194</v>
      </c>
      <c r="H3" s="699" t="s">
        <v>195</v>
      </c>
      <c r="I3" s="701" t="s">
        <v>4</v>
      </c>
      <c r="J3" s="701"/>
      <c r="K3" s="701" t="s">
        <v>7</v>
      </c>
      <c r="L3" s="701"/>
      <c r="M3" s="701" t="s">
        <v>8</v>
      </c>
      <c r="N3" s="701"/>
      <c r="O3" s="701" t="s">
        <v>196</v>
      </c>
      <c r="P3" s="701"/>
      <c r="Q3" s="701"/>
      <c r="R3" s="701"/>
      <c r="S3" s="701" t="s">
        <v>197</v>
      </c>
      <c r="T3" s="701"/>
      <c r="U3" s="701" t="s">
        <v>198</v>
      </c>
      <c r="V3" s="701"/>
      <c r="W3" s="703"/>
      <c r="Y3" s="156"/>
    </row>
    <row r="4" spans="1:25" s="154" customFormat="1" ht="27.75" thickBot="1">
      <c r="A4" s="437"/>
      <c r="B4" s="342"/>
      <c r="C4" s="707"/>
      <c r="D4" s="708"/>
      <c r="E4" s="709"/>
      <c r="F4" s="710"/>
      <c r="G4" s="710"/>
      <c r="H4" s="710"/>
      <c r="I4" s="345" t="s">
        <v>116</v>
      </c>
      <c r="J4" s="345" t="s">
        <v>16</v>
      </c>
      <c r="K4" s="345" t="s">
        <v>116</v>
      </c>
      <c r="L4" s="345" t="s">
        <v>16</v>
      </c>
      <c r="M4" s="345" t="s">
        <v>116</v>
      </c>
      <c r="N4" s="345" t="s">
        <v>16</v>
      </c>
      <c r="O4" s="343" t="s">
        <v>116</v>
      </c>
      <c r="P4" s="343" t="s">
        <v>16</v>
      </c>
      <c r="Q4" s="344" t="s">
        <v>199</v>
      </c>
      <c r="R4" s="344" t="s">
        <v>200</v>
      </c>
      <c r="S4" s="378" t="s">
        <v>116</v>
      </c>
      <c r="T4" s="346" t="s">
        <v>11</v>
      </c>
      <c r="U4" s="345" t="s">
        <v>116</v>
      </c>
      <c r="V4" s="345" t="s">
        <v>16</v>
      </c>
      <c r="W4" s="347" t="s">
        <v>200</v>
      </c>
      <c r="Y4" s="156"/>
    </row>
    <row r="5" spans="1:25" s="277" customFormat="1" ht="18">
      <c r="A5" s="487">
        <f aca="true" t="shared" si="0" ref="A5:A14">ROW()-4</f>
        <v>1</v>
      </c>
      <c r="B5" s="293"/>
      <c r="C5" s="367" t="s">
        <v>292</v>
      </c>
      <c r="D5" s="368">
        <v>38807</v>
      </c>
      <c r="E5" s="369" t="s">
        <v>326</v>
      </c>
      <c r="F5" s="388">
        <v>115</v>
      </c>
      <c r="G5" s="384">
        <v>115</v>
      </c>
      <c r="H5" s="388">
        <v>2</v>
      </c>
      <c r="I5" s="392">
        <v>76175.5</v>
      </c>
      <c r="J5" s="401">
        <v>9745</v>
      </c>
      <c r="K5" s="392">
        <v>154359.5</v>
      </c>
      <c r="L5" s="401">
        <v>18679</v>
      </c>
      <c r="M5" s="392">
        <v>138964</v>
      </c>
      <c r="N5" s="401">
        <v>17048</v>
      </c>
      <c r="O5" s="406">
        <f aca="true" t="shared" si="1" ref="O5:P7">+I5+K5+M5</f>
        <v>369499</v>
      </c>
      <c r="P5" s="179">
        <f t="shared" si="1"/>
        <v>45472</v>
      </c>
      <c r="Q5" s="371">
        <f>IF(O5&lt;&gt;0,P5/G5,"")</f>
        <v>395.4086956521739</v>
      </c>
      <c r="R5" s="488">
        <f>IF(O5&lt;&gt;0,O5/P5,"")</f>
        <v>8.125857670654469</v>
      </c>
      <c r="S5" s="412">
        <v>953677.5</v>
      </c>
      <c r="T5" s="418">
        <f>IF(S5&lt;&gt;0,-(S5-O5)/S5,"")</f>
        <v>-0.612553509965371</v>
      </c>
      <c r="U5" s="392">
        <v>1323176.5</v>
      </c>
      <c r="V5" s="370">
        <v>171612</v>
      </c>
      <c r="W5" s="489">
        <f>U5/V5</f>
        <v>7.710279584178263</v>
      </c>
      <c r="Y5" s="278"/>
    </row>
    <row r="6" spans="1:25" s="277" customFormat="1" ht="18">
      <c r="A6" s="490">
        <f t="shared" si="0"/>
        <v>2</v>
      </c>
      <c r="B6" s="295"/>
      <c r="C6" s="350" t="s">
        <v>328</v>
      </c>
      <c r="D6" s="349">
        <v>38814</v>
      </c>
      <c r="E6" s="455" t="s">
        <v>88</v>
      </c>
      <c r="F6" s="389">
        <v>124</v>
      </c>
      <c r="G6" s="385">
        <v>129</v>
      </c>
      <c r="H6" s="389">
        <v>1</v>
      </c>
      <c r="I6" s="393">
        <v>60675</v>
      </c>
      <c r="J6" s="402">
        <v>8929</v>
      </c>
      <c r="K6" s="393">
        <v>107635</v>
      </c>
      <c r="L6" s="402">
        <v>15239</v>
      </c>
      <c r="M6" s="393">
        <v>109612</v>
      </c>
      <c r="N6" s="402">
        <v>15235</v>
      </c>
      <c r="O6" s="456">
        <f t="shared" si="1"/>
        <v>277922</v>
      </c>
      <c r="P6" s="353">
        <f t="shared" si="1"/>
        <v>39403</v>
      </c>
      <c r="Q6" s="352">
        <f>IF(O6&lt;&gt;0,P6/G6,"")</f>
        <v>305.4496124031008</v>
      </c>
      <c r="R6" s="457">
        <f>IF(O6&lt;&gt;0,O6/P6,"")</f>
        <v>7.053320813136056</v>
      </c>
      <c r="S6" s="393"/>
      <c r="T6" s="458">
        <f>IF(S6&lt;&gt;0,-(S6-O6)/S6,"")</f>
      </c>
      <c r="U6" s="393">
        <v>277922</v>
      </c>
      <c r="V6" s="459">
        <v>39403</v>
      </c>
      <c r="W6" s="491">
        <f>U6/V6</f>
        <v>7.053320813136056</v>
      </c>
      <c r="Y6" s="278"/>
    </row>
    <row r="7" spans="1:26" s="281" customFormat="1" ht="18">
      <c r="A7" s="490">
        <f t="shared" si="0"/>
        <v>3</v>
      </c>
      <c r="B7" s="296"/>
      <c r="C7" s="350" t="s">
        <v>294</v>
      </c>
      <c r="D7" s="349">
        <v>38807</v>
      </c>
      <c r="E7" s="455" t="s">
        <v>88</v>
      </c>
      <c r="F7" s="389">
        <v>77</v>
      </c>
      <c r="G7" s="385">
        <v>78</v>
      </c>
      <c r="H7" s="389">
        <v>2</v>
      </c>
      <c r="I7" s="393">
        <v>41365.5</v>
      </c>
      <c r="J7" s="402">
        <v>5274</v>
      </c>
      <c r="K7" s="393">
        <v>79078</v>
      </c>
      <c r="L7" s="402">
        <v>9514</v>
      </c>
      <c r="M7" s="393">
        <v>71314</v>
      </c>
      <c r="N7" s="402">
        <v>8615</v>
      </c>
      <c r="O7" s="456">
        <f t="shared" si="1"/>
        <v>191757.5</v>
      </c>
      <c r="P7" s="353">
        <f t="shared" si="1"/>
        <v>23403</v>
      </c>
      <c r="Q7" s="352">
        <f>IF(O7&lt;&gt;0,P7/G7,"")</f>
        <v>300.03846153846155</v>
      </c>
      <c r="R7" s="457">
        <f>IF(O7&lt;&gt;0,O7/P7,"")</f>
        <v>8.193714481049438</v>
      </c>
      <c r="S7" s="393">
        <v>238008</v>
      </c>
      <c r="T7" s="458">
        <f>IF(S7&lt;&gt;0,-(S7-O7)/S7,"")</f>
        <v>-0.19432330005714094</v>
      </c>
      <c r="U7" s="393">
        <v>552388.5</v>
      </c>
      <c r="V7" s="459">
        <v>70611</v>
      </c>
      <c r="W7" s="491">
        <f>U7/V7</f>
        <v>7.822980838679526</v>
      </c>
      <c r="X7" s="280"/>
      <c r="Z7" s="280"/>
    </row>
    <row r="8" spans="1:25" s="282" customFormat="1" ht="18">
      <c r="A8" s="490">
        <f t="shared" si="0"/>
        <v>4</v>
      </c>
      <c r="B8" s="296"/>
      <c r="C8" s="460" t="s">
        <v>276</v>
      </c>
      <c r="D8" s="461">
        <v>38800</v>
      </c>
      <c r="E8" s="460" t="s">
        <v>330</v>
      </c>
      <c r="F8" s="462">
        <v>92</v>
      </c>
      <c r="G8" s="463">
        <v>92</v>
      </c>
      <c r="H8" s="462">
        <v>3</v>
      </c>
      <c r="I8" s="464">
        <v>31032.5</v>
      </c>
      <c r="J8" s="465">
        <v>4051</v>
      </c>
      <c r="K8" s="464">
        <v>80361.5</v>
      </c>
      <c r="L8" s="465">
        <v>10265</v>
      </c>
      <c r="M8" s="464">
        <v>69275</v>
      </c>
      <c r="N8" s="465">
        <v>8805</v>
      </c>
      <c r="O8" s="466">
        <f>I8+K8+M8</f>
        <v>180669</v>
      </c>
      <c r="P8" s="467">
        <f>J8+L8+N8</f>
        <v>23121</v>
      </c>
      <c r="Q8" s="468">
        <f>P8/G8</f>
        <v>251.31521739130434</v>
      </c>
      <c r="R8" s="469">
        <f>O8/P8</f>
        <v>7.814065135591021</v>
      </c>
      <c r="S8" s="464">
        <v>222108</v>
      </c>
      <c r="T8" s="458">
        <f>IF(S8&lt;&gt;0,-(S8-O8)/S8,"")</f>
        <v>-0.186571397698417</v>
      </c>
      <c r="U8" s="470">
        <v>970840</v>
      </c>
      <c r="V8" s="467">
        <v>131837</v>
      </c>
      <c r="W8" s="492">
        <f>U8/V8</f>
        <v>7.363941837268748</v>
      </c>
      <c r="X8" s="280"/>
      <c r="Y8" s="280"/>
    </row>
    <row r="9" spans="1:25" s="282" customFormat="1" ht="18">
      <c r="A9" s="490">
        <f t="shared" si="0"/>
        <v>5</v>
      </c>
      <c r="B9" s="296"/>
      <c r="C9" s="350" t="s">
        <v>332</v>
      </c>
      <c r="D9" s="349">
        <v>38814</v>
      </c>
      <c r="E9" s="350" t="s">
        <v>333</v>
      </c>
      <c r="F9" s="389">
        <v>56</v>
      </c>
      <c r="G9" s="385">
        <v>56</v>
      </c>
      <c r="H9" s="389">
        <v>1</v>
      </c>
      <c r="I9" s="393">
        <v>25762.5</v>
      </c>
      <c r="J9" s="402">
        <v>3541</v>
      </c>
      <c r="K9" s="393">
        <v>62029</v>
      </c>
      <c r="L9" s="402">
        <v>7840</v>
      </c>
      <c r="M9" s="393">
        <v>65875.5</v>
      </c>
      <c r="N9" s="402">
        <v>8397</v>
      </c>
      <c r="O9" s="456">
        <f>+I9+K9+M9</f>
        <v>153667</v>
      </c>
      <c r="P9" s="353">
        <f>+J9+L9+N9</f>
        <v>19778</v>
      </c>
      <c r="Q9" s="352">
        <f>IF(O9&lt;&gt;0,P9/G9,"")</f>
        <v>353.17857142857144</v>
      </c>
      <c r="R9" s="457">
        <f>IF(O9&lt;&gt;0,O9/P9,"")</f>
        <v>7.769592476489028</v>
      </c>
      <c r="S9" s="393"/>
      <c r="T9" s="458"/>
      <c r="U9" s="393">
        <v>153667</v>
      </c>
      <c r="V9" s="459">
        <v>19778</v>
      </c>
      <c r="W9" s="491">
        <f>IF(U9&lt;&gt;0,U9/V9,"")</f>
        <v>7.769592476489028</v>
      </c>
      <c r="X9" s="280"/>
      <c r="Y9" s="280"/>
    </row>
    <row r="10" spans="1:25" s="282" customFormat="1" ht="18">
      <c r="A10" s="490">
        <f t="shared" si="0"/>
        <v>6</v>
      </c>
      <c r="B10" s="296"/>
      <c r="C10" s="350" t="s">
        <v>296</v>
      </c>
      <c r="D10" s="349">
        <v>38807</v>
      </c>
      <c r="E10" s="350" t="s">
        <v>92</v>
      </c>
      <c r="F10" s="389">
        <v>62</v>
      </c>
      <c r="G10" s="385">
        <v>62</v>
      </c>
      <c r="H10" s="389">
        <v>2</v>
      </c>
      <c r="I10" s="393">
        <v>27025</v>
      </c>
      <c r="J10" s="402">
        <v>3223</v>
      </c>
      <c r="K10" s="393">
        <v>56327</v>
      </c>
      <c r="L10" s="402">
        <v>6289</v>
      </c>
      <c r="M10" s="393">
        <v>50718</v>
      </c>
      <c r="N10" s="402">
        <v>5686</v>
      </c>
      <c r="O10" s="456">
        <f>+I10+K10+M10</f>
        <v>134070</v>
      </c>
      <c r="P10" s="353">
        <f>+J10+L10+N10</f>
        <v>15198</v>
      </c>
      <c r="Q10" s="352">
        <f>IF(O10&lt;&gt;0,P10/G10,"")</f>
        <v>245.1290322580645</v>
      </c>
      <c r="R10" s="457">
        <f>IF(O10&lt;&gt;0,O10/P10,"")</f>
        <v>8.821555467824714</v>
      </c>
      <c r="S10" s="393">
        <v>142668</v>
      </c>
      <c r="T10" s="458">
        <f>IF(S10&lt;&gt;0,-(S10-O10)/S10,"")</f>
        <v>-0.060265791908486833</v>
      </c>
      <c r="U10" s="393">
        <v>352562</v>
      </c>
      <c r="V10" s="459">
        <v>42316</v>
      </c>
      <c r="W10" s="491">
        <f>U10/V10</f>
        <v>8.331647603743265</v>
      </c>
      <c r="X10" s="280"/>
      <c r="Y10" s="280"/>
    </row>
    <row r="11" spans="1:25" s="282" customFormat="1" ht="18">
      <c r="A11" s="490">
        <f t="shared" si="0"/>
        <v>7</v>
      </c>
      <c r="B11" s="296"/>
      <c r="C11" s="350" t="s">
        <v>336</v>
      </c>
      <c r="D11" s="349">
        <v>38814</v>
      </c>
      <c r="E11" s="350" t="s">
        <v>92</v>
      </c>
      <c r="F11" s="389">
        <v>94</v>
      </c>
      <c r="G11" s="385">
        <v>76</v>
      </c>
      <c r="H11" s="389">
        <v>1</v>
      </c>
      <c r="I11" s="393">
        <v>0</v>
      </c>
      <c r="J11" s="402">
        <v>0</v>
      </c>
      <c r="K11" s="393">
        <v>53269</v>
      </c>
      <c r="L11" s="402">
        <v>6427</v>
      </c>
      <c r="M11" s="393">
        <v>67227</v>
      </c>
      <c r="N11" s="402">
        <v>8002</v>
      </c>
      <c r="O11" s="456">
        <v>120496</v>
      </c>
      <c r="P11" s="353">
        <v>14429</v>
      </c>
      <c r="Q11" s="352">
        <f>IF(O11&lt;&gt;0,P11/G11,"")</f>
        <v>189.85526315789474</v>
      </c>
      <c r="R11" s="457">
        <f>IF(O11&lt;&gt;0,O11/P11,"")</f>
        <v>8.350959872479036</v>
      </c>
      <c r="S11" s="471"/>
      <c r="T11" s="458"/>
      <c r="U11" s="393">
        <v>120496</v>
      </c>
      <c r="V11" s="459">
        <v>14429</v>
      </c>
      <c r="W11" s="491">
        <f>U11/V11</f>
        <v>8.350959872479036</v>
      </c>
      <c r="X11" s="280"/>
      <c r="Y11" s="280"/>
    </row>
    <row r="12" spans="1:25" s="282" customFormat="1" ht="18">
      <c r="A12" s="490">
        <f t="shared" si="0"/>
        <v>8</v>
      </c>
      <c r="B12" s="296"/>
      <c r="C12" s="350" t="s">
        <v>279</v>
      </c>
      <c r="D12" s="349">
        <v>38800</v>
      </c>
      <c r="E12" s="350" t="s">
        <v>333</v>
      </c>
      <c r="F12" s="389">
        <v>58</v>
      </c>
      <c r="G12" s="385">
        <v>58</v>
      </c>
      <c r="H12" s="389">
        <v>3</v>
      </c>
      <c r="I12" s="393">
        <v>16024</v>
      </c>
      <c r="J12" s="402">
        <v>2624</v>
      </c>
      <c r="K12" s="393">
        <v>42275.5</v>
      </c>
      <c r="L12" s="402">
        <v>5780</v>
      </c>
      <c r="M12" s="393">
        <v>47994.5</v>
      </c>
      <c r="N12" s="402">
        <v>6412</v>
      </c>
      <c r="O12" s="456">
        <f>+I12+K12+M12</f>
        <v>106294</v>
      </c>
      <c r="P12" s="353">
        <f>+J12+L12+N12</f>
        <v>14816</v>
      </c>
      <c r="Q12" s="352">
        <f>IF(O12&lt;&gt;0,P12/G12,"")</f>
        <v>255.44827586206895</v>
      </c>
      <c r="R12" s="457">
        <f>IF(O12&lt;&gt;0,O12/P12,"")</f>
        <v>7.174271058315335</v>
      </c>
      <c r="S12" s="393">
        <v>171576</v>
      </c>
      <c r="T12" s="458">
        <f>IF(S12&lt;&gt;0,-(S12-O12)/S12,"")</f>
        <v>-0.3804844500396326</v>
      </c>
      <c r="U12" s="393">
        <f>573463+106294</f>
        <v>679757</v>
      </c>
      <c r="V12" s="459">
        <f>77862+14816</f>
        <v>92678</v>
      </c>
      <c r="W12" s="491">
        <f>IF(U12&lt;&gt;0,U12/V12,"")</f>
        <v>7.334610155592482</v>
      </c>
      <c r="X12" s="280"/>
      <c r="Y12" s="280"/>
    </row>
    <row r="13" spans="1:25" s="282" customFormat="1" ht="18">
      <c r="A13" s="490">
        <f t="shared" si="0"/>
        <v>9</v>
      </c>
      <c r="B13" s="296"/>
      <c r="C13" s="460" t="s">
        <v>337</v>
      </c>
      <c r="D13" s="461">
        <v>38814</v>
      </c>
      <c r="E13" s="460" t="s">
        <v>330</v>
      </c>
      <c r="F13" s="462">
        <v>50</v>
      </c>
      <c r="G13" s="463">
        <v>50</v>
      </c>
      <c r="H13" s="462">
        <v>1</v>
      </c>
      <c r="I13" s="464">
        <v>19201.5</v>
      </c>
      <c r="J13" s="465">
        <v>2388</v>
      </c>
      <c r="K13" s="464">
        <v>42492</v>
      </c>
      <c r="L13" s="465">
        <v>5092</v>
      </c>
      <c r="M13" s="464">
        <v>42178.5</v>
      </c>
      <c r="N13" s="465">
        <v>5022</v>
      </c>
      <c r="O13" s="466">
        <f>SUM(I13+K13+M13)</f>
        <v>103872</v>
      </c>
      <c r="P13" s="467">
        <f>SUM(J13+L13+N13)</f>
        <v>12502</v>
      </c>
      <c r="Q13" s="468">
        <f>P13/G13</f>
        <v>250.04</v>
      </c>
      <c r="R13" s="469">
        <f>O13/P13</f>
        <v>8.308430651095824</v>
      </c>
      <c r="S13" s="464"/>
      <c r="T13" s="458">
        <f>IF(S13&lt;&gt;0,-(S13-O13)/S13,"")</f>
      </c>
      <c r="U13" s="472">
        <v>103872</v>
      </c>
      <c r="V13" s="467">
        <v>12502</v>
      </c>
      <c r="W13" s="492">
        <f>U13/V13</f>
        <v>8.308430651095824</v>
      </c>
      <c r="X13" s="280"/>
      <c r="Y13" s="280"/>
    </row>
    <row r="14" spans="1:25" s="282" customFormat="1" ht="18.75" thickBot="1">
      <c r="A14" s="490">
        <f t="shared" si="0"/>
        <v>10</v>
      </c>
      <c r="B14" s="297"/>
      <c r="C14" s="423" t="s">
        <v>201</v>
      </c>
      <c r="D14" s="422">
        <v>38793</v>
      </c>
      <c r="E14" s="423" t="s">
        <v>92</v>
      </c>
      <c r="F14" s="424">
        <v>129</v>
      </c>
      <c r="G14" s="425">
        <v>100</v>
      </c>
      <c r="H14" s="424">
        <v>4</v>
      </c>
      <c r="I14" s="426">
        <v>18098</v>
      </c>
      <c r="J14" s="427">
        <v>3154</v>
      </c>
      <c r="K14" s="426">
        <v>37428</v>
      </c>
      <c r="L14" s="427">
        <v>5978</v>
      </c>
      <c r="M14" s="426">
        <v>37806</v>
      </c>
      <c r="N14" s="427">
        <v>5929</v>
      </c>
      <c r="O14" s="509">
        <f>+I14+K14+M14</f>
        <v>93332</v>
      </c>
      <c r="P14" s="429">
        <f>+J14+L14+N14</f>
        <v>15061</v>
      </c>
      <c r="Q14" s="430">
        <f>IF(O14&lt;&gt;0,P14/G14,"")</f>
        <v>150.61</v>
      </c>
      <c r="R14" s="506">
        <f>IF(O14&lt;&gt;0,O14/P14,"")</f>
        <v>6.19693247460328</v>
      </c>
      <c r="S14" s="510">
        <v>204124</v>
      </c>
      <c r="T14" s="507">
        <f>IF(S14&lt;&gt;0,-(S14-O14)/S14,"")</f>
        <v>-0.5427681213380102</v>
      </c>
      <c r="U14" s="426">
        <v>1599032</v>
      </c>
      <c r="V14" s="511">
        <v>232698</v>
      </c>
      <c r="W14" s="512">
        <f>U14/V14</f>
        <v>6.8717049566390775</v>
      </c>
      <c r="X14" s="280"/>
      <c r="Y14" s="280"/>
    </row>
    <row r="15" spans="19:23" ht="18">
      <c r="S15" s="667"/>
      <c r="T15" s="667"/>
      <c r="U15" s="667"/>
      <c r="V15" s="667"/>
      <c r="W15" s="667"/>
    </row>
    <row r="16" spans="19:23" ht="18">
      <c r="S16" s="667"/>
      <c r="T16" s="667"/>
      <c r="U16" s="667"/>
      <c r="V16" s="667"/>
      <c r="W16" s="667"/>
    </row>
    <row r="17" spans="1:23" ht="18">
      <c r="A17" s="668" t="s">
        <v>252</v>
      </c>
      <c r="B17" s="669"/>
      <c r="C17" s="669"/>
      <c r="D17" s="669"/>
      <c r="E17" s="669"/>
      <c r="F17" s="669"/>
      <c r="G17" s="669"/>
      <c r="H17" s="669"/>
      <c r="I17" s="669"/>
      <c r="J17" s="669"/>
      <c r="K17" s="669"/>
      <c r="L17" s="669"/>
      <c r="M17" s="669"/>
      <c r="N17" s="669"/>
      <c r="O17" s="669"/>
      <c r="P17" s="669"/>
      <c r="Q17" s="669"/>
      <c r="R17" s="669"/>
      <c r="S17" s="669"/>
      <c r="T17" s="669"/>
      <c r="U17" s="669"/>
      <c r="V17" s="669"/>
      <c r="W17" s="669"/>
    </row>
    <row r="18" spans="1:23" ht="18">
      <c r="A18" s="669"/>
      <c r="B18" s="669"/>
      <c r="C18" s="669"/>
      <c r="D18" s="669"/>
      <c r="E18" s="669"/>
      <c r="F18" s="669"/>
      <c r="G18" s="669"/>
      <c r="H18" s="669"/>
      <c r="I18" s="669"/>
      <c r="J18" s="669"/>
      <c r="K18" s="669"/>
      <c r="L18" s="669"/>
      <c r="M18" s="669"/>
      <c r="N18" s="669"/>
      <c r="O18" s="669"/>
      <c r="P18" s="669"/>
      <c r="Q18" s="669"/>
      <c r="R18" s="669"/>
      <c r="S18" s="669"/>
      <c r="T18" s="669"/>
      <c r="U18" s="669"/>
      <c r="V18" s="669"/>
      <c r="W18" s="669"/>
    </row>
    <row r="19" spans="1:23" ht="18">
      <c r="A19" s="669"/>
      <c r="B19" s="669"/>
      <c r="C19" s="669"/>
      <c r="D19" s="669"/>
      <c r="E19" s="669"/>
      <c r="F19" s="669"/>
      <c r="G19" s="669"/>
      <c r="H19" s="669"/>
      <c r="I19" s="669"/>
      <c r="J19" s="669"/>
      <c r="K19" s="669"/>
      <c r="L19" s="669"/>
      <c r="M19" s="669"/>
      <c r="N19" s="669"/>
      <c r="O19" s="669"/>
      <c r="P19" s="669"/>
      <c r="Q19" s="669"/>
      <c r="R19" s="669"/>
      <c r="S19" s="669"/>
      <c r="T19" s="669"/>
      <c r="U19" s="669"/>
      <c r="V19" s="669"/>
      <c r="W19" s="669"/>
    </row>
    <row r="20" spans="1:23" ht="18">
      <c r="A20" s="669"/>
      <c r="B20" s="669"/>
      <c r="C20" s="669"/>
      <c r="D20" s="669"/>
      <c r="E20" s="669"/>
      <c r="F20" s="669"/>
      <c r="G20" s="669"/>
      <c r="H20" s="669"/>
      <c r="I20" s="669"/>
      <c r="J20" s="669"/>
      <c r="K20" s="669"/>
      <c r="L20" s="669"/>
      <c r="M20" s="669"/>
      <c r="N20" s="669"/>
      <c r="O20" s="669"/>
      <c r="P20" s="669"/>
      <c r="Q20" s="669"/>
      <c r="R20" s="669"/>
      <c r="S20" s="669"/>
      <c r="T20" s="669"/>
      <c r="U20" s="669"/>
      <c r="V20" s="669"/>
      <c r="W20" s="669"/>
    </row>
    <row r="21" spans="1:29" ht="18">
      <c r="A21" s="669"/>
      <c r="B21" s="669"/>
      <c r="C21" s="669"/>
      <c r="D21" s="669"/>
      <c r="E21" s="669"/>
      <c r="F21" s="669"/>
      <c r="G21" s="669"/>
      <c r="H21" s="669"/>
      <c r="I21" s="669"/>
      <c r="J21" s="669"/>
      <c r="K21" s="669"/>
      <c r="L21" s="669"/>
      <c r="M21" s="669"/>
      <c r="N21" s="669"/>
      <c r="O21" s="669"/>
      <c r="P21" s="669"/>
      <c r="Q21" s="669"/>
      <c r="R21" s="669"/>
      <c r="S21" s="669"/>
      <c r="T21" s="669"/>
      <c r="U21" s="669"/>
      <c r="V21" s="669"/>
      <c r="W21" s="669"/>
      <c r="AC21" s="200" t="s">
        <v>249</v>
      </c>
    </row>
  </sheetData>
  <mergeCells count="15">
    <mergeCell ref="S15:W16"/>
    <mergeCell ref="A17:W21"/>
    <mergeCell ref="M3:N3"/>
    <mergeCell ref="O3:R3"/>
    <mergeCell ref="S3:T3"/>
    <mergeCell ref="U3:W3"/>
    <mergeCell ref="A2:W2"/>
    <mergeCell ref="C3:C4"/>
    <mergeCell ref="D3:D4"/>
    <mergeCell ref="E3:E4"/>
    <mergeCell ref="F3:F4"/>
    <mergeCell ref="G3:G4"/>
    <mergeCell ref="H3:H4"/>
    <mergeCell ref="I3:J3"/>
    <mergeCell ref="K3:L3"/>
  </mergeCells>
  <printOptions/>
  <pageMargins left="0.75" right="0.75" top="1" bottom="1" header="0.5" footer="0.5"/>
  <pageSetup orientation="portrait" paperSize="9"/>
  <ignoredErrors>
    <ignoredError sqref="O8:T13 W8:W13 U8:V11 U13:V13" formula="1"/>
    <ignoredError sqref="U12:V12" formula="1" unlockedFormula="1"/>
  </ignoredErrors>
  <drawing r:id="rId1"/>
</worksheet>
</file>

<file path=xl/worksheets/sheet19.xml><?xml version="1.0" encoding="utf-8"?>
<worksheet xmlns="http://schemas.openxmlformats.org/spreadsheetml/2006/main" xmlns:r="http://schemas.openxmlformats.org/officeDocument/2006/relationships">
  <dimension ref="A1:AD85"/>
  <sheetViews>
    <sheetView zoomScale="50" zoomScaleNormal="50" workbookViewId="0" topLeftCell="A1">
      <selection activeCell="A1" sqref="A1:IV16384"/>
    </sheetView>
  </sheetViews>
  <sheetFormatPr defaultColWidth="9.140625" defaultRowHeight="12.75"/>
  <cols>
    <col min="1" max="1" width="4.00390625" style="440" bestFit="1" customWidth="1"/>
    <col min="2" max="2" width="1.7109375" style="253" customWidth="1"/>
    <col min="3" max="3" width="40.140625" style="200" bestFit="1" customWidth="1"/>
    <col min="4" max="4" width="9.8515625" style="200" bestFit="1" customWidth="1"/>
    <col min="5" max="5" width="14.140625" style="200" bestFit="1" customWidth="1"/>
    <col min="6" max="6" width="23.00390625" style="254" bestFit="1" customWidth="1"/>
    <col min="7" max="7" width="5.7109375" style="255" bestFit="1" customWidth="1"/>
    <col min="8" max="8" width="7.28125" style="255" bestFit="1" customWidth="1"/>
    <col min="9" max="9" width="7.57421875" style="200" customWidth="1"/>
    <col min="10" max="10" width="13.57421875" style="200" bestFit="1" customWidth="1"/>
    <col min="11" max="11" width="8.57421875" style="200" bestFit="1" customWidth="1"/>
    <col min="12" max="12" width="13.57421875" style="200" bestFit="1" customWidth="1"/>
    <col min="13" max="13" width="8.57421875" style="200" bestFit="1" customWidth="1"/>
    <col min="14" max="14" width="13.57421875" style="200" bestFit="1" customWidth="1"/>
    <col min="15" max="15" width="8.57421875" style="200" bestFit="1" customWidth="1"/>
    <col min="16" max="16" width="15.8515625" style="381" bestFit="1" customWidth="1"/>
    <col min="17" max="17" width="9.7109375" style="200" bestFit="1" customWidth="1"/>
    <col min="18" max="18" width="8.140625" style="200" bestFit="1" customWidth="1"/>
    <col min="19" max="19" width="7.421875" style="200" bestFit="1" customWidth="1"/>
    <col min="20" max="20" width="13.57421875" style="379" bestFit="1" customWidth="1"/>
    <col min="21" max="21" width="8.00390625" style="200" bestFit="1" customWidth="1"/>
    <col min="22" max="22" width="17.00390625" style="379" bestFit="1" customWidth="1"/>
    <col min="23" max="23" width="11.8515625" style="200" bestFit="1" customWidth="1"/>
    <col min="24" max="24" width="7.28125" style="200" bestFit="1" customWidth="1"/>
    <col min="25" max="25" width="12.421875" style="200" bestFit="1" customWidth="1"/>
    <col min="26" max="26" width="9.140625" style="152" customWidth="1"/>
    <col min="27" max="29" width="9.140625" style="200" customWidth="1"/>
    <col min="30" max="30" width="2.140625" style="200" bestFit="1" customWidth="1"/>
    <col min="31" max="16384" width="9.140625" style="200" customWidth="1"/>
  </cols>
  <sheetData>
    <row r="1" spans="1:26" s="151" customFormat="1" ht="98.25" customHeight="1" thickBot="1">
      <c r="A1" s="435"/>
      <c r="B1" s="144"/>
      <c r="C1" s="145"/>
      <c r="D1" s="146"/>
      <c r="E1" s="146"/>
      <c r="F1" s="147"/>
      <c r="G1" s="148"/>
      <c r="H1" s="148"/>
      <c r="I1" s="146"/>
      <c r="J1" s="146"/>
      <c r="K1" s="146"/>
      <c r="L1" s="146"/>
      <c r="M1" s="146"/>
      <c r="N1" s="146"/>
      <c r="O1" s="146"/>
      <c r="P1" s="380"/>
      <c r="Q1" s="146"/>
      <c r="R1" s="146"/>
      <c r="S1" s="146"/>
      <c r="T1" s="377"/>
      <c r="U1" s="146"/>
      <c r="V1" s="540"/>
      <c r="W1" s="149"/>
      <c r="X1" s="150"/>
      <c r="Z1" s="152"/>
    </row>
    <row r="2" spans="1:24" s="153" customFormat="1" ht="32.25" customHeight="1" thickBot="1">
      <c r="A2" s="679" t="s">
        <v>190</v>
      </c>
      <c r="B2" s="692"/>
      <c r="C2" s="692"/>
      <c r="D2" s="692"/>
      <c r="E2" s="692"/>
      <c r="F2" s="692"/>
      <c r="G2" s="692"/>
      <c r="H2" s="692"/>
      <c r="I2" s="692"/>
      <c r="J2" s="692"/>
      <c r="K2" s="692"/>
      <c r="L2" s="692"/>
      <c r="M2" s="692"/>
      <c r="N2" s="692"/>
      <c r="O2" s="692"/>
      <c r="P2" s="692"/>
      <c r="Q2" s="693"/>
      <c r="R2" s="693"/>
      <c r="S2" s="693"/>
      <c r="T2" s="693"/>
      <c r="U2" s="693"/>
      <c r="V2" s="693"/>
      <c r="W2" s="693"/>
      <c r="X2" s="693"/>
    </row>
    <row r="3" spans="1:26" s="154" customFormat="1" ht="18">
      <c r="A3" s="515"/>
      <c r="B3" s="285"/>
      <c r="C3" s="694" t="s">
        <v>0</v>
      </c>
      <c r="D3" s="696" t="s">
        <v>191</v>
      </c>
      <c r="E3" s="696" t="s">
        <v>2</v>
      </c>
      <c r="F3" s="696" t="s">
        <v>383</v>
      </c>
      <c r="G3" s="699" t="s">
        <v>193</v>
      </c>
      <c r="H3" s="699" t="s">
        <v>194</v>
      </c>
      <c r="I3" s="699" t="s">
        <v>195</v>
      </c>
      <c r="J3" s="701" t="s">
        <v>4</v>
      </c>
      <c r="K3" s="701"/>
      <c r="L3" s="701" t="s">
        <v>7</v>
      </c>
      <c r="M3" s="701"/>
      <c r="N3" s="701" t="s">
        <v>8</v>
      </c>
      <c r="O3" s="701"/>
      <c r="P3" s="716" t="s">
        <v>196</v>
      </c>
      <c r="Q3" s="716"/>
      <c r="R3" s="716"/>
      <c r="S3" s="716"/>
      <c r="T3" s="701" t="s">
        <v>197</v>
      </c>
      <c r="U3" s="701"/>
      <c r="V3" s="701" t="s">
        <v>198</v>
      </c>
      <c r="W3" s="701"/>
      <c r="X3" s="703"/>
      <c r="Z3" s="156"/>
    </row>
    <row r="4" spans="1:26" s="154" customFormat="1" ht="36" customHeight="1" thickBot="1">
      <c r="A4" s="516"/>
      <c r="B4" s="286"/>
      <c r="C4" s="695"/>
      <c r="D4" s="697"/>
      <c r="E4" s="698"/>
      <c r="F4" s="698"/>
      <c r="G4" s="700"/>
      <c r="H4" s="700"/>
      <c r="I4" s="700"/>
      <c r="J4" s="289" t="s">
        <v>116</v>
      </c>
      <c r="K4" s="289" t="s">
        <v>16</v>
      </c>
      <c r="L4" s="289" t="s">
        <v>116</v>
      </c>
      <c r="M4" s="289" t="s">
        <v>16</v>
      </c>
      <c r="N4" s="289" t="s">
        <v>116</v>
      </c>
      <c r="O4" s="289" t="s">
        <v>16</v>
      </c>
      <c r="P4" s="290" t="s">
        <v>116</v>
      </c>
      <c r="Q4" s="290" t="s">
        <v>16</v>
      </c>
      <c r="R4" s="567" t="s">
        <v>199</v>
      </c>
      <c r="S4" s="567" t="s">
        <v>200</v>
      </c>
      <c r="T4" s="517" t="s">
        <v>116</v>
      </c>
      <c r="U4" s="291" t="s">
        <v>11</v>
      </c>
      <c r="V4" s="517" t="s">
        <v>116</v>
      </c>
      <c r="W4" s="289" t="s">
        <v>16</v>
      </c>
      <c r="X4" s="292" t="s">
        <v>200</v>
      </c>
      <c r="Z4" s="156"/>
    </row>
    <row r="5" spans="1:26" s="154" customFormat="1" ht="18">
      <c r="A5" s="542">
        <v>1</v>
      </c>
      <c r="B5" s="293"/>
      <c r="C5" s="555" t="s">
        <v>405</v>
      </c>
      <c r="D5" s="556">
        <v>38821</v>
      </c>
      <c r="E5" s="555" t="s">
        <v>330</v>
      </c>
      <c r="F5" s="555" t="s">
        <v>331</v>
      </c>
      <c r="G5" s="557">
        <v>118</v>
      </c>
      <c r="H5" s="557">
        <v>118</v>
      </c>
      <c r="I5" s="578">
        <v>1</v>
      </c>
      <c r="J5" s="576">
        <v>269356.5</v>
      </c>
      <c r="K5" s="579">
        <v>35931</v>
      </c>
      <c r="L5" s="576">
        <v>526691</v>
      </c>
      <c r="M5" s="579">
        <v>70268</v>
      </c>
      <c r="N5" s="576">
        <v>514618</v>
      </c>
      <c r="O5" s="579">
        <v>68970</v>
      </c>
      <c r="P5" s="337">
        <f aca="true" t="shared" si="0" ref="P5:P25">+J5+L5+N5</f>
        <v>1310665.5</v>
      </c>
      <c r="Q5" s="568">
        <f aca="true" t="shared" si="1" ref="Q5:Q25">+K5+M5+O5</f>
        <v>175169</v>
      </c>
      <c r="R5" s="569">
        <f>Q5/H5</f>
        <v>1484.4830508474577</v>
      </c>
      <c r="S5" s="582">
        <f>P5/Q5</f>
        <v>7.482291387174671</v>
      </c>
      <c r="T5" s="576"/>
      <c r="U5" s="586"/>
      <c r="V5" s="576">
        <v>1310665.5</v>
      </c>
      <c r="W5" s="558">
        <v>175169</v>
      </c>
      <c r="X5" s="496">
        <f aca="true" t="shared" si="2" ref="X5:X39">V5/W5</f>
        <v>7.482291387174671</v>
      </c>
      <c r="Z5" s="156"/>
    </row>
    <row r="6" spans="1:26" s="530" customFormat="1" ht="18">
      <c r="A6" s="542">
        <v>2</v>
      </c>
      <c r="B6" s="559"/>
      <c r="C6" s="350" t="s">
        <v>385</v>
      </c>
      <c r="D6" s="349">
        <v>38821</v>
      </c>
      <c r="E6" s="350" t="s">
        <v>92</v>
      </c>
      <c r="F6" s="350" t="s">
        <v>335</v>
      </c>
      <c r="G6" s="513">
        <v>94</v>
      </c>
      <c r="H6" s="513">
        <v>96</v>
      </c>
      <c r="I6" s="389">
        <v>1</v>
      </c>
      <c r="J6" s="397">
        <v>32117</v>
      </c>
      <c r="K6" s="453">
        <v>4354</v>
      </c>
      <c r="L6" s="397">
        <v>108298</v>
      </c>
      <c r="M6" s="453">
        <v>14326</v>
      </c>
      <c r="N6" s="397">
        <v>96092</v>
      </c>
      <c r="O6" s="453">
        <v>12748</v>
      </c>
      <c r="P6" s="338">
        <f t="shared" si="0"/>
        <v>236507</v>
      </c>
      <c r="Q6" s="570">
        <f t="shared" si="1"/>
        <v>31428</v>
      </c>
      <c r="R6" s="571">
        <f>IF(P6&lt;&gt;0,Q6/H6,"")</f>
        <v>327.375</v>
      </c>
      <c r="S6" s="583">
        <f>IF(P6&lt;&gt;0,P6/Q6,"")</f>
        <v>7.525359551991855</v>
      </c>
      <c r="T6" s="413">
        <v>120496</v>
      </c>
      <c r="U6" s="419">
        <f aca="true" t="shared" si="3" ref="U6:U40">IF(T6&lt;&gt;0,-(T6-P6)/T6,"")</f>
        <v>0.9627788474306201</v>
      </c>
      <c r="V6" s="397">
        <v>357935</v>
      </c>
      <c r="W6" s="351">
        <v>46027</v>
      </c>
      <c r="X6" s="496">
        <f t="shared" si="2"/>
        <v>7.776631107828014</v>
      </c>
      <c r="Z6" s="531"/>
    </row>
    <row r="7" spans="1:26" s="530" customFormat="1" ht="18">
      <c r="A7" s="542">
        <v>3</v>
      </c>
      <c r="B7" s="559"/>
      <c r="C7" s="348" t="s">
        <v>292</v>
      </c>
      <c r="D7" s="349">
        <v>38807</v>
      </c>
      <c r="E7" s="350" t="s">
        <v>326</v>
      </c>
      <c r="F7" s="350" t="s">
        <v>327</v>
      </c>
      <c r="G7" s="513">
        <v>115</v>
      </c>
      <c r="H7" s="513">
        <v>115</v>
      </c>
      <c r="I7" s="389">
        <v>3</v>
      </c>
      <c r="J7" s="397">
        <v>50285.5</v>
      </c>
      <c r="K7" s="453">
        <v>6746</v>
      </c>
      <c r="L7" s="397">
        <v>66625</v>
      </c>
      <c r="M7" s="453">
        <v>8586</v>
      </c>
      <c r="N7" s="397">
        <v>73139</v>
      </c>
      <c r="O7" s="453">
        <v>9707</v>
      </c>
      <c r="P7" s="338">
        <f t="shared" si="0"/>
        <v>190049.5</v>
      </c>
      <c r="Q7" s="570">
        <f t="shared" si="1"/>
        <v>25039</v>
      </c>
      <c r="R7" s="572">
        <f>Q7/H7</f>
        <v>217.73043478260868</v>
      </c>
      <c r="S7" s="584">
        <f>P7/Q7</f>
        <v>7.590139382563201</v>
      </c>
      <c r="T7" s="413">
        <v>369499</v>
      </c>
      <c r="U7" s="419">
        <f t="shared" si="3"/>
        <v>-0.48565625346753305</v>
      </c>
      <c r="V7" s="397">
        <v>1697125</v>
      </c>
      <c r="W7" s="351">
        <v>224699</v>
      </c>
      <c r="X7" s="496">
        <f t="shared" si="2"/>
        <v>7.552881855281955</v>
      </c>
      <c r="Z7" s="531"/>
    </row>
    <row r="8" spans="1:27" s="533" customFormat="1" ht="18">
      <c r="A8" s="542">
        <v>4</v>
      </c>
      <c r="B8" s="560"/>
      <c r="C8" s="350" t="s">
        <v>328</v>
      </c>
      <c r="D8" s="349">
        <v>38814</v>
      </c>
      <c r="E8" s="455" t="s">
        <v>88</v>
      </c>
      <c r="F8" s="350" t="s">
        <v>329</v>
      </c>
      <c r="G8" s="513">
        <v>124</v>
      </c>
      <c r="H8" s="513">
        <v>127</v>
      </c>
      <c r="I8" s="389">
        <v>2</v>
      </c>
      <c r="J8" s="397">
        <v>37341.5</v>
      </c>
      <c r="K8" s="453">
        <v>5446</v>
      </c>
      <c r="L8" s="397">
        <v>65155</v>
      </c>
      <c r="M8" s="453">
        <v>9563</v>
      </c>
      <c r="N8" s="397">
        <v>65202</v>
      </c>
      <c r="O8" s="453">
        <v>9311</v>
      </c>
      <c r="P8" s="338">
        <f t="shared" si="0"/>
        <v>167698.5</v>
      </c>
      <c r="Q8" s="570">
        <f t="shared" si="1"/>
        <v>24320</v>
      </c>
      <c r="R8" s="571">
        <f>IF(P8&lt;&gt;0,Q8/H8,"")</f>
        <v>191.49606299212599</v>
      </c>
      <c r="S8" s="583">
        <f>IF(P8&lt;&gt;0,P8/Q8,"")</f>
        <v>6.895497532894737</v>
      </c>
      <c r="T8" s="397">
        <v>278403</v>
      </c>
      <c r="U8" s="419">
        <f t="shared" si="3"/>
        <v>-0.39764118921132313</v>
      </c>
      <c r="V8" s="397">
        <v>607112.5</v>
      </c>
      <c r="W8" s="351">
        <v>90234</v>
      </c>
      <c r="X8" s="496">
        <f t="shared" si="2"/>
        <v>6.72820112152847</v>
      </c>
      <c r="Y8" s="532"/>
      <c r="AA8" s="532"/>
    </row>
    <row r="9" spans="1:26" s="534" customFormat="1" ht="18">
      <c r="A9" s="542">
        <v>5</v>
      </c>
      <c r="B9" s="560"/>
      <c r="C9" s="350" t="s">
        <v>391</v>
      </c>
      <c r="D9" s="349">
        <v>38821</v>
      </c>
      <c r="E9" s="455" t="s">
        <v>88</v>
      </c>
      <c r="F9" s="350" t="s">
        <v>346</v>
      </c>
      <c r="G9" s="513">
        <v>53</v>
      </c>
      <c r="H9" s="513">
        <v>55</v>
      </c>
      <c r="I9" s="389">
        <v>1</v>
      </c>
      <c r="J9" s="397">
        <v>24731</v>
      </c>
      <c r="K9" s="453">
        <v>3182</v>
      </c>
      <c r="L9" s="397">
        <v>36319</v>
      </c>
      <c r="M9" s="453">
        <v>4716</v>
      </c>
      <c r="N9" s="397">
        <v>37215</v>
      </c>
      <c r="O9" s="453">
        <v>4748</v>
      </c>
      <c r="P9" s="338">
        <f t="shared" si="0"/>
        <v>98265</v>
      </c>
      <c r="Q9" s="570">
        <f t="shared" si="1"/>
        <v>12646</v>
      </c>
      <c r="R9" s="571">
        <f>IF(P9&lt;&gt;0,Q9/H9,"")</f>
        <v>229.92727272727274</v>
      </c>
      <c r="S9" s="583">
        <f>IF(P9&lt;&gt;0,P9/Q9,"")</f>
        <v>7.7704412462438714</v>
      </c>
      <c r="T9" s="397"/>
      <c r="U9" s="419">
        <f t="shared" si="3"/>
      </c>
      <c r="V9" s="397">
        <v>98265.5</v>
      </c>
      <c r="W9" s="539">
        <v>12646</v>
      </c>
      <c r="X9" s="496">
        <f t="shared" si="2"/>
        <v>7.770480784437767</v>
      </c>
      <c r="Y9" s="532"/>
      <c r="Z9" s="532"/>
    </row>
    <row r="10" spans="1:26" s="534" customFormat="1" ht="18">
      <c r="A10" s="542">
        <v>6</v>
      </c>
      <c r="B10" s="560"/>
      <c r="C10" s="350" t="s">
        <v>294</v>
      </c>
      <c r="D10" s="349">
        <v>38807</v>
      </c>
      <c r="E10" s="455" t="s">
        <v>88</v>
      </c>
      <c r="F10" s="350" t="s">
        <v>91</v>
      </c>
      <c r="G10" s="513">
        <v>77</v>
      </c>
      <c r="H10" s="513">
        <v>76</v>
      </c>
      <c r="I10" s="389">
        <v>3</v>
      </c>
      <c r="J10" s="397">
        <v>27346</v>
      </c>
      <c r="K10" s="453">
        <v>3329</v>
      </c>
      <c r="L10" s="397">
        <v>35605.5</v>
      </c>
      <c r="M10" s="453">
        <v>4461</v>
      </c>
      <c r="N10" s="397">
        <v>30701</v>
      </c>
      <c r="O10" s="453">
        <v>3787</v>
      </c>
      <c r="P10" s="338">
        <f t="shared" si="0"/>
        <v>93652.5</v>
      </c>
      <c r="Q10" s="570">
        <f t="shared" si="1"/>
        <v>11577</v>
      </c>
      <c r="R10" s="571">
        <f>IF(P10&lt;&gt;0,Q10/H10,"")</f>
        <v>152.32894736842104</v>
      </c>
      <c r="S10" s="583">
        <f>IF(P10&lt;&gt;0,P10/Q10,"")</f>
        <v>8.089530966571651</v>
      </c>
      <c r="T10" s="397">
        <v>191761</v>
      </c>
      <c r="U10" s="419">
        <f t="shared" si="3"/>
        <v>-0.5116186294397714</v>
      </c>
      <c r="V10" s="397">
        <v>735935.5</v>
      </c>
      <c r="W10" s="351">
        <v>95161</v>
      </c>
      <c r="X10" s="496">
        <f t="shared" si="2"/>
        <v>7.733583085507719</v>
      </c>
      <c r="Y10" s="532"/>
      <c r="Z10" s="532"/>
    </row>
    <row r="11" spans="1:26" s="534" customFormat="1" ht="18">
      <c r="A11" s="542">
        <v>7</v>
      </c>
      <c r="B11" s="560"/>
      <c r="C11" s="350" t="s">
        <v>390</v>
      </c>
      <c r="D11" s="349">
        <v>38765</v>
      </c>
      <c r="E11" s="455" t="s">
        <v>88</v>
      </c>
      <c r="F11" s="350" t="s">
        <v>365</v>
      </c>
      <c r="G11" s="513">
        <v>32</v>
      </c>
      <c r="H11" s="513">
        <v>34</v>
      </c>
      <c r="I11" s="389">
        <v>1</v>
      </c>
      <c r="J11" s="397">
        <v>21629</v>
      </c>
      <c r="K11" s="453">
        <v>2163</v>
      </c>
      <c r="L11" s="397">
        <v>31120</v>
      </c>
      <c r="M11" s="453">
        <v>3101</v>
      </c>
      <c r="N11" s="397">
        <v>28373</v>
      </c>
      <c r="O11" s="453">
        <v>2830</v>
      </c>
      <c r="P11" s="338">
        <f t="shared" si="0"/>
        <v>81122</v>
      </c>
      <c r="Q11" s="570">
        <f t="shared" si="1"/>
        <v>8094</v>
      </c>
      <c r="R11" s="571">
        <f>IF(P11&lt;&gt;0,Q11/H11,"")</f>
        <v>238.05882352941177</v>
      </c>
      <c r="S11" s="583">
        <f>IF(P11&lt;&gt;0,P11/Q11,"")</f>
        <v>10.02248579194465</v>
      </c>
      <c r="T11" s="397"/>
      <c r="U11" s="419">
        <f t="shared" si="3"/>
      </c>
      <c r="V11" s="397">
        <v>81122</v>
      </c>
      <c r="W11" s="539">
        <v>8094</v>
      </c>
      <c r="X11" s="496">
        <f t="shared" si="2"/>
        <v>10.02248579194465</v>
      </c>
      <c r="Y11" s="532"/>
      <c r="Z11" s="532"/>
    </row>
    <row r="12" spans="1:26" s="534" customFormat="1" ht="18">
      <c r="A12" s="542">
        <v>8</v>
      </c>
      <c r="B12" s="560"/>
      <c r="C12" s="356" t="s">
        <v>386</v>
      </c>
      <c r="D12" s="355">
        <v>38814</v>
      </c>
      <c r="E12" s="356" t="s">
        <v>330</v>
      </c>
      <c r="F12" s="356" t="s">
        <v>90</v>
      </c>
      <c r="G12" s="535">
        <v>50</v>
      </c>
      <c r="H12" s="535">
        <v>50</v>
      </c>
      <c r="I12" s="390">
        <v>2</v>
      </c>
      <c r="J12" s="394">
        <v>22116</v>
      </c>
      <c r="K12" s="403">
        <v>2411</v>
      </c>
      <c r="L12" s="394">
        <v>27577</v>
      </c>
      <c r="M12" s="403">
        <v>3099</v>
      </c>
      <c r="N12" s="394">
        <v>26070.5</v>
      </c>
      <c r="O12" s="403">
        <v>2915</v>
      </c>
      <c r="P12" s="338">
        <f t="shared" si="0"/>
        <v>75763.5</v>
      </c>
      <c r="Q12" s="573">
        <f t="shared" si="1"/>
        <v>8425</v>
      </c>
      <c r="R12" s="572">
        <f>Q12/H12</f>
        <v>168.5</v>
      </c>
      <c r="S12" s="584">
        <f>P12/Q12</f>
        <v>8.992700296735904</v>
      </c>
      <c r="T12" s="394">
        <v>103872</v>
      </c>
      <c r="U12" s="458">
        <f t="shared" si="3"/>
        <v>-0.2706070933456562</v>
      </c>
      <c r="V12" s="394">
        <v>234967.5</v>
      </c>
      <c r="W12" s="357">
        <v>28285</v>
      </c>
      <c r="X12" s="496">
        <f t="shared" si="2"/>
        <v>8.30714159448471</v>
      </c>
      <c r="Y12" s="532"/>
      <c r="Z12" s="532"/>
    </row>
    <row r="13" spans="1:26" s="534" customFormat="1" ht="18">
      <c r="A13" s="542">
        <v>9</v>
      </c>
      <c r="B13" s="560"/>
      <c r="C13" s="350" t="s">
        <v>332</v>
      </c>
      <c r="D13" s="349">
        <v>38814</v>
      </c>
      <c r="E13" s="350" t="s">
        <v>333</v>
      </c>
      <c r="F13" s="350" t="s">
        <v>334</v>
      </c>
      <c r="G13" s="513">
        <v>56</v>
      </c>
      <c r="H13" s="513">
        <v>56</v>
      </c>
      <c r="I13" s="389">
        <v>2</v>
      </c>
      <c r="J13" s="397">
        <v>14546.5</v>
      </c>
      <c r="K13" s="453">
        <v>2110</v>
      </c>
      <c r="L13" s="397">
        <v>23955</v>
      </c>
      <c r="M13" s="453">
        <v>3339</v>
      </c>
      <c r="N13" s="397">
        <v>25781</v>
      </c>
      <c r="O13" s="453">
        <v>3573</v>
      </c>
      <c r="P13" s="338">
        <f t="shared" si="0"/>
        <v>64282.5</v>
      </c>
      <c r="Q13" s="570">
        <f t="shared" si="1"/>
        <v>9022</v>
      </c>
      <c r="R13" s="571">
        <f>IF(P13&lt;&gt;0,Q13/H13,"")</f>
        <v>161.10714285714286</v>
      </c>
      <c r="S13" s="583">
        <f>IF(P13&lt;&gt;0,P13/Q13,"")</f>
        <v>7.125083130126358</v>
      </c>
      <c r="T13" s="397">
        <v>153667</v>
      </c>
      <c r="U13" s="419">
        <f t="shared" si="3"/>
        <v>-0.5816766124151574</v>
      </c>
      <c r="V13" s="413">
        <f>217941.5+64282.5</f>
        <v>282224</v>
      </c>
      <c r="W13" s="528">
        <f>30137+9022</f>
        <v>39159</v>
      </c>
      <c r="X13" s="496">
        <f t="shared" si="2"/>
        <v>7.207129906279527</v>
      </c>
      <c r="Y13" s="532"/>
      <c r="Z13" s="532"/>
    </row>
    <row r="14" spans="1:26" s="534" customFormat="1" ht="18">
      <c r="A14" s="542">
        <v>10</v>
      </c>
      <c r="B14" s="560"/>
      <c r="C14" s="350" t="s">
        <v>296</v>
      </c>
      <c r="D14" s="349">
        <v>38807</v>
      </c>
      <c r="E14" s="350" t="s">
        <v>92</v>
      </c>
      <c r="F14" s="350" t="s">
        <v>335</v>
      </c>
      <c r="G14" s="513">
        <v>62</v>
      </c>
      <c r="H14" s="513">
        <v>61</v>
      </c>
      <c r="I14" s="389">
        <v>3</v>
      </c>
      <c r="J14" s="397">
        <v>14736</v>
      </c>
      <c r="K14" s="453">
        <v>1847</v>
      </c>
      <c r="L14" s="397">
        <v>23522</v>
      </c>
      <c r="M14" s="453">
        <v>2945</v>
      </c>
      <c r="N14" s="397">
        <v>20755</v>
      </c>
      <c r="O14" s="453">
        <v>2599</v>
      </c>
      <c r="P14" s="338">
        <f t="shared" si="0"/>
        <v>59013</v>
      </c>
      <c r="Q14" s="570">
        <f t="shared" si="1"/>
        <v>7391</v>
      </c>
      <c r="R14" s="571">
        <f>IF(P14&lt;&gt;0,Q14/H14,"")</f>
        <v>121.1639344262295</v>
      </c>
      <c r="S14" s="583">
        <f>IF(P14&lt;&gt;0,P14/Q14,"")</f>
        <v>7.984440535786768</v>
      </c>
      <c r="T14" s="413">
        <v>134070</v>
      </c>
      <c r="U14" s="419">
        <f t="shared" si="3"/>
        <v>-0.5598344148579101</v>
      </c>
      <c r="V14" s="397">
        <v>474418</v>
      </c>
      <c r="W14" s="351">
        <v>58563</v>
      </c>
      <c r="X14" s="496">
        <f t="shared" si="2"/>
        <v>8.100985263733074</v>
      </c>
      <c r="Y14" s="532"/>
      <c r="Z14" s="532"/>
    </row>
    <row r="15" spans="1:26" s="534" customFormat="1" ht="18">
      <c r="A15" s="542">
        <v>11</v>
      </c>
      <c r="B15" s="560"/>
      <c r="C15" s="350" t="s">
        <v>201</v>
      </c>
      <c r="D15" s="349">
        <v>38793</v>
      </c>
      <c r="E15" s="350" t="s">
        <v>92</v>
      </c>
      <c r="F15" s="350" t="s">
        <v>338</v>
      </c>
      <c r="G15" s="513">
        <v>129</v>
      </c>
      <c r="H15" s="513">
        <v>72</v>
      </c>
      <c r="I15" s="389">
        <v>5</v>
      </c>
      <c r="J15" s="397">
        <v>10629</v>
      </c>
      <c r="K15" s="453">
        <v>2258</v>
      </c>
      <c r="L15" s="397">
        <v>18416</v>
      </c>
      <c r="M15" s="453">
        <v>3754</v>
      </c>
      <c r="N15" s="397">
        <v>17550</v>
      </c>
      <c r="O15" s="453">
        <v>3565</v>
      </c>
      <c r="P15" s="338">
        <f t="shared" si="0"/>
        <v>46595</v>
      </c>
      <c r="Q15" s="570">
        <f t="shared" si="1"/>
        <v>9577</v>
      </c>
      <c r="R15" s="571">
        <f>IF(P15&lt;&gt;0,Q15/H15,"")</f>
        <v>133.01388888888889</v>
      </c>
      <c r="S15" s="583">
        <f>IF(P15&lt;&gt;0,P15/Q15,"")</f>
        <v>4.865302286728621</v>
      </c>
      <c r="T15" s="413">
        <v>93332</v>
      </c>
      <c r="U15" s="419">
        <f t="shared" si="3"/>
        <v>-0.5007607251532165</v>
      </c>
      <c r="V15" s="397">
        <v>1702389</v>
      </c>
      <c r="W15" s="351">
        <v>252880</v>
      </c>
      <c r="X15" s="496">
        <f t="shared" si="2"/>
        <v>6.732003321733629</v>
      </c>
      <c r="Y15" s="532"/>
      <c r="Z15" s="532"/>
    </row>
    <row r="16" spans="1:26" s="534" customFormat="1" ht="18">
      <c r="A16" s="542">
        <v>12</v>
      </c>
      <c r="B16" s="560"/>
      <c r="C16" s="356" t="s">
        <v>276</v>
      </c>
      <c r="D16" s="355">
        <v>38800</v>
      </c>
      <c r="E16" s="356" t="s">
        <v>330</v>
      </c>
      <c r="F16" s="356" t="s">
        <v>331</v>
      </c>
      <c r="G16" s="535">
        <v>92</v>
      </c>
      <c r="H16" s="535">
        <v>62</v>
      </c>
      <c r="I16" s="390">
        <v>4</v>
      </c>
      <c r="J16" s="394">
        <v>6929</v>
      </c>
      <c r="K16" s="403">
        <v>1099</v>
      </c>
      <c r="L16" s="394">
        <v>17262</v>
      </c>
      <c r="M16" s="403">
        <v>2738</v>
      </c>
      <c r="N16" s="394">
        <v>14013.5</v>
      </c>
      <c r="O16" s="403">
        <v>2240</v>
      </c>
      <c r="P16" s="338">
        <f t="shared" si="0"/>
        <v>38204.5</v>
      </c>
      <c r="Q16" s="573">
        <f t="shared" si="1"/>
        <v>6077</v>
      </c>
      <c r="R16" s="572">
        <f>Q16/H16</f>
        <v>98.01612903225806</v>
      </c>
      <c r="S16" s="584">
        <f>P16/Q16</f>
        <v>6.286736876748396</v>
      </c>
      <c r="T16" s="394">
        <v>180669</v>
      </c>
      <c r="U16" s="458">
        <f t="shared" si="3"/>
        <v>-0.7885387089096635</v>
      </c>
      <c r="V16" s="394">
        <v>1070495</v>
      </c>
      <c r="W16" s="357">
        <v>147137</v>
      </c>
      <c r="X16" s="496">
        <f t="shared" si="2"/>
        <v>7.275498345079756</v>
      </c>
      <c r="Y16" s="532"/>
      <c r="Z16" s="532"/>
    </row>
    <row r="17" spans="1:26" s="534" customFormat="1" ht="18">
      <c r="A17" s="542">
        <v>13</v>
      </c>
      <c r="B17" s="560"/>
      <c r="C17" s="350" t="s">
        <v>279</v>
      </c>
      <c r="D17" s="349">
        <v>38800</v>
      </c>
      <c r="E17" s="350" t="s">
        <v>333</v>
      </c>
      <c r="F17" s="350" t="s">
        <v>334</v>
      </c>
      <c r="G17" s="513">
        <v>58</v>
      </c>
      <c r="H17" s="513">
        <v>58</v>
      </c>
      <c r="I17" s="389">
        <v>4</v>
      </c>
      <c r="J17" s="397">
        <v>4409</v>
      </c>
      <c r="K17" s="453">
        <v>984</v>
      </c>
      <c r="L17" s="397">
        <v>11736</v>
      </c>
      <c r="M17" s="453">
        <v>2219</v>
      </c>
      <c r="N17" s="397">
        <v>11000.5</v>
      </c>
      <c r="O17" s="453">
        <v>2049</v>
      </c>
      <c r="P17" s="338">
        <f t="shared" si="0"/>
        <v>27145.5</v>
      </c>
      <c r="Q17" s="570">
        <f t="shared" si="1"/>
        <v>5252</v>
      </c>
      <c r="R17" s="571">
        <f>IF(P17&lt;&gt;0,Q17/H17,"")</f>
        <v>90.55172413793103</v>
      </c>
      <c r="S17" s="583">
        <f>IF(P17&lt;&gt;0,P17/Q17,"")</f>
        <v>5.168602437166793</v>
      </c>
      <c r="T17" s="397">
        <v>106294</v>
      </c>
      <c r="U17" s="419">
        <f t="shared" si="3"/>
        <v>-0.7446186990799104</v>
      </c>
      <c r="V17" s="413">
        <f>350945.5+222517.5+139156.5+27145.5</f>
        <v>739765</v>
      </c>
      <c r="W17" s="528">
        <f>46256+31606+20219+5252</f>
        <v>103333</v>
      </c>
      <c r="X17" s="496">
        <f t="shared" si="2"/>
        <v>7.15903922270717</v>
      </c>
      <c r="Y17" s="532"/>
      <c r="Z17" s="532"/>
    </row>
    <row r="18" spans="1:26" s="534" customFormat="1" ht="18">
      <c r="A18" s="542">
        <v>14</v>
      </c>
      <c r="B18" s="560"/>
      <c r="C18" s="356" t="s">
        <v>68</v>
      </c>
      <c r="D18" s="355">
        <v>38758</v>
      </c>
      <c r="E18" s="356" t="s">
        <v>330</v>
      </c>
      <c r="F18" s="356" t="s">
        <v>344</v>
      </c>
      <c r="G18" s="535">
        <v>58</v>
      </c>
      <c r="H18" s="535">
        <v>21</v>
      </c>
      <c r="I18" s="390">
        <v>10</v>
      </c>
      <c r="J18" s="394">
        <v>5509.5</v>
      </c>
      <c r="K18" s="403">
        <v>1494</v>
      </c>
      <c r="L18" s="394">
        <v>8469.5</v>
      </c>
      <c r="M18" s="403">
        <v>2199</v>
      </c>
      <c r="N18" s="394">
        <v>6481</v>
      </c>
      <c r="O18" s="403">
        <v>1691</v>
      </c>
      <c r="P18" s="338">
        <f t="shared" si="0"/>
        <v>20460</v>
      </c>
      <c r="Q18" s="573">
        <f t="shared" si="1"/>
        <v>5384</v>
      </c>
      <c r="R18" s="572">
        <f>Q18/H18</f>
        <v>256.3809523809524</v>
      </c>
      <c r="S18" s="584">
        <f>P18/Q18</f>
        <v>3.800148588410104</v>
      </c>
      <c r="T18" s="394">
        <v>21658.5</v>
      </c>
      <c r="U18" s="458">
        <f t="shared" si="3"/>
        <v>-0.05533624212203061</v>
      </c>
      <c r="V18" s="394">
        <v>3238197</v>
      </c>
      <c r="W18" s="357">
        <v>521151</v>
      </c>
      <c r="X18" s="496">
        <f t="shared" si="2"/>
        <v>6.213548472515643</v>
      </c>
      <c r="Y18" s="532"/>
      <c r="Z18" s="532"/>
    </row>
    <row r="19" spans="1:26" s="534" customFormat="1" ht="18">
      <c r="A19" s="542">
        <v>15</v>
      </c>
      <c r="B19" s="560"/>
      <c r="C19" s="356" t="s">
        <v>67</v>
      </c>
      <c r="D19" s="355" t="s">
        <v>299</v>
      </c>
      <c r="E19" s="356" t="s">
        <v>330</v>
      </c>
      <c r="F19" s="356" t="s">
        <v>343</v>
      </c>
      <c r="G19" s="535">
        <v>72</v>
      </c>
      <c r="H19" s="535">
        <v>16</v>
      </c>
      <c r="I19" s="390">
        <v>22</v>
      </c>
      <c r="J19" s="394">
        <v>3465.5</v>
      </c>
      <c r="K19" s="403">
        <v>1466</v>
      </c>
      <c r="L19" s="394">
        <v>4994.5</v>
      </c>
      <c r="M19" s="403">
        <v>1696</v>
      </c>
      <c r="N19" s="394">
        <v>6212</v>
      </c>
      <c r="O19" s="403">
        <v>2089</v>
      </c>
      <c r="P19" s="338">
        <f t="shared" si="0"/>
        <v>14672</v>
      </c>
      <c r="Q19" s="573">
        <f t="shared" si="1"/>
        <v>5251</v>
      </c>
      <c r="R19" s="572">
        <f>Q19/H19</f>
        <v>328.1875</v>
      </c>
      <c r="S19" s="584">
        <f>P19/Q19</f>
        <v>2.7941344505808416</v>
      </c>
      <c r="T19" s="394">
        <v>26889.5</v>
      </c>
      <c r="U19" s="458">
        <f t="shared" si="3"/>
        <v>-0.4543595083582811</v>
      </c>
      <c r="V19" s="394">
        <v>25007551</v>
      </c>
      <c r="W19" s="357">
        <v>3709693</v>
      </c>
      <c r="X19" s="496">
        <f t="shared" si="2"/>
        <v>6.741137608961173</v>
      </c>
      <c r="Y19" s="532"/>
      <c r="Z19" s="532"/>
    </row>
    <row r="20" spans="1:26" s="534" customFormat="1" ht="18">
      <c r="A20" s="542">
        <v>16</v>
      </c>
      <c r="B20" s="560"/>
      <c r="C20" s="356" t="s">
        <v>298</v>
      </c>
      <c r="D20" s="355">
        <v>38807</v>
      </c>
      <c r="E20" s="356" t="s">
        <v>330</v>
      </c>
      <c r="F20" s="356" t="s">
        <v>331</v>
      </c>
      <c r="G20" s="535">
        <v>20</v>
      </c>
      <c r="H20" s="535">
        <v>20</v>
      </c>
      <c r="I20" s="390">
        <v>3</v>
      </c>
      <c r="J20" s="394">
        <v>3262.5</v>
      </c>
      <c r="K20" s="403">
        <v>387</v>
      </c>
      <c r="L20" s="394">
        <v>4077.5</v>
      </c>
      <c r="M20" s="403">
        <v>495</v>
      </c>
      <c r="N20" s="394">
        <v>3967</v>
      </c>
      <c r="O20" s="403">
        <v>471</v>
      </c>
      <c r="P20" s="338">
        <f t="shared" si="0"/>
        <v>11307</v>
      </c>
      <c r="Q20" s="573">
        <f t="shared" si="1"/>
        <v>1353</v>
      </c>
      <c r="R20" s="572">
        <f>Q20/H20</f>
        <v>67.65</v>
      </c>
      <c r="S20" s="584">
        <f>P20/Q20</f>
        <v>8.356984478935699</v>
      </c>
      <c r="T20" s="394">
        <v>41684.5</v>
      </c>
      <c r="U20" s="458">
        <f t="shared" si="3"/>
        <v>-0.7287480958149912</v>
      </c>
      <c r="V20" s="394">
        <v>148726.5</v>
      </c>
      <c r="W20" s="357">
        <v>17978</v>
      </c>
      <c r="X20" s="496">
        <f t="shared" si="2"/>
        <v>8.272694404271888</v>
      </c>
      <c r="Y20" s="532"/>
      <c r="Z20" s="532"/>
    </row>
    <row r="21" spans="1:26" s="534" customFormat="1" ht="18">
      <c r="A21" s="542">
        <v>17</v>
      </c>
      <c r="B21" s="560"/>
      <c r="C21" s="360" t="s">
        <v>301</v>
      </c>
      <c r="D21" s="355">
        <v>38793</v>
      </c>
      <c r="E21" s="356" t="s">
        <v>330</v>
      </c>
      <c r="F21" s="356" t="s">
        <v>347</v>
      </c>
      <c r="G21" s="535">
        <v>50</v>
      </c>
      <c r="H21" s="535">
        <v>31</v>
      </c>
      <c r="I21" s="390">
        <v>5</v>
      </c>
      <c r="J21" s="394">
        <v>2645</v>
      </c>
      <c r="K21" s="403">
        <v>722</v>
      </c>
      <c r="L21" s="394">
        <v>4088</v>
      </c>
      <c r="M21" s="403">
        <v>994</v>
      </c>
      <c r="N21" s="394">
        <v>3956.5</v>
      </c>
      <c r="O21" s="403">
        <v>941</v>
      </c>
      <c r="P21" s="338">
        <f t="shared" si="0"/>
        <v>10689.5</v>
      </c>
      <c r="Q21" s="573">
        <f t="shared" si="1"/>
        <v>2657</v>
      </c>
      <c r="R21" s="572">
        <f>Q21/H21</f>
        <v>85.70967741935483</v>
      </c>
      <c r="S21" s="584">
        <f>P21/Q21</f>
        <v>4.023146405720738</v>
      </c>
      <c r="T21" s="394">
        <v>15987</v>
      </c>
      <c r="U21" s="458">
        <f t="shared" si="3"/>
        <v>-0.3313629824232189</v>
      </c>
      <c r="V21" s="396">
        <v>400438.5</v>
      </c>
      <c r="W21" s="365">
        <v>54506</v>
      </c>
      <c r="X21" s="496">
        <f t="shared" si="2"/>
        <v>7.346686603309728</v>
      </c>
      <c r="Y21" s="532"/>
      <c r="Z21" s="532"/>
    </row>
    <row r="22" spans="1:26" s="534" customFormat="1" ht="18">
      <c r="A22" s="542">
        <v>18</v>
      </c>
      <c r="B22" s="560"/>
      <c r="C22" s="350" t="s">
        <v>64</v>
      </c>
      <c r="D22" s="349">
        <v>38786</v>
      </c>
      <c r="E22" s="455" t="s">
        <v>88</v>
      </c>
      <c r="F22" s="350" t="s">
        <v>346</v>
      </c>
      <c r="G22" s="513">
        <v>36</v>
      </c>
      <c r="H22" s="513">
        <v>13</v>
      </c>
      <c r="I22" s="389">
        <v>6</v>
      </c>
      <c r="J22" s="397">
        <v>2211.5</v>
      </c>
      <c r="K22" s="453">
        <v>492</v>
      </c>
      <c r="L22" s="397">
        <v>3440</v>
      </c>
      <c r="M22" s="453">
        <v>727</v>
      </c>
      <c r="N22" s="397">
        <v>3728.5</v>
      </c>
      <c r="O22" s="453">
        <v>779</v>
      </c>
      <c r="P22" s="338">
        <f t="shared" si="0"/>
        <v>9380</v>
      </c>
      <c r="Q22" s="570">
        <f t="shared" si="1"/>
        <v>1998</v>
      </c>
      <c r="R22" s="571">
        <f>IF(P22&lt;&gt;0,Q22/H22,"")</f>
        <v>153.69230769230768</v>
      </c>
      <c r="S22" s="583">
        <f>IF(P22&lt;&gt;0,P22/Q22,"")</f>
        <v>4.694694694694695</v>
      </c>
      <c r="T22" s="397">
        <v>17785.5</v>
      </c>
      <c r="U22" s="419">
        <f t="shared" si="3"/>
        <v>-0.472604087599449</v>
      </c>
      <c r="V22" s="397">
        <v>1578827.5</v>
      </c>
      <c r="W22" s="351">
        <v>224300</v>
      </c>
      <c r="X22" s="496">
        <f t="shared" si="2"/>
        <v>7.038909942041908</v>
      </c>
      <c r="Y22" s="532"/>
      <c r="Z22" s="532"/>
    </row>
    <row r="23" spans="1:26" s="534" customFormat="1" ht="18">
      <c r="A23" s="542">
        <v>19</v>
      </c>
      <c r="B23" s="560"/>
      <c r="C23" s="350" t="s">
        <v>204</v>
      </c>
      <c r="D23" s="349">
        <v>38793</v>
      </c>
      <c r="E23" s="455" t="s">
        <v>88</v>
      </c>
      <c r="F23" s="350" t="s">
        <v>91</v>
      </c>
      <c r="G23" s="513">
        <v>20</v>
      </c>
      <c r="H23" s="513">
        <v>22</v>
      </c>
      <c r="I23" s="389">
        <v>5</v>
      </c>
      <c r="J23" s="397">
        <v>2134.5</v>
      </c>
      <c r="K23" s="453">
        <v>529</v>
      </c>
      <c r="L23" s="397">
        <v>3600</v>
      </c>
      <c r="M23" s="453">
        <v>767</v>
      </c>
      <c r="N23" s="397">
        <v>3044</v>
      </c>
      <c r="O23" s="453">
        <v>697</v>
      </c>
      <c r="P23" s="338">
        <f t="shared" si="0"/>
        <v>8778.5</v>
      </c>
      <c r="Q23" s="570">
        <f t="shared" si="1"/>
        <v>1993</v>
      </c>
      <c r="R23" s="571">
        <f>IF(P23&lt;&gt;0,Q23/H23,"")</f>
        <v>90.5909090909091</v>
      </c>
      <c r="S23" s="583">
        <f>IF(P23&lt;&gt;0,P23/Q23,"")</f>
        <v>4.404666332162569</v>
      </c>
      <c r="T23" s="397">
        <v>10537</v>
      </c>
      <c r="U23" s="419">
        <f t="shared" si="3"/>
        <v>-0.16688810856980166</v>
      </c>
      <c r="V23" s="397">
        <v>708615.75</v>
      </c>
      <c r="W23" s="351">
        <v>86351</v>
      </c>
      <c r="X23" s="496">
        <f t="shared" si="2"/>
        <v>8.206225173999144</v>
      </c>
      <c r="Y23" s="532"/>
      <c r="Z23" s="532"/>
    </row>
    <row r="24" spans="1:26" s="534" customFormat="1" ht="18">
      <c r="A24" s="542">
        <v>20</v>
      </c>
      <c r="B24" s="560"/>
      <c r="C24" s="363" t="s">
        <v>340</v>
      </c>
      <c r="D24" s="364">
        <v>38814</v>
      </c>
      <c r="E24" s="473" t="s">
        <v>178</v>
      </c>
      <c r="F24" s="363" t="s">
        <v>341</v>
      </c>
      <c r="G24" s="529">
        <v>14</v>
      </c>
      <c r="H24" s="529">
        <v>14</v>
      </c>
      <c r="I24" s="391">
        <v>2</v>
      </c>
      <c r="J24" s="396">
        <v>1662</v>
      </c>
      <c r="K24" s="405">
        <v>218</v>
      </c>
      <c r="L24" s="396">
        <v>2998</v>
      </c>
      <c r="M24" s="405">
        <v>402</v>
      </c>
      <c r="N24" s="396">
        <v>3398</v>
      </c>
      <c r="O24" s="405">
        <v>4380</v>
      </c>
      <c r="P24" s="338">
        <f t="shared" si="0"/>
        <v>8058</v>
      </c>
      <c r="Q24" s="573">
        <f t="shared" si="1"/>
        <v>5000</v>
      </c>
      <c r="R24" s="572">
        <f>Q24/H24</f>
        <v>357.14285714285717</v>
      </c>
      <c r="S24" s="584">
        <f>P24/Q24</f>
        <v>1.6116</v>
      </c>
      <c r="T24" s="396">
        <v>31062.5</v>
      </c>
      <c r="U24" s="458">
        <f t="shared" si="3"/>
        <v>-0.7405875251509054</v>
      </c>
      <c r="V24" s="396">
        <v>51169</v>
      </c>
      <c r="W24" s="365">
        <v>5678</v>
      </c>
      <c r="X24" s="496">
        <f t="shared" si="2"/>
        <v>9.011799929552659</v>
      </c>
      <c r="Y24" s="532"/>
      <c r="Z24" s="532"/>
    </row>
    <row r="25" spans="1:26" s="534" customFormat="1" ht="18">
      <c r="A25" s="542">
        <v>21</v>
      </c>
      <c r="B25" s="560"/>
      <c r="C25" s="363" t="s">
        <v>218</v>
      </c>
      <c r="D25" s="364">
        <v>38793</v>
      </c>
      <c r="E25" s="363" t="s">
        <v>89</v>
      </c>
      <c r="F25" s="363" t="s">
        <v>349</v>
      </c>
      <c r="G25" s="529">
        <v>33</v>
      </c>
      <c r="H25" s="529">
        <v>24</v>
      </c>
      <c r="I25" s="391">
        <v>5</v>
      </c>
      <c r="J25" s="577">
        <v>1619</v>
      </c>
      <c r="K25" s="580">
        <v>437</v>
      </c>
      <c r="L25" s="577">
        <v>3015</v>
      </c>
      <c r="M25" s="580">
        <v>788</v>
      </c>
      <c r="N25" s="577">
        <v>2293</v>
      </c>
      <c r="O25" s="580">
        <v>628</v>
      </c>
      <c r="P25" s="338">
        <f t="shared" si="0"/>
        <v>6927</v>
      </c>
      <c r="Q25" s="573">
        <f t="shared" si="1"/>
        <v>1853</v>
      </c>
      <c r="R25" s="572">
        <f>Q25/H25</f>
        <v>77.20833333333333</v>
      </c>
      <c r="S25" s="584">
        <f>P25/Q25</f>
        <v>3.7382622773880194</v>
      </c>
      <c r="T25" s="577">
        <v>6947.5</v>
      </c>
      <c r="U25" s="458">
        <f t="shared" si="3"/>
        <v>-0.0029507016912558473</v>
      </c>
      <c r="V25" s="577">
        <v>124120</v>
      </c>
      <c r="W25" s="536">
        <v>18282</v>
      </c>
      <c r="X25" s="496">
        <f t="shared" si="2"/>
        <v>6.789191554534515</v>
      </c>
      <c r="Y25" s="532"/>
      <c r="Z25" s="532"/>
    </row>
    <row r="26" spans="1:26" s="534" customFormat="1" ht="18">
      <c r="A26" s="542">
        <v>22</v>
      </c>
      <c r="B26" s="560"/>
      <c r="C26" s="363" t="s">
        <v>65</v>
      </c>
      <c r="D26" s="364">
        <v>38751</v>
      </c>
      <c r="E26" s="363" t="s">
        <v>89</v>
      </c>
      <c r="F26" s="363" t="s">
        <v>345</v>
      </c>
      <c r="G26" s="529">
        <v>277</v>
      </c>
      <c r="H26" s="529">
        <v>18</v>
      </c>
      <c r="I26" s="391">
        <v>11</v>
      </c>
      <c r="J26" s="577">
        <v>1408</v>
      </c>
      <c r="K26" s="580">
        <v>470</v>
      </c>
      <c r="L26" s="577">
        <v>2233</v>
      </c>
      <c r="M26" s="580">
        <v>744</v>
      </c>
      <c r="N26" s="577">
        <v>3142</v>
      </c>
      <c r="O26" s="580">
        <v>1047</v>
      </c>
      <c r="P26" s="338">
        <v>6783</v>
      </c>
      <c r="Q26" s="573">
        <v>2261</v>
      </c>
      <c r="R26" s="572">
        <f>Q26/H26</f>
        <v>125.61111111111111</v>
      </c>
      <c r="S26" s="584">
        <f>P26/Q26</f>
        <v>3</v>
      </c>
      <c r="T26" s="577">
        <v>21166</v>
      </c>
      <c r="U26" s="458">
        <f t="shared" si="3"/>
        <v>-0.6795332136445242</v>
      </c>
      <c r="V26" s="577">
        <v>27381898</v>
      </c>
      <c r="W26" s="536">
        <v>4226795</v>
      </c>
      <c r="X26" s="496">
        <f t="shared" si="2"/>
        <v>6.478170339465245</v>
      </c>
      <c r="Y26" s="532"/>
      <c r="Z26" s="532"/>
    </row>
    <row r="27" spans="1:24" s="537" customFormat="1" ht="15">
      <c r="A27" s="542">
        <v>23</v>
      </c>
      <c r="B27" s="561"/>
      <c r="C27" s="350" t="s">
        <v>255</v>
      </c>
      <c r="D27" s="349">
        <v>38800</v>
      </c>
      <c r="E27" s="455" t="s">
        <v>88</v>
      </c>
      <c r="F27" s="350" t="s">
        <v>339</v>
      </c>
      <c r="G27" s="513">
        <v>36</v>
      </c>
      <c r="H27" s="513">
        <v>12</v>
      </c>
      <c r="I27" s="389">
        <v>4</v>
      </c>
      <c r="J27" s="397">
        <v>1586</v>
      </c>
      <c r="K27" s="453">
        <v>215</v>
      </c>
      <c r="L27" s="397">
        <v>1922.5</v>
      </c>
      <c r="M27" s="453">
        <v>269</v>
      </c>
      <c r="N27" s="397">
        <v>1721.5</v>
      </c>
      <c r="O27" s="453">
        <v>247</v>
      </c>
      <c r="P27" s="338">
        <f aca="true" t="shared" si="4" ref="P27:P72">+J27+L27+N27</f>
        <v>5230</v>
      </c>
      <c r="Q27" s="570">
        <f aca="true" t="shared" si="5" ref="Q27:Q72">+K27+M27+O27</f>
        <v>731</v>
      </c>
      <c r="R27" s="571">
        <f>IF(P27&lt;&gt;0,Q27/H27,"")</f>
        <v>60.916666666666664</v>
      </c>
      <c r="S27" s="583">
        <f>IF(P27&lt;&gt;0,P27/Q27,"")</f>
        <v>7.154582763337893</v>
      </c>
      <c r="T27" s="397">
        <v>39533</v>
      </c>
      <c r="U27" s="419">
        <f t="shared" si="3"/>
        <v>-0.867705461260213</v>
      </c>
      <c r="V27" s="397">
        <v>484289.5</v>
      </c>
      <c r="W27" s="539">
        <v>56494</v>
      </c>
      <c r="X27" s="496">
        <f>IF(V27&lt;&gt;0,V27/W27,"")</f>
        <v>8.57240591921266</v>
      </c>
    </row>
    <row r="28" spans="1:24" s="537" customFormat="1" ht="15">
      <c r="A28" s="542">
        <v>24</v>
      </c>
      <c r="B28" s="561"/>
      <c r="C28" s="363" t="s">
        <v>66</v>
      </c>
      <c r="D28" s="364">
        <v>38765</v>
      </c>
      <c r="E28" s="363" t="s">
        <v>89</v>
      </c>
      <c r="F28" s="363" t="s">
        <v>348</v>
      </c>
      <c r="G28" s="529">
        <v>164</v>
      </c>
      <c r="H28" s="529">
        <v>12</v>
      </c>
      <c r="I28" s="391">
        <v>9</v>
      </c>
      <c r="J28" s="577">
        <v>1112</v>
      </c>
      <c r="K28" s="580">
        <v>630</v>
      </c>
      <c r="L28" s="577">
        <v>1750</v>
      </c>
      <c r="M28" s="580">
        <v>768</v>
      </c>
      <c r="N28" s="577">
        <v>1504</v>
      </c>
      <c r="O28" s="580">
        <v>711</v>
      </c>
      <c r="P28" s="338">
        <f t="shared" si="4"/>
        <v>4366</v>
      </c>
      <c r="Q28" s="573">
        <f t="shared" si="5"/>
        <v>2109</v>
      </c>
      <c r="R28" s="572">
        <f>Q28/H28</f>
        <v>175.75</v>
      </c>
      <c r="S28" s="584">
        <f>P28/Q28</f>
        <v>2.0701754385964914</v>
      </c>
      <c r="T28" s="577">
        <v>9293</v>
      </c>
      <c r="U28" s="458">
        <f t="shared" si="3"/>
        <v>-0.5301840094694932</v>
      </c>
      <c r="V28" s="577">
        <v>4191008</v>
      </c>
      <c r="W28" s="536">
        <v>629249</v>
      </c>
      <c r="X28" s="496">
        <f>IF(V28&lt;&gt;0,V28/W28,"")</f>
        <v>6.660333190835424</v>
      </c>
    </row>
    <row r="29" spans="1:24" s="537" customFormat="1" ht="15">
      <c r="A29" s="542">
        <v>25</v>
      </c>
      <c r="B29" s="561"/>
      <c r="C29" s="363" t="s">
        <v>222</v>
      </c>
      <c r="D29" s="364">
        <v>38793</v>
      </c>
      <c r="E29" s="363" t="s">
        <v>351</v>
      </c>
      <c r="F29" s="363" t="s">
        <v>352</v>
      </c>
      <c r="G29" s="529">
        <v>4</v>
      </c>
      <c r="H29" s="529">
        <v>5</v>
      </c>
      <c r="I29" s="391">
        <v>5</v>
      </c>
      <c r="J29" s="396">
        <v>740.5</v>
      </c>
      <c r="K29" s="405">
        <v>108</v>
      </c>
      <c r="L29" s="396">
        <v>1129</v>
      </c>
      <c r="M29" s="405">
        <v>161</v>
      </c>
      <c r="N29" s="396">
        <v>1092</v>
      </c>
      <c r="O29" s="405">
        <v>158</v>
      </c>
      <c r="P29" s="338">
        <f t="shared" si="4"/>
        <v>2961.5</v>
      </c>
      <c r="Q29" s="573">
        <f t="shared" si="5"/>
        <v>427</v>
      </c>
      <c r="R29" s="572">
        <f>Q29/H29</f>
        <v>85.4</v>
      </c>
      <c r="S29" s="584">
        <f>P29/Q29</f>
        <v>6.93559718969555</v>
      </c>
      <c r="T29" s="396">
        <v>4310</v>
      </c>
      <c r="U29" s="458">
        <f t="shared" si="3"/>
        <v>-0.312877030162413</v>
      </c>
      <c r="V29" s="396">
        <v>88415</v>
      </c>
      <c r="W29" s="365">
        <v>9907</v>
      </c>
      <c r="X29" s="496">
        <f>IF(V29&lt;&gt;0,V29/W29,"")</f>
        <v>8.924497829817302</v>
      </c>
    </row>
    <row r="30" spans="1:24" s="537" customFormat="1" ht="15">
      <c r="A30" s="542">
        <v>26</v>
      </c>
      <c r="B30" s="561"/>
      <c r="C30" s="350" t="s">
        <v>256</v>
      </c>
      <c r="D30" s="349">
        <v>38800</v>
      </c>
      <c r="E30" s="455" t="s">
        <v>88</v>
      </c>
      <c r="F30" s="350" t="s">
        <v>346</v>
      </c>
      <c r="G30" s="513">
        <v>12</v>
      </c>
      <c r="H30" s="513">
        <v>6</v>
      </c>
      <c r="I30" s="389">
        <v>4</v>
      </c>
      <c r="J30" s="397">
        <v>843.5</v>
      </c>
      <c r="K30" s="453">
        <v>119</v>
      </c>
      <c r="L30" s="397">
        <v>982.5</v>
      </c>
      <c r="M30" s="453">
        <v>149</v>
      </c>
      <c r="N30" s="397">
        <v>1127.5</v>
      </c>
      <c r="O30" s="453">
        <v>173</v>
      </c>
      <c r="P30" s="338">
        <f t="shared" si="4"/>
        <v>2953.5</v>
      </c>
      <c r="Q30" s="570">
        <f t="shared" si="5"/>
        <v>441</v>
      </c>
      <c r="R30" s="571">
        <f>IF(P30&lt;&gt;0,Q30/H30,"")</f>
        <v>73.5</v>
      </c>
      <c r="S30" s="583">
        <f>IF(P30&lt;&gt;0,P30/Q30,"")</f>
        <v>6.697278911564626</v>
      </c>
      <c r="T30" s="397">
        <v>10430</v>
      </c>
      <c r="U30" s="419">
        <f t="shared" si="3"/>
        <v>-0.7168264621284756</v>
      </c>
      <c r="V30" s="397">
        <v>159078.5</v>
      </c>
      <c r="W30" s="351">
        <v>17070</v>
      </c>
      <c r="X30" s="496">
        <f t="shared" si="2"/>
        <v>9.319185705916814</v>
      </c>
    </row>
    <row r="31" spans="1:26" s="534" customFormat="1" ht="18">
      <c r="A31" s="542">
        <v>27</v>
      </c>
      <c r="B31" s="560"/>
      <c r="C31" s="350" t="s">
        <v>71</v>
      </c>
      <c r="D31" s="349">
        <v>38786</v>
      </c>
      <c r="E31" s="350" t="s">
        <v>92</v>
      </c>
      <c r="F31" s="350" t="s">
        <v>357</v>
      </c>
      <c r="G31" s="513">
        <v>63</v>
      </c>
      <c r="H31" s="513">
        <v>9</v>
      </c>
      <c r="I31" s="389">
        <v>6</v>
      </c>
      <c r="J31" s="397">
        <v>673</v>
      </c>
      <c r="K31" s="453">
        <v>123</v>
      </c>
      <c r="L31" s="397">
        <v>938</v>
      </c>
      <c r="M31" s="453">
        <v>185</v>
      </c>
      <c r="N31" s="397">
        <v>1311</v>
      </c>
      <c r="O31" s="453">
        <v>255</v>
      </c>
      <c r="P31" s="338">
        <f t="shared" si="4"/>
        <v>2922</v>
      </c>
      <c r="Q31" s="570">
        <f t="shared" si="5"/>
        <v>563</v>
      </c>
      <c r="R31" s="571">
        <f>IF(P31&lt;&gt;0,Q31/H31,"")</f>
        <v>62.55555555555556</v>
      </c>
      <c r="S31" s="583">
        <f>IF(P31&lt;&gt;0,P31/Q31,"")</f>
        <v>5.190053285968029</v>
      </c>
      <c r="T31" s="397">
        <v>1239</v>
      </c>
      <c r="U31" s="419">
        <f t="shared" si="3"/>
        <v>1.3583535108958837</v>
      </c>
      <c r="V31" s="397">
        <v>497762</v>
      </c>
      <c r="W31" s="351">
        <v>61663</v>
      </c>
      <c r="X31" s="496">
        <f t="shared" si="2"/>
        <v>8.072296190584305</v>
      </c>
      <c r="Y31" s="532"/>
      <c r="Z31" s="532"/>
    </row>
    <row r="32" spans="1:26" s="534" customFormat="1" ht="18">
      <c r="A32" s="542">
        <v>28</v>
      </c>
      <c r="B32" s="560"/>
      <c r="C32" s="350" t="s">
        <v>70</v>
      </c>
      <c r="D32" s="349">
        <v>38779</v>
      </c>
      <c r="E32" s="350" t="s">
        <v>92</v>
      </c>
      <c r="F32" s="350" t="s">
        <v>335</v>
      </c>
      <c r="G32" s="513">
        <v>72</v>
      </c>
      <c r="H32" s="513">
        <v>10</v>
      </c>
      <c r="I32" s="389">
        <v>7</v>
      </c>
      <c r="J32" s="397">
        <v>370</v>
      </c>
      <c r="K32" s="453">
        <v>88</v>
      </c>
      <c r="L32" s="397">
        <v>1172</v>
      </c>
      <c r="M32" s="453">
        <v>224</v>
      </c>
      <c r="N32" s="397">
        <v>1279</v>
      </c>
      <c r="O32" s="453">
        <v>233</v>
      </c>
      <c r="P32" s="338">
        <f t="shared" si="4"/>
        <v>2821</v>
      </c>
      <c r="Q32" s="570">
        <f t="shared" si="5"/>
        <v>545</v>
      </c>
      <c r="R32" s="571">
        <f>IF(P32&lt;&gt;0,Q32/H32,"")</f>
        <v>54.5</v>
      </c>
      <c r="S32" s="583">
        <f>IF(P32&lt;&gt;0,P32/Q32,"")</f>
        <v>5.176146788990826</v>
      </c>
      <c r="T32" s="413">
        <v>12074</v>
      </c>
      <c r="U32" s="419">
        <f t="shared" si="3"/>
        <v>-0.7663574623157198</v>
      </c>
      <c r="V32" s="397">
        <v>935824</v>
      </c>
      <c r="W32" s="351">
        <v>135375</v>
      </c>
      <c r="X32" s="496">
        <f t="shared" si="2"/>
        <v>6.9128273314866115</v>
      </c>
      <c r="Y32" s="532"/>
      <c r="Z32" s="532"/>
    </row>
    <row r="33" spans="1:26" s="534" customFormat="1" ht="18">
      <c r="A33" s="542">
        <v>29</v>
      </c>
      <c r="B33" s="560"/>
      <c r="C33" s="350" t="s">
        <v>281</v>
      </c>
      <c r="D33" s="349">
        <v>38793</v>
      </c>
      <c r="E33" s="350" t="s">
        <v>333</v>
      </c>
      <c r="F33" s="350" t="s">
        <v>353</v>
      </c>
      <c r="G33" s="513">
        <v>71</v>
      </c>
      <c r="H33" s="513">
        <v>10</v>
      </c>
      <c r="I33" s="389">
        <v>5</v>
      </c>
      <c r="J33" s="397">
        <v>657</v>
      </c>
      <c r="K33" s="453">
        <v>172</v>
      </c>
      <c r="L33" s="397">
        <v>1156.5</v>
      </c>
      <c r="M33" s="453">
        <v>333</v>
      </c>
      <c r="N33" s="397">
        <v>671.5</v>
      </c>
      <c r="O33" s="453">
        <v>220</v>
      </c>
      <c r="P33" s="338">
        <f t="shared" si="4"/>
        <v>2485</v>
      </c>
      <c r="Q33" s="570">
        <f t="shared" si="5"/>
        <v>725</v>
      </c>
      <c r="R33" s="571">
        <f>IF(P33&lt;&gt;0,Q33/H33,"")</f>
        <v>72.5</v>
      </c>
      <c r="S33" s="583">
        <f>IF(P33&lt;&gt;0,P33/Q33,"")</f>
        <v>3.4275862068965517</v>
      </c>
      <c r="T33" s="397">
        <v>4091</v>
      </c>
      <c r="U33" s="419">
        <f t="shared" si="3"/>
        <v>-0.39256905402102177</v>
      </c>
      <c r="V33" s="413">
        <f>139188.5+65126.5+15320+6439+2485</f>
        <v>228559</v>
      </c>
      <c r="W33" s="528">
        <f>20151+10232+2945+1343+725</f>
        <v>35396</v>
      </c>
      <c r="X33" s="496">
        <f t="shared" si="2"/>
        <v>6.457198553508871</v>
      </c>
      <c r="Y33" s="532"/>
      <c r="Z33" s="532"/>
    </row>
    <row r="34" spans="1:26" s="534" customFormat="1" ht="18">
      <c r="A34" s="542">
        <v>30</v>
      </c>
      <c r="B34" s="560"/>
      <c r="C34" s="350" t="s">
        <v>136</v>
      </c>
      <c r="D34" s="349">
        <v>38758</v>
      </c>
      <c r="E34" s="455" t="s">
        <v>88</v>
      </c>
      <c r="F34" s="350" t="s">
        <v>346</v>
      </c>
      <c r="G34" s="513">
        <v>61</v>
      </c>
      <c r="H34" s="513">
        <v>4</v>
      </c>
      <c r="I34" s="389">
        <v>10</v>
      </c>
      <c r="J34" s="397">
        <v>364</v>
      </c>
      <c r="K34" s="453">
        <v>63</v>
      </c>
      <c r="L34" s="397">
        <v>1006</v>
      </c>
      <c r="M34" s="453">
        <v>154</v>
      </c>
      <c r="N34" s="397">
        <v>669</v>
      </c>
      <c r="O34" s="453">
        <v>106</v>
      </c>
      <c r="P34" s="338">
        <f t="shared" si="4"/>
        <v>2039</v>
      </c>
      <c r="Q34" s="570">
        <f t="shared" si="5"/>
        <v>323</v>
      </c>
      <c r="R34" s="571">
        <f>IF(P34&lt;&gt;0,Q34/H34,"")</f>
        <v>80.75</v>
      </c>
      <c r="S34" s="583">
        <f>IF(P34&lt;&gt;0,P34/Q34,"")</f>
        <v>6.312693498452012</v>
      </c>
      <c r="T34" s="397">
        <v>2149</v>
      </c>
      <c r="U34" s="419">
        <f t="shared" si="3"/>
        <v>-0.051186598417868774</v>
      </c>
      <c r="V34" s="397">
        <v>1279609.5</v>
      </c>
      <c r="W34" s="351">
        <v>155973</v>
      </c>
      <c r="X34" s="496">
        <f t="shared" si="2"/>
        <v>8.204044930853417</v>
      </c>
      <c r="Y34" s="532"/>
      <c r="Z34" s="532"/>
    </row>
    <row r="35" spans="1:26" s="534" customFormat="1" ht="18">
      <c r="A35" s="542">
        <v>31</v>
      </c>
      <c r="B35" s="560"/>
      <c r="C35" s="363" t="s">
        <v>305</v>
      </c>
      <c r="D35" s="364">
        <v>38744</v>
      </c>
      <c r="E35" s="473" t="s">
        <v>178</v>
      </c>
      <c r="F35" s="363" t="s">
        <v>362</v>
      </c>
      <c r="G35" s="529">
        <v>7</v>
      </c>
      <c r="H35" s="529">
        <v>3</v>
      </c>
      <c r="I35" s="391">
        <v>10</v>
      </c>
      <c r="J35" s="396">
        <v>551</v>
      </c>
      <c r="K35" s="405">
        <v>143</v>
      </c>
      <c r="L35" s="396">
        <v>865</v>
      </c>
      <c r="M35" s="405">
        <v>182</v>
      </c>
      <c r="N35" s="396">
        <v>616</v>
      </c>
      <c r="O35" s="405">
        <v>137</v>
      </c>
      <c r="P35" s="338">
        <f t="shared" si="4"/>
        <v>2032</v>
      </c>
      <c r="Q35" s="573">
        <f t="shared" si="5"/>
        <v>462</v>
      </c>
      <c r="R35" s="572">
        <f>Q35/H35</f>
        <v>154</v>
      </c>
      <c r="S35" s="584">
        <f>P35/Q35</f>
        <v>4.3982683982683985</v>
      </c>
      <c r="T35" s="396">
        <v>1168.5</v>
      </c>
      <c r="U35" s="458">
        <f t="shared" si="3"/>
        <v>0.7389816003423192</v>
      </c>
      <c r="V35" s="396">
        <v>47886</v>
      </c>
      <c r="W35" s="365">
        <v>7197</v>
      </c>
      <c r="X35" s="496">
        <f t="shared" si="2"/>
        <v>6.653605669028762</v>
      </c>
      <c r="Y35" s="532"/>
      <c r="Z35" s="532"/>
    </row>
    <row r="36" spans="1:26" s="534" customFormat="1" ht="18">
      <c r="A36" s="542">
        <v>32</v>
      </c>
      <c r="B36" s="560"/>
      <c r="C36" s="350" t="s">
        <v>360</v>
      </c>
      <c r="D36" s="349">
        <v>38751</v>
      </c>
      <c r="E36" s="350" t="s">
        <v>92</v>
      </c>
      <c r="F36" s="350" t="s">
        <v>354</v>
      </c>
      <c r="G36" s="513">
        <v>51</v>
      </c>
      <c r="H36" s="513">
        <v>4</v>
      </c>
      <c r="I36" s="389">
        <v>10</v>
      </c>
      <c r="J36" s="397">
        <v>445</v>
      </c>
      <c r="K36" s="453">
        <v>74</v>
      </c>
      <c r="L36" s="397">
        <v>636</v>
      </c>
      <c r="M36" s="453">
        <v>111</v>
      </c>
      <c r="N36" s="397">
        <v>934</v>
      </c>
      <c r="O36" s="453">
        <v>155</v>
      </c>
      <c r="P36" s="338">
        <f t="shared" si="4"/>
        <v>2015</v>
      </c>
      <c r="Q36" s="570">
        <f t="shared" si="5"/>
        <v>340</v>
      </c>
      <c r="R36" s="571">
        <f>IF(P36&lt;&gt;0,Q36/H36,"")</f>
        <v>85</v>
      </c>
      <c r="S36" s="583">
        <f>IF(P36&lt;&gt;0,P36/Q36,"")</f>
        <v>5.926470588235294</v>
      </c>
      <c r="T36" s="397">
        <v>1364</v>
      </c>
      <c r="U36" s="419">
        <f t="shared" si="3"/>
        <v>0.4772727272727273</v>
      </c>
      <c r="V36" s="397">
        <v>1309631</v>
      </c>
      <c r="W36" s="351">
        <v>169515</v>
      </c>
      <c r="X36" s="496">
        <f t="shared" si="2"/>
        <v>7.725752883225673</v>
      </c>
      <c r="Y36" s="532"/>
      <c r="Z36" s="532"/>
    </row>
    <row r="37" spans="1:26" s="534" customFormat="1" ht="18">
      <c r="A37" s="542">
        <v>33</v>
      </c>
      <c r="B37" s="560"/>
      <c r="C37" s="363" t="s">
        <v>394</v>
      </c>
      <c r="D37" s="364">
        <v>38821</v>
      </c>
      <c r="E37" s="363" t="s">
        <v>351</v>
      </c>
      <c r="F37" s="363" t="s">
        <v>395</v>
      </c>
      <c r="G37" s="529">
        <v>4</v>
      </c>
      <c r="H37" s="529">
        <v>4</v>
      </c>
      <c r="I37" s="391">
        <v>1</v>
      </c>
      <c r="J37" s="396">
        <v>469</v>
      </c>
      <c r="K37" s="405">
        <v>50</v>
      </c>
      <c r="L37" s="396">
        <v>633</v>
      </c>
      <c r="M37" s="405">
        <v>66</v>
      </c>
      <c r="N37" s="396">
        <v>806.5</v>
      </c>
      <c r="O37" s="405">
        <v>83</v>
      </c>
      <c r="P37" s="338">
        <f t="shared" si="4"/>
        <v>1908.5</v>
      </c>
      <c r="Q37" s="573">
        <f t="shared" si="5"/>
        <v>199</v>
      </c>
      <c r="R37" s="572">
        <f>Q37/H37</f>
        <v>49.75</v>
      </c>
      <c r="S37" s="584">
        <f>P37/Q37</f>
        <v>9.590452261306533</v>
      </c>
      <c r="T37" s="396"/>
      <c r="U37" s="458">
        <f t="shared" si="3"/>
      </c>
      <c r="V37" s="396">
        <v>1908.5</v>
      </c>
      <c r="W37" s="365">
        <v>199</v>
      </c>
      <c r="X37" s="496">
        <f t="shared" si="2"/>
        <v>9.590452261306533</v>
      </c>
      <c r="Y37" s="532"/>
      <c r="Z37" s="532"/>
    </row>
    <row r="38" spans="1:26" s="534" customFormat="1" ht="18">
      <c r="A38" s="542">
        <v>34</v>
      </c>
      <c r="B38" s="560"/>
      <c r="C38" s="356" t="s">
        <v>75</v>
      </c>
      <c r="D38" s="355">
        <v>38786</v>
      </c>
      <c r="E38" s="356" t="s">
        <v>330</v>
      </c>
      <c r="F38" s="356" t="s">
        <v>350</v>
      </c>
      <c r="G38" s="535">
        <v>30</v>
      </c>
      <c r="H38" s="535">
        <v>10</v>
      </c>
      <c r="I38" s="390">
        <v>6</v>
      </c>
      <c r="J38" s="394">
        <v>585</v>
      </c>
      <c r="K38" s="403">
        <v>123</v>
      </c>
      <c r="L38" s="394">
        <v>601</v>
      </c>
      <c r="M38" s="403">
        <v>144</v>
      </c>
      <c r="N38" s="394">
        <v>537</v>
      </c>
      <c r="O38" s="403">
        <v>125</v>
      </c>
      <c r="P38" s="338">
        <f t="shared" si="4"/>
        <v>1723</v>
      </c>
      <c r="Q38" s="573">
        <f t="shared" si="5"/>
        <v>392</v>
      </c>
      <c r="R38" s="572">
        <f>Q38/H38</f>
        <v>39.2</v>
      </c>
      <c r="S38" s="584">
        <f>P38/Q38</f>
        <v>4.395408163265306</v>
      </c>
      <c r="T38" s="394">
        <v>6855</v>
      </c>
      <c r="U38" s="458">
        <f t="shared" si="3"/>
        <v>-0.7486506199854122</v>
      </c>
      <c r="V38" s="394">
        <v>183997.5</v>
      </c>
      <c r="W38" s="357">
        <v>27318</v>
      </c>
      <c r="X38" s="496">
        <f t="shared" si="2"/>
        <v>6.735394245552383</v>
      </c>
      <c r="Y38" s="532"/>
      <c r="Z38" s="532"/>
    </row>
    <row r="39" spans="1:25" s="534" customFormat="1" ht="18">
      <c r="A39" s="542">
        <v>35</v>
      </c>
      <c r="B39" s="560"/>
      <c r="C39" s="348" t="s">
        <v>83</v>
      </c>
      <c r="D39" s="349">
        <v>38779</v>
      </c>
      <c r="E39" s="455" t="s">
        <v>376</v>
      </c>
      <c r="F39" s="350" t="s">
        <v>377</v>
      </c>
      <c r="G39" s="513">
        <v>8</v>
      </c>
      <c r="H39" s="513">
        <v>2</v>
      </c>
      <c r="I39" s="389">
        <v>7</v>
      </c>
      <c r="J39" s="397">
        <v>312</v>
      </c>
      <c r="K39" s="453">
        <v>36</v>
      </c>
      <c r="L39" s="397">
        <v>699</v>
      </c>
      <c r="M39" s="453">
        <v>80</v>
      </c>
      <c r="N39" s="397">
        <v>701</v>
      </c>
      <c r="O39" s="453">
        <v>79</v>
      </c>
      <c r="P39" s="338">
        <f t="shared" si="4"/>
        <v>1712</v>
      </c>
      <c r="Q39" s="573">
        <f t="shared" si="5"/>
        <v>195</v>
      </c>
      <c r="R39" s="572">
        <f>Q39/H39</f>
        <v>97.5</v>
      </c>
      <c r="S39" s="584">
        <f>P39/Q39</f>
        <v>8.77948717948718</v>
      </c>
      <c r="T39" s="397">
        <v>185</v>
      </c>
      <c r="U39" s="419">
        <f t="shared" si="3"/>
        <v>8.254054054054054</v>
      </c>
      <c r="V39" s="397">
        <v>79995.4</v>
      </c>
      <c r="W39" s="351">
        <v>9227</v>
      </c>
      <c r="X39" s="496">
        <f t="shared" si="2"/>
        <v>8.669708464289585</v>
      </c>
      <c r="Y39" s="532"/>
    </row>
    <row r="40" spans="1:27" s="534" customFormat="1" ht="18">
      <c r="A40" s="542">
        <v>36</v>
      </c>
      <c r="B40" s="560"/>
      <c r="C40" s="350" t="s">
        <v>73</v>
      </c>
      <c r="D40" s="349">
        <v>38772</v>
      </c>
      <c r="E40" s="350" t="s">
        <v>92</v>
      </c>
      <c r="F40" s="350" t="s">
        <v>354</v>
      </c>
      <c r="G40" s="513">
        <v>62</v>
      </c>
      <c r="H40" s="513">
        <v>4</v>
      </c>
      <c r="I40" s="389">
        <v>8</v>
      </c>
      <c r="J40" s="397">
        <v>365</v>
      </c>
      <c r="K40" s="453">
        <v>98</v>
      </c>
      <c r="L40" s="397">
        <v>459</v>
      </c>
      <c r="M40" s="453">
        <v>109</v>
      </c>
      <c r="N40" s="397">
        <v>455</v>
      </c>
      <c r="O40" s="453">
        <v>108</v>
      </c>
      <c r="P40" s="338">
        <f t="shared" si="4"/>
        <v>1279</v>
      </c>
      <c r="Q40" s="570">
        <f t="shared" si="5"/>
        <v>315</v>
      </c>
      <c r="R40" s="571">
        <f>IF(P40&lt;&gt;0,Q40/H40,"")</f>
        <v>78.75</v>
      </c>
      <c r="S40" s="583">
        <f>IF(P40&lt;&gt;0,P40/Q40,"")</f>
        <v>4.06031746031746</v>
      </c>
      <c r="T40" s="397">
        <v>1781</v>
      </c>
      <c r="U40" s="419">
        <f t="shared" si="3"/>
        <v>-0.2818641212801797</v>
      </c>
      <c r="V40" s="397">
        <v>807015</v>
      </c>
      <c r="W40" s="351">
        <v>104802</v>
      </c>
      <c r="X40" s="496">
        <f aca="true" t="shared" si="6" ref="X40:X51">V40/W40</f>
        <v>7.700377855384439</v>
      </c>
      <c r="Y40" s="532"/>
      <c r="AA40" s="532"/>
    </row>
    <row r="41" spans="1:27" s="533" customFormat="1" ht="18">
      <c r="A41" s="542">
        <v>37</v>
      </c>
      <c r="B41" s="560"/>
      <c r="C41" s="363" t="s">
        <v>268</v>
      </c>
      <c r="D41" s="364">
        <v>38751</v>
      </c>
      <c r="E41" s="473" t="s">
        <v>178</v>
      </c>
      <c r="F41" s="363" t="s">
        <v>384</v>
      </c>
      <c r="G41" s="529">
        <v>1</v>
      </c>
      <c r="H41" s="529">
        <v>1</v>
      </c>
      <c r="I41" s="391">
        <v>7</v>
      </c>
      <c r="J41" s="396">
        <v>181</v>
      </c>
      <c r="K41" s="405">
        <v>26</v>
      </c>
      <c r="L41" s="396">
        <v>470</v>
      </c>
      <c r="M41" s="405">
        <v>67</v>
      </c>
      <c r="N41" s="396">
        <v>530.5</v>
      </c>
      <c r="O41" s="405">
        <v>74</v>
      </c>
      <c r="P41" s="338">
        <f t="shared" si="4"/>
        <v>1181.5</v>
      </c>
      <c r="Q41" s="573">
        <f t="shared" si="5"/>
        <v>167</v>
      </c>
      <c r="R41" s="572">
        <f>Q41/H41</f>
        <v>167</v>
      </c>
      <c r="S41" s="584">
        <f>P41/Q41</f>
        <v>7.074850299401198</v>
      </c>
      <c r="T41" s="396"/>
      <c r="U41" s="458"/>
      <c r="V41" s="396">
        <v>26661.5</v>
      </c>
      <c r="W41" s="365">
        <v>2614</v>
      </c>
      <c r="X41" s="496">
        <f t="shared" si="6"/>
        <v>10.199502677888294</v>
      </c>
      <c r="Y41" s="532"/>
      <c r="AA41" s="532"/>
    </row>
    <row r="42" spans="1:25" s="533" customFormat="1" ht="18">
      <c r="A42" s="542">
        <v>38</v>
      </c>
      <c r="B42" s="560"/>
      <c r="C42" s="356" t="s">
        <v>358</v>
      </c>
      <c r="D42" s="355">
        <v>38786</v>
      </c>
      <c r="E42" s="356" t="s">
        <v>94</v>
      </c>
      <c r="F42" s="356" t="s">
        <v>359</v>
      </c>
      <c r="G42" s="535">
        <v>4</v>
      </c>
      <c r="H42" s="535">
        <v>2</v>
      </c>
      <c r="I42" s="390">
        <v>6</v>
      </c>
      <c r="J42" s="394">
        <v>229</v>
      </c>
      <c r="K42" s="403">
        <v>32</v>
      </c>
      <c r="L42" s="394">
        <v>505</v>
      </c>
      <c r="M42" s="403">
        <v>71</v>
      </c>
      <c r="N42" s="394">
        <v>318</v>
      </c>
      <c r="O42" s="403">
        <v>45</v>
      </c>
      <c r="P42" s="338">
        <f t="shared" si="4"/>
        <v>1052</v>
      </c>
      <c r="Q42" s="573">
        <f t="shared" si="5"/>
        <v>148</v>
      </c>
      <c r="R42" s="572">
        <f>Q42/H42</f>
        <v>74</v>
      </c>
      <c r="S42" s="584">
        <f>P42/Q42</f>
        <v>7.108108108108108</v>
      </c>
      <c r="T42" s="394">
        <v>1598</v>
      </c>
      <c r="U42" s="458">
        <f>IF(T42&lt;&gt;0,-(T42-P42)/T42,"")</f>
        <v>-0.34167709637046306</v>
      </c>
      <c r="V42" s="394">
        <v>46710</v>
      </c>
      <c r="W42" s="357">
        <v>5511</v>
      </c>
      <c r="X42" s="496">
        <f t="shared" si="6"/>
        <v>8.475775721284704</v>
      </c>
      <c r="Y42" s="532"/>
    </row>
    <row r="43" spans="1:27" s="533" customFormat="1" ht="18">
      <c r="A43" s="542">
        <v>39</v>
      </c>
      <c r="B43" s="560"/>
      <c r="C43" s="363" t="s">
        <v>400</v>
      </c>
      <c r="D43" s="364">
        <v>38723</v>
      </c>
      <c r="E43" s="473" t="s">
        <v>178</v>
      </c>
      <c r="F43" s="363" t="s">
        <v>401</v>
      </c>
      <c r="G43" s="529">
        <v>3</v>
      </c>
      <c r="H43" s="529">
        <v>1</v>
      </c>
      <c r="I43" s="391">
        <v>11</v>
      </c>
      <c r="J43" s="396">
        <v>300</v>
      </c>
      <c r="K43" s="405">
        <v>100</v>
      </c>
      <c r="L43" s="396">
        <v>330</v>
      </c>
      <c r="M43" s="405">
        <v>110</v>
      </c>
      <c r="N43" s="396">
        <v>330</v>
      </c>
      <c r="O43" s="405">
        <v>110</v>
      </c>
      <c r="P43" s="338">
        <f t="shared" si="4"/>
        <v>960</v>
      </c>
      <c r="Q43" s="573">
        <f t="shared" si="5"/>
        <v>320</v>
      </c>
      <c r="R43" s="572">
        <f>Q43/H43</f>
        <v>320</v>
      </c>
      <c r="S43" s="584">
        <f>P43/Q43</f>
        <v>3</v>
      </c>
      <c r="T43" s="396"/>
      <c r="U43" s="458">
        <f>IF(T43&lt;&gt;0,-(T43-P43)/T43,"")</f>
      </c>
      <c r="V43" s="396">
        <v>55077.5</v>
      </c>
      <c r="W43" s="365">
        <v>7626</v>
      </c>
      <c r="X43" s="496">
        <f t="shared" si="6"/>
        <v>7.222331497508524</v>
      </c>
      <c r="Y43" s="532"/>
      <c r="AA43" s="532"/>
    </row>
    <row r="44" spans="1:25" s="534" customFormat="1" ht="18">
      <c r="A44" s="542">
        <v>40</v>
      </c>
      <c r="B44" s="560"/>
      <c r="C44" s="363" t="s">
        <v>402</v>
      </c>
      <c r="D44" s="364">
        <v>38653</v>
      </c>
      <c r="E44" s="473" t="s">
        <v>178</v>
      </c>
      <c r="F44" s="363" t="s">
        <v>403</v>
      </c>
      <c r="G44" s="529">
        <v>3</v>
      </c>
      <c r="H44" s="529">
        <v>1</v>
      </c>
      <c r="I44" s="391">
        <v>13</v>
      </c>
      <c r="J44" s="396">
        <v>300</v>
      </c>
      <c r="K44" s="405">
        <v>100</v>
      </c>
      <c r="L44" s="396">
        <v>300</v>
      </c>
      <c r="M44" s="405">
        <v>100</v>
      </c>
      <c r="N44" s="396">
        <v>300</v>
      </c>
      <c r="O44" s="405">
        <v>100</v>
      </c>
      <c r="P44" s="338">
        <f t="shared" si="4"/>
        <v>900</v>
      </c>
      <c r="Q44" s="573">
        <f t="shared" si="5"/>
        <v>300</v>
      </c>
      <c r="R44" s="572">
        <f>Q44/H44</f>
        <v>300</v>
      </c>
      <c r="S44" s="584">
        <f>P44/Q44</f>
        <v>3</v>
      </c>
      <c r="T44" s="396"/>
      <c r="U44" s="458"/>
      <c r="V44" s="396">
        <v>18522</v>
      </c>
      <c r="W44" s="365">
        <v>3951</v>
      </c>
      <c r="X44" s="496">
        <f t="shared" si="6"/>
        <v>4.687927107061504</v>
      </c>
      <c r="Y44" s="532"/>
    </row>
    <row r="45" spans="1:25" s="533" customFormat="1" ht="18">
      <c r="A45" s="542">
        <v>41</v>
      </c>
      <c r="B45" s="560"/>
      <c r="C45" s="350" t="s">
        <v>238</v>
      </c>
      <c r="D45" s="349">
        <v>38667</v>
      </c>
      <c r="E45" s="455" t="s">
        <v>88</v>
      </c>
      <c r="F45" s="350" t="s">
        <v>91</v>
      </c>
      <c r="G45" s="513">
        <v>1</v>
      </c>
      <c r="H45" s="513">
        <v>1</v>
      </c>
      <c r="I45" s="389">
        <v>14</v>
      </c>
      <c r="J45" s="397">
        <v>290</v>
      </c>
      <c r="K45" s="453">
        <v>58</v>
      </c>
      <c r="L45" s="397">
        <v>290</v>
      </c>
      <c r="M45" s="453">
        <v>58</v>
      </c>
      <c r="N45" s="397">
        <v>290</v>
      </c>
      <c r="O45" s="453">
        <v>58</v>
      </c>
      <c r="P45" s="338">
        <f t="shared" si="4"/>
        <v>870</v>
      </c>
      <c r="Q45" s="570">
        <f t="shared" si="5"/>
        <v>174</v>
      </c>
      <c r="R45" s="571">
        <f>IF(P45&lt;&gt;0,Q45/H45,"")</f>
        <v>174</v>
      </c>
      <c r="S45" s="583">
        <f>IF(P45&lt;&gt;0,P45/Q45,"")</f>
        <v>5</v>
      </c>
      <c r="T45" s="397">
        <v>870</v>
      </c>
      <c r="U45" s="419">
        <f>IF(T45&lt;&gt;0,-(T45-P45)/T45,"")</f>
        <v>0</v>
      </c>
      <c r="V45" s="397">
        <v>26711</v>
      </c>
      <c r="W45" s="351">
        <v>4553</v>
      </c>
      <c r="X45" s="496">
        <f t="shared" si="6"/>
        <v>5.866681309027015</v>
      </c>
      <c r="Y45" s="532"/>
    </row>
    <row r="46" spans="1:25" s="533" customFormat="1" ht="18">
      <c r="A46" s="542">
        <v>42</v>
      </c>
      <c r="B46" s="560"/>
      <c r="C46" s="350" t="s">
        <v>288</v>
      </c>
      <c r="D46" s="349">
        <v>38730</v>
      </c>
      <c r="E46" s="350" t="s">
        <v>92</v>
      </c>
      <c r="F46" s="350" t="s">
        <v>335</v>
      </c>
      <c r="G46" s="513">
        <v>116</v>
      </c>
      <c r="H46" s="513">
        <v>3</v>
      </c>
      <c r="I46" s="389">
        <v>14</v>
      </c>
      <c r="J46" s="397">
        <v>90</v>
      </c>
      <c r="K46" s="453">
        <v>19</v>
      </c>
      <c r="L46" s="397">
        <v>304</v>
      </c>
      <c r="M46" s="453">
        <v>63</v>
      </c>
      <c r="N46" s="397">
        <v>420</v>
      </c>
      <c r="O46" s="453">
        <v>91</v>
      </c>
      <c r="P46" s="338">
        <f t="shared" si="4"/>
        <v>814</v>
      </c>
      <c r="Q46" s="570">
        <f t="shared" si="5"/>
        <v>173</v>
      </c>
      <c r="R46" s="571">
        <f>IF(P46&lt;&gt;0,Q46/H46,"")</f>
        <v>57.666666666666664</v>
      </c>
      <c r="S46" s="583">
        <f>IF(P46&lt;&gt;0,P46/Q46,"")</f>
        <v>4.705202312138728</v>
      </c>
      <c r="T46" s="397">
        <v>951</v>
      </c>
      <c r="U46" s="419">
        <f>IF(T46&lt;&gt;0,-(T46-P46)/T46,"")</f>
        <v>-0.1440588853838065</v>
      </c>
      <c r="V46" s="397">
        <v>3271014</v>
      </c>
      <c r="W46" s="351">
        <v>465241</v>
      </c>
      <c r="X46" s="496">
        <f t="shared" si="6"/>
        <v>7.030794792376424</v>
      </c>
      <c r="Y46" s="532"/>
    </row>
    <row r="47" spans="1:25" s="533" customFormat="1" ht="18">
      <c r="A47" s="542">
        <v>43</v>
      </c>
      <c r="B47" s="560"/>
      <c r="C47" s="363" t="s">
        <v>260</v>
      </c>
      <c r="D47" s="364">
        <v>38758</v>
      </c>
      <c r="E47" s="473" t="s">
        <v>178</v>
      </c>
      <c r="F47" s="363" t="s">
        <v>364</v>
      </c>
      <c r="G47" s="529">
        <v>4</v>
      </c>
      <c r="H47" s="529">
        <v>2</v>
      </c>
      <c r="I47" s="391">
        <v>10</v>
      </c>
      <c r="J47" s="396">
        <v>69</v>
      </c>
      <c r="K47" s="405">
        <v>13</v>
      </c>
      <c r="L47" s="396">
        <v>383</v>
      </c>
      <c r="M47" s="405">
        <v>68</v>
      </c>
      <c r="N47" s="396">
        <v>222</v>
      </c>
      <c r="O47" s="405">
        <v>36</v>
      </c>
      <c r="P47" s="338">
        <f t="shared" si="4"/>
        <v>674</v>
      </c>
      <c r="Q47" s="573">
        <f t="shared" si="5"/>
        <v>117</v>
      </c>
      <c r="R47" s="572">
        <f>Q47/H47</f>
        <v>58.5</v>
      </c>
      <c r="S47" s="584">
        <f>P47/Q47</f>
        <v>5.760683760683761</v>
      </c>
      <c r="T47" s="396">
        <v>982</v>
      </c>
      <c r="U47" s="458">
        <f>IF(T47&lt;&gt;0,-(T47-P47)/T47,"")</f>
        <v>-0.3136456211812627</v>
      </c>
      <c r="V47" s="396">
        <v>41648.5</v>
      </c>
      <c r="W47" s="365">
        <v>6904</v>
      </c>
      <c r="X47" s="496">
        <f t="shared" si="6"/>
        <v>6.032517381228273</v>
      </c>
      <c r="Y47" s="532"/>
    </row>
    <row r="48" spans="1:25" s="533" customFormat="1" ht="18">
      <c r="A48" s="542">
        <v>44</v>
      </c>
      <c r="B48" s="560"/>
      <c r="C48" s="363" t="s">
        <v>266</v>
      </c>
      <c r="D48" s="364">
        <v>38716</v>
      </c>
      <c r="E48" s="473" t="s">
        <v>178</v>
      </c>
      <c r="F48" s="363" t="s">
        <v>399</v>
      </c>
      <c r="G48" s="529">
        <v>9</v>
      </c>
      <c r="H48" s="529">
        <v>2</v>
      </c>
      <c r="I48" s="391">
        <v>15</v>
      </c>
      <c r="J48" s="396">
        <v>201</v>
      </c>
      <c r="K48" s="405">
        <v>39</v>
      </c>
      <c r="L48" s="396">
        <v>160</v>
      </c>
      <c r="M48" s="405">
        <v>32</v>
      </c>
      <c r="N48" s="396">
        <v>305</v>
      </c>
      <c r="O48" s="405">
        <v>61</v>
      </c>
      <c r="P48" s="338">
        <f t="shared" si="4"/>
        <v>666</v>
      </c>
      <c r="Q48" s="573">
        <f t="shared" si="5"/>
        <v>132</v>
      </c>
      <c r="R48" s="572">
        <f>Q48/H48</f>
        <v>66</v>
      </c>
      <c r="S48" s="584">
        <f>P48/Q48</f>
        <v>5.045454545454546</v>
      </c>
      <c r="T48" s="396"/>
      <c r="U48" s="458"/>
      <c r="V48" s="396">
        <v>95344</v>
      </c>
      <c r="W48" s="365">
        <v>13959</v>
      </c>
      <c r="X48" s="496">
        <f t="shared" si="6"/>
        <v>6.830288702629129</v>
      </c>
      <c r="Y48" s="532"/>
    </row>
    <row r="49" spans="1:25" s="533" customFormat="1" ht="18">
      <c r="A49" s="542">
        <v>45</v>
      </c>
      <c r="B49" s="560"/>
      <c r="C49" s="350" t="s">
        <v>74</v>
      </c>
      <c r="D49" s="349">
        <v>38527</v>
      </c>
      <c r="E49" s="455" t="s">
        <v>88</v>
      </c>
      <c r="F49" s="350" t="s">
        <v>356</v>
      </c>
      <c r="G49" s="513">
        <v>43</v>
      </c>
      <c r="H49" s="513">
        <v>1</v>
      </c>
      <c r="I49" s="389">
        <v>27</v>
      </c>
      <c r="J49" s="397">
        <v>205</v>
      </c>
      <c r="K49" s="453">
        <v>41</v>
      </c>
      <c r="L49" s="397">
        <v>205</v>
      </c>
      <c r="M49" s="453">
        <v>41</v>
      </c>
      <c r="N49" s="397">
        <v>205</v>
      </c>
      <c r="O49" s="453">
        <v>41</v>
      </c>
      <c r="P49" s="338">
        <f t="shared" si="4"/>
        <v>615</v>
      </c>
      <c r="Q49" s="570">
        <f t="shared" si="5"/>
        <v>123</v>
      </c>
      <c r="R49" s="571">
        <f>IF(P49&lt;&gt;0,Q49/H49,"")</f>
        <v>123</v>
      </c>
      <c r="S49" s="583">
        <f>IF(P49&lt;&gt;0,P49/Q49,"")</f>
        <v>5</v>
      </c>
      <c r="T49" s="397">
        <v>1638</v>
      </c>
      <c r="U49" s="419">
        <f>IF(T49&lt;&gt;0,-(T49-P49)/T49,"")</f>
        <v>-0.6245421245421245</v>
      </c>
      <c r="V49" s="397">
        <v>741104.5</v>
      </c>
      <c r="W49" s="351">
        <v>94372</v>
      </c>
      <c r="X49" s="496">
        <f t="shared" si="6"/>
        <v>7.85301254609418</v>
      </c>
      <c r="Y49" s="532"/>
    </row>
    <row r="50" spans="1:30" s="534" customFormat="1" ht="18.75">
      <c r="A50" s="542">
        <v>46</v>
      </c>
      <c r="B50" s="560"/>
      <c r="C50" s="350" t="s">
        <v>240</v>
      </c>
      <c r="D50" s="349">
        <v>38667</v>
      </c>
      <c r="E50" s="455" t="s">
        <v>88</v>
      </c>
      <c r="F50" s="350" t="s">
        <v>365</v>
      </c>
      <c r="G50" s="513">
        <v>76</v>
      </c>
      <c r="H50" s="513">
        <v>1</v>
      </c>
      <c r="I50" s="389">
        <v>15</v>
      </c>
      <c r="J50" s="397">
        <v>205</v>
      </c>
      <c r="K50" s="453">
        <v>41</v>
      </c>
      <c r="L50" s="397">
        <v>205</v>
      </c>
      <c r="M50" s="453">
        <v>41</v>
      </c>
      <c r="N50" s="397">
        <v>205</v>
      </c>
      <c r="O50" s="453">
        <v>41</v>
      </c>
      <c r="P50" s="338">
        <f t="shared" si="4"/>
        <v>615</v>
      </c>
      <c r="Q50" s="570">
        <f t="shared" si="5"/>
        <v>123</v>
      </c>
      <c r="R50" s="571">
        <f>IF(P50&lt;&gt;0,Q50/H50,"")</f>
        <v>123</v>
      </c>
      <c r="S50" s="583">
        <f>IF(P50&lt;&gt;0,P50/Q50,"")</f>
        <v>5</v>
      </c>
      <c r="T50" s="397">
        <v>615</v>
      </c>
      <c r="U50" s="419">
        <f>IF(T50&lt;&gt;0,-(T50-P50)/T50,"")</f>
        <v>0</v>
      </c>
      <c r="V50" s="397">
        <v>2493104.5</v>
      </c>
      <c r="W50" s="351">
        <v>381291</v>
      </c>
      <c r="X50" s="496">
        <f t="shared" si="6"/>
        <v>6.538587325690877</v>
      </c>
      <c r="Y50" s="532"/>
      <c r="Z50" s="532"/>
      <c r="AA50" s="538"/>
      <c r="AB50" s="538"/>
      <c r="AC50" s="538"/>
      <c r="AD50" s="538"/>
    </row>
    <row r="51" spans="1:30" s="534" customFormat="1" ht="18.75">
      <c r="A51" s="542">
        <v>47</v>
      </c>
      <c r="B51" s="560"/>
      <c r="C51" s="350" t="s">
        <v>242</v>
      </c>
      <c r="D51" s="349">
        <v>38667</v>
      </c>
      <c r="E51" s="455" t="s">
        <v>88</v>
      </c>
      <c r="F51" s="350" t="s">
        <v>339</v>
      </c>
      <c r="G51" s="513">
        <v>51</v>
      </c>
      <c r="H51" s="513">
        <v>1</v>
      </c>
      <c r="I51" s="389">
        <v>21</v>
      </c>
      <c r="J51" s="397">
        <v>205</v>
      </c>
      <c r="K51" s="453">
        <v>41</v>
      </c>
      <c r="L51" s="397">
        <v>205</v>
      </c>
      <c r="M51" s="453">
        <v>41</v>
      </c>
      <c r="N51" s="397">
        <v>205</v>
      </c>
      <c r="O51" s="453">
        <v>41</v>
      </c>
      <c r="P51" s="338">
        <f t="shared" si="4"/>
        <v>615</v>
      </c>
      <c r="Q51" s="570">
        <f t="shared" si="5"/>
        <v>123</v>
      </c>
      <c r="R51" s="571">
        <f>IF(P51&lt;&gt;0,Q51/H51,"")</f>
        <v>123</v>
      </c>
      <c r="S51" s="583">
        <f>IF(P51&lt;&gt;0,P51/Q51,"")</f>
        <v>5</v>
      </c>
      <c r="T51" s="397">
        <v>615</v>
      </c>
      <c r="U51" s="419">
        <f>IF(T51&lt;&gt;0,-(T51-P51)/T51,"")</f>
        <v>0</v>
      </c>
      <c r="V51" s="397">
        <v>998484.5</v>
      </c>
      <c r="W51" s="351">
        <v>140704</v>
      </c>
      <c r="X51" s="496">
        <f t="shared" si="6"/>
        <v>7.096347651808051</v>
      </c>
      <c r="Y51" s="532"/>
      <c r="Z51" s="532"/>
      <c r="AA51" s="538"/>
      <c r="AB51" s="538"/>
      <c r="AC51" s="538"/>
      <c r="AD51" s="538"/>
    </row>
    <row r="52" spans="1:30" s="534" customFormat="1" ht="18.75">
      <c r="A52" s="542">
        <v>48</v>
      </c>
      <c r="B52" s="560"/>
      <c r="C52" s="363" t="s">
        <v>154</v>
      </c>
      <c r="D52" s="364">
        <v>38723</v>
      </c>
      <c r="E52" s="363" t="s">
        <v>89</v>
      </c>
      <c r="F52" s="363" t="s">
        <v>382</v>
      </c>
      <c r="G52" s="529">
        <v>199</v>
      </c>
      <c r="H52" s="529">
        <v>1</v>
      </c>
      <c r="I52" s="391">
        <v>15</v>
      </c>
      <c r="J52" s="577">
        <v>48</v>
      </c>
      <c r="K52" s="580">
        <v>12</v>
      </c>
      <c r="L52" s="577">
        <v>209</v>
      </c>
      <c r="M52" s="580">
        <v>51</v>
      </c>
      <c r="N52" s="577">
        <v>275</v>
      </c>
      <c r="O52" s="580">
        <v>65</v>
      </c>
      <c r="P52" s="338">
        <f t="shared" si="4"/>
        <v>532</v>
      </c>
      <c r="Q52" s="573">
        <f t="shared" si="5"/>
        <v>128</v>
      </c>
      <c r="R52" s="572">
        <f>Q52/H52</f>
        <v>128</v>
      </c>
      <c r="S52" s="584">
        <f>P52/Q52</f>
        <v>4.15625</v>
      </c>
      <c r="T52" s="577"/>
      <c r="U52" s="458"/>
      <c r="V52" s="577">
        <v>6504130</v>
      </c>
      <c r="W52" s="536">
        <v>993806</v>
      </c>
      <c r="X52" s="496">
        <f aca="true" t="shared" si="7" ref="X52:X66">V52/W52</f>
        <v>6.544667671557628</v>
      </c>
      <c r="Y52" s="532"/>
      <c r="Z52" s="532"/>
      <c r="AA52" s="538"/>
      <c r="AB52" s="538"/>
      <c r="AC52" s="538"/>
      <c r="AD52" s="538"/>
    </row>
    <row r="53" spans="1:30" s="534" customFormat="1" ht="18.75">
      <c r="A53" s="542">
        <v>49</v>
      </c>
      <c r="B53" s="560"/>
      <c r="C53" s="356" t="s">
        <v>77</v>
      </c>
      <c r="D53" s="355">
        <v>38772</v>
      </c>
      <c r="E53" s="356" t="s">
        <v>330</v>
      </c>
      <c r="F53" s="356" t="s">
        <v>331</v>
      </c>
      <c r="G53" s="535">
        <v>49</v>
      </c>
      <c r="H53" s="535">
        <v>3</v>
      </c>
      <c r="I53" s="390">
        <v>8</v>
      </c>
      <c r="J53" s="394">
        <v>121</v>
      </c>
      <c r="K53" s="403">
        <v>31</v>
      </c>
      <c r="L53" s="394">
        <v>216</v>
      </c>
      <c r="M53" s="403">
        <v>55</v>
      </c>
      <c r="N53" s="394">
        <v>188.5</v>
      </c>
      <c r="O53" s="403">
        <v>46</v>
      </c>
      <c r="P53" s="338">
        <f t="shared" si="4"/>
        <v>525.5</v>
      </c>
      <c r="Q53" s="573">
        <f t="shared" si="5"/>
        <v>132</v>
      </c>
      <c r="R53" s="572">
        <f>Q53/H53</f>
        <v>44</v>
      </c>
      <c r="S53" s="584">
        <f>P53/Q53</f>
        <v>3.981060606060606</v>
      </c>
      <c r="T53" s="394">
        <v>1867</v>
      </c>
      <c r="U53" s="458">
        <f>IF(T53&lt;&gt;0,-(T53-P53)/T53,"")</f>
        <v>-0.7185324049276914</v>
      </c>
      <c r="V53" s="394">
        <v>3175155.5</v>
      </c>
      <c r="W53" s="357">
        <v>48568</v>
      </c>
      <c r="X53" s="496">
        <f t="shared" si="7"/>
        <v>65.37546326799539</v>
      </c>
      <c r="Y53" s="532"/>
      <c r="Z53" s="532"/>
      <c r="AA53" s="538"/>
      <c r="AB53" s="538"/>
      <c r="AC53" s="538"/>
      <c r="AD53" s="538"/>
    </row>
    <row r="54" spans="1:30" s="534" customFormat="1" ht="18.75">
      <c r="A54" s="542">
        <v>50</v>
      </c>
      <c r="B54" s="560"/>
      <c r="C54" s="363" t="s">
        <v>311</v>
      </c>
      <c r="D54" s="364">
        <v>38807</v>
      </c>
      <c r="E54" s="363" t="s">
        <v>351</v>
      </c>
      <c r="F54" s="363" t="s">
        <v>363</v>
      </c>
      <c r="G54" s="529">
        <v>2</v>
      </c>
      <c r="H54" s="529">
        <v>2</v>
      </c>
      <c r="I54" s="391">
        <v>3</v>
      </c>
      <c r="J54" s="396">
        <v>135</v>
      </c>
      <c r="K54" s="405">
        <v>28</v>
      </c>
      <c r="L54" s="396">
        <v>153</v>
      </c>
      <c r="M54" s="405">
        <v>32</v>
      </c>
      <c r="N54" s="396">
        <v>206</v>
      </c>
      <c r="O54" s="405">
        <v>44</v>
      </c>
      <c r="P54" s="338">
        <f t="shared" si="4"/>
        <v>494</v>
      </c>
      <c r="Q54" s="573">
        <f t="shared" si="5"/>
        <v>104</v>
      </c>
      <c r="R54" s="572">
        <f>Q54/H54</f>
        <v>52</v>
      </c>
      <c r="S54" s="584">
        <f>P54/Q54</f>
        <v>4.75</v>
      </c>
      <c r="T54" s="396">
        <v>562</v>
      </c>
      <c r="U54" s="458">
        <f>IF(T54&lt;&gt;0,-(T54-P54)/T54,"")</f>
        <v>-0.12099644128113879</v>
      </c>
      <c r="V54" s="396">
        <v>3724</v>
      </c>
      <c r="W54" s="365">
        <v>575</v>
      </c>
      <c r="X54" s="496">
        <f t="shared" si="7"/>
        <v>6.476521739130435</v>
      </c>
      <c r="Y54" s="532"/>
      <c r="Z54" s="532"/>
      <c r="AA54" s="538"/>
      <c r="AB54" s="538"/>
      <c r="AC54" s="538"/>
      <c r="AD54" s="538"/>
    </row>
    <row r="55" spans="1:30" s="534" customFormat="1" ht="18.75">
      <c r="A55" s="542">
        <v>51</v>
      </c>
      <c r="B55" s="560"/>
      <c r="C55" s="363" t="s">
        <v>315</v>
      </c>
      <c r="D55" s="364">
        <v>38779</v>
      </c>
      <c r="E55" s="473" t="s">
        <v>178</v>
      </c>
      <c r="F55" s="363" t="s">
        <v>361</v>
      </c>
      <c r="G55" s="529">
        <v>10</v>
      </c>
      <c r="H55" s="529">
        <v>3</v>
      </c>
      <c r="I55" s="391">
        <v>7</v>
      </c>
      <c r="J55" s="396">
        <v>140</v>
      </c>
      <c r="K55" s="405">
        <v>33</v>
      </c>
      <c r="L55" s="396">
        <v>165</v>
      </c>
      <c r="M55" s="405">
        <v>33</v>
      </c>
      <c r="N55" s="396">
        <v>181</v>
      </c>
      <c r="O55" s="405">
        <v>36</v>
      </c>
      <c r="P55" s="338">
        <f t="shared" si="4"/>
        <v>486</v>
      </c>
      <c r="Q55" s="573">
        <f t="shared" si="5"/>
        <v>102</v>
      </c>
      <c r="R55" s="572">
        <f>Q55/H55</f>
        <v>34</v>
      </c>
      <c r="S55" s="584">
        <f>P55/Q55</f>
        <v>4.764705882352941</v>
      </c>
      <c r="T55" s="396">
        <v>1252</v>
      </c>
      <c r="U55" s="458">
        <f>IF(T55&lt;&gt;0,-(T55-P55)/T55,"")</f>
        <v>-0.6118210862619808</v>
      </c>
      <c r="V55" s="396">
        <v>34732.5</v>
      </c>
      <c r="W55" s="365">
        <v>5453</v>
      </c>
      <c r="X55" s="496">
        <f t="shared" si="7"/>
        <v>6.369429671740327</v>
      </c>
      <c r="Y55" s="532"/>
      <c r="Z55" s="532"/>
      <c r="AA55" s="538"/>
      <c r="AB55" s="538"/>
      <c r="AC55" s="538"/>
      <c r="AD55" s="538"/>
    </row>
    <row r="56" spans="1:30" s="534" customFormat="1" ht="18.75">
      <c r="A56" s="542">
        <v>52</v>
      </c>
      <c r="B56" s="560"/>
      <c r="C56" s="363" t="s">
        <v>396</v>
      </c>
      <c r="D56" s="364">
        <v>38562</v>
      </c>
      <c r="E56" s="473" t="s">
        <v>178</v>
      </c>
      <c r="F56" s="363" t="s">
        <v>397</v>
      </c>
      <c r="G56" s="529">
        <v>17</v>
      </c>
      <c r="H56" s="529">
        <v>2</v>
      </c>
      <c r="I56" s="391">
        <v>17</v>
      </c>
      <c r="J56" s="396">
        <v>88</v>
      </c>
      <c r="K56" s="405">
        <v>19</v>
      </c>
      <c r="L56" s="396">
        <v>160</v>
      </c>
      <c r="M56" s="405">
        <v>31</v>
      </c>
      <c r="N56" s="396">
        <v>238</v>
      </c>
      <c r="O56" s="405">
        <v>45</v>
      </c>
      <c r="P56" s="338">
        <f t="shared" si="4"/>
        <v>486</v>
      </c>
      <c r="Q56" s="573">
        <f t="shared" si="5"/>
        <v>95</v>
      </c>
      <c r="R56" s="572">
        <f>Q56/H56</f>
        <v>47.5</v>
      </c>
      <c r="S56" s="584">
        <f>P56/Q56</f>
        <v>5.11578947368421</v>
      </c>
      <c r="T56" s="396"/>
      <c r="U56" s="458"/>
      <c r="V56" s="396">
        <v>125363</v>
      </c>
      <c r="W56" s="365">
        <v>19066</v>
      </c>
      <c r="X56" s="496">
        <f t="shared" si="7"/>
        <v>6.575212420014686</v>
      </c>
      <c r="Y56" s="532"/>
      <c r="Z56" s="532"/>
      <c r="AA56" s="538"/>
      <c r="AB56" s="538"/>
      <c r="AC56" s="538"/>
      <c r="AD56" s="538"/>
    </row>
    <row r="57" spans="1:30" s="534" customFormat="1" ht="18.75">
      <c r="A57" s="542">
        <v>53</v>
      </c>
      <c r="B57" s="560"/>
      <c r="C57" s="350" t="s">
        <v>239</v>
      </c>
      <c r="D57" s="349">
        <v>38695</v>
      </c>
      <c r="E57" s="455" t="s">
        <v>88</v>
      </c>
      <c r="F57" s="350" t="s">
        <v>356</v>
      </c>
      <c r="G57" s="513">
        <v>52</v>
      </c>
      <c r="H57" s="513">
        <v>1</v>
      </c>
      <c r="I57" s="389">
        <v>13</v>
      </c>
      <c r="J57" s="397">
        <v>83</v>
      </c>
      <c r="K57" s="453">
        <v>12</v>
      </c>
      <c r="L57" s="397">
        <v>151</v>
      </c>
      <c r="M57" s="453">
        <v>22</v>
      </c>
      <c r="N57" s="397">
        <v>247</v>
      </c>
      <c r="O57" s="453">
        <v>36</v>
      </c>
      <c r="P57" s="338">
        <f t="shared" si="4"/>
        <v>481</v>
      </c>
      <c r="Q57" s="570">
        <f t="shared" si="5"/>
        <v>70</v>
      </c>
      <c r="R57" s="571">
        <f>IF(P57&lt;&gt;0,Q57/H57,"")</f>
        <v>70</v>
      </c>
      <c r="S57" s="583">
        <f>IF(P57&lt;&gt;0,P57/Q57,"")</f>
        <v>6.871428571428571</v>
      </c>
      <c r="T57" s="397"/>
      <c r="U57" s="419">
        <f aca="true" t="shared" si="8" ref="U57:U69">IF(T57&lt;&gt;0,-(T57-P57)/T57,"")</f>
      </c>
      <c r="V57" s="397">
        <v>537559.5</v>
      </c>
      <c r="W57" s="351">
        <v>71527</v>
      </c>
      <c r="X57" s="496">
        <f t="shared" si="7"/>
        <v>7.515476673144407</v>
      </c>
      <c r="Y57" s="532"/>
      <c r="Z57" s="532"/>
      <c r="AA57" s="538"/>
      <c r="AB57" s="538"/>
      <c r="AC57" s="538"/>
      <c r="AD57" s="538"/>
    </row>
    <row r="58" spans="1:30" s="534" customFormat="1" ht="18.75">
      <c r="A58" s="542">
        <v>54</v>
      </c>
      <c r="B58" s="560"/>
      <c r="C58" s="350" t="s">
        <v>72</v>
      </c>
      <c r="D58" s="349">
        <v>38772</v>
      </c>
      <c r="E58" s="455" t="s">
        <v>88</v>
      </c>
      <c r="F58" s="350" t="s">
        <v>356</v>
      </c>
      <c r="G58" s="513">
        <v>85</v>
      </c>
      <c r="H58" s="513">
        <v>1</v>
      </c>
      <c r="I58" s="389">
        <v>8</v>
      </c>
      <c r="J58" s="397">
        <v>93</v>
      </c>
      <c r="K58" s="453">
        <v>15</v>
      </c>
      <c r="L58" s="397">
        <v>205</v>
      </c>
      <c r="M58" s="453">
        <v>35</v>
      </c>
      <c r="N58" s="397">
        <v>118</v>
      </c>
      <c r="O58" s="453">
        <v>20</v>
      </c>
      <c r="P58" s="338">
        <f t="shared" si="4"/>
        <v>416</v>
      </c>
      <c r="Q58" s="570">
        <f t="shared" si="5"/>
        <v>70</v>
      </c>
      <c r="R58" s="571">
        <f>IF(P58&lt;&gt;0,Q58/H58,"")</f>
        <v>70</v>
      </c>
      <c r="S58" s="583">
        <f>IF(P58&lt;&gt;0,P58/Q58,"")</f>
        <v>5.942857142857143</v>
      </c>
      <c r="T58" s="397">
        <v>1205</v>
      </c>
      <c r="U58" s="419">
        <f t="shared" si="8"/>
        <v>-0.6547717842323652</v>
      </c>
      <c r="V58" s="397">
        <v>1099042.5</v>
      </c>
      <c r="W58" s="351">
        <v>144948</v>
      </c>
      <c r="X58" s="496">
        <f t="shared" si="7"/>
        <v>7.582322626045203</v>
      </c>
      <c r="Y58" s="532"/>
      <c r="Z58" s="532"/>
      <c r="AA58" s="538"/>
      <c r="AB58" s="538"/>
      <c r="AC58" s="538"/>
      <c r="AD58" s="538"/>
    </row>
    <row r="59" spans="1:30" s="534" customFormat="1" ht="18.75">
      <c r="A59" s="542">
        <v>55</v>
      </c>
      <c r="B59" s="560"/>
      <c r="C59" s="350" t="s">
        <v>69</v>
      </c>
      <c r="D59" s="349">
        <v>38779</v>
      </c>
      <c r="E59" s="455" t="s">
        <v>88</v>
      </c>
      <c r="F59" s="350" t="s">
        <v>346</v>
      </c>
      <c r="G59" s="513">
        <v>97</v>
      </c>
      <c r="H59" s="513">
        <v>1</v>
      </c>
      <c r="I59" s="389">
        <v>7</v>
      </c>
      <c r="J59" s="397">
        <v>189</v>
      </c>
      <c r="K59" s="453">
        <v>36</v>
      </c>
      <c r="L59" s="397">
        <v>138</v>
      </c>
      <c r="M59" s="453">
        <v>27</v>
      </c>
      <c r="N59" s="397">
        <v>69</v>
      </c>
      <c r="O59" s="453">
        <v>13</v>
      </c>
      <c r="P59" s="338">
        <f t="shared" si="4"/>
        <v>396</v>
      </c>
      <c r="Q59" s="570">
        <f t="shared" si="5"/>
        <v>76</v>
      </c>
      <c r="R59" s="571">
        <f>IF(P59&lt;&gt;0,Q59/H59,"")</f>
        <v>76</v>
      </c>
      <c r="S59" s="583">
        <f>IF(P59&lt;&gt;0,P59/Q59,"")</f>
        <v>5.2105263157894735</v>
      </c>
      <c r="T59" s="397">
        <v>2161.5</v>
      </c>
      <c r="U59" s="419">
        <f t="shared" si="8"/>
        <v>-0.816793893129771</v>
      </c>
      <c r="V59" s="397">
        <v>1084821.5</v>
      </c>
      <c r="W59" s="351">
        <v>143212</v>
      </c>
      <c r="X59" s="496">
        <f t="shared" si="7"/>
        <v>7.574934363042203</v>
      </c>
      <c r="Y59" s="532"/>
      <c r="Z59" s="532"/>
      <c r="AA59" s="538"/>
      <c r="AB59" s="538"/>
      <c r="AC59" s="538"/>
      <c r="AD59" s="538"/>
    </row>
    <row r="60" spans="1:30" s="534" customFormat="1" ht="18.75">
      <c r="A60" s="542">
        <v>56</v>
      </c>
      <c r="B60" s="560"/>
      <c r="C60" s="350" t="s">
        <v>389</v>
      </c>
      <c r="D60" s="349">
        <v>38660</v>
      </c>
      <c r="E60" s="455" t="s">
        <v>88</v>
      </c>
      <c r="F60" s="350" t="s">
        <v>339</v>
      </c>
      <c r="G60" s="513">
        <v>63</v>
      </c>
      <c r="H60" s="513">
        <v>1</v>
      </c>
      <c r="I60" s="389">
        <v>11</v>
      </c>
      <c r="J60" s="397">
        <v>132</v>
      </c>
      <c r="K60" s="453">
        <v>33</v>
      </c>
      <c r="L60" s="397">
        <v>151.5</v>
      </c>
      <c r="M60" s="453">
        <v>31</v>
      </c>
      <c r="N60" s="397">
        <v>107.5</v>
      </c>
      <c r="O60" s="453">
        <v>23</v>
      </c>
      <c r="P60" s="338">
        <f t="shared" si="4"/>
        <v>391</v>
      </c>
      <c r="Q60" s="570">
        <f t="shared" si="5"/>
        <v>87</v>
      </c>
      <c r="R60" s="571">
        <f>IF(P60&lt;&gt;0,Q60/H60,"")</f>
        <v>87</v>
      </c>
      <c r="S60" s="583">
        <f>IF(P60&lt;&gt;0,P60/Q60,"")</f>
        <v>4.494252873563219</v>
      </c>
      <c r="T60" s="397">
        <v>870</v>
      </c>
      <c r="U60" s="419">
        <f t="shared" si="8"/>
        <v>-0.5505747126436782</v>
      </c>
      <c r="V60" s="397">
        <v>834941</v>
      </c>
      <c r="W60" s="351">
        <v>123376</v>
      </c>
      <c r="X60" s="496">
        <f t="shared" si="7"/>
        <v>6.767450719751005</v>
      </c>
      <c r="Y60" s="532"/>
      <c r="Z60" s="532"/>
      <c r="AA60" s="538"/>
      <c r="AB60" s="538"/>
      <c r="AC60" s="538"/>
      <c r="AD60" s="538"/>
    </row>
    <row r="61" spans="1:30" s="534" customFormat="1" ht="18.75">
      <c r="A61" s="542">
        <v>57</v>
      </c>
      <c r="B61" s="560"/>
      <c r="C61" s="350" t="s">
        <v>82</v>
      </c>
      <c r="D61" s="349">
        <v>38765</v>
      </c>
      <c r="E61" s="350" t="s">
        <v>92</v>
      </c>
      <c r="F61" s="350" t="s">
        <v>354</v>
      </c>
      <c r="G61" s="513">
        <v>41</v>
      </c>
      <c r="H61" s="513">
        <v>2</v>
      </c>
      <c r="I61" s="389">
        <v>9</v>
      </c>
      <c r="J61" s="397">
        <v>37</v>
      </c>
      <c r="K61" s="453">
        <v>9</v>
      </c>
      <c r="L61" s="397">
        <v>92</v>
      </c>
      <c r="M61" s="453">
        <v>20</v>
      </c>
      <c r="N61" s="397">
        <v>193</v>
      </c>
      <c r="O61" s="453">
        <v>41</v>
      </c>
      <c r="P61" s="338">
        <f t="shared" si="4"/>
        <v>322</v>
      </c>
      <c r="Q61" s="570">
        <f t="shared" si="5"/>
        <v>70</v>
      </c>
      <c r="R61" s="571">
        <f>IF(P61&lt;&gt;0,Q61/H61,"")</f>
        <v>35</v>
      </c>
      <c r="S61" s="583">
        <f>IF(P61&lt;&gt;0,P61/Q61,"")</f>
        <v>4.6</v>
      </c>
      <c r="T61" s="397">
        <v>3825</v>
      </c>
      <c r="U61" s="419">
        <f t="shared" si="8"/>
        <v>-0.9158169934640523</v>
      </c>
      <c r="V61" s="397">
        <v>330916</v>
      </c>
      <c r="W61" s="351">
        <v>44777</v>
      </c>
      <c r="X61" s="496">
        <f t="shared" si="7"/>
        <v>7.3903119905308525</v>
      </c>
      <c r="Y61" s="532"/>
      <c r="Z61" s="532"/>
      <c r="AA61" s="538"/>
      <c r="AB61" s="538"/>
      <c r="AC61" s="538"/>
      <c r="AD61" s="538"/>
    </row>
    <row r="62" spans="1:30" s="534" customFormat="1" ht="18.75">
      <c r="A62" s="542">
        <v>58</v>
      </c>
      <c r="B62" s="560"/>
      <c r="C62" s="363" t="s">
        <v>258</v>
      </c>
      <c r="D62" s="364">
        <v>38786</v>
      </c>
      <c r="E62" s="363" t="s">
        <v>367</v>
      </c>
      <c r="F62" s="363" t="s">
        <v>368</v>
      </c>
      <c r="G62" s="529">
        <v>7</v>
      </c>
      <c r="H62" s="529">
        <v>2</v>
      </c>
      <c r="I62" s="391">
        <v>6</v>
      </c>
      <c r="J62" s="396">
        <v>63</v>
      </c>
      <c r="K62" s="405">
        <v>11</v>
      </c>
      <c r="L62" s="396">
        <v>111</v>
      </c>
      <c r="M62" s="405">
        <v>18</v>
      </c>
      <c r="N62" s="396">
        <v>131</v>
      </c>
      <c r="O62" s="405">
        <v>20</v>
      </c>
      <c r="P62" s="338">
        <f t="shared" si="4"/>
        <v>305</v>
      </c>
      <c r="Q62" s="573">
        <f t="shared" si="5"/>
        <v>49</v>
      </c>
      <c r="R62" s="572">
        <f>Q62/H62</f>
        <v>24.5</v>
      </c>
      <c r="S62" s="584">
        <f>P62/Q62</f>
        <v>6.224489795918367</v>
      </c>
      <c r="T62" s="396">
        <v>376</v>
      </c>
      <c r="U62" s="419">
        <f t="shared" si="8"/>
        <v>-0.18882978723404256</v>
      </c>
      <c r="V62" s="396">
        <v>17026.5</v>
      </c>
      <c r="W62" s="365">
        <v>2579</v>
      </c>
      <c r="X62" s="496">
        <f t="shared" si="7"/>
        <v>6.601977510663048</v>
      </c>
      <c r="Y62" s="532"/>
      <c r="Z62" s="532"/>
      <c r="AA62" s="538"/>
      <c r="AB62" s="538"/>
      <c r="AC62" s="538"/>
      <c r="AD62" s="538"/>
    </row>
    <row r="63" spans="1:30" s="534" customFormat="1" ht="18.75">
      <c r="A63" s="542">
        <v>59</v>
      </c>
      <c r="B63" s="560"/>
      <c r="C63" s="363" t="s">
        <v>392</v>
      </c>
      <c r="D63" s="364">
        <v>38758</v>
      </c>
      <c r="E63" s="363" t="s">
        <v>375</v>
      </c>
      <c r="F63" s="363" t="s">
        <v>393</v>
      </c>
      <c r="G63" s="529">
        <v>4</v>
      </c>
      <c r="H63" s="529">
        <v>1</v>
      </c>
      <c r="I63" s="391">
        <v>8</v>
      </c>
      <c r="J63" s="396">
        <v>83</v>
      </c>
      <c r="K63" s="405">
        <v>14</v>
      </c>
      <c r="L63" s="396">
        <v>102</v>
      </c>
      <c r="M63" s="405">
        <v>20</v>
      </c>
      <c r="N63" s="396">
        <v>102</v>
      </c>
      <c r="O63" s="405">
        <v>20</v>
      </c>
      <c r="P63" s="338">
        <f t="shared" si="4"/>
        <v>287</v>
      </c>
      <c r="Q63" s="573">
        <f t="shared" si="5"/>
        <v>54</v>
      </c>
      <c r="R63" s="572">
        <f>Q63/H63</f>
        <v>54</v>
      </c>
      <c r="S63" s="584">
        <f>P63/Q63</f>
        <v>5.314814814814815</v>
      </c>
      <c r="T63" s="396"/>
      <c r="U63" s="419">
        <f t="shared" si="8"/>
      </c>
      <c r="V63" s="396">
        <v>5389</v>
      </c>
      <c r="W63" s="365">
        <v>928</v>
      </c>
      <c r="X63" s="496">
        <f t="shared" si="7"/>
        <v>5.807112068965517</v>
      </c>
      <c r="Y63" s="532"/>
      <c r="Z63" s="532"/>
      <c r="AA63" s="538"/>
      <c r="AB63" s="538"/>
      <c r="AC63" s="538"/>
      <c r="AD63" s="538"/>
    </row>
    <row r="64" spans="1:30" s="534" customFormat="1" ht="18.75">
      <c r="A64" s="542">
        <v>60</v>
      </c>
      <c r="B64" s="560"/>
      <c r="C64" s="350" t="s">
        <v>167</v>
      </c>
      <c r="D64" s="349">
        <v>39060</v>
      </c>
      <c r="E64" s="350" t="s">
        <v>92</v>
      </c>
      <c r="F64" s="350" t="s">
        <v>335</v>
      </c>
      <c r="G64" s="513">
        <v>77</v>
      </c>
      <c r="H64" s="513">
        <v>2</v>
      </c>
      <c r="I64" s="389">
        <v>19</v>
      </c>
      <c r="J64" s="397">
        <v>0</v>
      </c>
      <c r="K64" s="453">
        <v>0</v>
      </c>
      <c r="L64" s="397">
        <v>185</v>
      </c>
      <c r="M64" s="453">
        <v>36</v>
      </c>
      <c r="N64" s="397">
        <v>86</v>
      </c>
      <c r="O64" s="453">
        <v>17</v>
      </c>
      <c r="P64" s="338">
        <f t="shared" si="4"/>
        <v>271</v>
      </c>
      <c r="Q64" s="570">
        <f t="shared" si="5"/>
        <v>53</v>
      </c>
      <c r="R64" s="571">
        <f>IF(P64&lt;&gt;0,Q64/H64,"")</f>
        <v>26.5</v>
      </c>
      <c r="S64" s="583">
        <f>IF(P64&lt;&gt;0,P64/Q64,"")</f>
        <v>5.113207547169812</v>
      </c>
      <c r="T64" s="397">
        <v>588</v>
      </c>
      <c r="U64" s="419">
        <f t="shared" si="8"/>
        <v>-0.5391156462585034</v>
      </c>
      <c r="V64" s="397">
        <v>1921507</v>
      </c>
      <c r="W64" s="351">
        <v>280647</v>
      </c>
      <c r="X64" s="496">
        <f t="shared" si="7"/>
        <v>6.846704222742448</v>
      </c>
      <c r="Y64" s="532"/>
      <c r="Z64" s="532"/>
      <c r="AA64" s="538"/>
      <c r="AB64" s="538"/>
      <c r="AC64" s="538"/>
      <c r="AD64" s="538"/>
    </row>
    <row r="65" spans="1:30" s="534" customFormat="1" ht="18.75">
      <c r="A65" s="542">
        <v>61</v>
      </c>
      <c r="B65" s="560"/>
      <c r="C65" s="350" t="s">
        <v>155</v>
      </c>
      <c r="D65" s="349">
        <v>38737</v>
      </c>
      <c r="E65" s="455" t="s">
        <v>88</v>
      </c>
      <c r="F65" s="350" t="s">
        <v>346</v>
      </c>
      <c r="G65" s="513">
        <v>59</v>
      </c>
      <c r="H65" s="513">
        <v>1</v>
      </c>
      <c r="I65" s="389">
        <v>13</v>
      </c>
      <c r="J65" s="397">
        <v>24</v>
      </c>
      <c r="K65" s="453">
        <v>4</v>
      </c>
      <c r="L65" s="397">
        <v>70</v>
      </c>
      <c r="M65" s="453">
        <v>12</v>
      </c>
      <c r="N65" s="397">
        <v>169</v>
      </c>
      <c r="O65" s="453">
        <v>31</v>
      </c>
      <c r="P65" s="338">
        <f t="shared" si="4"/>
        <v>263</v>
      </c>
      <c r="Q65" s="570">
        <f t="shared" si="5"/>
        <v>47</v>
      </c>
      <c r="R65" s="571">
        <f>IF(P65&lt;&gt;0,Q65/H65,"")</f>
        <v>47</v>
      </c>
      <c r="S65" s="583">
        <f>IF(P65&lt;&gt;0,P65/Q65,"")</f>
        <v>5.595744680851064</v>
      </c>
      <c r="T65" s="397">
        <v>3644</v>
      </c>
      <c r="U65" s="419">
        <f t="shared" si="8"/>
        <v>-0.9278265642151482</v>
      </c>
      <c r="V65" s="397">
        <v>1171544.5</v>
      </c>
      <c r="W65" s="351">
        <v>169365</v>
      </c>
      <c r="X65" s="496">
        <f t="shared" si="7"/>
        <v>6.917276296755528</v>
      </c>
      <c r="Y65" s="532"/>
      <c r="Z65" s="532"/>
      <c r="AA65" s="538"/>
      <c r="AB65" s="538"/>
      <c r="AC65" s="538"/>
      <c r="AD65" s="538"/>
    </row>
    <row r="66" spans="1:30" s="534" customFormat="1" ht="18.75">
      <c r="A66" s="542">
        <v>62</v>
      </c>
      <c r="B66" s="560"/>
      <c r="C66" s="350" t="s">
        <v>148</v>
      </c>
      <c r="D66" s="349">
        <v>38758</v>
      </c>
      <c r="E66" s="350" t="s">
        <v>92</v>
      </c>
      <c r="F66" s="350" t="s">
        <v>354</v>
      </c>
      <c r="G66" s="513">
        <v>46</v>
      </c>
      <c r="H66" s="513">
        <v>2</v>
      </c>
      <c r="I66" s="389">
        <v>10</v>
      </c>
      <c r="J66" s="397">
        <v>91</v>
      </c>
      <c r="K66" s="453">
        <v>13</v>
      </c>
      <c r="L66" s="397">
        <v>49</v>
      </c>
      <c r="M66" s="453">
        <v>7</v>
      </c>
      <c r="N66" s="397">
        <v>40</v>
      </c>
      <c r="O66" s="453">
        <v>4</v>
      </c>
      <c r="P66" s="338">
        <f t="shared" si="4"/>
        <v>180</v>
      </c>
      <c r="Q66" s="570">
        <f t="shared" si="5"/>
        <v>24</v>
      </c>
      <c r="R66" s="571">
        <f>IF(P66&lt;&gt;0,Q66/H66,"")</f>
        <v>12</v>
      </c>
      <c r="S66" s="583">
        <f>IF(P66&lt;&gt;0,P66/Q66,"")</f>
        <v>7.5</v>
      </c>
      <c r="T66" s="397">
        <v>500</v>
      </c>
      <c r="U66" s="419">
        <f t="shared" si="8"/>
        <v>-0.64</v>
      </c>
      <c r="V66" s="397">
        <v>180343</v>
      </c>
      <c r="W66" s="351">
        <v>23775</v>
      </c>
      <c r="X66" s="496">
        <f t="shared" si="7"/>
        <v>7.5854048370136695</v>
      </c>
      <c r="Y66" s="532"/>
      <c r="Z66" s="532"/>
      <c r="AA66" s="538"/>
      <c r="AB66" s="538"/>
      <c r="AC66" s="538"/>
      <c r="AD66" s="538"/>
    </row>
    <row r="67" spans="1:30" s="534" customFormat="1" ht="18.75">
      <c r="A67" s="542">
        <v>63</v>
      </c>
      <c r="B67" s="560"/>
      <c r="C67" s="350" t="s">
        <v>404</v>
      </c>
      <c r="D67" s="349">
        <v>38506</v>
      </c>
      <c r="E67" s="350" t="s">
        <v>92</v>
      </c>
      <c r="F67" s="350" t="s">
        <v>372</v>
      </c>
      <c r="G67" s="513">
        <v>106</v>
      </c>
      <c r="H67" s="513">
        <v>1</v>
      </c>
      <c r="I67" s="389">
        <v>46</v>
      </c>
      <c r="J67" s="397">
        <v>20</v>
      </c>
      <c r="K67" s="453">
        <v>10</v>
      </c>
      <c r="L67" s="397">
        <v>57</v>
      </c>
      <c r="M67" s="453">
        <v>26</v>
      </c>
      <c r="N67" s="397">
        <v>90</v>
      </c>
      <c r="O67" s="453">
        <v>42</v>
      </c>
      <c r="P67" s="338">
        <f t="shared" si="4"/>
        <v>167</v>
      </c>
      <c r="Q67" s="570">
        <f t="shared" si="5"/>
        <v>78</v>
      </c>
      <c r="R67" s="571">
        <f>IF(P67&lt;&gt;0,Q67/H67,"")</f>
        <v>78</v>
      </c>
      <c r="S67" s="583">
        <f>IF(P67&lt;&gt;0,P67/Q67,"")</f>
        <v>2.141025641025641</v>
      </c>
      <c r="T67" s="397"/>
      <c r="U67" s="419">
        <f t="shared" si="8"/>
      </c>
      <c r="V67" s="397">
        <v>1514702</v>
      </c>
      <c r="W67" s="351">
        <v>235817</v>
      </c>
      <c r="X67" s="496">
        <f aca="true" t="shared" si="9" ref="X67:X72">V67/W67</f>
        <v>6.423209522638317</v>
      </c>
      <c r="Y67" s="532"/>
      <c r="Z67" s="532"/>
      <c r="AA67" s="538"/>
      <c r="AB67" s="538"/>
      <c r="AC67" s="538"/>
      <c r="AD67" s="538"/>
    </row>
    <row r="68" spans="1:30" s="534" customFormat="1" ht="18.75">
      <c r="A68" s="542">
        <v>64</v>
      </c>
      <c r="B68" s="560"/>
      <c r="C68" s="350" t="s">
        <v>161</v>
      </c>
      <c r="D68" s="349">
        <v>38730</v>
      </c>
      <c r="E68" s="455" t="s">
        <v>88</v>
      </c>
      <c r="F68" s="350" t="s">
        <v>91</v>
      </c>
      <c r="G68" s="513">
        <v>62</v>
      </c>
      <c r="H68" s="513">
        <v>2</v>
      </c>
      <c r="I68" s="389">
        <v>13</v>
      </c>
      <c r="J68" s="397">
        <v>48</v>
      </c>
      <c r="K68" s="453">
        <v>7</v>
      </c>
      <c r="L68" s="397">
        <v>31</v>
      </c>
      <c r="M68" s="453">
        <v>5</v>
      </c>
      <c r="N68" s="397">
        <v>58</v>
      </c>
      <c r="O68" s="453">
        <v>8</v>
      </c>
      <c r="P68" s="338">
        <f t="shared" si="4"/>
        <v>137</v>
      </c>
      <c r="Q68" s="570">
        <f t="shared" si="5"/>
        <v>20</v>
      </c>
      <c r="R68" s="571">
        <f>IF(P68&lt;&gt;0,Q68/H68,"")</f>
        <v>10</v>
      </c>
      <c r="S68" s="583">
        <f>IF(P68&lt;&gt;0,P68/Q68,"")</f>
        <v>6.85</v>
      </c>
      <c r="T68" s="397">
        <v>244</v>
      </c>
      <c r="U68" s="419">
        <f t="shared" si="8"/>
        <v>-0.4385245901639344</v>
      </c>
      <c r="V68" s="397">
        <v>1180892.5</v>
      </c>
      <c r="W68" s="351">
        <v>138648</v>
      </c>
      <c r="X68" s="496">
        <f t="shared" si="9"/>
        <v>8.517198228607697</v>
      </c>
      <c r="Y68" s="532"/>
      <c r="Z68" s="532"/>
      <c r="AA68" s="538"/>
      <c r="AB68" s="538"/>
      <c r="AC68" s="538"/>
      <c r="AD68" s="538"/>
    </row>
    <row r="69" spans="1:30" s="534" customFormat="1" ht="18.75">
      <c r="A69" s="542">
        <v>65</v>
      </c>
      <c r="B69" s="560"/>
      <c r="C69" s="348" t="s">
        <v>388</v>
      </c>
      <c r="D69" s="349">
        <v>38702</v>
      </c>
      <c r="E69" s="455" t="s">
        <v>376</v>
      </c>
      <c r="F69" s="350" t="s">
        <v>384</v>
      </c>
      <c r="G69" s="513">
        <v>10</v>
      </c>
      <c r="H69" s="513">
        <v>1</v>
      </c>
      <c r="I69" s="389">
        <v>11</v>
      </c>
      <c r="J69" s="397">
        <v>33</v>
      </c>
      <c r="K69" s="453">
        <v>5</v>
      </c>
      <c r="L69" s="397">
        <v>66</v>
      </c>
      <c r="M69" s="453">
        <v>10</v>
      </c>
      <c r="N69" s="397">
        <v>34</v>
      </c>
      <c r="O69" s="453">
        <v>5</v>
      </c>
      <c r="P69" s="338">
        <f t="shared" si="4"/>
        <v>133</v>
      </c>
      <c r="Q69" s="573">
        <f t="shared" si="5"/>
        <v>20</v>
      </c>
      <c r="R69" s="572">
        <f>Q69/H69</f>
        <v>20</v>
      </c>
      <c r="S69" s="584">
        <f>P69/Q69</f>
        <v>6.65</v>
      </c>
      <c r="T69" s="397">
        <v>700</v>
      </c>
      <c r="U69" s="419">
        <f t="shared" si="8"/>
        <v>-0.81</v>
      </c>
      <c r="V69" s="397">
        <v>44314</v>
      </c>
      <c r="W69" s="351">
        <v>7041</v>
      </c>
      <c r="X69" s="496">
        <f t="shared" si="9"/>
        <v>6.2937082800738535</v>
      </c>
      <c r="Y69" s="532"/>
      <c r="Z69" s="532"/>
      <c r="AA69" s="538"/>
      <c r="AB69" s="538"/>
      <c r="AC69" s="538"/>
      <c r="AD69" s="538"/>
    </row>
    <row r="70" spans="1:30" s="534" customFormat="1" ht="18.75">
      <c r="A70" s="542">
        <v>66</v>
      </c>
      <c r="B70" s="560"/>
      <c r="C70" s="363" t="s">
        <v>398</v>
      </c>
      <c r="D70" s="364">
        <v>38520</v>
      </c>
      <c r="E70" s="473" t="s">
        <v>178</v>
      </c>
      <c r="F70" s="363" t="s">
        <v>399</v>
      </c>
      <c r="G70" s="529">
        <v>2</v>
      </c>
      <c r="H70" s="529">
        <v>1</v>
      </c>
      <c r="I70" s="391">
        <v>19</v>
      </c>
      <c r="J70" s="396">
        <v>26</v>
      </c>
      <c r="K70" s="405">
        <v>4</v>
      </c>
      <c r="L70" s="396">
        <v>27</v>
      </c>
      <c r="M70" s="405">
        <v>5</v>
      </c>
      <c r="N70" s="396">
        <v>72</v>
      </c>
      <c r="O70" s="405">
        <v>12</v>
      </c>
      <c r="P70" s="338">
        <f t="shared" si="4"/>
        <v>125</v>
      </c>
      <c r="Q70" s="573">
        <f t="shared" si="5"/>
        <v>21</v>
      </c>
      <c r="R70" s="572">
        <f>Q70/H70</f>
        <v>21</v>
      </c>
      <c r="S70" s="584">
        <f>P70/Q70</f>
        <v>5.9523809523809526</v>
      </c>
      <c r="T70" s="396"/>
      <c r="U70" s="458"/>
      <c r="V70" s="396">
        <v>50622.5</v>
      </c>
      <c r="W70" s="365">
        <v>8623</v>
      </c>
      <c r="X70" s="496">
        <f t="shared" si="9"/>
        <v>5.870636669372608</v>
      </c>
      <c r="Y70" s="532"/>
      <c r="Z70" s="532"/>
      <c r="AA70" s="538"/>
      <c r="AB70" s="538"/>
      <c r="AC70" s="538"/>
      <c r="AD70" s="538"/>
    </row>
    <row r="71" spans="1:30" s="534" customFormat="1" ht="18.75">
      <c r="A71" s="542">
        <v>67</v>
      </c>
      <c r="B71" s="560"/>
      <c r="C71" s="363" t="s">
        <v>159</v>
      </c>
      <c r="D71" s="364">
        <v>38709</v>
      </c>
      <c r="E71" s="363" t="s">
        <v>89</v>
      </c>
      <c r="F71" s="363" t="s">
        <v>355</v>
      </c>
      <c r="G71" s="529">
        <v>233</v>
      </c>
      <c r="H71" s="529">
        <v>1</v>
      </c>
      <c r="I71" s="391">
        <v>17</v>
      </c>
      <c r="J71" s="577">
        <v>24</v>
      </c>
      <c r="K71" s="580">
        <v>8</v>
      </c>
      <c r="L71" s="577">
        <v>36</v>
      </c>
      <c r="M71" s="580">
        <v>12</v>
      </c>
      <c r="N71" s="577">
        <v>21</v>
      </c>
      <c r="O71" s="580">
        <v>7</v>
      </c>
      <c r="P71" s="338">
        <f t="shared" si="4"/>
        <v>81</v>
      </c>
      <c r="Q71" s="573">
        <f t="shared" si="5"/>
        <v>27</v>
      </c>
      <c r="R71" s="572">
        <f>Q71/H71</f>
        <v>27</v>
      </c>
      <c r="S71" s="584">
        <f>P71/Q71</f>
        <v>3</v>
      </c>
      <c r="T71" s="577">
        <v>2196</v>
      </c>
      <c r="U71" s="458">
        <f>IF(T71&lt;&gt;0,-(T71-P71)/T71,"")</f>
        <v>-0.9631147540983607</v>
      </c>
      <c r="V71" s="577">
        <v>17057392</v>
      </c>
      <c r="W71" s="536">
        <v>2563448</v>
      </c>
      <c r="X71" s="496">
        <f t="shared" si="9"/>
        <v>6.654081533933983</v>
      </c>
      <c r="Y71" s="532"/>
      <c r="Z71" s="532"/>
      <c r="AA71" s="538"/>
      <c r="AB71" s="538"/>
      <c r="AC71" s="538"/>
      <c r="AD71" s="538"/>
    </row>
    <row r="72" spans="1:30" s="534" customFormat="1" ht="19.5" thickBot="1">
      <c r="A72" s="542">
        <v>68</v>
      </c>
      <c r="B72" s="562"/>
      <c r="C72" s="423" t="s">
        <v>387</v>
      </c>
      <c r="D72" s="422">
        <v>38002</v>
      </c>
      <c r="E72" s="563" t="s">
        <v>88</v>
      </c>
      <c r="F72" s="423" t="s">
        <v>356</v>
      </c>
      <c r="G72" s="564">
        <v>75</v>
      </c>
      <c r="H72" s="564">
        <v>1</v>
      </c>
      <c r="I72" s="424">
        <v>27</v>
      </c>
      <c r="J72" s="428">
        <v>0</v>
      </c>
      <c r="K72" s="581">
        <v>0</v>
      </c>
      <c r="L72" s="428">
        <v>0</v>
      </c>
      <c r="M72" s="581">
        <v>0</v>
      </c>
      <c r="N72" s="428">
        <v>16</v>
      </c>
      <c r="O72" s="581">
        <v>2</v>
      </c>
      <c r="P72" s="339">
        <f t="shared" si="4"/>
        <v>16</v>
      </c>
      <c r="Q72" s="574">
        <f t="shared" si="5"/>
        <v>2</v>
      </c>
      <c r="R72" s="575">
        <f>IF(P72&lt;&gt;0,Q72/H72,"")</f>
        <v>2</v>
      </c>
      <c r="S72" s="585">
        <f>IF(P72&lt;&gt;0,P72/Q72,"")</f>
        <v>8</v>
      </c>
      <c r="T72" s="428">
        <v>42</v>
      </c>
      <c r="U72" s="432">
        <f>IF(T72&lt;&gt;0,-(T72-P72)/T72,"")</f>
        <v>-0.6190476190476191</v>
      </c>
      <c r="V72" s="428">
        <v>964067.2</v>
      </c>
      <c r="W72" s="565">
        <v>162248</v>
      </c>
      <c r="X72" s="566">
        <f t="shared" si="9"/>
        <v>5.941935801982151</v>
      </c>
      <c r="Y72" s="532"/>
      <c r="Z72" s="532"/>
      <c r="AA72" s="538"/>
      <c r="AB72" s="538"/>
      <c r="AC72" s="538"/>
      <c r="AD72" s="538"/>
    </row>
    <row r="73" spans="1:30" s="237" customFormat="1" ht="19.5" thickBot="1">
      <c r="A73" s="514"/>
      <c r="B73" s="543"/>
      <c r="C73" s="544"/>
      <c r="D73" s="545"/>
      <c r="E73" s="545"/>
      <c r="F73" s="546"/>
      <c r="G73" s="547"/>
      <c r="H73" s="547"/>
      <c r="I73" s="547"/>
      <c r="J73" s="548"/>
      <c r="K73" s="549"/>
      <c r="L73" s="548"/>
      <c r="M73" s="549"/>
      <c r="N73" s="548"/>
      <c r="O73" s="549"/>
      <c r="P73" s="550"/>
      <c r="Q73" s="551"/>
      <c r="R73" s="552"/>
      <c r="S73" s="553"/>
      <c r="T73" s="548"/>
      <c r="U73" s="554"/>
      <c r="V73" s="548"/>
      <c r="W73" s="554"/>
      <c r="X73" s="554"/>
      <c r="Y73" s="235"/>
      <c r="Z73" s="236"/>
      <c r="AA73" s="235"/>
      <c r="AB73" s="235"/>
      <c r="AC73" s="235"/>
      <c r="AD73" s="235"/>
    </row>
    <row r="74" spans="1:30" s="382" customFormat="1" ht="15.75" thickBot="1">
      <c r="A74" s="518"/>
      <c r="B74" s="714" t="s">
        <v>248</v>
      </c>
      <c r="C74" s="715"/>
      <c r="D74" s="715"/>
      <c r="E74" s="715"/>
      <c r="F74" s="715"/>
      <c r="G74" s="520"/>
      <c r="H74" s="520">
        <f>SUM(H5:H73)</f>
        <v>1302</v>
      </c>
      <c r="I74" s="519"/>
      <c r="J74" s="521"/>
      <c r="K74" s="522"/>
      <c r="L74" s="521"/>
      <c r="M74" s="522"/>
      <c r="N74" s="521"/>
      <c r="O74" s="522"/>
      <c r="P74" s="521">
        <f>SUM(P5:P73)</f>
        <v>2637923.5</v>
      </c>
      <c r="Q74" s="522">
        <f>SUM(Q5:Q73)</f>
        <v>372763</v>
      </c>
      <c r="R74" s="523">
        <f>P74/H74</f>
        <v>2026.054915514593</v>
      </c>
      <c r="S74" s="524">
        <f>P74/Q74</f>
        <v>7.076677406287641</v>
      </c>
      <c r="T74" s="521"/>
      <c r="U74" s="525"/>
      <c r="V74" s="541"/>
      <c r="W74" s="526"/>
      <c r="X74" s="527"/>
      <c r="Z74" s="383"/>
      <c r="AD74" s="382" t="s">
        <v>249</v>
      </c>
    </row>
    <row r="75" spans="20:24" ht="18">
      <c r="T75" s="702" t="s">
        <v>250</v>
      </c>
      <c r="U75" s="702"/>
      <c r="V75" s="702"/>
      <c r="W75" s="702"/>
      <c r="X75" s="702"/>
    </row>
    <row r="76" spans="20:24" ht="18">
      <c r="T76" s="667"/>
      <c r="U76" s="667"/>
      <c r="V76" s="667"/>
      <c r="W76" s="667"/>
      <c r="X76" s="667"/>
    </row>
    <row r="77" spans="20:24" ht="18">
      <c r="T77" s="667"/>
      <c r="U77" s="667"/>
      <c r="V77" s="667"/>
      <c r="W77" s="667"/>
      <c r="X77" s="667"/>
    </row>
    <row r="78" spans="20:24" ht="18">
      <c r="T78" s="667"/>
      <c r="U78" s="667"/>
      <c r="V78" s="667"/>
      <c r="W78" s="667"/>
      <c r="X78" s="667"/>
    </row>
    <row r="79" spans="20:24" ht="18">
      <c r="T79" s="667"/>
      <c r="U79" s="667"/>
      <c r="V79" s="667"/>
      <c r="W79" s="667"/>
      <c r="X79" s="667"/>
    </row>
    <row r="80" spans="20:24" ht="18">
      <c r="T80" s="667"/>
      <c r="U80" s="667"/>
      <c r="V80" s="667"/>
      <c r="W80" s="667"/>
      <c r="X80" s="667"/>
    </row>
    <row r="81" spans="1:24" ht="18">
      <c r="A81" s="668" t="s">
        <v>252</v>
      </c>
      <c r="B81" s="669"/>
      <c r="C81" s="669"/>
      <c r="D81" s="669"/>
      <c r="E81" s="669"/>
      <c r="F81" s="669"/>
      <c r="G81" s="669"/>
      <c r="H81" s="669"/>
      <c r="I81" s="669"/>
      <c r="J81" s="669"/>
      <c r="K81" s="669"/>
      <c r="L81" s="669"/>
      <c r="M81" s="669"/>
      <c r="N81" s="669"/>
      <c r="O81" s="669"/>
      <c r="P81" s="669"/>
      <c r="Q81" s="669"/>
      <c r="R81" s="669"/>
      <c r="S81" s="669"/>
      <c r="T81" s="669"/>
      <c r="U81" s="669"/>
      <c r="V81" s="669"/>
      <c r="W81" s="669"/>
      <c r="X81" s="669"/>
    </row>
    <row r="82" spans="1:24" ht="18">
      <c r="A82" s="669"/>
      <c r="B82" s="669"/>
      <c r="C82" s="669"/>
      <c r="D82" s="669"/>
      <c r="E82" s="669"/>
      <c r="F82" s="669"/>
      <c r="G82" s="669"/>
      <c r="H82" s="669"/>
      <c r="I82" s="669"/>
      <c r="J82" s="669"/>
      <c r="K82" s="669"/>
      <c r="L82" s="669"/>
      <c r="M82" s="669"/>
      <c r="N82" s="669"/>
      <c r="O82" s="669"/>
      <c r="P82" s="669"/>
      <c r="Q82" s="669"/>
      <c r="R82" s="669"/>
      <c r="S82" s="669"/>
      <c r="T82" s="669"/>
      <c r="U82" s="669"/>
      <c r="V82" s="669"/>
      <c r="W82" s="669"/>
      <c r="X82" s="669"/>
    </row>
    <row r="83" spans="1:24" ht="18">
      <c r="A83" s="669"/>
      <c r="B83" s="669"/>
      <c r="C83" s="669"/>
      <c r="D83" s="669"/>
      <c r="E83" s="669"/>
      <c r="F83" s="669"/>
      <c r="G83" s="669"/>
      <c r="H83" s="669"/>
      <c r="I83" s="669"/>
      <c r="J83" s="669"/>
      <c r="K83" s="669"/>
      <c r="L83" s="669"/>
      <c r="M83" s="669"/>
      <c r="N83" s="669"/>
      <c r="O83" s="669"/>
      <c r="P83" s="669"/>
      <c r="Q83" s="669"/>
      <c r="R83" s="669"/>
      <c r="S83" s="669"/>
      <c r="T83" s="669"/>
      <c r="U83" s="669"/>
      <c r="V83" s="669"/>
      <c r="W83" s="669"/>
      <c r="X83" s="669"/>
    </row>
    <row r="84" spans="1:24" ht="18">
      <c r="A84" s="669"/>
      <c r="B84" s="669"/>
      <c r="C84" s="669"/>
      <c r="D84" s="669"/>
      <c r="E84" s="669"/>
      <c r="F84" s="669"/>
      <c r="G84" s="669"/>
      <c r="H84" s="669"/>
      <c r="I84" s="669"/>
      <c r="J84" s="669"/>
      <c r="K84" s="669"/>
      <c r="L84" s="669"/>
      <c r="M84" s="669"/>
      <c r="N84" s="669"/>
      <c r="O84" s="669"/>
      <c r="P84" s="669"/>
      <c r="Q84" s="669"/>
      <c r="R84" s="669"/>
      <c r="S84" s="669"/>
      <c r="T84" s="669"/>
      <c r="U84" s="669"/>
      <c r="V84" s="669"/>
      <c r="W84" s="669"/>
      <c r="X84" s="669"/>
    </row>
    <row r="85" spans="1:30" ht="18">
      <c r="A85" s="669"/>
      <c r="B85" s="669"/>
      <c r="C85" s="669"/>
      <c r="D85" s="669"/>
      <c r="E85" s="669"/>
      <c r="F85" s="669"/>
      <c r="G85" s="669"/>
      <c r="H85" s="669"/>
      <c r="I85" s="669"/>
      <c r="J85" s="669"/>
      <c r="K85" s="669"/>
      <c r="L85" s="669"/>
      <c r="M85" s="669"/>
      <c r="N85" s="669"/>
      <c r="O85" s="669"/>
      <c r="P85" s="669"/>
      <c r="Q85" s="669"/>
      <c r="R85" s="669"/>
      <c r="S85" s="669"/>
      <c r="T85" s="669"/>
      <c r="U85" s="669"/>
      <c r="V85" s="669"/>
      <c r="W85" s="669"/>
      <c r="X85" s="669"/>
      <c r="AD85" s="200" t="s">
        <v>249</v>
      </c>
    </row>
  </sheetData>
  <mergeCells count="18">
    <mergeCell ref="A2:X2"/>
    <mergeCell ref="C3:C4"/>
    <mergeCell ref="D3:D4"/>
    <mergeCell ref="E3:E4"/>
    <mergeCell ref="F3:F4"/>
    <mergeCell ref="G3:G4"/>
    <mergeCell ref="H3:H4"/>
    <mergeCell ref="I3:I4"/>
    <mergeCell ref="J3:K3"/>
    <mergeCell ref="L3:M3"/>
    <mergeCell ref="N3:O3"/>
    <mergeCell ref="P3:S3"/>
    <mergeCell ref="T3:U3"/>
    <mergeCell ref="V3:X3"/>
    <mergeCell ref="B74:F74"/>
    <mergeCell ref="T75:X77"/>
    <mergeCell ref="T78:X80"/>
    <mergeCell ref="A81:X85"/>
  </mergeCells>
  <printOptions/>
  <pageMargins left="0.42" right="0.21" top="0.68" bottom="1" header="0.5" footer="0.5"/>
  <pageSetup orientation="portrait" paperSize="9" scale="35" r:id="rId2"/>
  <ignoredErrors>
    <ignoredError sqref="D19" twoDigitTextYear="1"/>
    <ignoredError sqref="X52:X53 X17:X26 X6:X12 X30:X33 X35:X39" evalError="1"/>
    <ignoredError sqref="R6:S40" formula="1"/>
  </ignoredErrors>
  <drawing r:id="rId1"/>
</worksheet>
</file>

<file path=xl/worksheets/sheet2.xml><?xml version="1.0" encoding="utf-8"?>
<worksheet xmlns="http://schemas.openxmlformats.org/spreadsheetml/2006/main" xmlns:r="http://schemas.openxmlformats.org/officeDocument/2006/relationships">
  <dimension ref="A1:AF173"/>
  <sheetViews>
    <sheetView zoomScale="90" zoomScaleNormal="90" workbookViewId="0" topLeftCell="A1">
      <pane xSplit="7" ySplit="6" topLeftCell="H7" activePane="bottomRight" state="frozen"/>
      <selection pane="topLeft" activeCell="A3" sqref="A3:V3"/>
      <selection pane="topRight" activeCell="A3" sqref="A3:V3"/>
      <selection pane="bottomLeft" activeCell="A3" sqref="A3:V3"/>
      <selection pane="bottomRight" activeCell="D32" sqref="D32"/>
    </sheetView>
  </sheetViews>
  <sheetFormatPr defaultColWidth="9.140625" defaultRowHeight="12.75"/>
  <cols>
    <col min="1" max="2" width="9.7109375" style="53" customWidth="1"/>
    <col min="3" max="20" width="13.57421875" style="53" customWidth="1"/>
    <col min="21" max="21" width="14.421875" style="53" customWidth="1"/>
    <col min="22" max="28" width="17.421875" style="53" customWidth="1"/>
    <col min="29" max="29" width="17.421875" style="54" customWidth="1"/>
    <col min="30" max="16384" width="17.421875" style="53" customWidth="1"/>
  </cols>
  <sheetData>
    <row r="1" spans="1:29" ht="90" customHeight="1" thickBot="1">
      <c r="A1" s="632" t="s">
        <v>175</v>
      </c>
      <c r="B1" s="633"/>
      <c r="C1" s="633"/>
      <c r="D1" s="633"/>
      <c r="E1" s="633"/>
      <c r="F1" s="633"/>
      <c r="G1" s="633"/>
      <c r="H1" s="633"/>
      <c r="I1" s="633"/>
      <c r="J1" s="633"/>
      <c r="K1" s="633"/>
      <c r="L1" s="633"/>
      <c r="M1" s="634"/>
      <c r="U1" s="54"/>
      <c r="AC1" s="53"/>
    </row>
    <row r="2" spans="1:21" ht="9" customHeight="1" thickBot="1">
      <c r="A2" s="55"/>
      <c r="B2" s="55"/>
      <c r="C2" s="55"/>
      <c r="D2" s="55"/>
      <c r="E2" s="55"/>
      <c r="F2" s="55"/>
      <c r="G2" s="55"/>
      <c r="H2" s="55"/>
      <c r="I2" s="55"/>
      <c r="J2" s="55"/>
      <c r="K2" s="55"/>
      <c r="L2" s="55"/>
      <c r="M2" s="55"/>
      <c r="N2" s="55"/>
      <c r="O2" s="55"/>
      <c r="P2" s="55"/>
      <c r="Q2" s="55"/>
      <c r="R2" s="55"/>
      <c r="S2" s="55"/>
      <c r="T2" s="55"/>
      <c r="U2" s="55"/>
    </row>
    <row r="3" spans="1:29" ht="18" customHeight="1">
      <c r="A3" s="56"/>
      <c r="B3" s="57"/>
      <c r="C3" s="123">
        <f aca="true" t="shared" si="0" ref="C3:L3">COLUMN()-2</f>
        <v>1</v>
      </c>
      <c r="D3" s="123">
        <f t="shared" si="0"/>
        <v>2</v>
      </c>
      <c r="E3" s="123">
        <f t="shared" si="0"/>
        <v>3</v>
      </c>
      <c r="F3" s="123">
        <f t="shared" si="0"/>
        <v>4</v>
      </c>
      <c r="G3" s="123">
        <f t="shared" si="0"/>
        <v>5</v>
      </c>
      <c r="H3" s="123">
        <f t="shared" si="0"/>
        <v>6</v>
      </c>
      <c r="I3" s="123">
        <f t="shared" si="0"/>
        <v>7</v>
      </c>
      <c r="J3" s="123">
        <f t="shared" si="0"/>
        <v>8</v>
      </c>
      <c r="K3" s="123">
        <f t="shared" si="0"/>
        <v>9</v>
      </c>
      <c r="L3" s="123">
        <f t="shared" si="0"/>
        <v>10</v>
      </c>
      <c r="M3" s="635" t="s">
        <v>128</v>
      </c>
      <c r="AC3" s="53"/>
    </row>
    <row r="4" spans="1:29" ht="45" customHeight="1" thickBot="1">
      <c r="A4" s="59"/>
      <c r="B4" s="60"/>
      <c r="C4" s="86" t="s">
        <v>146</v>
      </c>
      <c r="D4" s="86" t="s">
        <v>159</v>
      </c>
      <c r="E4" s="86" t="s">
        <v>154</v>
      </c>
      <c r="F4" s="86" t="s">
        <v>67</v>
      </c>
      <c r="G4" s="86" t="s">
        <v>171</v>
      </c>
      <c r="H4" s="86" t="s">
        <v>170</v>
      </c>
      <c r="I4" s="86" t="s">
        <v>167</v>
      </c>
      <c r="J4" s="86" t="s">
        <v>172</v>
      </c>
      <c r="K4" s="86" t="s">
        <v>176</v>
      </c>
      <c r="L4" s="86" t="s">
        <v>177</v>
      </c>
      <c r="M4" s="627"/>
      <c r="AC4" s="53"/>
    </row>
    <row r="5" spans="1:29" ht="19.5" customHeight="1">
      <c r="A5" s="629" t="s">
        <v>84</v>
      </c>
      <c r="B5" s="630"/>
      <c r="C5" s="87">
        <v>38723</v>
      </c>
      <c r="D5" s="87">
        <v>38709</v>
      </c>
      <c r="E5" s="87">
        <v>38723</v>
      </c>
      <c r="F5" s="87">
        <v>38674</v>
      </c>
      <c r="G5" s="87">
        <v>38702</v>
      </c>
      <c r="H5" s="87">
        <v>38716</v>
      </c>
      <c r="I5" s="87">
        <v>38695</v>
      </c>
      <c r="J5" s="87">
        <v>38723</v>
      </c>
      <c r="K5" s="87">
        <v>38723</v>
      </c>
      <c r="L5" s="87">
        <v>38688</v>
      </c>
      <c r="M5" s="627"/>
      <c r="AC5" s="53"/>
    </row>
    <row r="6" spans="1:29" ht="19.5" customHeight="1">
      <c r="A6" s="631" t="s">
        <v>132</v>
      </c>
      <c r="B6" s="626"/>
      <c r="C6" s="88">
        <v>280</v>
      </c>
      <c r="D6" s="88">
        <v>233</v>
      </c>
      <c r="E6" s="88">
        <v>199</v>
      </c>
      <c r="F6" s="88">
        <v>96</v>
      </c>
      <c r="G6" s="88">
        <v>131</v>
      </c>
      <c r="H6" s="88">
        <v>60</v>
      </c>
      <c r="I6" s="88">
        <v>77</v>
      </c>
      <c r="J6" s="88">
        <v>10</v>
      </c>
      <c r="K6" s="88">
        <v>3</v>
      </c>
      <c r="L6" s="88">
        <v>63</v>
      </c>
      <c r="M6" s="627"/>
      <c r="AC6" s="53"/>
    </row>
    <row r="7" spans="1:13" s="66" customFormat="1" ht="15" customHeight="1">
      <c r="A7" s="625" t="s">
        <v>87</v>
      </c>
      <c r="B7" s="636"/>
      <c r="C7" s="89" t="s">
        <v>90</v>
      </c>
      <c r="D7" s="89" t="s">
        <v>89</v>
      </c>
      <c r="E7" s="89" t="s">
        <v>89</v>
      </c>
      <c r="F7" s="89" t="s">
        <v>90</v>
      </c>
      <c r="G7" s="89" t="s">
        <v>92</v>
      </c>
      <c r="H7" s="89" t="s">
        <v>91</v>
      </c>
      <c r="I7" s="89" t="s">
        <v>92</v>
      </c>
      <c r="J7" s="89" t="s">
        <v>173</v>
      </c>
      <c r="K7" s="89" t="s">
        <v>178</v>
      </c>
      <c r="L7" s="89" t="s">
        <v>91</v>
      </c>
      <c r="M7" s="627"/>
    </row>
    <row r="8" spans="1:13" s="66" customFormat="1" ht="15" customHeight="1">
      <c r="A8" s="637"/>
      <c r="B8" s="638"/>
      <c r="C8" s="90" t="s">
        <v>150</v>
      </c>
      <c r="D8" s="90" t="s">
        <v>163</v>
      </c>
      <c r="E8" s="90" t="s">
        <v>157</v>
      </c>
      <c r="F8" s="90" t="s">
        <v>100</v>
      </c>
      <c r="G8" s="90" t="s">
        <v>105</v>
      </c>
      <c r="H8" s="90" t="s">
        <v>97</v>
      </c>
      <c r="I8" s="90" t="s">
        <v>102</v>
      </c>
      <c r="J8" s="90" t="s">
        <v>100</v>
      </c>
      <c r="K8" s="90" t="s">
        <v>179</v>
      </c>
      <c r="L8" s="90" t="s">
        <v>97</v>
      </c>
      <c r="M8" s="627"/>
    </row>
    <row r="9" spans="1:29" ht="19.5" customHeight="1">
      <c r="A9" s="631" t="s">
        <v>113</v>
      </c>
      <c r="B9" s="626"/>
      <c r="C9" s="88">
        <v>1</v>
      </c>
      <c r="D9" s="88">
        <v>3</v>
      </c>
      <c r="E9" s="88">
        <v>1</v>
      </c>
      <c r="F9" s="88">
        <v>8</v>
      </c>
      <c r="G9" s="88">
        <v>4</v>
      </c>
      <c r="H9" s="88">
        <v>2</v>
      </c>
      <c r="I9" s="88">
        <v>5</v>
      </c>
      <c r="J9" s="88">
        <v>1</v>
      </c>
      <c r="K9" s="88">
        <v>1</v>
      </c>
      <c r="L9" s="88">
        <v>6</v>
      </c>
      <c r="M9" s="627"/>
      <c r="AC9" s="53"/>
    </row>
    <row r="10" spans="1:29" ht="19.5" customHeight="1" thickBot="1">
      <c r="A10" s="631" t="s">
        <v>114</v>
      </c>
      <c r="B10" s="626"/>
      <c r="C10" s="91">
        <v>280</v>
      </c>
      <c r="D10" s="91"/>
      <c r="E10" s="91"/>
      <c r="F10" s="91">
        <v>93</v>
      </c>
      <c r="G10" s="91">
        <v>131</v>
      </c>
      <c r="H10" s="91">
        <v>61</v>
      </c>
      <c r="I10" s="91">
        <v>77</v>
      </c>
      <c r="J10" s="91">
        <v>10</v>
      </c>
      <c r="K10" s="91">
        <v>3</v>
      </c>
      <c r="L10" s="91">
        <v>5</v>
      </c>
      <c r="M10" s="628"/>
      <c r="N10" s="69"/>
      <c r="O10" s="69"/>
      <c r="P10" s="69"/>
      <c r="Q10" s="69"/>
      <c r="R10" s="69"/>
      <c r="S10" s="69"/>
      <c r="T10" s="69"/>
      <c r="U10" s="69"/>
      <c r="AC10" s="53"/>
    </row>
    <row r="11" spans="1:29" ht="19.5" customHeight="1">
      <c r="A11" s="625" t="s">
        <v>115</v>
      </c>
      <c r="B11" s="92" t="s">
        <v>116</v>
      </c>
      <c r="C11" s="93">
        <v>807330</v>
      </c>
      <c r="D11" s="93"/>
      <c r="E11" s="93"/>
      <c r="F11" s="93">
        <v>171728</v>
      </c>
      <c r="G11" s="93">
        <v>32345</v>
      </c>
      <c r="H11" s="93">
        <v>21190</v>
      </c>
      <c r="I11" s="93">
        <v>4601</v>
      </c>
      <c r="J11" s="93"/>
      <c r="K11" s="93">
        <v>1902</v>
      </c>
      <c r="L11" s="93">
        <v>1292</v>
      </c>
      <c r="M11" s="94">
        <f aca="true" t="shared" si="1" ref="M11:M18">SUM($C11:$L11)</f>
        <v>1040388</v>
      </c>
      <c r="AC11" s="53"/>
    </row>
    <row r="12" spans="1:29" ht="19.5" customHeight="1">
      <c r="A12" s="637"/>
      <c r="B12" s="95" t="s">
        <v>117</v>
      </c>
      <c r="C12" s="96">
        <v>130005</v>
      </c>
      <c r="D12" s="96"/>
      <c r="E12" s="96"/>
      <c r="F12" s="96">
        <v>25669</v>
      </c>
      <c r="G12" s="96">
        <v>5422</v>
      </c>
      <c r="H12" s="96">
        <v>3179</v>
      </c>
      <c r="I12" s="96">
        <v>1295</v>
      </c>
      <c r="J12" s="96"/>
      <c r="K12" s="96">
        <v>247</v>
      </c>
      <c r="L12" s="96">
        <v>277</v>
      </c>
      <c r="M12" s="97">
        <f t="shared" si="1"/>
        <v>166094</v>
      </c>
      <c r="AC12" s="53"/>
    </row>
    <row r="13" spans="1:29" ht="19.5" customHeight="1">
      <c r="A13" s="625" t="s">
        <v>118</v>
      </c>
      <c r="B13" s="92" t="s">
        <v>116</v>
      </c>
      <c r="C13" s="93">
        <v>905750</v>
      </c>
      <c r="D13" s="93"/>
      <c r="E13" s="93"/>
      <c r="F13" s="93">
        <v>253543.5</v>
      </c>
      <c r="G13" s="93">
        <v>43899</v>
      </c>
      <c r="H13" s="93">
        <v>29455.5</v>
      </c>
      <c r="I13" s="93">
        <v>10290</v>
      </c>
      <c r="J13" s="93"/>
      <c r="K13" s="93">
        <v>4591</v>
      </c>
      <c r="L13" s="93">
        <v>1392</v>
      </c>
      <c r="M13" s="98">
        <f t="shared" si="1"/>
        <v>1248921</v>
      </c>
      <c r="AC13" s="53"/>
    </row>
    <row r="14" spans="1:29" ht="19.5" customHeight="1">
      <c r="A14" s="637"/>
      <c r="B14" s="95" t="s">
        <v>117</v>
      </c>
      <c r="C14" s="96">
        <v>145786</v>
      </c>
      <c r="D14" s="96"/>
      <c r="E14" s="96"/>
      <c r="F14" s="96">
        <v>32025</v>
      </c>
      <c r="G14" s="96">
        <v>6067</v>
      </c>
      <c r="H14" s="96">
        <v>3858</v>
      </c>
      <c r="I14" s="96">
        <v>1845</v>
      </c>
      <c r="J14" s="96"/>
      <c r="K14" s="96">
        <v>565</v>
      </c>
      <c r="L14" s="96">
        <v>291</v>
      </c>
      <c r="M14" s="97">
        <f t="shared" si="1"/>
        <v>190437</v>
      </c>
      <c r="AC14" s="53"/>
    </row>
    <row r="15" spans="1:29" ht="19.5" customHeight="1">
      <c r="A15" s="625" t="s">
        <v>119</v>
      </c>
      <c r="B15" s="92" t="s">
        <v>116</v>
      </c>
      <c r="C15" s="93">
        <v>1095300</v>
      </c>
      <c r="D15" s="137"/>
      <c r="E15" s="137"/>
      <c r="F15" s="93">
        <v>302875.5</v>
      </c>
      <c r="G15" s="93">
        <v>52863</v>
      </c>
      <c r="H15" s="93">
        <v>34198.5</v>
      </c>
      <c r="I15" s="93">
        <v>12164</v>
      </c>
      <c r="J15" s="93"/>
      <c r="K15" s="93">
        <v>4135</v>
      </c>
      <c r="L15" s="93">
        <v>1023.5</v>
      </c>
      <c r="M15" s="98">
        <f t="shared" si="1"/>
        <v>1502559.5</v>
      </c>
      <c r="AC15" s="53"/>
    </row>
    <row r="16" spans="1:29" ht="19.5" customHeight="1">
      <c r="A16" s="637"/>
      <c r="B16" s="95" t="s">
        <v>117</v>
      </c>
      <c r="C16" s="96">
        <v>174992</v>
      </c>
      <c r="D16" s="138"/>
      <c r="E16" s="138"/>
      <c r="F16" s="96">
        <v>37972</v>
      </c>
      <c r="G16" s="96">
        <v>7269</v>
      </c>
      <c r="H16" s="96">
        <v>4314</v>
      </c>
      <c r="I16" s="96">
        <v>2043</v>
      </c>
      <c r="J16" s="96"/>
      <c r="K16" s="96">
        <v>503</v>
      </c>
      <c r="L16" s="96">
        <v>208</v>
      </c>
      <c r="M16" s="99">
        <f t="shared" si="1"/>
        <v>227301</v>
      </c>
      <c r="AC16" s="53"/>
    </row>
    <row r="17" spans="1:29" ht="19.5" customHeight="1">
      <c r="A17" s="639" t="s">
        <v>120</v>
      </c>
      <c r="B17" s="124" t="s">
        <v>116</v>
      </c>
      <c r="C17" s="125">
        <f aca="true" t="shared" si="2" ref="C17:I18">C11+C13+C15</f>
        <v>2808380</v>
      </c>
      <c r="D17" s="139">
        <v>2408000</v>
      </c>
      <c r="E17" s="139">
        <v>2165000</v>
      </c>
      <c r="F17" s="125">
        <f t="shared" si="2"/>
        <v>728147</v>
      </c>
      <c r="G17" s="125">
        <f t="shared" si="2"/>
        <v>129107</v>
      </c>
      <c r="H17" s="125">
        <f t="shared" si="2"/>
        <v>84844</v>
      </c>
      <c r="I17" s="125">
        <f t="shared" si="2"/>
        <v>27055</v>
      </c>
      <c r="J17" s="125">
        <v>40231</v>
      </c>
      <c r="K17" s="125">
        <f>K11+K13+K15</f>
        <v>10628</v>
      </c>
      <c r="L17" s="125">
        <f>L11+L13+L15</f>
        <v>3707.5</v>
      </c>
      <c r="M17" s="102">
        <f t="shared" si="1"/>
        <v>8405099.5</v>
      </c>
      <c r="AC17" s="53"/>
    </row>
    <row r="18" spans="1:29" ht="19.5" customHeight="1">
      <c r="A18" s="640"/>
      <c r="B18" s="126" t="s">
        <v>117</v>
      </c>
      <c r="C18" s="127">
        <f t="shared" si="2"/>
        <v>450783</v>
      </c>
      <c r="D18" s="140">
        <v>350000</v>
      </c>
      <c r="E18" s="140">
        <v>312000</v>
      </c>
      <c r="F18" s="127">
        <f t="shared" si="2"/>
        <v>95666</v>
      </c>
      <c r="G18" s="127">
        <f t="shared" si="2"/>
        <v>18758</v>
      </c>
      <c r="H18" s="127">
        <f t="shared" si="2"/>
        <v>11351</v>
      </c>
      <c r="I18" s="127">
        <f t="shared" si="2"/>
        <v>5183</v>
      </c>
      <c r="J18" s="127">
        <v>4777</v>
      </c>
      <c r="K18" s="127">
        <f>K12+K14+K16</f>
        <v>1315</v>
      </c>
      <c r="L18" s="127">
        <f>L12+L14+L16</f>
        <v>776</v>
      </c>
      <c r="M18" s="105">
        <f t="shared" si="1"/>
        <v>1250609</v>
      </c>
      <c r="AC18" s="53"/>
    </row>
    <row r="19" spans="1:13" s="108" customFormat="1" ht="19.5" customHeight="1">
      <c r="A19" s="641" t="s">
        <v>133</v>
      </c>
      <c r="B19" s="642"/>
      <c r="C19" s="106">
        <f aca="true" t="shared" si="3" ref="C19:I19">IF(C18&lt;&gt;0,C18/$M$18*100,"")</f>
        <v>36.045078837590324</v>
      </c>
      <c r="D19" s="106">
        <f t="shared" si="3"/>
        <v>27.98636504295107</v>
      </c>
      <c r="E19" s="106">
        <f t="shared" si="3"/>
        <v>24.947845409716386</v>
      </c>
      <c r="F19" s="106">
        <f t="shared" si="3"/>
        <v>7.649553137711306</v>
      </c>
      <c r="G19" s="106">
        <f t="shared" si="3"/>
        <v>1.4999092442162179</v>
      </c>
      <c r="H19" s="106">
        <f t="shared" si="3"/>
        <v>0.9076377988643932</v>
      </c>
      <c r="I19" s="106">
        <f t="shared" si="3"/>
        <v>0.4144380857646155</v>
      </c>
      <c r="J19" s="106"/>
      <c r="K19" s="106">
        <f>IF(K18&lt;&gt;0,K18/$M$18*100,"")</f>
        <v>0.10514877151851618</v>
      </c>
      <c r="L19" s="106">
        <f>IF(L18&lt;&gt;0,L18/$M$18*100,"")</f>
        <v>0.062049769352371525</v>
      </c>
      <c r="M19" s="107"/>
    </row>
    <row r="20" spans="1:29" ht="19.5" customHeight="1">
      <c r="A20" s="643" t="s">
        <v>121</v>
      </c>
      <c r="B20" s="644"/>
      <c r="C20" s="109"/>
      <c r="D20" s="109">
        <v>323860</v>
      </c>
      <c r="E20" s="109"/>
      <c r="F20" s="109">
        <v>99060</v>
      </c>
      <c r="G20" s="109">
        <v>29065</v>
      </c>
      <c r="H20" s="109">
        <v>18389</v>
      </c>
      <c r="I20" s="109">
        <v>9324</v>
      </c>
      <c r="J20" s="109"/>
      <c r="K20" s="109">
        <v>1451</v>
      </c>
      <c r="L20" s="109">
        <v>8039</v>
      </c>
      <c r="M20" s="110">
        <f>SUM($C20:$L20)</f>
        <v>489188</v>
      </c>
      <c r="AC20" s="53"/>
    </row>
    <row r="21" spans="1:29" ht="19.5" customHeight="1">
      <c r="A21" s="645" t="s">
        <v>122</v>
      </c>
      <c r="B21" s="646"/>
      <c r="C21" s="111" t="str">
        <f aca="true" t="shared" si="4" ref="C21:L21">IF(C20&lt;&gt;0,(+C18-C20)/C20*100," ")</f>
        <v> </v>
      </c>
      <c r="D21" s="111">
        <f t="shared" si="4"/>
        <v>8.0713888717347</v>
      </c>
      <c r="E21" s="111" t="str">
        <f t="shared" si="4"/>
        <v> </v>
      </c>
      <c r="F21" s="111">
        <f t="shared" si="4"/>
        <v>-3.4262063395921665</v>
      </c>
      <c r="G21" s="111">
        <f t="shared" si="4"/>
        <v>-35.46189575090315</v>
      </c>
      <c r="H21" s="111">
        <f t="shared" si="4"/>
        <v>-38.27288052640165</v>
      </c>
      <c r="I21" s="111">
        <f t="shared" si="4"/>
        <v>-44.41226941226941</v>
      </c>
      <c r="J21" s="111" t="str">
        <f t="shared" si="4"/>
        <v> </v>
      </c>
      <c r="K21" s="111">
        <f t="shared" si="4"/>
        <v>-9.372846312887665</v>
      </c>
      <c r="L21" s="111">
        <f t="shared" si="4"/>
        <v>-90.34705809180247</v>
      </c>
      <c r="M21" s="112">
        <f>(+M18-M20)/M20*100</f>
        <v>155.64997506071285</v>
      </c>
      <c r="AC21" s="53"/>
    </row>
    <row r="22" spans="1:29" ht="19.5" customHeight="1">
      <c r="A22" s="643" t="s">
        <v>123</v>
      </c>
      <c r="B22" s="644"/>
      <c r="C22" s="113">
        <f aca="true" t="shared" si="5" ref="C22:L22">IF(C18&lt;&gt;0,+C18/C10," ")</f>
        <v>1609.9392857142857</v>
      </c>
      <c r="D22" s="113" t="e">
        <f t="shared" si="5"/>
        <v>#DIV/0!</v>
      </c>
      <c r="E22" s="113" t="e">
        <f t="shared" si="5"/>
        <v>#DIV/0!</v>
      </c>
      <c r="F22" s="113">
        <f t="shared" si="5"/>
        <v>1028.6666666666667</v>
      </c>
      <c r="G22" s="113">
        <f t="shared" si="5"/>
        <v>143.1908396946565</v>
      </c>
      <c r="H22" s="113">
        <f t="shared" si="5"/>
        <v>186.08196721311475</v>
      </c>
      <c r="I22" s="113">
        <f t="shared" si="5"/>
        <v>67.31168831168831</v>
      </c>
      <c r="J22" s="113">
        <f t="shared" si="5"/>
        <v>477.7</v>
      </c>
      <c r="K22" s="113">
        <f t="shared" si="5"/>
        <v>438.3333333333333</v>
      </c>
      <c r="L22" s="113">
        <f t="shared" si="5"/>
        <v>155.2</v>
      </c>
      <c r="M22" s="114">
        <f>M18/(SUM(C10:L10))</f>
        <v>1894.862121212121</v>
      </c>
      <c r="AC22" s="53"/>
    </row>
    <row r="23" spans="1:29" ht="19.5" customHeight="1">
      <c r="A23" s="648" t="s">
        <v>124</v>
      </c>
      <c r="B23" s="649"/>
      <c r="C23" s="115">
        <f aca="true" t="shared" si="6" ref="C23:L23">IF(C17&lt;&gt;0,+C17/C18," ")</f>
        <v>6.230004237071939</v>
      </c>
      <c r="D23" s="115">
        <f t="shared" si="6"/>
        <v>6.88</v>
      </c>
      <c r="E23" s="115">
        <f t="shared" si="6"/>
        <v>6.939102564102564</v>
      </c>
      <c r="F23" s="115">
        <f t="shared" si="6"/>
        <v>7.61134572366358</v>
      </c>
      <c r="G23" s="115">
        <f t="shared" si="6"/>
        <v>6.8827700181255995</v>
      </c>
      <c r="H23" s="115">
        <f t="shared" si="6"/>
        <v>7.4745837371156725</v>
      </c>
      <c r="I23" s="115">
        <f t="shared" si="6"/>
        <v>5.219949836002315</v>
      </c>
      <c r="J23" s="115">
        <f t="shared" si="6"/>
        <v>8.421812853255181</v>
      </c>
      <c r="K23" s="115">
        <f t="shared" si="6"/>
        <v>8.08212927756654</v>
      </c>
      <c r="L23" s="115">
        <f t="shared" si="6"/>
        <v>4.77770618556701</v>
      </c>
      <c r="M23" s="116">
        <f>M17/M18</f>
        <v>6.720805223695016</v>
      </c>
      <c r="AC23" s="53"/>
    </row>
    <row r="24" spans="1:29" ht="19.5" customHeight="1">
      <c r="A24" s="643" t="s">
        <v>125</v>
      </c>
      <c r="B24" s="644"/>
      <c r="C24" s="128">
        <v>2808380</v>
      </c>
      <c r="D24" s="141"/>
      <c r="E24" s="141">
        <v>2165000</v>
      </c>
      <c r="F24" s="128">
        <v>14532404</v>
      </c>
      <c r="G24" s="128">
        <v>2770971</v>
      </c>
      <c r="H24" s="128">
        <v>322468</v>
      </c>
      <c r="I24" s="128">
        <v>1705648</v>
      </c>
      <c r="J24" s="128">
        <v>40231</v>
      </c>
      <c r="K24" s="128">
        <v>10628</v>
      </c>
      <c r="L24" s="128">
        <v>1711348</v>
      </c>
      <c r="M24" s="118">
        <f>SUM($C24:$L24)</f>
        <v>26067078</v>
      </c>
      <c r="AC24" s="53"/>
    </row>
    <row r="25" spans="1:29" ht="19.5" customHeight="1">
      <c r="A25" s="650" t="s">
        <v>126</v>
      </c>
      <c r="B25" s="651"/>
      <c r="C25" s="129">
        <v>450783</v>
      </c>
      <c r="D25" s="142"/>
      <c r="E25" s="142">
        <v>312000</v>
      </c>
      <c r="F25" s="129">
        <v>1998044</v>
      </c>
      <c r="G25" s="129">
        <v>379566</v>
      </c>
      <c r="H25" s="129">
        <v>45235</v>
      </c>
      <c r="I25" s="129">
        <v>241514</v>
      </c>
      <c r="J25" s="129">
        <v>4777</v>
      </c>
      <c r="K25" s="129">
        <v>1315</v>
      </c>
      <c r="L25" s="129">
        <v>253318</v>
      </c>
      <c r="M25" s="120">
        <f>SUM($C25:$L25)</f>
        <v>3686552</v>
      </c>
      <c r="AC25" s="53"/>
    </row>
    <row r="26" spans="1:29" ht="19.5" customHeight="1" thickBot="1">
      <c r="A26" s="652" t="s">
        <v>124</v>
      </c>
      <c r="B26" s="653"/>
      <c r="C26" s="121">
        <f aca="true" t="shared" si="7" ref="C26:L26">IF(C24&lt;&gt;0,+C24/C25," ")</f>
        <v>6.230004237071939</v>
      </c>
      <c r="D26" s="121" t="str">
        <f t="shared" si="7"/>
        <v> </v>
      </c>
      <c r="E26" s="121">
        <f t="shared" si="7"/>
        <v>6.939102564102564</v>
      </c>
      <c r="F26" s="121">
        <f t="shared" si="7"/>
        <v>7.273315302365714</v>
      </c>
      <c r="G26" s="121">
        <f t="shared" si="7"/>
        <v>7.300366734639035</v>
      </c>
      <c r="H26" s="121">
        <f t="shared" si="7"/>
        <v>7.128727755056925</v>
      </c>
      <c r="I26" s="121">
        <f t="shared" si="7"/>
        <v>7.062315228102719</v>
      </c>
      <c r="J26" s="121">
        <f t="shared" si="7"/>
        <v>8.421812853255181</v>
      </c>
      <c r="K26" s="121">
        <f t="shared" si="7"/>
        <v>8.08212927756654</v>
      </c>
      <c r="L26" s="121">
        <f t="shared" si="7"/>
        <v>6.755729952076047</v>
      </c>
      <c r="M26" s="122">
        <f>M24/M25</f>
        <v>7.070855910889091</v>
      </c>
      <c r="AC26" s="53"/>
    </row>
    <row r="27" spans="21:30" ht="9.75" customHeight="1">
      <c r="U27" s="130"/>
      <c r="V27" s="130"/>
      <c r="W27" s="131"/>
      <c r="X27" s="131"/>
      <c r="Y27" s="131"/>
      <c r="Z27" s="131"/>
      <c r="AC27" s="84"/>
      <c r="AD27" s="84"/>
    </row>
    <row r="28" spans="1:32" s="134" customFormat="1" ht="12" customHeight="1">
      <c r="A28" s="647" t="s">
        <v>174</v>
      </c>
      <c r="B28" s="647"/>
      <c r="C28" s="647"/>
      <c r="D28" s="647"/>
      <c r="E28" s="647"/>
      <c r="F28" s="647"/>
      <c r="G28" s="647"/>
      <c r="H28" s="647"/>
      <c r="I28" s="647"/>
      <c r="J28" s="647"/>
      <c r="K28" s="647"/>
      <c r="L28" s="647"/>
      <c r="M28" s="647"/>
      <c r="N28" s="133"/>
      <c r="O28" s="133"/>
      <c r="P28" s="132"/>
      <c r="Q28" s="132"/>
      <c r="R28" s="132"/>
      <c r="AC28" s="135"/>
      <c r="AD28" s="135"/>
      <c r="AE28" s="135"/>
      <c r="AF28" s="135"/>
    </row>
    <row r="29" spans="29:32" ht="11.25">
      <c r="AC29" s="84"/>
      <c r="AD29" s="84"/>
      <c r="AE29" s="84"/>
      <c r="AF29" s="84"/>
    </row>
    <row r="30" spans="29:32" ht="11.25">
      <c r="AC30" s="84"/>
      <c r="AD30" s="84"/>
      <c r="AE30" s="84"/>
      <c r="AF30" s="84"/>
    </row>
    <row r="31" spans="29:32" ht="11.25">
      <c r="AC31" s="84"/>
      <c r="AD31" s="84"/>
      <c r="AE31" s="84"/>
      <c r="AF31" s="84"/>
    </row>
    <row r="32" spans="29:32" ht="11.25">
      <c r="AC32" s="84"/>
      <c r="AD32" s="84"/>
      <c r="AE32" s="84"/>
      <c r="AF32" s="84"/>
    </row>
    <row r="33" spans="29:32" ht="11.25">
      <c r="AC33" s="84"/>
      <c r="AD33" s="84"/>
      <c r="AE33" s="84"/>
      <c r="AF33" s="84"/>
    </row>
    <row r="34" spans="29:32" ht="11.25">
      <c r="AC34" s="84"/>
      <c r="AD34" s="84"/>
      <c r="AE34" s="84"/>
      <c r="AF34" s="84"/>
    </row>
    <row r="35" spans="29:32" ht="11.25">
      <c r="AC35" s="84"/>
      <c r="AD35" s="84"/>
      <c r="AE35" s="84"/>
      <c r="AF35" s="84"/>
    </row>
    <row r="36" spans="29:32" ht="11.25">
      <c r="AC36" s="84"/>
      <c r="AD36" s="84"/>
      <c r="AE36" s="84"/>
      <c r="AF36" s="84"/>
    </row>
    <row r="37" spans="29:32" ht="11.25">
      <c r="AC37" s="84"/>
      <c r="AD37" s="84"/>
      <c r="AE37" s="84"/>
      <c r="AF37" s="84"/>
    </row>
    <row r="38" spans="29:32" ht="11.25">
      <c r="AC38" s="84"/>
      <c r="AD38" s="84"/>
      <c r="AE38" s="84"/>
      <c r="AF38" s="84"/>
    </row>
    <row r="39" spans="29:32" ht="11.25">
      <c r="AC39" s="84"/>
      <c r="AD39" s="84"/>
      <c r="AE39" s="84"/>
      <c r="AF39" s="84"/>
    </row>
    <row r="40" spans="29:32" ht="11.25">
      <c r="AC40" s="84"/>
      <c r="AD40" s="84"/>
      <c r="AE40" s="84"/>
      <c r="AF40" s="84"/>
    </row>
    <row r="41" spans="29:32" ht="11.25">
      <c r="AC41" s="84"/>
      <c r="AD41" s="84"/>
      <c r="AE41" s="84"/>
      <c r="AF41" s="84"/>
    </row>
    <row r="42" spans="29:32" ht="11.25">
      <c r="AC42" s="84"/>
      <c r="AD42" s="84"/>
      <c r="AE42" s="84"/>
      <c r="AF42" s="84"/>
    </row>
    <row r="43" spans="29:32" ht="11.25">
      <c r="AC43" s="84"/>
      <c r="AD43" s="84"/>
      <c r="AE43" s="84"/>
      <c r="AF43" s="84"/>
    </row>
    <row r="44" spans="29:32" ht="11.25">
      <c r="AC44" s="84"/>
      <c r="AD44" s="84"/>
      <c r="AE44" s="84"/>
      <c r="AF44" s="84"/>
    </row>
    <row r="45" spans="29:32" ht="11.25">
      <c r="AC45" s="84"/>
      <c r="AD45" s="84"/>
      <c r="AE45" s="84"/>
      <c r="AF45" s="84"/>
    </row>
    <row r="46" spans="29:32" ht="11.25">
      <c r="AC46" s="84"/>
      <c r="AD46" s="84"/>
      <c r="AE46" s="84"/>
      <c r="AF46" s="84"/>
    </row>
    <row r="47" spans="29:32" ht="11.25">
      <c r="AC47" s="84"/>
      <c r="AD47" s="84"/>
      <c r="AE47" s="84"/>
      <c r="AF47" s="84"/>
    </row>
    <row r="48" spans="29:32" ht="11.25">
      <c r="AC48" s="84"/>
      <c r="AD48" s="84"/>
      <c r="AE48" s="84"/>
      <c r="AF48" s="84"/>
    </row>
    <row r="49" spans="29:32" ht="11.25">
      <c r="AC49" s="84"/>
      <c r="AD49" s="84"/>
      <c r="AE49" s="84"/>
      <c r="AF49" s="84"/>
    </row>
    <row r="50" spans="29:32" ht="11.25">
      <c r="AC50" s="84"/>
      <c r="AD50" s="84"/>
      <c r="AE50" s="84"/>
      <c r="AF50" s="84"/>
    </row>
    <row r="51" spans="29:32" ht="11.25">
      <c r="AC51" s="84"/>
      <c r="AD51" s="84"/>
      <c r="AE51" s="84"/>
      <c r="AF51" s="84"/>
    </row>
    <row r="52" spans="29:32" ht="11.25">
      <c r="AC52" s="84"/>
      <c r="AD52" s="84"/>
      <c r="AE52" s="84"/>
      <c r="AF52" s="84"/>
    </row>
    <row r="53" spans="29:32" ht="11.25">
      <c r="AC53" s="84"/>
      <c r="AD53" s="84"/>
      <c r="AE53" s="84"/>
      <c r="AF53" s="84"/>
    </row>
    <row r="54" spans="29:32" ht="11.25">
      <c r="AC54" s="84"/>
      <c r="AD54" s="84"/>
      <c r="AE54" s="84"/>
      <c r="AF54" s="84"/>
    </row>
    <row r="55" spans="29:32" ht="11.25">
      <c r="AC55" s="84"/>
      <c r="AD55" s="84"/>
      <c r="AE55" s="84"/>
      <c r="AF55" s="84"/>
    </row>
    <row r="56" spans="29:32" ht="11.25">
      <c r="AC56" s="84"/>
      <c r="AD56" s="84"/>
      <c r="AE56" s="84"/>
      <c r="AF56" s="84"/>
    </row>
    <row r="57" spans="29:32" ht="11.25">
      <c r="AC57" s="84"/>
      <c r="AD57" s="84"/>
      <c r="AE57" s="84"/>
      <c r="AF57" s="84"/>
    </row>
    <row r="58" spans="29:32" ht="11.25">
      <c r="AC58" s="84"/>
      <c r="AD58" s="84"/>
      <c r="AE58" s="84"/>
      <c r="AF58" s="84"/>
    </row>
    <row r="59" spans="29:32" ht="11.25">
      <c r="AC59" s="84"/>
      <c r="AD59" s="84"/>
      <c r="AE59" s="84"/>
      <c r="AF59" s="84"/>
    </row>
    <row r="60" spans="29:32" ht="11.25">
      <c r="AC60" s="84"/>
      <c r="AD60" s="84"/>
      <c r="AE60" s="84"/>
      <c r="AF60" s="84"/>
    </row>
    <row r="61" spans="29:32" ht="11.25">
      <c r="AC61" s="84"/>
      <c r="AD61" s="84"/>
      <c r="AE61" s="84"/>
      <c r="AF61" s="84"/>
    </row>
    <row r="62" spans="29:32" ht="11.25">
      <c r="AC62" s="84"/>
      <c r="AD62" s="84"/>
      <c r="AE62" s="84"/>
      <c r="AF62" s="84"/>
    </row>
    <row r="63" spans="29:32" ht="11.25">
      <c r="AC63" s="84"/>
      <c r="AD63" s="84"/>
      <c r="AE63" s="84"/>
      <c r="AF63" s="84"/>
    </row>
    <row r="64" spans="29:32" ht="11.25">
      <c r="AC64" s="84"/>
      <c r="AD64" s="84"/>
      <c r="AE64" s="84"/>
      <c r="AF64" s="84"/>
    </row>
    <row r="65" spans="29:32" ht="11.25">
      <c r="AC65" s="84"/>
      <c r="AD65" s="84"/>
      <c r="AE65" s="84"/>
      <c r="AF65" s="84"/>
    </row>
    <row r="66" spans="29:32" ht="11.25">
      <c r="AC66" s="84"/>
      <c r="AD66" s="84"/>
      <c r="AE66" s="84"/>
      <c r="AF66" s="84"/>
    </row>
    <row r="67" spans="29:32" ht="11.25">
      <c r="AC67" s="84"/>
      <c r="AD67" s="84"/>
      <c r="AE67" s="84"/>
      <c r="AF67" s="84"/>
    </row>
    <row r="68" spans="29:32" ht="11.25">
      <c r="AC68" s="84"/>
      <c r="AD68" s="84"/>
      <c r="AE68" s="84"/>
      <c r="AF68" s="84"/>
    </row>
    <row r="69" spans="29:32" ht="11.25">
      <c r="AC69" s="84"/>
      <c r="AD69" s="84"/>
      <c r="AE69" s="84"/>
      <c r="AF69" s="84"/>
    </row>
    <row r="70" spans="29:32" ht="11.25">
      <c r="AC70" s="84"/>
      <c r="AD70" s="84"/>
      <c r="AE70" s="84"/>
      <c r="AF70" s="84"/>
    </row>
    <row r="71" spans="29:32" ht="11.25">
      <c r="AC71" s="84"/>
      <c r="AD71" s="84"/>
      <c r="AE71" s="84"/>
      <c r="AF71" s="84"/>
    </row>
    <row r="72" spans="29:32" ht="11.25">
      <c r="AC72" s="84"/>
      <c r="AD72" s="84"/>
      <c r="AE72" s="84"/>
      <c r="AF72" s="84"/>
    </row>
    <row r="73" spans="29:32" ht="11.25">
      <c r="AC73" s="84"/>
      <c r="AD73" s="84"/>
      <c r="AE73" s="84"/>
      <c r="AF73" s="84"/>
    </row>
    <row r="74" spans="29:32" ht="11.25">
      <c r="AC74" s="84"/>
      <c r="AD74" s="84"/>
      <c r="AE74" s="84"/>
      <c r="AF74" s="84"/>
    </row>
    <row r="75" spans="29:32" ht="11.25">
      <c r="AC75" s="84"/>
      <c r="AD75" s="84"/>
      <c r="AE75" s="84"/>
      <c r="AF75" s="84"/>
    </row>
    <row r="76" spans="29:32" ht="11.25">
      <c r="AC76" s="84"/>
      <c r="AD76" s="84"/>
      <c r="AE76" s="84"/>
      <c r="AF76" s="84"/>
    </row>
    <row r="77" spans="29:32" ht="11.25">
      <c r="AC77" s="84"/>
      <c r="AD77" s="84"/>
      <c r="AE77" s="84"/>
      <c r="AF77" s="84"/>
    </row>
    <row r="78" spans="29:32" ht="11.25">
      <c r="AC78" s="84"/>
      <c r="AD78" s="84"/>
      <c r="AE78" s="84"/>
      <c r="AF78" s="84"/>
    </row>
    <row r="79" spans="29:32" ht="11.25">
      <c r="AC79" s="84"/>
      <c r="AD79" s="84"/>
      <c r="AE79" s="84"/>
      <c r="AF79" s="84"/>
    </row>
    <row r="80" spans="29:32" ht="11.25">
      <c r="AC80" s="84"/>
      <c r="AD80" s="84"/>
      <c r="AE80" s="84"/>
      <c r="AF80" s="84"/>
    </row>
    <row r="81" spans="29:32" ht="11.25">
      <c r="AC81" s="84"/>
      <c r="AD81" s="84"/>
      <c r="AE81" s="84"/>
      <c r="AF81" s="84"/>
    </row>
    <row r="82" spans="29:32" ht="11.25">
      <c r="AC82" s="84"/>
      <c r="AD82" s="84"/>
      <c r="AE82" s="84"/>
      <c r="AF82" s="84"/>
    </row>
    <row r="83" spans="29:32" ht="11.25">
      <c r="AC83" s="84"/>
      <c r="AD83" s="84"/>
      <c r="AE83" s="84"/>
      <c r="AF83" s="84"/>
    </row>
    <row r="84" spans="29:32" ht="11.25">
      <c r="AC84" s="84"/>
      <c r="AD84" s="84"/>
      <c r="AE84" s="84"/>
      <c r="AF84" s="84"/>
    </row>
    <row r="85" spans="29:32" ht="11.25">
      <c r="AC85" s="84"/>
      <c r="AD85" s="84"/>
      <c r="AE85" s="84"/>
      <c r="AF85" s="84"/>
    </row>
    <row r="86" spans="29:32" ht="11.25">
      <c r="AC86" s="84"/>
      <c r="AD86" s="84"/>
      <c r="AE86" s="84"/>
      <c r="AF86" s="84"/>
    </row>
    <row r="87" spans="29:32" ht="11.25">
      <c r="AC87" s="84"/>
      <c r="AD87" s="84"/>
      <c r="AE87" s="84"/>
      <c r="AF87" s="84"/>
    </row>
    <row r="88" spans="29:32" ht="11.25">
      <c r="AC88" s="84"/>
      <c r="AD88" s="84"/>
      <c r="AE88" s="84"/>
      <c r="AF88" s="84"/>
    </row>
    <row r="89" spans="29:32" ht="11.25">
      <c r="AC89" s="84"/>
      <c r="AD89" s="84"/>
      <c r="AE89" s="84"/>
      <c r="AF89" s="84"/>
    </row>
    <row r="90" spans="29:32" ht="11.25">
      <c r="AC90" s="84"/>
      <c r="AD90" s="84"/>
      <c r="AE90" s="84"/>
      <c r="AF90" s="84"/>
    </row>
    <row r="91" spans="29:32" ht="11.25">
      <c r="AC91" s="84"/>
      <c r="AD91" s="84"/>
      <c r="AE91" s="84"/>
      <c r="AF91" s="84"/>
    </row>
    <row r="92" spans="29:32" ht="11.25">
      <c r="AC92" s="84"/>
      <c r="AD92" s="84"/>
      <c r="AE92" s="84"/>
      <c r="AF92" s="84"/>
    </row>
    <row r="93" spans="29:32" ht="11.25">
      <c r="AC93" s="84"/>
      <c r="AD93" s="84"/>
      <c r="AE93" s="84"/>
      <c r="AF93" s="84"/>
    </row>
    <row r="94" spans="29:32" ht="11.25">
      <c r="AC94" s="84"/>
      <c r="AD94" s="84"/>
      <c r="AE94" s="84"/>
      <c r="AF94" s="84"/>
    </row>
    <row r="95" spans="29:32" ht="11.25">
      <c r="AC95" s="84"/>
      <c r="AD95" s="84"/>
      <c r="AE95" s="84"/>
      <c r="AF95" s="84"/>
    </row>
    <row r="96" spans="29:32" ht="11.25">
      <c r="AC96" s="84"/>
      <c r="AD96" s="84"/>
      <c r="AE96" s="84"/>
      <c r="AF96" s="84"/>
    </row>
    <row r="97" spans="29:32" ht="11.25">
      <c r="AC97" s="84"/>
      <c r="AD97" s="84"/>
      <c r="AE97" s="84"/>
      <c r="AF97" s="84"/>
    </row>
    <row r="98" spans="29:32" ht="11.25">
      <c r="AC98" s="84"/>
      <c r="AD98" s="84"/>
      <c r="AE98" s="84"/>
      <c r="AF98" s="84"/>
    </row>
    <row r="99" spans="29:32" ht="11.25">
      <c r="AC99" s="84"/>
      <c r="AD99" s="84"/>
      <c r="AE99" s="84"/>
      <c r="AF99" s="84"/>
    </row>
    <row r="100" spans="29:32" ht="11.25">
      <c r="AC100" s="84"/>
      <c r="AD100" s="84"/>
      <c r="AE100" s="84"/>
      <c r="AF100" s="84"/>
    </row>
    <row r="101" spans="29:32" ht="11.25">
      <c r="AC101" s="84"/>
      <c r="AD101" s="84"/>
      <c r="AE101" s="84"/>
      <c r="AF101" s="84"/>
    </row>
    <row r="102" spans="29:32" ht="11.25">
      <c r="AC102" s="84"/>
      <c r="AD102" s="84"/>
      <c r="AE102" s="84"/>
      <c r="AF102" s="84"/>
    </row>
    <row r="103" spans="29:32" ht="11.25">
      <c r="AC103" s="84"/>
      <c r="AD103" s="84"/>
      <c r="AE103" s="84"/>
      <c r="AF103" s="84"/>
    </row>
    <row r="104" spans="29:32" ht="11.25">
      <c r="AC104" s="84"/>
      <c r="AD104" s="84"/>
      <c r="AE104" s="84"/>
      <c r="AF104" s="84"/>
    </row>
    <row r="105" spans="29:32" ht="11.25">
      <c r="AC105" s="84"/>
      <c r="AD105" s="84"/>
      <c r="AE105" s="84"/>
      <c r="AF105" s="84"/>
    </row>
    <row r="106" spans="29:32" ht="11.25">
      <c r="AC106" s="84"/>
      <c r="AD106" s="84"/>
      <c r="AE106" s="84"/>
      <c r="AF106" s="84"/>
    </row>
    <row r="107" spans="29:32" ht="11.25">
      <c r="AC107" s="84"/>
      <c r="AD107" s="84"/>
      <c r="AE107" s="84"/>
      <c r="AF107" s="84"/>
    </row>
    <row r="108" spans="29:32" ht="11.25">
      <c r="AC108" s="84"/>
      <c r="AD108" s="84"/>
      <c r="AE108" s="84"/>
      <c r="AF108" s="84"/>
    </row>
    <row r="109" spans="29:32" ht="11.25">
      <c r="AC109" s="84"/>
      <c r="AD109" s="84"/>
      <c r="AE109" s="84"/>
      <c r="AF109" s="84"/>
    </row>
    <row r="110" spans="29:32" ht="11.25">
      <c r="AC110" s="84"/>
      <c r="AD110" s="84"/>
      <c r="AE110" s="84"/>
      <c r="AF110" s="84"/>
    </row>
    <row r="111" spans="29:32" ht="11.25">
      <c r="AC111" s="84"/>
      <c r="AD111" s="84"/>
      <c r="AE111" s="84"/>
      <c r="AF111" s="84"/>
    </row>
    <row r="112" spans="29:32" ht="11.25">
      <c r="AC112" s="84"/>
      <c r="AD112" s="84"/>
      <c r="AE112" s="84"/>
      <c r="AF112" s="84"/>
    </row>
    <row r="113" spans="29:32" ht="11.25">
      <c r="AC113" s="84"/>
      <c r="AD113" s="84"/>
      <c r="AE113" s="84"/>
      <c r="AF113" s="84"/>
    </row>
    <row r="114" spans="29:32" ht="11.25">
      <c r="AC114" s="84"/>
      <c r="AD114" s="84"/>
      <c r="AE114" s="84"/>
      <c r="AF114" s="84"/>
    </row>
    <row r="115" spans="29:32" ht="11.25">
      <c r="AC115" s="84"/>
      <c r="AD115" s="84"/>
      <c r="AE115" s="84"/>
      <c r="AF115" s="84"/>
    </row>
    <row r="116" spans="29:32" ht="11.25">
      <c r="AC116" s="84"/>
      <c r="AD116" s="84"/>
      <c r="AE116" s="84"/>
      <c r="AF116" s="84"/>
    </row>
    <row r="117" spans="29:32" ht="11.25">
      <c r="AC117" s="84"/>
      <c r="AD117" s="84"/>
      <c r="AE117" s="84"/>
      <c r="AF117" s="84"/>
    </row>
    <row r="118" spans="29:32" ht="11.25">
      <c r="AC118" s="84"/>
      <c r="AD118" s="84"/>
      <c r="AE118" s="84"/>
      <c r="AF118" s="84"/>
    </row>
    <row r="119" spans="29:32" ht="11.25">
      <c r="AC119" s="84"/>
      <c r="AD119" s="84"/>
      <c r="AE119" s="84"/>
      <c r="AF119" s="84"/>
    </row>
    <row r="120" spans="29:32" ht="11.25">
      <c r="AC120" s="84"/>
      <c r="AD120" s="84"/>
      <c r="AE120" s="84"/>
      <c r="AF120" s="84"/>
    </row>
    <row r="121" spans="29:32" ht="11.25">
      <c r="AC121" s="84"/>
      <c r="AD121" s="84"/>
      <c r="AE121" s="84"/>
      <c r="AF121" s="84"/>
    </row>
    <row r="122" spans="29:32" ht="11.25">
      <c r="AC122" s="84"/>
      <c r="AD122" s="84"/>
      <c r="AE122" s="84"/>
      <c r="AF122" s="84"/>
    </row>
    <row r="123" spans="29:32" ht="11.25">
      <c r="AC123" s="84"/>
      <c r="AD123" s="84"/>
      <c r="AE123" s="84"/>
      <c r="AF123" s="84"/>
    </row>
    <row r="124" spans="29:32" ht="11.25">
      <c r="AC124" s="84"/>
      <c r="AD124" s="84"/>
      <c r="AE124" s="84"/>
      <c r="AF124" s="84"/>
    </row>
    <row r="125" spans="29:32" ht="11.25">
      <c r="AC125" s="84"/>
      <c r="AD125" s="84"/>
      <c r="AE125" s="84"/>
      <c r="AF125" s="84"/>
    </row>
    <row r="126" spans="29:32" ht="11.25">
      <c r="AC126" s="84"/>
      <c r="AD126" s="84"/>
      <c r="AE126" s="84"/>
      <c r="AF126" s="84"/>
    </row>
    <row r="127" spans="29:32" ht="11.25">
      <c r="AC127" s="84"/>
      <c r="AD127" s="84"/>
      <c r="AE127" s="84"/>
      <c r="AF127" s="84"/>
    </row>
    <row r="128" spans="29:32" ht="11.25">
      <c r="AC128" s="84"/>
      <c r="AD128" s="84"/>
      <c r="AE128" s="84"/>
      <c r="AF128" s="84"/>
    </row>
    <row r="129" spans="29:32" ht="11.25">
      <c r="AC129" s="84"/>
      <c r="AD129" s="84"/>
      <c r="AE129" s="84"/>
      <c r="AF129" s="84"/>
    </row>
    <row r="130" spans="29:32" ht="11.25">
      <c r="AC130" s="84"/>
      <c r="AD130" s="84"/>
      <c r="AE130" s="84"/>
      <c r="AF130" s="84"/>
    </row>
    <row r="131" spans="29:32" ht="11.25">
      <c r="AC131" s="84"/>
      <c r="AD131" s="84"/>
      <c r="AE131" s="84"/>
      <c r="AF131" s="84"/>
    </row>
    <row r="132" spans="29:32" ht="11.25">
      <c r="AC132" s="84"/>
      <c r="AD132" s="84"/>
      <c r="AE132" s="84"/>
      <c r="AF132" s="84"/>
    </row>
    <row r="133" spans="29:32" ht="11.25">
      <c r="AC133" s="84"/>
      <c r="AD133" s="84"/>
      <c r="AE133" s="84"/>
      <c r="AF133" s="84"/>
    </row>
    <row r="134" spans="29:32" ht="11.25">
      <c r="AC134" s="84"/>
      <c r="AD134" s="84"/>
      <c r="AE134" s="84"/>
      <c r="AF134" s="84"/>
    </row>
    <row r="135" spans="29:32" ht="11.25">
      <c r="AC135" s="84"/>
      <c r="AD135" s="84"/>
      <c r="AE135" s="84"/>
      <c r="AF135" s="84"/>
    </row>
    <row r="136" spans="29:32" ht="11.25">
      <c r="AC136" s="84"/>
      <c r="AD136" s="84"/>
      <c r="AE136" s="84"/>
      <c r="AF136" s="84"/>
    </row>
    <row r="137" spans="29:32" ht="11.25">
      <c r="AC137" s="84"/>
      <c r="AD137" s="84"/>
      <c r="AE137" s="84"/>
      <c r="AF137" s="84"/>
    </row>
    <row r="138" spans="29:32" ht="11.25">
      <c r="AC138" s="84"/>
      <c r="AD138" s="84"/>
      <c r="AE138" s="84"/>
      <c r="AF138" s="84"/>
    </row>
    <row r="139" spans="29:32" ht="11.25">
      <c r="AC139" s="84"/>
      <c r="AD139" s="84"/>
      <c r="AE139" s="84"/>
      <c r="AF139" s="84"/>
    </row>
    <row r="140" spans="29:32" ht="11.25">
      <c r="AC140" s="84"/>
      <c r="AD140" s="84"/>
      <c r="AE140" s="84"/>
      <c r="AF140" s="84"/>
    </row>
    <row r="141" spans="29:32" ht="11.25">
      <c r="AC141" s="84"/>
      <c r="AD141" s="84"/>
      <c r="AE141" s="84"/>
      <c r="AF141" s="84"/>
    </row>
    <row r="142" spans="29:32" ht="11.25">
      <c r="AC142" s="84"/>
      <c r="AD142" s="84"/>
      <c r="AE142" s="84"/>
      <c r="AF142" s="84"/>
    </row>
    <row r="143" spans="29:32" ht="11.25">
      <c r="AC143" s="84"/>
      <c r="AD143" s="84"/>
      <c r="AE143" s="84"/>
      <c r="AF143" s="84"/>
    </row>
    <row r="144" spans="29:32" ht="11.25">
      <c r="AC144" s="84"/>
      <c r="AD144" s="84"/>
      <c r="AE144" s="84"/>
      <c r="AF144" s="84"/>
    </row>
    <row r="145" spans="29:32" ht="11.25">
      <c r="AC145" s="84"/>
      <c r="AD145" s="84"/>
      <c r="AE145" s="84"/>
      <c r="AF145" s="84"/>
    </row>
    <row r="146" spans="29:32" ht="11.25">
      <c r="AC146" s="84"/>
      <c r="AD146" s="84"/>
      <c r="AE146" s="84"/>
      <c r="AF146" s="84"/>
    </row>
    <row r="147" spans="29:32" ht="11.25">
      <c r="AC147" s="84"/>
      <c r="AD147" s="84"/>
      <c r="AE147" s="84"/>
      <c r="AF147" s="84"/>
    </row>
    <row r="148" spans="29:32" ht="11.25">
      <c r="AC148" s="84"/>
      <c r="AD148" s="84"/>
      <c r="AE148" s="84"/>
      <c r="AF148" s="84"/>
    </row>
    <row r="149" spans="29:32" ht="11.25">
      <c r="AC149" s="84"/>
      <c r="AD149" s="84"/>
      <c r="AE149" s="84"/>
      <c r="AF149" s="84"/>
    </row>
    <row r="150" spans="29:32" ht="11.25">
      <c r="AC150" s="84"/>
      <c r="AD150" s="84"/>
      <c r="AE150" s="84"/>
      <c r="AF150" s="84"/>
    </row>
    <row r="151" spans="29:32" ht="11.25">
      <c r="AC151" s="84"/>
      <c r="AD151" s="84"/>
      <c r="AE151" s="84"/>
      <c r="AF151" s="84"/>
    </row>
    <row r="152" spans="29:32" ht="11.25">
      <c r="AC152" s="84"/>
      <c r="AD152" s="84"/>
      <c r="AE152" s="84"/>
      <c r="AF152" s="84"/>
    </row>
    <row r="153" spans="29:32" ht="11.25">
      <c r="AC153" s="84"/>
      <c r="AD153" s="84"/>
      <c r="AE153" s="84"/>
      <c r="AF153" s="84"/>
    </row>
    <row r="154" spans="29:32" ht="11.25">
      <c r="AC154" s="84"/>
      <c r="AD154" s="84"/>
      <c r="AE154" s="84"/>
      <c r="AF154" s="84"/>
    </row>
    <row r="155" spans="29:32" ht="11.25">
      <c r="AC155" s="84"/>
      <c r="AD155" s="84"/>
      <c r="AE155" s="84"/>
      <c r="AF155" s="84"/>
    </row>
    <row r="156" spans="29:32" ht="11.25">
      <c r="AC156" s="84"/>
      <c r="AD156" s="84"/>
      <c r="AE156" s="84"/>
      <c r="AF156" s="84"/>
    </row>
    <row r="157" spans="29:32" ht="11.25">
      <c r="AC157" s="84"/>
      <c r="AD157" s="84"/>
      <c r="AE157" s="84"/>
      <c r="AF157" s="84"/>
    </row>
    <row r="158" spans="29:32" ht="11.25">
      <c r="AC158" s="84"/>
      <c r="AD158" s="84"/>
      <c r="AE158" s="84"/>
      <c r="AF158" s="84"/>
    </row>
    <row r="159" spans="29:32" ht="11.25">
      <c r="AC159" s="84"/>
      <c r="AD159" s="84"/>
      <c r="AE159" s="84"/>
      <c r="AF159" s="84"/>
    </row>
    <row r="160" spans="29:32" ht="11.25">
      <c r="AC160" s="84"/>
      <c r="AD160" s="84"/>
      <c r="AE160" s="84"/>
      <c r="AF160" s="84"/>
    </row>
    <row r="161" spans="29:32" ht="11.25">
      <c r="AC161" s="84"/>
      <c r="AD161" s="84"/>
      <c r="AE161" s="84"/>
      <c r="AF161" s="84"/>
    </row>
    <row r="162" spans="29:32" ht="11.25">
      <c r="AC162" s="84"/>
      <c r="AD162" s="84"/>
      <c r="AE162" s="84"/>
      <c r="AF162" s="84"/>
    </row>
    <row r="163" spans="29:32" ht="11.25">
      <c r="AC163" s="84"/>
      <c r="AD163" s="84"/>
      <c r="AE163" s="84"/>
      <c r="AF163" s="84"/>
    </row>
    <row r="164" spans="29:32" ht="11.25">
      <c r="AC164" s="84"/>
      <c r="AD164" s="84"/>
      <c r="AE164" s="84"/>
      <c r="AF164" s="84"/>
    </row>
    <row r="165" spans="29:32" ht="11.25">
      <c r="AC165" s="84"/>
      <c r="AD165" s="84"/>
      <c r="AE165" s="84"/>
      <c r="AF165" s="84"/>
    </row>
    <row r="166" spans="29:32" ht="11.25">
      <c r="AC166" s="84"/>
      <c r="AD166" s="84"/>
      <c r="AE166" s="84"/>
      <c r="AF166" s="84"/>
    </row>
    <row r="167" spans="29:32" ht="11.25">
      <c r="AC167" s="84"/>
      <c r="AD167" s="84"/>
      <c r="AE167" s="84"/>
      <c r="AF167" s="84"/>
    </row>
    <row r="168" spans="29:32" ht="11.25">
      <c r="AC168" s="84"/>
      <c r="AD168" s="84"/>
      <c r="AE168" s="84"/>
      <c r="AF168" s="84"/>
    </row>
    <row r="169" spans="29:32" ht="11.25">
      <c r="AC169" s="84"/>
      <c r="AD169" s="84"/>
      <c r="AE169" s="84"/>
      <c r="AF169" s="84"/>
    </row>
    <row r="170" spans="29:32" ht="11.25">
      <c r="AC170" s="84"/>
      <c r="AD170" s="84"/>
      <c r="AE170" s="84"/>
      <c r="AF170" s="84"/>
    </row>
    <row r="171" spans="29:32" ht="11.25">
      <c r="AC171" s="84"/>
      <c r="AD171" s="84"/>
      <c r="AE171" s="84"/>
      <c r="AF171" s="84"/>
    </row>
    <row r="172" spans="29:32" ht="11.25">
      <c r="AC172" s="84"/>
      <c r="AD172" s="84"/>
      <c r="AE172" s="84"/>
      <c r="AF172" s="84"/>
    </row>
    <row r="173" spans="29:32" ht="11.25">
      <c r="AC173" s="84"/>
      <c r="AD173" s="84"/>
      <c r="AE173" s="84"/>
      <c r="AF173" s="84"/>
    </row>
  </sheetData>
  <mergeCells count="20">
    <mergeCell ref="A28:M28"/>
    <mergeCell ref="A23:B23"/>
    <mergeCell ref="A24:B24"/>
    <mergeCell ref="A25:B25"/>
    <mergeCell ref="A26:B26"/>
    <mergeCell ref="A19:B19"/>
    <mergeCell ref="A20:B20"/>
    <mergeCell ref="A21:B21"/>
    <mergeCell ref="A22:B22"/>
    <mergeCell ref="A11:A12"/>
    <mergeCell ref="A13:A14"/>
    <mergeCell ref="A15:A16"/>
    <mergeCell ref="A17:A18"/>
    <mergeCell ref="A1:M1"/>
    <mergeCell ref="M3:M10"/>
    <mergeCell ref="A5:B5"/>
    <mergeCell ref="A6:B6"/>
    <mergeCell ref="A7:B8"/>
    <mergeCell ref="A9:B9"/>
    <mergeCell ref="A10:B10"/>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AD27"/>
  <sheetViews>
    <sheetView zoomScale="60" zoomScaleNormal="60" workbookViewId="0" topLeftCell="A1">
      <selection activeCell="C5" sqref="C5"/>
    </sheetView>
  </sheetViews>
  <sheetFormatPr defaultColWidth="9.140625" defaultRowHeight="12.75"/>
  <cols>
    <col min="1" max="1" width="4.00390625" style="440" bestFit="1" customWidth="1"/>
    <col min="2" max="2" width="1.7109375" style="253" customWidth="1"/>
    <col min="3" max="3" width="40.140625" style="200" bestFit="1" customWidth="1"/>
    <col min="4" max="4" width="9.8515625" style="200" bestFit="1" customWidth="1"/>
    <col min="5" max="5" width="14.140625" style="200" bestFit="1" customWidth="1"/>
    <col min="6" max="6" width="23.00390625" style="254" bestFit="1" customWidth="1"/>
    <col min="7" max="7" width="5.7109375" style="255" bestFit="1" customWidth="1"/>
    <col min="8" max="8" width="7.28125" style="255" bestFit="1" customWidth="1"/>
    <col min="9" max="9" width="7.57421875" style="200" customWidth="1"/>
    <col min="10" max="10" width="13.57421875" style="200" hidden="1" customWidth="1"/>
    <col min="11" max="11" width="8.57421875" style="200" hidden="1" customWidth="1"/>
    <col min="12" max="12" width="13.57421875" style="200" hidden="1" customWidth="1"/>
    <col min="13" max="13" width="8.57421875" style="200" hidden="1" customWidth="1"/>
    <col min="14" max="14" width="13.57421875" style="200" hidden="1" customWidth="1"/>
    <col min="15" max="15" width="8.57421875" style="200" hidden="1" customWidth="1"/>
    <col min="16" max="16" width="15.8515625" style="381" bestFit="1" customWidth="1"/>
    <col min="17" max="17" width="9.7109375" style="200" bestFit="1" customWidth="1"/>
    <col min="18" max="18" width="8.140625" style="200" bestFit="1" customWidth="1"/>
    <col min="19" max="19" width="7.421875" style="200" bestFit="1" customWidth="1"/>
    <col min="20" max="20" width="13.57421875" style="379" bestFit="1" customWidth="1"/>
    <col min="21" max="21" width="8.00390625" style="200" bestFit="1" customWidth="1"/>
    <col min="22" max="22" width="17.00390625" style="379" bestFit="1" customWidth="1"/>
    <col min="23" max="23" width="11.8515625" style="200" bestFit="1" customWidth="1"/>
    <col min="24" max="24" width="7.28125" style="200" bestFit="1" customWidth="1"/>
    <col min="25" max="25" width="12.421875" style="200" bestFit="1" customWidth="1"/>
    <col min="26" max="26" width="9.140625" style="152" customWidth="1"/>
    <col min="27" max="29" width="9.140625" style="200" customWidth="1"/>
    <col min="30" max="30" width="2.140625" style="200" bestFit="1" customWidth="1"/>
    <col min="31" max="16384" width="9.140625" style="200" customWidth="1"/>
  </cols>
  <sheetData>
    <row r="1" spans="1:26" s="151" customFormat="1" ht="98.25" customHeight="1" thickBot="1">
      <c r="A1" s="435"/>
      <c r="B1" s="144"/>
      <c r="C1" s="145"/>
      <c r="D1" s="146"/>
      <c r="E1" s="146"/>
      <c r="F1" s="147"/>
      <c r="G1" s="148"/>
      <c r="H1" s="148"/>
      <c r="I1" s="146"/>
      <c r="J1" s="146"/>
      <c r="K1" s="146"/>
      <c r="L1" s="146"/>
      <c r="M1" s="146"/>
      <c r="N1" s="146"/>
      <c r="O1" s="146"/>
      <c r="P1" s="380"/>
      <c r="Q1" s="146"/>
      <c r="R1" s="146"/>
      <c r="S1" s="146"/>
      <c r="T1" s="377"/>
      <c r="U1" s="146"/>
      <c r="V1" s="540"/>
      <c r="W1" s="149"/>
      <c r="X1" s="150"/>
      <c r="Z1" s="152"/>
    </row>
    <row r="2" spans="1:24" s="153" customFormat="1" ht="32.25" customHeight="1" thickBot="1">
      <c r="A2" s="679" t="s">
        <v>190</v>
      </c>
      <c r="B2" s="692"/>
      <c r="C2" s="692"/>
      <c r="D2" s="692"/>
      <c r="E2" s="692"/>
      <c r="F2" s="692"/>
      <c r="G2" s="692"/>
      <c r="H2" s="692"/>
      <c r="I2" s="692"/>
      <c r="J2" s="692"/>
      <c r="K2" s="692"/>
      <c r="L2" s="692"/>
      <c r="M2" s="692"/>
      <c r="N2" s="692"/>
      <c r="O2" s="692"/>
      <c r="P2" s="692"/>
      <c r="Q2" s="693"/>
      <c r="R2" s="693"/>
      <c r="S2" s="693"/>
      <c r="T2" s="693"/>
      <c r="U2" s="693"/>
      <c r="V2" s="693"/>
      <c r="W2" s="693"/>
      <c r="X2" s="693"/>
    </row>
    <row r="3" spans="1:26" s="154" customFormat="1" ht="18">
      <c r="A3" s="515"/>
      <c r="B3" s="285"/>
      <c r="C3" s="694" t="s">
        <v>0</v>
      </c>
      <c r="D3" s="696" t="s">
        <v>191</v>
      </c>
      <c r="E3" s="696" t="s">
        <v>2</v>
      </c>
      <c r="F3" s="696" t="s">
        <v>383</v>
      </c>
      <c r="G3" s="699" t="s">
        <v>193</v>
      </c>
      <c r="H3" s="699" t="s">
        <v>194</v>
      </c>
      <c r="I3" s="699" t="s">
        <v>195</v>
      </c>
      <c r="J3" s="701" t="s">
        <v>4</v>
      </c>
      <c r="K3" s="701"/>
      <c r="L3" s="701" t="s">
        <v>7</v>
      </c>
      <c r="M3" s="701"/>
      <c r="N3" s="701" t="s">
        <v>8</v>
      </c>
      <c r="O3" s="701"/>
      <c r="P3" s="716" t="s">
        <v>196</v>
      </c>
      <c r="Q3" s="716"/>
      <c r="R3" s="716"/>
      <c r="S3" s="716"/>
      <c r="T3" s="701" t="s">
        <v>197</v>
      </c>
      <c r="U3" s="701"/>
      <c r="V3" s="701" t="s">
        <v>198</v>
      </c>
      <c r="W3" s="701"/>
      <c r="X3" s="703"/>
      <c r="Z3" s="156"/>
    </row>
    <row r="4" spans="1:26" s="154" customFormat="1" ht="36" customHeight="1" thickBot="1">
      <c r="A4" s="516"/>
      <c r="B4" s="286"/>
      <c r="C4" s="695"/>
      <c r="D4" s="697"/>
      <c r="E4" s="698"/>
      <c r="F4" s="698"/>
      <c r="G4" s="700"/>
      <c r="H4" s="700"/>
      <c r="I4" s="700"/>
      <c r="J4" s="289" t="s">
        <v>116</v>
      </c>
      <c r="K4" s="289" t="s">
        <v>16</v>
      </c>
      <c r="L4" s="289" t="s">
        <v>116</v>
      </c>
      <c r="M4" s="289" t="s">
        <v>16</v>
      </c>
      <c r="N4" s="289" t="s">
        <v>116</v>
      </c>
      <c r="O4" s="289" t="s">
        <v>16</v>
      </c>
      <c r="P4" s="290" t="s">
        <v>116</v>
      </c>
      <c r="Q4" s="290" t="s">
        <v>16</v>
      </c>
      <c r="R4" s="567" t="s">
        <v>199</v>
      </c>
      <c r="S4" s="567" t="s">
        <v>200</v>
      </c>
      <c r="T4" s="517" t="s">
        <v>116</v>
      </c>
      <c r="U4" s="291" t="s">
        <v>11</v>
      </c>
      <c r="V4" s="517" t="s">
        <v>116</v>
      </c>
      <c r="W4" s="289" t="s">
        <v>16</v>
      </c>
      <c r="X4" s="292" t="s">
        <v>200</v>
      </c>
      <c r="Z4" s="156"/>
    </row>
    <row r="5" spans="1:26" s="154" customFormat="1" ht="18">
      <c r="A5" s="542">
        <v>1</v>
      </c>
      <c r="B5" s="293"/>
      <c r="C5" s="555" t="s">
        <v>405</v>
      </c>
      <c r="D5" s="556">
        <v>38821</v>
      </c>
      <c r="E5" s="555" t="s">
        <v>330</v>
      </c>
      <c r="F5" s="555" t="s">
        <v>331</v>
      </c>
      <c r="G5" s="557">
        <v>118</v>
      </c>
      <c r="H5" s="557">
        <v>118</v>
      </c>
      <c r="I5" s="578">
        <v>1</v>
      </c>
      <c r="J5" s="576">
        <v>269356.5</v>
      </c>
      <c r="K5" s="579">
        <v>35931</v>
      </c>
      <c r="L5" s="576">
        <v>526691</v>
      </c>
      <c r="M5" s="579">
        <v>70268</v>
      </c>
      <c r="N5" s="576">
        <v>514618</v>
      </c>
      <c r="O5" s="579">
        <v>68970</v>
      </c>
      <c r="P5" s="337">
        <f aca="true" t="shared" si="0" ref="P5:P14">+J5+L5+N5</f>
        <v>1310665.5</v>
      </c>
      <c r="Q5" s="568">
        <f aca="true" t="shared" si="1" ref="Q5:Q14">+K5+M5+O5</f>
        <v>175169</v>
      </c>
      <c r="R5" s="569">
        <f>Q5/H5</f>
        <v>1484.4830508474577</v>
      </c>
      <c r="S5" s="582">
        <f>P5/Q5</f>
        <v>7.482291387174671</v>
      </c>
      <c r="T5" s="576"/>
      <c r="U5" s="586"/>
      <c r="V5" s="576">
        <v>1310665.5</v>
      </c>
      <c r="W5" s="558">
        <v>175169</v>
      </c>
      <c r="X5" s="489">
        <f aca="true" t="shared" si="2" ref="X5:X14">V5/W5</f>
        <v>7.482291387174671</v>
      </c>
      <c r="Z5" s="156"/>
    </row>
    <row r="6" spans="1:26" s="530" customFormat="1" ht="18">
      <c r="A6" s="542">
        <v>2</v>
      </c>
      <c r="B6" s="559"/>
      <c r="C6" s="350" t="s">
        <v>385</v>
      </c>
      <c r="D6" s="349">
        <v>38821</v>
      </c>
      <c r="E6" s="350" t="s">
        <v>92</v>
      </c>
      <c r="F6" s="350" t="s">
        <v>335</v>
      </c>
      <c r="G6" s="513">
        <v>94</v>
      </c>
      <c r="H6" s="513">
        <v>96</v>
      </c>
      <c r="I6" s="389">
        <v>1</v>
      </c>
      <c r="J6" s="397">
        <v>32117</v>
      </c>
      <c r="K6" s="453">
        <v>4354</v>
      </c>
      <c r="L6" s="397">
        <v>108298</v>
      </c>
      <c r="M6" s="453">
        <v>14326</v>
      </c>
      <c r="N6" s="397">
        <v>96092</v>
      </c>
      <c r="O6" s="453">
        <v>12748</v>
      </c>
      <c r="P6" s="338">
        <f t="shared" si="0"/>
        <v>236507</v>
      </c>
      <c r="Q6" s="570">
        <f t="shared" si="1"/>
        <v>31428</v>
      </c>
      <c r="R6" s="571">
        <f>IF(P6&lt;&gt;0,Q6/H6,"")</f>
        <v>327.375</v>
      </c>
      <c r="S6" s="583">
        <f>IF(P6&lt;&gt;0,P6/Q6,"")</f>
        <v>7.525359551991855</v>
      </c>
      <c r="T6" s="413">
        <v>120496</v>
      </c>
      <c r="U6" s="419">
        <f aca="true" t="shared" si="3" ref="U6:U14">IF(T6&lt;&gt;0,-(T6-P6)/T6,"")</f>
        <v>0.9627788474306201</v>
      </c>
      <c r="V6" s="397">
        <v>357935</v>
      </c>
      <c r="W6" s="351">
        <v>46027</v>
      </c>
      <c r="X6" s="496">
        <f t="shared" si="2"/>
        <v>7.776631107828014</v>
      </c>
      <c r="Z6" s="531"/>
    </row>
    <row r="7" spans="1:26" s="530" customFormat="1" ht="18">
      <c r="A7" s="542">
        <v>3</v>
      </c>
      <c r="B7" s="559"/>
      <c r="C7" s="348" t="s">
        <v>292</v>
      </c>
      <c r="D7" s="349">
        <v>38807</v>
      </c>
      <c r="E7" s="350" t="s">
        <v>326</v>
      </c>
      <c r="F7" s="350" t="s">
        <v>327</v>
      </c>
      <c r="G7" s="513">
        <v>115</v>
      </c>
      <c r="H7" s="513">
        <v>115</v>
      </c>
      <c r="I7" s="389">
        <v>3</v>
      </c>
      <c r="J7" s="397">
        <v>50285.5</v>
      </c>
      <c r="K7" s="453">
        <v>6746</v>
      </c>
      <c r="L7" s="397">
        <v>66625</v>
      </c>
      <c r="M7" s="453">
        <v>8586</v>
      </c>
      <c r="N7" s="397">
        <v>73139</v>
      </c>
      <c r="O7" s="453">
        <v>9707</v>
      </c>
      <c r="P7" s="338">
        <f t="shared" si="0"/>
        <v>190049.5</v>
      </c>
      <c r="Q7" s="570">
        <f t="shared" si="1"/>
        <v>25039</v>
      </c>
      <c r="R7" s="572">
        <f>Q7/H7</f>
        <v>217.73043478260868</v>
      </c>
      <c r="S7" s="584">
        <f>P7/Q7</f>
        <v>7.590139382563201</v>
      </c>
      <c r="T7" s="413">
        <v>369499</v>
      </c>
      <c r="U7" s="419">
        <f t="shared" si="3"/>
        <v>-0.48565625346753305</v>
      </c>
      <c r="V7" s="397">
        <v>1697125</v>
      </c>
      <c r="W7" s="351">
        <v>224699</v>
      </c>
      <c r="X7" s="496">
        <f t="shared" si="2"/>
        <v>7.552881855281955</v>
      </c>
      <c r="Z7" s="531"/>
    </row>
    <row r="8" spans="1:27" s="533" customFormat="1" ht="18">
      <c r="A8" s="542">
        <v>4</v>
      </c>
      <c r="B8" s="560"/>
      <c r="C8" s="350" t="s">
        <v>328</v>
      </c>
      <c r="D8" s="349">
        <v>38814</v>
      </c>
      <c r="E8" s="455" t="s">
        <v>88</v>
      </c>
      <c r="F8" s="350" t="s">
        <v>329</v>
      </c>
      <c r="G8" s="513">
        <v>124</v>
      </c>
      <c r="H8" s="513">
        <v>127</v>
      </c>
      <c r="I8" s="389">
        <v>2</v>
      </c>
      <c r="J8" s="397">
        <v>37341.5</v>
      </c>
      <c r="K8" s="453">
        <v>5446</v>
      </c>
      <c r="L8" s="397">
        <v>65155</v>
      </c>
      <c r="M8" s="453">
        <v>9563</v>
      </c>
      <c r="N8" s="397">
        <v>65202</v>
      </c>
      <c r="O8" s="453">
        <v>9311</v>
      </c>
      <c r="P8" s="338">
        <f t="shared" si="0"/>
        <v>167698.5</v>
      </c>
      <c r="Q8" s="570">
        <f t="shared" si="1"/>
        <v>24320</v>
      </c>
      <c r="R8" s="571">
        <f>IF(P8&lt;&gt;0,Q8/H8,"")</f>
        <v>191.49606299212599</v>
      </c>
      <c r="S8" s="583">
        <f>IF(P8&lt;&gt;0,P8/Q8,"")</f>
        <v>6.895497532894737</v>
      </c>
      <c r="T8" s="397">
        <v>278403</v>
      </c>
      <c r="U8" s="419">
        <f t="shared" si="3"/>
        <v>-0.39764118921132313</v>
      </c>
      <c r="V8" s="397">
        <v>607112.5</v>
      </c>
      <c r="W8" s="351">
        <v>90234</v>
      </c>
      <c r="X8" s="496">
        <f t="shared" si="2"/>
        <v>6.72820112152847</v>
      </c>
      <c r="Y8" s="532"/>
      <c r="AA8" s="532"/>
    </row>
    <row r="9" spans="1:26" s="534" customFormat="1" ht="18">
      <c r="A9" s="542">
        <v>5</v>
      </c>
      <c r="B9" s="560"/>
      <c r="C9" s="350" t="s">
        <v>391</v>
      </c>
      <c r="D9" s="349">
        <v>38821</v>
      </c>
      <c r="E9" s="455" t="s">
        <v>88</v>
      </c>
      <c r="F9" s="350" t="s">
        <v>346</v>
      </c>
      <c r="G9" s="513">
        <v>53</v>
      </c>
      <c r="H9" s="513">
        <v>55</v>
      </c>
      <c r="I9" s="389">
        <v>1</v>
      </c>
      <c r="J9" s="397">
        <v>24731</v>
      </c>
      <c r="K9" s="453">
        <v>3182</v>
      </c>
      <c r="L9" s="397">
        <v>36319</v>
      </c>
      <c r="M9" s="453">
        <v>4716</v>
      </c>
      <c r="N9" s="397">
        <v>37215</v>
      </c>
      <c r="O9" s="453">
        <v>4748</v>
      </c>
      <c r="P9" s="338">
        <f t="shared" si="0"/>
        <v>98265</v>
      </c>
      <c r="Q9" s="570">
        <f t="shared" si="1"/>
        <v>12646</v>
      </c>
      <c r="R9" s="571">
        <f>IF(P9&lt;&gt;0,Q9/H9,"")</f>
        <v>229.92727272727274</v>
      </c>
      <c r="S9" s="583">
        <f>IF(P9&lt;&gt;0,P9/Q9,"")</f>
        <v>7.7704412462438714</v>
      </c>
      <c r="T9" s="397"/>
      <c r="U9" s="419">
        <f t="shared" si="3"/>
      </c>
      <c r="V9" s="397">
        <v>98265.5</v>
      </c>
      <c r="W9" s="539">
        <v>12646</v>
      </c>
      <c r="X9" s="496">
        <f t="shared" si="2"/>
        <v>7.770480784437767</v>
      </c>
      <c r="Y9" s="532"/>
      <c r="Z9" s="532"/>
    </row>
    <row r="10" spans="1:26" s="534" customFormat="1" ht="18">
      <c r="A10" s="542">
        <v>6</v>
      </c>
      <c r="B10" s="560"/>
      <c r="C10" s="350" t="s">
        <v>294</v>
      </c>
      <c r="D10" s="349">
        <v>38807</v>
      </c>
      <c r="E10" s="455" t="s">
        <v>88</v>
      </c>
      <c r="F10" s="350" t="s">
        <v>91</v>
      </c>
      <c r="G10" s="513">
        <v>77</v>
      </c>
      <c r="H10" s="513">
        <v>76</v>
      </c>
      <c r="I10" s="389">
        <v>3</v>
      </c>
      <c r="J10" s="397">
        <v>27346</v>
      </c>
      <c r="K10" s="453">
        <v>3329</v>
      </c>
      <c r="L10" s="397">
        <v>35605.5</v>
      </c>
      <c r="M10" s="453">
        <v>4461</v>
      </c>
      <c r="N10" s="397">
        <v>30701</v>
      </c>
      <c r="O10" s="453">
        <v>3787</v>
      </c>
      <c r="P10" s="338">
        <f t="shared" si="0"/>
        <v>93652.5</v>
      </c>
      <c r="Q10" s="570">
        <f t="shared" si="1"/>
        <v>11577</v>
      </c>
      <c r="R10" s="571">
        <f>IF(P10&lt;&gt;0,Q10/H10,"")</f>
        <v>152.32894736842104</v>
      </c>
      <c r="S10" s="583">
        <f>IF(P10&lt;&gt;0,P10/Q10,"")</f>
        <v>8.089530966571651</v>
      </c>
      <c r="T10" s="397">
        <v>191761</v>
      </c>
      <c r="U10" s="419">
        <f t="shared" si="3"/>
        <v>-0.5116186294397714</v>
      </c>
      <c r="V10" s="397">
        <v>735935.5</v>
      </c>
      <c r="W10" s="351">
        <v>95161</v>
      </c>
      <c r="X10" s="496">
        <f t="shared" si="2"/>
        <v>7.733583085507719</v>
      </c>
      <c r="Y10" s="532"/>
      <c r="Z10" s="532"/>
    </row>
    <row r="11" spans="1:26" s="534" customFormat="1" ht="18">
      <c r="A11" s="542">
        <v>7</v>
      </c>
      <c r="B11" s="560"/>
      <c r="C11" s="350" t="s">
        <v>390</v>
      </c>
      <c r="D11" s="349">
        <v>38765</v>
      </c>
      <c r="E11" s="455" t="s">
        <v>88</v>
      </c>
      <c r="F11" s="350" t="s">
        <v>365</v>
      </c>
      <c r="G11" s="513">
        <v>32</v>
      </c>
      <c r="H11" s="513">
        <v>34</v>
      </c>
      <c r="I11" s="389">
        <v>1</v>
      </c>
      <c r="J11" s="397">
        <v>21629</v>
      </c>
      <c r="K11" s="453">
        <v>2163</v>
      </c>
      <c r="L11" s="397">
        <v>31120</v>
      </c>
      <c r="M11" s="453">
        <v>3101</v>
      </c>
      <c r="N11" s="397">
        <v>28373</v>
      </c>
      <c r="O11" s="453">
        <v>2830</v>
      </c>
      <c r="P11" s="338">
        <f t="shared" si="0"/>
        <v>81122</v>
      </c>
      <c r="Q11" s="570">
        <f t="shared" si="1"/>
        <v>8094</v>
      </c>
      <c r="R11" s="571">
        <f>IF(P11&lt;&gt;0,Q11/H11,"")</f>
        <v>238.05882352941177</v>
      </c>
      <c r="S11" s="583">
        <f>IF(P11&lt;&gt;0,P11/Q11,"")</f>
        <v>10.02248579194465</v>
      </c>
      <c r="T11" s="397"/>
      <c r="U11" s="419">
        <f t="shared" si="3"/>
      </c>
      <c r="V11" s="397">
        <v>81122</v>
      </c>
      <c r="W11" s="539">
        <v>8094</v>
      </c>
      <c r="X11" s="496">
        <f t="shared" si="2"/>
        <v>10.02248579194465</v>
      </c>
      <c r="Y11" s="532"/>
      <c r="Z11" s="532"/>
    </row>
    <row r="12" spans="1:26" s="534" customFormat="1" ht="18">
      <c r="A12" s="542">
        <v>8</v>
      </c>
      <c r="B12" s="560"/>
      <c r="C12" s="356" t="s">
        <v>386</v>
      </c>
      <c r="D12" s="355">
        <v>38814</v>
      </c>
      <c r="E12" s="356" t="s">
        <v>330</v>
      </c>
      <c r="F12" s="356" t="s">
        <v>90</v>
      </c>
      <c r="G12" s="535">
        <v>50</v>
      </c>
      <c r="H12" s="535">
        <v>50</v>
      </c>
      <c r="I12" s="390">
        <v>2</v>
      </c>
      <c r="J12" s="394">
        <v>22116</v>
      </c>
      <c r="K12" s="403">
        <v>2411</v>
      </c>
      <c r="L12" s="394">
        <v>27577</v>
      </c>
      <c r="M12" s="403">
        <v>3099</v>
      </c>
      <c r="N12" s="394">
        <v>26070.5</v>
      </c>
      <c r="O12" s="403">
        <v>2915</v>
      </c>
      <c r="P12" s="338">
        <f t="shared" si="0"/>
        <v>75763.5</v>
      </c>
      <c r="Q12" s="573">
        <f t="shared" si="1"/>
        <v>8425</v>
      </c>
      <c r="R12" s="572">
        <f>Q12/H12</f>
        <v>168.5</v>
      </c>
      <c r="S12" s="584">
        <f>P12/Q12</f>
        <v>8.992700296735904</v>
      </c>
      <c r="T12" s="394">
        <v>103872</v>
      </c>
      <c r="U12" s="458">
        <f t="shared" si="3"/>
        <v>-0.2706070933456562</v>
      </c>
      <c r="V12" s="394">
        <v>234967.5</v>
      </c>
      <c r="W12" s="357">
        <v>28285</v>
      </c>
      <c r="X12" s="496">
        <f t="shared" si="2"/>
        <v>8.30714159448471</v>
      </c>
      <c r="Y12" s="532"/>
      <c r="Z12" s="532"/>
    </row>
    <row r="13" spans="1:26" s="534" customFormat="1" ht="18">
      <c r="A13" s="542">
        <v>9</v>
      </c>
      <c r="B13" s="560"/>
      <c r="C13" s="350" t="s">
        <v>332</v>
      </c>
      <c r="D13" s="349">
        <v>38814</v>
      </c>
      <c r="E13" s="350" t="s">
        <v>333</v>
      </c>
      <c r="F13" s="350" t="s">
        <v>334</v>
      </c>
      <c r="G13" s="513">
        <v>56</v>
      </c>
      <c r="H13" s="513">
        <v>56</v>
      </c>
      <c r="I13" s="389">
        <v>2</v>
      </c>
      <c r="J13" s="397">
        <v>14546.5</v>
      </c>
      <c r="K13" s="453">
        <v>2110</v>
      </c>
      <c r="L13" s="397">
        <v>23955</v>
      </c>
      <c r="M13" s="453">
        <v>3339</v>
      </c>
      <c r="N13" s="397">
        <v>25781</v>
      </c>
      <c r="O13" s="453">
        <v>3573</v>
      </c>
      <c r="P13" s="338">
        <f t="shared" si="0"/>
        <v>64282.5</v>
      </c>
      <c r="Q13" s="570">
        <f t="shared" si="1"/>
        <v>9022</v>
      </c>
      <c r="R13" s="571">
        <f>IF(P13&lt;&gt;0,Q13/H13,"")</f>
        <v>161.10714285714286</v>
      </c>
      <c r="S13" s="583">
        <f>IF(P13&lt;&gt;0,P13/Q13,"")</f>
        <v>7.125083130126358</v>
      </c>
      <c r="T13" s="397">
        <v>153667</v>
      </c>
      <c r="U13" s="419">
        <f t="shared" si="3"/>
        <v>-0.5816766124151574</v>
      </c>
      <c r="V13" s="413">
        <f>217941.5+64282.5</f>
        <v>282224</v>
      </c>
      <c r="W13" s="528">
        <f>30137+9022</f>
        <v>39159</v>
      </c>
      <c r="X13" s="496">
        <f t="shared" si="2"/>
        <v>7.207129906279527</v>
      </c>
      <c r="Y13" s="532"/>
      <c r="Z13" s="532"/>
    </row>
    <row r="14" spans="1:26" s="534" customFormat="1" ht="18.75" thickBot="1">
      <c r="A14" s="542">
        <v>10</v>
      </c>
      <c r="B14" s="562"/>
      <c r="C14" s="423" t="s">
        <v>296</v>
      </c>
      <c r="D14" s="422">
        <v>38807</v>
      </c>
      <c r="E14" s="423" t="s">
        <v>92</v>
      </c>
      <c r="F14" s="423" t="s">
        <v>335</v>
      </c>
      <c r="G14" s="564">
        <v>62</v>
      </c>
      <c r="H14" s="564">
        <v>61</v>
      </c>
      <c r="I14" s="424">
        <v>3</v>
      </c>
      <c r="J14" s="428">
        <v>14736</v>
      </c>
      <c r="K14" s="581">
        <v>1847</v>
      </c>
      <c r="L14" s="428">
        <v>23522</v>
      </c>
      <c r="M14" s="581">
        <v>2945</v>
      </c>
      <c r="N14" s="428">
        <v>20755</v>
      </c>
      <c r="O14" s="581">
        <v>2599</v>
      </c>
      <c r="P14" s="339">
        <f t="shared" si="0"/>
        <v>59013</v>
      </c>
      <c r="Q14" s="574">
        <f t="shared" si="1"/>
        <v>7391</v>
      </c>
      <c r="R14" s="575">
        <f>IF(P14&lt;&gt;0,Q14/H14,"")</f>
        <v>121.1639344262295</v>
      </c>
      <c r="S14" s="585">
        <f>IF(P14&lt;&gt;0,P14/Q14,"")</f>
        <v>7.984440535786768</v>
      </c>
      <c r="T14" s="587">
        <v>134070</v>
      </c>
      <c r="U14" s="432">
        <f t="shared" si="3"/>
        <v>-0.5598344148579101</v>
      </c>
      <c r="V14" s="428">
        <v>474418</v>
      </c>
      <c r="W14" s="433">
        <v>58563</v>
      </c>
      <c r="X14" s="566">
        <f t="shared" si="2"/>
        <v>8.100985263733074</v>
      </c>
      <c r="Y14" s="532"/>
      <c r="Z14" s="532"/>
    </row>
    <row r="15" spans="1:30" s="237" customFormat="1" ht="19.5" thickBot="1">
      <c r="A15" s="514"/>
      <c r="B15" s="543"/>
      <c r="C15" s="544"/>
      <c r="D15" s="545"/>
      <c r="E15" s="545"/>
      <c r="F15" s="546"/>
      <c r="G15" s="547"/>
      <c r="H15" s="547"/>
      <c r="I15" s="547"/>
      <c r="J15" s="548"/>
      <c r="K15" s="549"/>
      <c r="L15" s="548"/>
      <c r="M15" s="549"/>
      <c r="N15" s="548"/>
      <c r="O15" s="549"/>
      <c r="P15" s="550"/>
      <c r="Q15" s="551"/>
      <c r="R15" s="552"/>
      <c r="S15" s="553"/>
      <c r="T15" s="548"/>
      <c r="U15" s="554"/>
      <c r="V15" s="548"/>
      <c r="W15" s="554"/>
      <c r="X15" s="554"/>
      <c r="Y15" s="235"/>
      <c r="Z15" s="236"/>
      <c r="AA15" s="235"/>
      <c r="AB15" s="235"/>
      <c r="AC15" s="235"/>
      <c r="AD15" s="235"/>
    </row>
    <row r="16" spans="1:30" s="382" customFormat="1" ht="15.75" thickBot="1">
      <c r="A16" s="518"/>
      <c r="B16" s="714" t="s">
        <v>248</v>
      </c>
      <c r="C16" s="715"/>
      <c r="D16" s="715"/>
      <c r="E16" s="715"/>
      <c r="F16" s="715"/>
      <c r="G16" s="520"/>
      <c r="H16" s="520">
        <f>SUM(H5:H15)</f>
        <v>788</v>
      </c>
      <c r="I16" s="519"/>
      <c r="J16" s="521"/>
      <c r="K16" s="522"/>
      <c r="L16" s="521"/>
      <c r="M16" s="522"/>
      <c r="N16" s="521"/>
      <c r="O16" s="522"/>
      <c r="P16" s="521">
        <f>SUM(P5:P15)</f>
        <v>2377019</v>
      </c>
      <c r="Q16" s="522">
        <f>SUM(Q5:Q15)</f>
        <v>313111</v>
      </c>
      <c r="R16" s="523">
        <f>P16/H16</f>
        <v>3016.521573604061</v>
      </c>
      <c r="S16" s="524">
        <f>P16/Q16</f>
        <v>7.591617669133311</v>
      </c>
      <c r="T16" s="521"/>
      <c r="U16" s="525"/>
      <c r="V16" s="541"/>
      <c r="W16" s="526"/>
      <c r="X16" s="527"/>
      <c r="Z16" s="383"/>
      <c r="AD16" s="382" t="s">
        <v>249</v>
      </c>
    </row>
    <row r="17" spans="20:24" ht="18">
      <c r="T17" s="702" t="s">
        <v>250</v>
      </c>
      <c r="U17" s="702"/>
      <c r="V17" s="702"/>
      <c r="W17" s="702"/>
      <c r="X17" s="702"/>
    </row>
    <row r="18" spans="20:24" ht="18">
      <c r="T18" s="667"/>
      <c r="U18" s="667"/>
      <c r="V18" s="667"/>
      <c r="W18" s="667"/>
      <c r="X18" s="667"/>
    </row>
    <row r="19" spans="20:24" ht="18">
      <c r="T19" s="667"/>
      <c r="U19" s="667"/>
      <c r="V19" s="667"/>
      <c r="W19" s="667"/>
      <c r="X19" s="667"/>
    </row>
    <row r="20" spans="20:24" ht="18">
      <c r="T20" s="667"/>
      <c r="U20" s="667"/>
      <c r="V20" s="667"/>
      <c r="W20" s="667"/>
      <c r="X20" s="667"/>
    </row>
    <row r="21" spans="20:24" ht="18">
      <c r="T21" s="667"/>
      <c r="U21" s="667"/>
      <c r="V21" s="667"/>
      <c r="W21" s="667"/>
      <c r="X21" s="667"/>
    </row>
    <row r="22" spans="20:24" ht="18">
      <c r="T22" s="667"/>
      <c r="U22" s="667"/>
      <c r="V22" s="667"/>
      <c r="W22" s="667"/>
      <c r="X22" s="667"/>
    </row>
    <row r="23" spans="1:24" ht="18">
      <c r="A23" s="668" t="s">
        <v>252</v>
      </c>
      <c r="B23" s="669"/>
      <c r="C23" s="669"/>
      <c r="D23" s="669"/>
      <c r="E23" s="669"/>
      <c r="F23" s="669"/>
      <c r="G23" s="669"/>
      <c r="H23" s="669"/>
      <c r="I23" s="669"/>
      <c r="J23" s="669"/>
      <c r="K23" s="669"/>
      <c r="L23" s="669"/>
      <c r="M23" s="669"/>
      <c r="N23" s="669"/>
      <c r="O23" s="669"/>
      <c r="P23" s="669"/>
      <c r="Q23" s="669"/>
      <c r="R23" s="669"/>
      <c r="S23" s="669"/>
      <c r="T23" s="669"/>
      <c r="U23" s="669"/>
      <c r="V23" s="669"/>
      <c r="W23" s="669"/>
      <c r="X23" s="669"/>
    </row>
    <row r="24" spans="1:24" ht="18">
      <c r="A24" s="669"/>
      <c r="B24" s="669"/>
      <c r="C24" s="669"/>
      <c r="D24" s="669"/>
      <c r="E24" s="669"/>
      <c r="F24" s="669"/>
      <c r="G24" s="669"/>
      <c r="H24" s="669"/>
      <c r="I24" s="669"/>
      <c r="J24" s="669"/>
      <c r="K24" s="669"/>
      <c r="L24" s="669"/>
      <c r="M24" s="669"/>
      <c r="N24" s="669"/>
      <c r="O24" s="669"/>
      <c r="P24" s="669"/>
      <c r="Q24" s="669"/>
      <c r="R24" s="669"/>
      <c r="S24" s="669"/>
      <c r="T24" s="669"/>
      <c r="U24" s="669"/>
      <c r="V24" s="669"/>
      <c r="W24" s="669"/>
      <c r="X24" s="669"/>
    </row>
    <row r="25" spans="1:24" ht="18">
      <c r="A25" s="669"/>
      <c r="B25" s="669"/>
      <c r="C25" s="669"/>
      <c r="D25" s="669"/>
      <c r="E25" s="669"/>
      <c r="F25" s="669"/>
      <c r="G25" s="669"/>
      <c r="H25" s="669"/>
      <c r="I25" s="669"/>
      <c r="J25" s="669"/>
      <c r="K25" s="669"/>
      <c r="L25" s="669"/>
      <c r="M25" s="669"/>
      <c r="N25" s="669"/>
      <c r="O25" s="669"/>
      <c r="P25" s="669"/>
      <c r="Q25" s="669"/>
      <c r="R25" s="669"/>
      <c r="S25" s="669"/>
      <c r="T25" s="669"/>
      <c r="U25" s="669"/>
      <c r="V25" s="669"/>
      <c r="W25" s="669"/>
      <c r="X25" s="669"/>
    </row>
    <row r="26" spans="1:24" ht="18">
      <c r="A26" s="669"/>
      <c r="B26" s="669"/>
      <c r="C26" s="669"/>
      <c r="D26" s="669"/>
      <c r="E26" s="669"/>
      <c r="F26" s="669"/>
      <c r="G26" s="669"/>
      <c r="H26" s="669"/>
      <c r="I26" s="669"/>
      <c r="J26" s="669"/>
      <c r="K26" s="669"/>
      <c r="L26" s="669"/>
      <c r="M26" s="669"/>
      <c r="N26" s="669"/>
      <c r="O26" s="669"/>
      <c r="P26" s="669"/>
      <c r="Q26" s="669"/>
      <c r="R26" s="669"/>
      <c r="S26" s="669"/>
      <c r="T26" s="669"/>
      <c r="U26" s="669"/>
      <c r="V26" s="669"/>
      <c r="W26" s="669"/>
      <c r="X26" s="669"/>
    </row>
    <row r="27" spans="1:30" ht="18">
      <c r="A27" s="669"/>
      <c r="B27" s="669"/>
      <c r="C27" s="669"/>
      <c r="D27" s="669"/>
      <c r="E27" s="669"/>
      <c r="F27" s="669"/>
      <c r="G27" s="669"/>
      <c r="H27" s="669"/>
      <c r="I27" s="669"/>
      <c r="J27" s="669"/>
      <c r="K27" s="669"/>
      <c r="L27" s="669"/>
      <c r="M27" s="669"/>
      <c r="N27" s="669"/>
      <c r="O27" s="669"/>
      <c r="P27" s="669"/>
      <c r="Q27" s="669"/>
      <c r="R27" s="669"/>
      <c r="S27" s="669"/>
      <c r="T27" s="669"/>
      <c r="U27" s="669"/>
      <c r="V27" s="669"/>
      <c r="W27" s="669"/>
      <c r="X27" s="669"/>
      <c r="AD27" s="200" t="s">
        <v>249</v>
      </c>
    </row>
  </sheetData>
  <mergeCells count="18">
    <mergeCell ref="A2:X2"/>
    <mergeCell ref="C3:C4"/>
    <mergeCell ref="D3:D4"/>
    <mergeCell ref="E3:E4"/>
    <mergeCell ref="F3:F4"/>
    <mergeCell ref="G3:G4"/>
    <mergeCell ref="H3:H4"/>
    <mergeCell ref="I3:I4"/>
    <mergeCell ref="J3:K3"/>
    <mergeCell ref="L3:M3"/>
    <mergeCell ref="N3:O3"/>
    <mergeCell ref="P3:S3"/>
    <mergeCell ref="T3:U3"/>
    <mergeCell ref="V3:X3"/>
    <mergeCell ref="B16:F16"/>
    <mergeCell ref="T17:X19"/>
    <mergeCell ref="T20:X22"/>
    <mergeCell ref="A23:X27"/>
  </mergeCells>
  <printOptions/>
  <pageMargins left="0.75" right="0.75" top="1" bottom="1" header="0.5" footer="0.5"/>
  <pageSetup orientation="landscape" paperSize="9" scale="60" r:id="rId2"/>
  <ignoredErrors>
    <ignoredError sqref="R6:S12" formula="1"/>
  </ignoredErrors>
  <drawing r:id="rId1"/>
</worksheet>
</file>

<file path=xl/worksheets/sheet21.xml><?xml version="1.0" encoding="utf-8"?>
<worksheet xmlns="http://schemas.openxmlformats.org/spreadsheetml/2006/main" xmlns:r="http://schemas.openxmlformats.org/officeDocument/2006/relationships">
  <dimension ref="A1:AD94"/>
  <sheetViews>
    <sheetView zoomScale="45" zoomScaleNormal="45" workbookViewId="0" topLeftCell="A1">
      <selection activeCell="C3" sqref="C3"/>
    </sheetView>
  </sheetViews>
  <sheetFormatPr defaultColWidth="9.140625" defaultRowHeight="12.75"/>
  <cols>
    <col min="1" max="1" width="3.7109375" style="440" customWidth="1"/>
    <col min="2" max="2" width="1.7109375" style="253" customWidth="1"/>
    <col min="3" max="3" width="37.00390625" style="200" bestFit="1" customWidth="1"/>
    <col min="4" max="4" width="9.8515625" style="200" bestFit="1" customWidth="1"/>
    <col min="5" max="5" width="13.28125" style="200" bestFit="1" customWidth="1"/>
    <col min="6" max="6" width="14.8515625" style="254" bestFit="1" customWidth="1"/>
    <col min="7" max="7" width="6.421875" style="255" bestFit="1" customWidth="1"/>
    <col min="8" max="8" width="7.8515625" style="255" bestFit="1" customWidth="1"/>
    <col min="9" max="9" width="9.28125" style="200" customWidth="1"/>
    <col min="10" max="10" width="13.57421875" style="200" bestFit="1" customWidth="1"/>
    <col min="11" max="11" width="8.57421875" style="200" bestFit="1" customWidth="1"/>
    <col min="12" max="12" width="13.57421875" style="200" bestFit="1" customWidth="1"/>
    <col min="13" max="13" width="8.57421875" style="200" bestFit="1" customWidth="1"/>
    <col min="14" max="14" width="13.57421875" style="200" bestFit="1" customWidth="1"/>
    <col min="15" max="15" width="8.57421875" style="200" bestFit="1" customWidth="1"/>
    <col min="16" max="16" width="15.8515625" style="381" bestFit="1" customWidth="1"/>
    <col min="17" max="17" width="9.57421875" style="200" bestFit="1" customWidth="1"/>
    <col min="18" max="18" width="8.8515625" style="200" bestFit="1" customWidth="1"/>
    <col min="19" max="19" width="6.7109375" style="200" bestFit="1" customWidth="1"/>
    <col min="20" max="20" width="17.00390625" style="379" bestFit="1" customWidth="1"/>
    <col min="21" max="21" width="8.57421875" style="200" bestFit="1" customWidth="1"/>
    <col min="22" max="22" width="17.00390625" style="379" bestFit="1" customWidth="1"/>
    <col min="23" max="23" width="11.8515625" style="200" bestFit="1" customWidth="1"/>
    <col min="24" max="24" width="6.7109375" style="200" bestFit="1" customWidth="1"/>
    <col min="25" max="25" width="38.57421875" style="200" customWidth="1"/>
    <col min="26" max="26" width="38.57421875" style="152" customWidth="1"/>
    <col min="27" max="29" width="38.57421875" style="200" customWidth="1"/>
    <col min="30" max="30" width="2.28125" style="200" bestFit="1" customWidth="1"/>
    <col min="31" max="16384" width="38.57421875" style="200" customWidth="1"/>
  </cols>
  <sheetData>
    <row r="1" spans="1:24" ht="38.25">
      <c r="A1" s="771" t="s">
        <v>438</v>
      </c>
      <c r="B1" s="772"/>
      <c r="C1" s="772"/>
      <c r="D1" s="772"/>
      <c r="E1" s="772"/>
      <c r="F1" s="772"/>
      <c r="G1" s="772"/>
      <c r="H1" s="772"/>
      <c r="I1" s="772"/>
      <c r="J1" s="772"/>
      <c r="K1" s="772"/>
      <c r="L1" s="772"/>
      <c r="M1" s="772"/>
      <c r="N1" s="772"/>
      <c r="O1" s="772"/>
      <c r="P1" s="772"/>
      <c r="Q1" s="772"/>
      <c r="R1" s="772"/>
      <c r="S1" s="772"/>
      <c r="T1" s="772"/>
      <c r="U1" s="772"/>
      <c r="V1" s="772"/>
      <c r="W1" s="772"/>
      <c r="X1" s="773"/>
    </row>
    <row r="2" spans="1:24" ht="56.25" customHeight="1">
      <c r="A2" s="774" t="s">
        <v>439</v>
      </c>
      <c r="B2" s="770"/>
      <c r="C2" s="770"/>
      <c r="D2" s="770"/>
      <c r="E2" s="770"/>
      <c r="F2" s="770"/>
      <c r="G2" s="770"/>
      <c r="H2" s="770"/>
      <c r="I2" s="770"/>
      <c r="J2" s="770"/>
      <c r="K2" s="770"/>
      <c r="L2" s="770"/>
      <c r="M2" s="770"/>
      <c r="N2" s="770"/>
      <c r="O2" s="770"/>
      <c r="P2" s="770"/>
      <c r="Q2" s="770"/>
      <c r="R2" s="770"/>
      <c r="S2" s="770"/>
      <c r="T2" s="770"/>
      <c r="U2" s="770"/>
      <c r="V2" s="770"/>
      <c r="W2" s="770"/>
      <c r="X2" s="775"/>
    </row>
    <row r="3" spans="1:24" ht="42.75" customHeight="1">
      <c r="A3" s="614"/>
      <c r="B3" s="615"/>
      <c r="C3" s="768" t="s">
        <v>443</v>
      </c>
      <c r="D3" s="615"/>
      <c r="E3" s="615"/>
      <c r="F3" s="615"/>
      <c r="G3" s="615"/>
      <c r="H3" s="615"/>
      <c r="I3" s="615"/>
      <c r="J3" s="615"/>
      <c r="K3" s="615"/>
      <c r="L3" s="615"/>
      <c r="M3" s="615"/>
      <c r="N3" s="615"/>
      <c r="O3" s="769" t="s">
        <v>440</v>
      </c>
      <c r="P3" s="769"/>
      <c r="Q3" s="769"/>
      <c r="R3" s="769"/>
      <c r="S3" s="769"/>
      <c r="T3" s="769"/>
      <c r="U3" s="769"/>
      <c r="V3" s="769"/>
      <c r="W3" s="769"/>
      <c r="X3" s="776"/>
    </row>
    <row r="4" spans="1:24" s="153" customFormat="1" ht="27.75" thickBot="1">
      <c r="A4" s="777" t="s">
        <v>406</v>
      </c>
      <c r="B4" s="778"/>
      <c r="C4" s="778"/>
      <c r="D4" s="778"/>
      <c r="E4" s="778"/>
      <c r="F4" s="778"/>
      <c r="G4" s="778"/>
      <c r="H4" s="778"/>
      <c r="I4" s="778"/>
      <c r="J4" s="778"/>
      <c r="K4" s="778"/>
      <c r="L4" s="778"/>
      <c r="M4" s="778"/>
      <c r="N4" s="778"/>
      <c r="O4" s="778"/>
      <c r="P4" s="778"/>
      <c r="Q4" s="779"/>
      <c r="R4" s="779"/>
      <c r="S4" s="779"/>
      <c r="T4" s="779"/>
      <c r="U4" s="779"/>
      <c r="V4" s="779"/>
      <c r="W4" s="779"/>
      <c r="X4" s="780"/>
    </row>
    <row r="5" spans="1:26" s="154" customFormat="1" ht="18">
      <c r="A5" s="612"/>
      <c r="B5" s="613"/>
      <c r="C5" s="719" t="s">
        <v>0</v>
      </c>
      <c r="D5" s="720" t="s">
        <v>191</v>
      </c>
      <c r="E5" s="720" t="s">
        <v>2</v>
      </c>
      <c r="F5" s="720" t="s">
        <v>383</v>
      </c>
      <c r="G5" s="725" t="s">
        <v>193</v>
      </c>
      <c r="H5" s="725" t="s">
        <v>194</v>
      </c>
      <c r="I5" s="725" t="s">
        <v>195</v>
      </c>
      <c r="J5" s="717" t="s">
        <v>4</v>
      </c>
      <c r="K5" s="717"/>
      <c r="L5" s="717" t="s">
        <v>7</v>
      </c>
      <c r="M5" s="717"/>
      <c r="N5" s="717" t="s">
        <v>8</v>
      </c>
      <c r="O5" s="717"/>
      <c r="P5" s="717" t="s">
        <v>196</v>
      </c>
      <c r="Q5" s="717"/>
      <c r="R5" s="717"/>
      <c r="S5" s="717"/>
      <c r="T5" s="717" t="s">
        <v>197</v>
      </c>
      <c r="U5" s="717"/>
      <c r="V5" s="717" t="s">
        <v>198</v>
      </c>
      <c r="W5" s="717"/>
      <c r="X5" s="718"/>
      <c r="Z5" s="156"/>
    </row>
    <row r="6" spans="1:26" s="154" customFormat="1" ht="27.75" thickBot="1">
      <c r="A6" s="516"/>
      <c r="B6" s="286"/>
      <c r="C6" s="695"/>
      <c r="D6" s="697"/>
      <c r="E6" s="698"/>
      <c r="F6" s="698"/>
      <c r="G6" s="700"/>
      <c r="H6" s="700"/>
      <c r="I6" s="700"/>
      <c r="J6" s="289" t="s">
        <v>116</v>
      </c>
      <c r="K6" s="289" t="s">
        <v>16</v>
      </c>
      <c r="L6" s="289" t="s">
        <v>116</v>
      </c>
      <c r="M6" s="289" t="s">
        <v>16</v>
      </c>
      <c r="N6" s="289" t="s">
        <v>116</v>
      </c>
      <c r="O6" s="289" t="s">
        <v>16</v>
      </c>
      <c r="P6" s="287" t="s">
        <v>116</v>
      </c>
      <c r="Q6" s="287" t="s">
        <v>16</v>
      </c>
      <c r="R6" s="288" t="s">
        <v>199</v>
      </c>
      <c r="S6" s="288" t="s">
        <v>200</v>
      </c>
      <c r="T6" s="517" t="s">
        <v>116</v>
      </c>
      <c r="U6" s="291" t="s">
        <v>11</v>
      </c>
      <c r="V6" s="517" t="s">
        <v>116</v>
      </c>
      <c r="W6" s="289" t="s">
        <v>16</v>
      </c>
      <c r="X6" s="292" t="s">
        <v>200</v>
      </c>
      <c r="Z6" s="156"/>
    </row>
    <row r="7" spans="1:26" s="154" customFormat="1" ht="20.25" customHeight="1">
      <c r="A7" s="542">
        <v>1</v>
      </c>
      <c r="B7" s="293"/>
      <c r="C7" s="555" t="s">
        <v>405</v>
      </c>
      <c r="D7" s="556">
        <v>38821</v>
      </c>
      <c r="E7" s="600" t="s">
        <v>330</v>
      </c>
      <c r="F7" s="601" t="s">
        <v>331</v>
      </c>
      <c r="G7" s="557">
        <v>118</v>
      </c>
      <c r="H7" s="557">
        <v>118</v>
      </c>
      <c r="I7" s="578">
        <v>2</v>
      </c>
      <c r="J7" s="576">
        <v>169084</v>
      </c>
      <c r="K7" s="558">
        <v>23928</v>
      </c>
      <c r="L7" s="602">
        <v>349744.5</v>
      </c>
      <c r="M7" s="558">
        <v>48092</v>
      </c>
      <c r="N7" s="602">
        <v>499225</v>
      </c>
      <c r="O7" s="579">
        <v>66520</v>
      </c>
      <c r="P7" s="758">
        <f>SUM(J7+L7+N7)</f>
        <v>1018053.5</v>
      </c>
      <c r="Q7" s="558">
        <f>SUM(K7+M7+O7)</f>
        <v>138540</v>
      </c>
      <c r="R7" s="603">
        <f>Q7/H7</f>
        <v>1174.0677966101696</v>
      </c>
      <c r="S7" s="622">
        <f>P7/Q7</f>
        <v>7.348444492565324</v>
      </c>
      <c r="T7" s="621">
        <v>1310665.5</v>
      </c>
      <c r="U7" s="586">
        <f aca="true" t="shared" si="0" ref="U7:U38">IF(T7&lt;&gt;0,-(T7-P7)/T7,"")</f>
        <v>-0.22325452222554115</v>
      </c>
      <c r="V7" s="576">
        <v>2926914.5</v>
      </c>
      <c r="W7" s="558">
        <v>406377</v>
      </c>
      <c r="X7" s="605">
        <f aca="true" t="shared" si="1" ref="X7:X15">V7/W7</f>
        <v>7.202461015264151</v>
      </c>
      <c r="Z7" s="156"/>
    </row>
    <row r="8" spans="1:26" s="530" customFormat="1" ht="20.25" customHeight="1">
      <c r="A8" s="542">
        <v>2</v>
      </c>
      <c r="B8" s="559"/>
      <c r="C8" s="350" t="s">
        <v>407</v>
      </c>
      <c r="D8" s="349">
        <v>38828</v>
      </c>
      <c r="E8" s="594" t="s">
        <v>88</v>
      </c>
      <c r="F8" s="348" t="s">
        <v>356</v>
      </c>
      <c r="G8" s="513">
        <v>59</v>
      </c>
      <c r="H8" s="513">
        <v>61</v>
      </c>
      <c r="I8" s="389">
        <v>1</v>
      </c>
      <c r="J8" s="393">
        <v>53110.5</v>
      </c>
      <c r="K8" s="459">
        <v>6177</v>
      </c>
      <c r="L8" s="595">
        <v>64118</v>
      </c>
      <c r="M8" s="459">
        <v>7380</v>
      </c>
      <c r="N8" s="595">
        <v>116706</v>
      </c>
      <c r="O8" s="402">
        <v>13312</v>
      </c>
      <c r="P8" s="759">
        <f>+J8+L8+N8</f>
        <v>233934.5</v>
      </c>
      <c r="Q8" s="353">
        <f>+K8+M8+O8</f>
        <v>26869</v>
      </c>
      <c r="R8" s="352">
        <f>IF(P8&lt;&gt;0,Q8/H8,"")</f>
        <v>440.4754098360656</v>
      </c>
      <c r="S8" s="454">
        <f>IF(P8&lt;&gt;0,P8/Q8,"")</f>
        <v>8.7064833079013</v>
      </c>
      <c r="T8" s="393"/>
      <c r="U8" s="458">
        <f t="shared" si="0"/>
      </c>
      <c r="V8" s="393">
        <v>233934.5</v>
      </c>
      <c r="W8" s="459">
        <v>26869</v>
      </c>
      <c r="X8" s="606">
        <f t="shared" si="1"/>
        <v>8.7064833079013</v>
      </c>
      <c r="Z8" s="531"/>
    </row>
    <row r="9" spans="1:26" s="530" customFormat="1" ht="20.25" customHeight="1">
      <c r="A9" s="542">
        <v>3</v>
      </c>
      <c r="B9" s="559"/>
      <c r="C9" s="350" t="s">
        <v>385</v>
      </c>
      <c r="D9" s="349">
        <v>38815</v>
      </c>
      <c r="E9" s="348" t="s">
        <v>92</v>
      </c>
      <c r="F9" s="348" t="s">
        <v>335</v>
      </c>
      <c r="G9" s="513">
        <v>94</v>
      </c>
      <c r="H9" s="513">
        <v>96</v>
      </c>
      <c r="I9" s="389">
        <v>2</v>
      </c>
      <c r="J9" s="393">
        <v>18223</v>
      </c>
      <c r="K9" s="459">
        <v>2571</v>
      </c>
      <c r="L9" s="595">
        <v>60219</v>
      </c>
      <c r="M9" s="459">
        <v>8194</v>
      </c>
      <c r="N9" s="595">
        <v>90536</v>
      </c>
      <c r="O9" s="402">
        <v>11806</v>
      </c>
      <c r="P9" s="759">
        <f>+J9+L9+N9</f>
        <v>168978</v>
      </c>
      <c r="Q9" s="353">
        <f>+K9+M9+O9</f>
        <v>22571</v>
      </c>
      <c r="R9" s="365">
        <f>Q9/H9</f>
        <v>235.11458333333334</v>
      </c>
      <c r="S9" s="623">
        <f>P9/Q9</f>
        <v>7.4865092375171685</v>
      </c>
      <c r="T9" s="471">
        <f>+N9+P9+R9</f>
        <v>259749.11458333334</v>
      </c>
      <c r="U9" s="458">
        <f t="shared" si="0"/>
        <v>-0.34945687776045115</v>
      </c>
      <c r="V9" s="393">
        <v>597865</v>
      </c>
      <c r="W9" s="459">
        <v>80773</v>
      </c>
      <c r="X9" s="606">
        <f t="shared" si="1"/>
        <v>7.401792678246443</v>
      </c>
      <c r="Z9" s="531"/>
    </row>
    <row r="10" spans="1:27" s="533" customFormat="1" ht="20.25" customHeight="1">
      <c r="A10" s="542">
        <v>4</v>
      </c>
      <c r="B10" s="560"/>
      <c r="C10" s="356" t="s">
        <v>408</v>
      </c>
      <c r="D10" s="355">
        <v>38828</v>
      </c>
      <c r="E10" s="589" t="s">
        <v>330</v>
      </c>
      <c r="F10" s="590" t="s">
        <v>409</v>
      </c>
      <c r="G10" s="535">
        <v>43</v>
      </c>
      <c r="H10" s="535">
        <v>43</v>
      </c>
      <c r="I10" s="390">
        <v>1</v>
      </c>
      <c r="J10" s="394">
        <v>27453.5</v>
      </c>
      <c r="K10" s="357">
        <v>3802</v>
      </c>
      <c r="L10" s="591">
        <v>38397.5</v>
      </c>
      <c r="M10" s="357">
        <v>5110</v>
      </c>
      <c r="N10" s="591">
        <v>68128</v>
      </c>
      <c r="O10" s="403">
        <v>8861</v>
      </c>
      <c r="P10" s="760">
        <f>SUM(J10+L10+N10)</f>
        <v>133979</v>
      </c>
      <c r="Q10" s="357">
        <f>SUM(K10+M10+O10)</f>
        <v>17773</v>
      </c>
      <c r="R10" s="365">
        <f>Q10/H10</f>
        <v>413.3255813953488</v>
      </c>
      <c r="S10" s="623">
        <f>P10/Q10</f>
        <v>7.538344680132786</v>
      </c>
      <c r="T10" s="396"/>
      <c r="U10" s="458">
        <f t="shared" si="0"/>
      </c>
      <c r="V10" s="394">
        <v>133979</v>
      </c>
      <c r="W10" s="357">
        <v>17773</v>
      </c>
      <c r="X10" s="607">
        <f t="shared" si="1"/>
        <v>7.538344680132786</v>
      </c>
      <c r="Y10" s="532"/>
      <c r="AA10" s="532"/>
    </row>
    <row r="11" spans="1:26" s="534" customFormat="1" ht="20.25" customHeight="1">
      <c r="A11" s="542">
        <v>5</v>
      </c>
      <c r="B11" s="560"/>
      <c r="C11" s="350" t="s">
        <v>328</v>
      </c>
      <c r="D11" s="349">
        <v>38814</v>
      </c>
      <c r="E11" s="594" t="s">
        <v>88</v>
      </c>
      <c r="F11" s="348" t="s">
        <v>329</v>
      </c>
      <c r="G11" s="513">
        <v>124</v>
      </c>
      <c r="H11" s="513">
        <v>109</v>
      </c>
      <c r="I11" s="389">
        <v>3</v>
      </c>
      <c r="J11" s="393">
        <v>22095.5</v>
      </c>
      <c r="K11" s="459">
        <v>3070</v>
      </c>
      <c r="L11" s="595">
        <v>28533</v>
      </c>
      <c r="M11" s="459">
        <v>4486</v>
      </c>
      <c r="N11" s="595">
        <v>42939</v>
      </c>
      <c r="O11" s="402">
        <v>6626</v>
      </c>
      <c r="P11" s="759">
        <f aca="true" t="shared" si="2" ref="P11:Q16">+J11+L11+N11</f>
        <v>93567.5</v>
      </c>
      <c r="Q11" s="353">
        <f t="shared" si="2"/>
        <v>14182</v>
      </c>
      <c r="R11" s="352">
        <f>IF(P11&lt;&gt;0,Q11/H11,"")</f>
        <v>130.11009174311926</v>
      </c>
      <c r="S11" s="454">
        <f>IF(P11&lt;&gt;0,P11/Q11,"")</f>
        <v>6.597623748413482</v>
      </c>
      <c r="T11" s="393">
        <v>167760.5</v>
      </c>
      <c r="U11" s="458">
        <f t="shared" si="0"/>
        <v>-0.44225547730246395</v>
      </c>
      <c r="V11" s="393">
        <v>807238</v>
      </c>
      <c r="W11" s="459">
        <v>122485</v>
      </c>
      <c r="X11" s="606">
        <f t="shared" si="1"/>
        <v>6.590504959790994</v>
      </c>
      <c r="Y11" s="532"/>
      <c r="Z11" s="532"/>
    </row>
    <row r="12" spans="1:26" s="534" customFormat="1" ht="20.25" customHeight="1">
      <c r="A12" s="542">
        <v>6</v>
      </c>
      <c r="B12" s="560"/>
      <c r="C12" s="350" t="s">
        <v>292</v>
      </c>
      <c r="D12" s="349">
        <v>38807</v>
      </c>
      <c r="E12" s="348" t="s">
        <v>326</v>
      </c>
      <c r="F12" s="348" t="s">
        <v>327</v>
      </c>
      <c r="G12" s="513">
        <v>115</v>
      </c>
      <c r="H12" s="513">
        <v>115</v>
      </c>
      <c r="I12" s="389">
        <v>4</v>
      </c>
      <c r="J12" s="393">
        <v>18118</v>
      </c>
      <c r="K12" s="459">
        <v>2734</v>
      </c>
      <c r="L12" s="595">
        <v>28128</v>
      </c>
      <c r="M12" s="459">
        <v>4249</v>
      </c>
      <c r="N12" s="595">
        <v>44673</v>
      </c>
      <c r="O12" s="402">
        <v>6662</v>
      </c>
      <c r="P12" s="759">
        <f t="shared" si="2"/>
        <v>90919</v>
      </c>
      <c r="Q12" s="353">
        <f t="shared" si="2"/>
        <v>13645</v>
      </c>
      <c r="R12" s="365">
        <f>Q12/H12</f>
        <v>118.65217391304348</v>
      </c>
      <c r="S12" s="623">
        <f>P12/Q12</f>
        <v>6.663173323561744</v>
      </c>
      <c r="T12" s="471">
        <v>190050</v>
      </c>
      <c r="U12" s="458">
        <f t="shared" si="0"/>
        <v>-0.5216048408313602</v>
      </c>
      <c r="V12" s="393">
        <v>1895403</v>
      </c>
      <c r="W12" s="459">
        <v>253971</v>
      </c>
      <c r="X12" s="606">
        <f t="shared" si="1"/>
        <v>7.463068618070567</v>
      </c>
      <c r="Y12" s="588"/>
      <c r="Z12" s="588"/>
    </row>
    <row r="13" spans="1:26" s="534" customFormat="1" ht="20.25" customHeight="1">
      <c r="A13" s="542">
        <v>7</v>
      </c>
      <c r="B13" s="560"/>
      <c r="C13" s="350" t="s">
        <v>410</v>
      </c>
      <c r="D13" s="349">
        <v>38828</v>
      </c>
      <c r="E13" s="348" t="s">
        <v>92</v>
      </c>
      <c r="F13" s="348" t="s">
        <v>335</v>
      </c>
      <c r="G13" s="513">
        <v>46</v>
      </c>
      <c r="H13" s="513">
        <v>48</v>
      </c>
      <c r="I13" s="389">
        <v>1</v>
      </c>
      <c r="J13" s="393">
        <v>15089</v>
      </c>
      <c r="K13" s="459">
        <v>1641</v>
      </c>
      <c r="L13" s="595">
        <v>22928</v>
      </c>
      <c r="M13" s="459">
        <v>2537</v>
      </c>
      <c r="N13" s="595">
        <v>48420</v>
      </c>
      <c r="O13" s="402">
        <v>5174</v>
      </c>
      <c r="P13" s="759">
        <f t="shared" si="2"/>
        <v>86437</v>
      </c>
      <c r="Q13" s="353">
        <f t="shared" si="2"/>
        <v>9352</v>
      </c>
      <c r="R13" s="365">
        <f>Q13/H13</f>
        <v>194.83333333333334</v>
      </c>
      <c r="S13" s="623">
        <f>P13/Q13</f>
        <v>9.242621899059024</v>
      </c>
      <c r="T13" s="393"/>
      <c r="U13" s="458">
        <f t="shared" si="0"/>
      </c>
      <c r="V13" s="393">
        <v>86437</v>
      </c>
      <c r="W13" s="459">
        <v>9352</v>
      </c>
      <c r="X13" s="606">
        <f t="shared" si="1"/>
        <v>9.242621899059024</v>
      </c>
      <c r="Y13" s="532"/>
      <c r="Z13" s="532"/>
    </row>
    <row r="14" spans="1:26" s="534" customFormat="1" ht="20.25" customHeight="1">
      <c r="A14" s="542">
        <v>8</v>
      </c>
      <c r="B14" s="560"/>
      <c r="C14" s="350" t="s">
        <v>411</v>
      </c>
      <c r="D14" s="349">
        <v>38821</v>
      </c>
      <c r="E14" s="594" t="s">
        <v>88</v>
      </c>
      <c r="F14" s="348" t="s">
        <v>346</v>
      </c>
      <c r="G14" s="513">
        <v>54</v>
      </c>
      <c r="H14" s="513">
        <v>54</v>
      </c>
      <c r="I14" s="389">
        <v>2</v>
      </c>
      <c r="J14" s="393">
        <v>10123</v>
      </c>
      <c r="K14" s="459">
        <v>1332</v>
      </c>
      <c r="L14" s="595">
        <v>14059.5</v>
      </c>
      <c r="M14" s="459">
        <v>1912</v>
      </c>
      <c r="N14" s="595">
        <v>28760</v>
      </c>
      <c r="O14" s="402">
        <v>3680</v>
      </c>
      <c r="P14" s="759">
        <f t="shared" si="2"/>
        <v>52942.5</v>
      </c>
      <c r="Q14" s="353">
        <f t="shared" si="2"/>
        <v>6924</v>
      </c>
      <c r="R14" s="352">
        <f>IF(P14&lt;&gt;0,Q14/H14,"")</f>
        <v>128.22222222222223</v>
      </c>
      <c r="S14" s="454">
        <f>IF(P14&lt;&gt;0,P14/Q14,"")</f>
        <v>7.6462305025996535</v>
      </c>
      <c r="T14" s="393">
        <v>98266.5</v>
      </c>
      <c r="U14" s="458">
        <f t="shared" si="0"/>
        <v>-0.4612355176993177</v>
      </c>
      <c r="V14" s="393">
        <v>208458.5</v>
      </c>
      <c r="W14" s="459">
        <v>28033</v>
      </c>
      <c r="X14" s="606">
        <f t="shared" si="1"/>
        <v>7.436182356508401</v>
      </c>
      <c r="Y14" s="532"/>
      <c r="Z14" s="532"/>
    </row>
    <row r="15" spans="1:26" s="534" customFormat="1" ht="20.25" customHeight="1">
      <c r="A15" s="542">
        <v>9</v>
      </c>
      <c r="B15" s="560"/>
      <c r="C15" s="350" t="s">
        <v>390</v>
      </c>
      <c r="D15" s="349">
        <v>38821</v>
      </c>
      <c r="E15" s="594" t="s">
        <v>88</v>
      </c>
      <c r="F15" s="348" t="s">
        <v>365</v>
      </c>
      <c r="G15" s="513">
        <v>32</v>
      </c>
      <c r="H15" s="513">
        <v>32</v>
      </c>
      <c r="I15" s="389">
        <v>2</v>
      </c>
      <c r="J15" s="393">
        <v>13128</v>
      </c>
      <c r="K15" s="459">
        <v>1347</v>
      </c>
      <c r="L15" s="595">
        <v>14899</v>
      </c>
      <c r="M15" s="459">
        <v>1602</v>
      </c>
      <c r="N15" s="595">
        <v>24232</v>
      </c>
      <c r="O15" s="402">
        <v>2557</v>
      </c>
      <c r="P15" s="759">
        <f t="shared" si="2"/>
        <v>52259</v>
      </c>
      <c r="Q15" s="353">
        <f t="shared" si="2"/>
        <v>5506</v>
      </c>
      <c r="R15" s="352">
        <f>IF(P15&lt;&gt;0,Q15/H15,"")</f>
        <v>172.0625</v>
      </c>
      <c r="S15" s="454">
        <f>IF(P15&lt;&gt;0,P15/Q15,"")</f>
        <v>9.491282237559027</v>
      </c>
      <c r="T15" s="393">
        <v>81322</v>
      </c>
      <c r="U15" s="458">
        <f t="shared" si="0"/>
        <v>-0.35738176631169916</v>
      </c>
      <c r="V15" s="393">
        <v>175186</v>
      </c>
      <c r="W15" s="459">
        <v>18596</v>
      </c>
      <c r="X15" s="606">
        <f t="shared" si="1"/>
        <v>9.42062809206281</v>
      </c>
      <c r="Y15" s="532"/>
      <c r="Z15" s="532"/>
    </row>
    <row r="16" spans="1:26" s="534" customFormat="1" ht="20.25" customHeight="1">
      <c r="A16" s="542">
        <v>10</v>
      </c>
      <c r="B16" s="560"/>
      <c r="C16" s="350" t="s">
        <v>412</v>
      </c>
      <c r="D16" s="349">
        <v>38828</v>
      </c>
      <c r="E16" s="348" t="s">
        <v>326</v>
      </c>
      <c r="F16" s="348" t="s">
        <v>354</v>
      </c>
      <c r="G16" s="513">
        <v>46</v>
      </c>
      <c r="H16" s="513">
        <v>46</v>
      </c>
      <c r="I16" s="389">
        <v>1</v>
      </c>
      <c r="J16" s="393">
        <v>9342</v>
      </c>
      <c r="K16" s="459">
        <v>1148</v>
      </c>
      <c r="L16" s="595">
        <v>14847</v>
      </c>
      <c r="M16" s="459">
        <v>1970</v>
      </c>
      <c r="N16" s="595">
        <v>22588</v>
      </c>
      <c r="O16" s="402">
        <v>2801</v>
      </c>
      <c r="P16" s="759">
        <f t="shared" si="2"/>
        <v>46777</v>
      </c>
      <c r="Q16" s="353">
        <f t="shared" si="2"/>
        <v>5919</v>
      </c>
      <c r="R16" s="365">
        <f>Q16/H16</f>
        <v>128.67391304347825</v>
      </c>
      <c r="S16" s="623">
        <f>P16/Q16</f>
        <v>7.902855212029059</v>
      </c>
      <c r="T16" s="471"/>
      <c r="U16" s="458">
        <f t="shared" si="0"/>
      </c>
      <c r="V16" s="393">
        <f>+P16</f>
        <v>46777</v>
      </c>
      <c r="W16" s="459">
        <f>+Q16</f>
        <v>5919</v>
      </c>
      <c r="X16" s="606">
        <f>+S16</f>
        <v>7.902855212029059</v>
      </c>
      <c r="Y16" s="532"/>
      <c r="Z16" s="532"/>
    </row>
    <row r="17" spans="1:26" s="534" customFormat="1" ht="20.25" customHeight="1">
      <c r="A17" s="542">
        <v>11</v>
      </c>
      <c r="B17" s="560"/>
      <c r="C17" s="356" t="s">
        <v>386</v>
      </c>
      <c r="D17" s="355">
        <v>38814</v>
      </c>
      <c r="E17" s="589" t="s">
        <v>330</v>
      </c>
      <c r="F17" s="590" t="s">
        <v>413</v>
      </c>
      <c r="G17" s="535">
        <v>50</v>
      </c>
      <c r="H17" s="535">
        <v>46</v>
      </c>
      <c r="I17" s="390">
        <v>3</v>
      </c>
      <c r="J17" s="394">
        <v>7726</v>
      </c>
      <c r="K17" s="357">
        <v>952</v>
      </c>
      <c r="L17" s="591">
        <v>11528</v>
      </c>
      <c r="M17" s="357">
        <v>1416</v>
      </c>
      <c r="N17" s="591">
        <v>14590</v>
      </c>
      <c r="O17" s="403">
        <v>1817</v>
      </c>
      <c r="P17" s="760">
        <f>SUM(J17+L17+N17)</f>
        <v>33844</v>
      </c>
      <c r="Q17" s="357">
        <f>SUM(K17+M17+O17)</f>
        <v>4185</v>
      </c>
      <c r="R17" s="365">
        <f>Q17/H17</f>
        <v>90.97826086956522</v>
      </c>
      <c r="S17" s="623">
        <f>P17/Q17</f>
        <v>8.086977299880525</v>
      </c>
      <c r="T17" s="396">
        <v>75763.5</v>
      </c>
      <c r="U17" s="458">
        <f t="shared" si="0"/>
        <v>-0.5532941323988464</v>
      </c>
      <c r="V17" s="394">
        <v>310051.5</v>
      </c>
      <c r="W17" s="357">
        <v>37922</v>
      </c>
      <c r="X17" s="607">
        <f>V17/W17</f>
        <v>8.17603238225832</v>
      </c>
      <c r="Y17" s="532"/>
      <c r="Z17" s="532"/>
    </row>
    <row r="18" spans="1:26" s="534" customFormat="1" ht="20.25" customHeight="1">
      <c r="A18" s="542">
        <v>12</v>
      </c>
      <c r="B18" s="560"/>
      <c r="C18" s="356" t="s">
        <v>276</v>
      </c>
      <c r="D18" s="355">
        <v>38800</v>
      </c>
      <c r="E18" s="589" t="s">
        <v>330</v>
      </c>
      <c r="F18" s="590" t="s">
        <v>331</v>
      </c>
      <c r="G18" s="535">
        <v>92</v>
      </c>
      <c r="H18" s="535">
        <v>54</v>
      </c>
      <c r="I18" s="390">
        <v>5</v>
      </c>
      <c r="J18" s="394">
        <v>4738.5</v>
      </c>
      <c r="K18" s="357">
        <v>1283</v>
      </c>
      <c r="L18" s="591">
        <v>8526</v>
      </c>
      <c r="M18" s="357">
        <v>2057</v>
      </c>
      <c r="N18" s="591">
        <v>11709</v>
      </c>
      <c r="O18" s="403">
        <v>2677</v>
      </c>
      <c r="P18" s="760">
        <f>J18+L18+N18</f>
        <v>24973.5</v>
      </c>
      <c r="Q18" s="357">
        <f>K18+M18+O18</f>
        <v>6017</v>
      </c>
      <c r="R18" s="365">
        <f>Q18/H18</f>
        <v>111.42592592592592</v>
      </c>
      <c r="S18" s="623">
        <f>P18/Q18</f>
        <v>4.15049027754695</v>
      </c>
      <c r="T18" s="396">
        <v>38204.5</v>
      </c>
      <c r="U18" s="458">
        <f t="shared" si="0"/>
        <v>-0.34632045963171876</v>
      </c>
      <c r="V18" s="394">
        <v>1110217</v>
      </c>
      <c r="W18" s="357">
        <v>155804</v>
      </c>
      <c r="X18" s="607">
        <f>V18/W18</f>
        <v>7.125728479371518</v>
      </c>
      <c r="Y18" s="532"/>
      <c r="Z18" s="532"/>
    </row>
    <row r="19" spans="1:26" s="534" customFormat="1" ht="20.25" customHeight="1">
      <c r="A19" s="542">
        <v>13</v>
      </c>
      <c r="B19" s="560"/>
      <c r="C19" s="350" t="s">
        <v>294</v>
      </c>
      <c r="D19" s="349">
        <v>38807</v>
      </c>
      <c r="E19" s="594" t="s">
        <v>88</v>
      </c>
      <c r="F19" s="348" t="s">
        <v>91</v>
      </c>
      <c r="G19" s="513">
        <v>77</v>
      </c>
      <c r="H19" s="513">
        <v>35</v>
      </c>
      <c r="I19" s="389">
        <v>4</v>
      </c>
      <c r="J19" s="393">
        <v>5020</v>
      </c>
      <c r="K19" s="459">
        <v>780</v>
      </c>
      <c r="L19" s="595">
        <v>8619</v>
      </c>
      <c r="M19" s="459">
        <v>1267</v>
      </c>
      <c r="N19" s="595">
        <v>11000</v>
      </c>
      <c r="O19" s="402">
        <v>1647</v>
      </c>
      <c r="P19" s="759">
        <f aca="true" t="shared" si="3" ref="P19:Q23">+J19+L19+N19</f>
        <v>24639</v>
      </c>
      <c r="Q19" s="353">
        <f t="shared" si="3"/>
        <v>3694</v>
      </c>
      <c r="R19" s="352">
        <f>IF(P19&lt;&gt;0,Q19/H19,"")</f>
        <v>105.54285714285714</v>
      </c>
      <c r="S19" s="454">
        <f>IF(P19&lt;&gt;0,P19/Q19,"")</f>
        <v>6.670005414185165</v>
      </c>
      <c r="T19" s="393">
        <v>93686.5</v>
      </c>
      <c r="U19" s="458">
        <f t="shared" si="0"/>
        <v>-0.7370058653061007</v>
      </c>
      <c r="V19" s="393">
        <v>813825.5</v>
      </c>
      <c r="W19" s="459">
        <v>106444</v>
      </c>
      <c r="X19" s="606">
        <f>V19/W19</f>
        <v>7.64557419863966</v>
      </c>
      <c r="Y19" s="532"/>
      <c r="Z19" s="532"/>
    </row>
    <row r="20" spans="1:26" s="534" customFormat="1" ht="20.25" customHeight="1">
      <c r="A20" s="542">
        <v>14</v>
      </c>
      <c r="B20" s="560"/>
      <c r="C20" s="350" t="s">
        <v>279</v>
      </c>
      <c r="D20" s="349">
        <v>38800</v>
      </c>
      <c r="E20" s="348" t="s">
        <v>333</v>
      </c>
      <c r="F20" s="348" t="s">
        <v>334</v>
      </c>
      <c r="G20" s="513">
        <v>58</v>
      </c>
      <c r="H20" s="513">
        <v>58</v>
      </c>
      <c r="I20" s="389">
        <v>5</v>
      </c>
      <c r="J20" s="393">
        <v>2962</v>
      </c>
      <c r="K20" s="459">
        <v>715</v>
      </c>
      <c r="L20" s="595">
        <v>7961</v>
      </c>
      <c r="M20" s="459">
        <v>1699</v>
      </c>
      <c r="N20" s="595">
        <v>9623</v>
      </c>
      <c r="O20" s="402">
        <v>1979</v>
      </c>
      <c r="P20" s="759">
        <f t="shared" si="3"/>
        <v>20546</v>
      </c>
      <c r="Q20" s="353">
        <f t="shared" si="3"/>
        <v>4393</v>
      </c>
      <c r="R20" s="365">
        <f>Q20/H20</f>
        <v>75.74137931034483</v>
      </c>
      <c r="S20" s="623">
        <f>P20/Q20</f>
        <v>4.676986114272706</v>
      </c>
      <c r="T20" s="393">
        <v>27145.5</v>
      </c>
      <c r="U20" s="458">
        <f t="shared" si="0"/>
        <v>-0.2431158018824483</v>
      </c>
      <c r="V20" s="471">
        <f>350945.5+222517.5+139156.5+40897.5+20546</f>
        <v>774063</v>
      </c>
      <c r="W20" s="365">
        <f>46256+31606+20219+8293+4393</f>
        <v>110767</v>
      </c>
      <c r="X20" s="606">
        <f>IF(V20&lt;&gt;0,V20/W20,"")</f>
        <v>6.988209484774346</v>
      </c>
      <c r="Y20" s="532"/>
      <c r="Z20" s="532"/>
    </row>
    <row r="21" spans="1:26" s="534" customFormat="1" ht="20.25" customHeight="1">
      <c r="A21" s="542">
        <v>15</v>
      </c>
      <c r="B21" s="560"/>
      <c r="C21" s="350" t="s">
        <v>332</v>
      </c>
      <c r="D21" s="349">
        <v>38814</v>
      </c>
      <c r="E21" s="348" t="s">
        <v>333</v>
      </c>
      <c r="F21" s="348" t="s">
        <v>334</v>
      </c>
      <c r="G21" s="513">
        <v>56</v>
      </c>
      <c r="H21" s="513">
        <v>40</v>
      </c>
      <c r="I21" s="389">
        <v>3</v>
      </c>
      <c r="J21" s="393">
        <v>3990.5</v>
      </c>
      <c r="K21" s="459">
        <v>711</v>
      </c>
      <c r="L21" s="595">
        <v>6435</v>
      </c>
      <c r="M21" s="459">
        <v>1073</v>
      </c>
      <c r="N21" s="595">
        <v>10075</v>
      </c>
      <c r="O21" s="402">
        <v>1612</v>
      </c>
      <c r="P21" s="759">
        <f t="shared" si="3"/>
        <v>20500.5</v>
      </c>
      <c r="Q21" s="353">
        <f t="shared" si="3"/>
        <v>3396</v>
      </c>
      <c r="R21" s="365">
        <f>Q21/H21</f>
        <v>84.9</v>
      </c>
      <c r="S21" s="623">
        <f>P21/Q21</f>
        <v>6.036660777385159</v>
      </c>
      <c r="T21" s="393">
        <v>64282.5</v>
      </c>
      <c r="U21" s="458">
        <f t="shared" si="0"/>
        <v>-0.6810873877027185</v>
      </c>
      <c r="V21" s="471">
        <f>217941.5+99459+20500.5</f>
        <v>337901</v>
      </c>
      <c r="W21" s="365">
        <f>30137+15034+3396</f>
        <v>48567</v>
      </c>
      <c r="X21" s="606">
        <f>IF(V21&lt;&gt;0,V21/W21,"")</f>
        <v>6.9574196470854694</v>
      </c>
      <c r="Y21" s="532"/>
      <c r="Z21" s="532"/>
    </row>
    <row r="22" spans="1:26" s="534" customFormat="1" ht="20.25" customHeight="1">
      <c r="A22" s="542">
        <v>16</v>
      </c>
      <c r="B22" s="560"/>
      <c r="C22" s="350" t="s">
        <v>201</v>
      </c>
      <c r="D22" s="349">
        <v>38793</v>
      </c>
      <c r="E22" s="348" t="s">
        <v>92</v>
      </c>
      <c r="F22" s="348" t="s">
        <v>338</v>
      </c>
      <c r="G22" s="513">
        <v>129</v>
      </c>
      <c r="H22" s="513">
        <v>47</v>
      </c>
      <c r="I22" s="389">
        <v>6</v>
      </c>
      <c r="J22" s="393">
        <v>4482</v>
      </c>
      <c r="K22" s="459">
        <v>1047</v>
      </c>
      <c r="L22" s="595">
        <v>6024</v>
      </c>
      <c r="M22" s="459">
        <v>1411</v>
      </c>
      <c r="N22" s="595">
        <v>8488</v>
      </c>
      <c r="O22" s="402">
        <v>1859</v>
      </c>
      <c r="P22" s="759">
        <f t="shared" si="3"/>
        <v>18994</v>
      </c>
      <c r="Q22" s="353">
        <f t="shared" si="3"/>
        <v>4317</v>
      </c>
      <c r="R22" s="365">
        <f>Q22/H22</f>
        <v>91.85106382978724</v>
      </c>
      <c r="S22" s="623">
        <f>P22/Q22</f>
        <v>4.399814686124624</v>
      </c>
      <c r="T22" s="471">
        <v>46595</v>
      </c>
      <c r="U22" s="458">
        <f t="shared" si="0"/>
        <v>-0.5923596952462711</v>
      </c>
      <c r="V22" s="393">
        <v>1755580</v>
      </c>
      <c r="W22" s="459">
        <v>264795</v>
      </c>
      <c r="X22" s="606">
        <f aca="true" t="shared" si="4" ref="X22:X29">V22/W22</f>
        <v>6.62995902490606</v>
      </c>
      <c r="Y22" s="532"/>
      <c r="Z22" s="532"/>
    </row>
    <row r="23" spans="1:26" s="534" customFormat="1" ht="20.25" customHeight="1">
      <c r="A23" s="542">
        <v>17</v>
      </c>
      <c r="B23" s="560"/>
      <c r="C23" s="350" t="s">
        <v>296</v>
      </c>
      <c r="D23" s="349">
        <v>38807</v>
      </c>
      <c r="E23" s="348" t="s">
        <v>92</v>
      </c>
      <c r="F23" s="348" t="s">
        <v>335</v>
      </c>
      <c r="G23" s="513">
        <v>62</v>
      </c>
      <c r="H23" s="513">
        <v>28</v>
      </c>
      <c r="I23" s="389">
        <v>4</v>
      </c>
      <c r="J23" s="393">
        <v>2443</v>
      </c>
      <c r="K23" s="459">
        <v>429</v>
      </c>
      <c r="L23" s="595">
        <v>3706</v>
      </c>
      <c r="M23" s="459">
        <v>665</v>
      </c>
      <c r="N23" s="595">
        <v>5052</v>
      </c>
      <c r="O23" s="402">
        <v>885</v>
      </c>
      <c r="P23" s="759">
        <f t="shared" si="3"/>
        <v>11201</v>
      </c>
      <c r="Q23" s="353">
        <f t="shared" si="3"/>
        <v>1979</v>
      </c>
      <c r="R23" s="365">
        <f>Q23/H23</f>
        <v>70.67857142857143</v>
      </c>
      <c r="S23" s="623">
        <f>P23/Q23</f>
        <v>5.659929257200607</v>
      </c>
      <c r="T23" s="471">
        <v>59013</v>
      </c>
      <c r="U23" s="458">
        <f t="shared" si="0"/>
        <v>-0.8101943639537051</v>
      </c>
      <c r="V23" s="393">
        <v>516952</v>
      </c>
      <c r="W23" s="459">
        <v>65209</v>
      </c>
      <c r="X23" s="606">
        <f t="shared" si="4"/>
        <v>7.927617353432808</v>
      </c>
      <c r="Y23" s="532"/>
      <c r="Z23" s="532"/>
    </row>
    <row r="24" spans="1:26" s="534" customFormat="1" ht="20.25" customHeight="1">
      <c r="A24" s="542">
        <v>18</v>
      </c>
      <c r="B24" s="560"/>
      <c r="C24" s="356" t="s">
        <v>68</v>
      </c>
      <c r="D24" s="355">
        <v>38758</v>
      </c>
      <c r="E24" s="589" t="s">
        <v>330</v>
      </c>
      <c r="F24" s="590" t="s">
        <v>344</v>
      </c>
      <c r="G24" s="535">
        <v>58</v>
      </c>
      <c r="H24" s="535">
        <v>8</v>
      </c>
      <c r="I24" s="390">
        <v>11</v>
      </c>
      <c r="J24" s="394">
        <v>2209.5</v>
      </c>
      <c r="K24" s="357">
        <v>717</v>
      </c>
      <c r="L24" s="591">
        <v>3605.5</v>
      </c>
      <c r="M24" s="357">
        <v>975</v>
      </c>
      <c r="N24" s="591">
        <v>4031.5</v>
      </c>
      <c r="O24" s="403">
        <v>1032</v>
      </c>
      <c r="P24" s="760">
        <f>J24+L24+N24</f>
        <v>9846.5</v>
      </c>
      <c r="Q24" s="357">
        <f>K24+M24+O24</f>
        <v>2724</v>
      </c>
      <c r="R24" s="365">
        <f>Q24/H24</f>
        <v>340.5</v>
      </c>
      <c r="S24" s="623">
        <f>P24/Q24</f>
        <v>3.6147209985315714</v>
      </c>
      <c r="T24" s="396">
        <v>20460</v>
      </c>
      <c r="U24" s="458">
        <f t="shared" si="0"/>
        <v>-0.5187438905180841</v>
      </c>
      <c r="V24" s="394">
        <v>3259379</v>
      </c>
      <c r="W24" s="357">
        <v>527196</v>
      </c>
      <c r="X24" s="607">
        <f t="shared" si="4"/>
        <v>6.182480519579056</v>
      </c>
      <c r="Y24" s="532"/>
      <c r="Z24" s="532"/>
    </row>
    <row r="25" spans="1:26" s="534" customFormat="1" ht="20.25" customHeight="1">
      <c r="A25" s="542">
        <v>19</v>
      </c>
      <c r="B25" s="560"/>
      <c r="C25" s="356" t="s">
        <v>414</v>
      </c>
      <c r="D25" s="349">
        <v>38828</v>
      </c>
      <c r="E25" s="590" t="s">
        <v>94</v>
      </c>
      <c r="F25" s="590" t="s">
        <v>415</v>
      </c>
      <c r="G25" s="535">
        <v>5</v>
      </c>
      <c r="H25" s="535">
        <v>5</v>
      </c>
      <c r="I25" s="390">
        <v>1</v>
      </c>
      <c r="J25" s="393">
        <v>1801</v>
      </c>
      <c r="K25" s="459">
        <v>203</v>
      </c>
      <c r="L25" s="595">
        <v>2970</v>
      </c>
      <c r="M25" s="459">
        <v>326</v>
      </c>
      <c r="N25" s="595">
        <v>4752</v>
      </c>
      <c r="O25" s="402">
        <v>529</v>
      </c>
      <c r="P25" s="759">
        <f>+J25+L25+N25</f>
        <v>9523</v>
      </c>
      <c r="Q25" s="353">
        <f>+K25+M25+O25</f>
        <v>1058</v>
      </c>
      <c r="R25" s="352">
        <f>IF(P25&lt;&gt;0,Q25/H25,"")</f>
        <v>211.6</v>
      </c>
      <c r="S25" s="454">
        <f>IF(P25&lt;&gt;0,P25/Q25,"")</f>
        <v>9.000945179584122</v>
      </c>
      <c r="T25" s="393"/>
      <c r="U25" s="458">
        <f t="shared" si="0"/>
      </c>
      <c r="V25" s="393">
        <v>9523</v>
      </c>
      <c r="W25" s="459">
        <v>1058</v>
      </c>
      <c r="X25" s="606">
        <f t="shared" si="4"/>
        <v>9.000945179584122</v>
      </c>
      <c r="Y25" s="532"/>
      <c r="Z25" s="532"/>
    </row>
    <row r="26" spans="1:26" s="534" customFormat="1" ht="20.25" customHeight="1">
      <c r="A26" s="542">
        <v>20</v>
      </c>
      <c r="B26" s="560"/>
      <c r="C26" s="360" t="s">
        <v>301</v>
      </c>
      <c r="D26" s="355">
        <v>38793</v>
      </c>
      <c r="E26" s="589" t="s">
        <v>330</v>
      </c>
      <c r="F26" s="590" t="s">
        <v>347</v>
      </c>
      <c r="G26" s="535">
        <v>50</v>
      </c>
      <c r="H26" s="535">
        <v>16</v>
      </c>
      <c r="I26" s="390">
        <v>6</v>
      </c>
      <c r="J26" s="394">
        <v>2329.5</v>
      </c>
      <c r="K26" s="357">
        <v>927</v>
      </c>
      <c r="L26" s="591">
        <v>2389.5</v>
      </c>
      <c r="M26" s="357">
        <v>957</v>
      </c>
      <c r="N26" s="591">
        <v>3144.5</v>
      </c>
      <c r="O26" s="403">
        <v>1068</v>
      </c>
      <c r="P26" s="760">
        <f aca="true" t="shared" si="5" ref="P26:Q28">J26+L26+N26</f>
        <v>7863.5</v>
      </c>
      <c r="Q26" s="357">
        <f t="shared" si="5"/>
        <v>2952</v>
      </c>
      <c r="R26" s="365">
        <f>Q26/H26</f>
        <v>184.5</v>
      </c>
      <c r="S26" s="623">
        <f>P26/Q26</f>
        <v>2.6637872628726287</v>
      </c>
      <c r="T26" s="396">
        <v>10689.5</v>
      </c>
      <c r="U26" s="458">
        <f t="shared" si="0"/>
        <v>-0.2643715795874456</v>
      </c>
      <c r="V26" s="396">
        <v>412558.5</v>
      </c>
      <c r="W26" s="365">
        <v>58296</v>
      </c>
      <c r="X26" s="607">
        <f t="shared" si="4"/>
        <v>7.07696068340881</v>
      </c>
      <c r="Y26" s="532"/>
      <c r="Z26" s="532"/>
    </row>
    <row r="27" spans="1:26" s="534" customFormat="1" ht="20.25" customHeight="1">
      <c r="A27" s="542">
        <v>21</v>
      </c>
      <c r="B27" s="560"/>
      <c r="C27" s="363" t="s">
        <v>305</v>
      </c>
      <c r="D27" s="364">
        <v>38744</v>
      </c>
      <c r="E27" s="596" t="s">
        <v>178</v>
      </c>
      <c r="F27" s="597" t="s">
        <v>434</v>
      </c>
      <c r="G27" s="529">
        <v>7</v>
      </c>
      <c r="H27" s="529">
        <v>7</v>
      </c>
      <c r="I27" s="391">
        <v>11</v>
      </c>
      <c r="J27" s="396">
        <v>1191.5</v>
      </c>
      <c r="K27" s="365">
        <v>160</v>
      </c>
      <c r="L27" s="592">
        <v>2483.5</v>
      </c>
      <c r="M27" s="365">
        <v>342</v>
      </c>
      <c r="N27" s="592">
        <v>3638.5</v>
      </c>
      <c r="O27" s="405">
        <v>485</v>
      </c>
      <c r="P27" s="761">
        <f t="shared" si="5"/>
        <v>7313.5</v>
      </c>
      <c r="Q27" s="365">
        <f t="shared" si="5"/>
        <v>987</v>
      </c>
      <c r="R27" s="365">
        <f>Q27/H27</f>
        <v>141</v>
      </c>
      <c r="S27" s="623">
        <f>P27/Q27</f>
        <v>7.409827760891591</v>
      </c>
      <c r="T27" s="396">
        <v>2032</v>
      </c>
      <c r="U27" s="458">
        <f t="shared" si="0"/>
        <v>2.5991633858267718</v>
      </c>
      <c r="V27" s="396">
        <v>56413.5</v>
      </c>
      <c r="W27" s="365">
        <v>8498</v>
      </c>
      <c r="X27" s="607">
        <f t="shared" si="4"/>
        <v>6.6384443398446695</v>
      </c>
      <c r="Y27" s="532"/>
      <c r="Z27" s="532"/>
    </row>
    <row r="28" spans="1:26" s="534" customFormat="1" ht="20.25" customHeight="1">
      <c r="A28" s="542">
        <v>22</v>
      </c>
      <c r="B28" s="560"/>
      <c r="C28" s="356" t="s">
        <v>67</v>
      </c>
      <c r="D28" s="355">
        <v>38674</v>
      </c>
      <c r="E28" s="589" t="s">
        <v>330</v>
      </c>
      <c r="F28" s="590" t="s">
        <v>343</v>
      </c>
      <c r="G28" s="535">
        <v>72</v>
      </c>
      <c r="H28" s="535">
        <v>9</v>
      </c>
      <c r="I28" s="390">
        <v>23</v>
      </c>
      <c r="J28" s="394">
        <v>2213</v>
      </c>
      <c r="K28" s="357">
        <v>853</v>
      </c>
      <c r="L28" s="591">
        <v>2609.5</v>
      </c>
      <c r="M28" s="357">
        <v>942</v>
      </c>
      <c r="N28" s="591">
        <v>2323</v>
      </c>
      <c r="O28" s="403">
        <v>685</v>
      </c>
      <c r="P28" s="760">
        <f t="shared" si="5"/>
        <v>7145.5</v>
      </c>
      <c r="Q28" s="357">
        <f t="shared" si="5"/>
        <v>2480</v>
      </c>
      <c r="R28" s="365">
        <f>Q28/H28</f>
        <v>275.55555555555554</v>
      </c>
      <c r="S28" s="623">
        <f>P28/Q28</f>
        <v>2.88125</v>
      </c>
      <c r="T28" s="396">
        <v>14672</v>
      </c>
      <c r="U28" s="458">
        <f t="shared" si="0"/>
        <v>-0.5129839149400218</v>
      </c>
      <c r="V28" s="394">
        <v>25018397.5</v>
      </c>
      <c r="W28" s="357">
        <v>3712881</v>
      </c>
      <c r="X28" s="607">
        <f t="shared" si="4"/>
        <v>6.73827076601701</v>
      </c>
      <c r="Y28" s="532"/>
      <c r="Z28" s="532"/>
    </row>
    <row r="29" spans="1:24" s="537" customFormat="1" ht="20.25" customHeight="1">
      <c r="A29" s="542">
        <v>23</v>
      </c>
      <c r="B29" s="561"/>
      <c r="C29" s="350" t="s">
        <v>70</v>
      </c>
      <c r="D29" s="349">
        <v>38779</v>
      </c>
      <c r="E29" s="348" t="s">
        <v>92</v>
      </c>
      <c r="F29" s="348" t="s">
        <v>335</v>
      </c>
      <c r="G29" s="513">
        <v>72</v>
      </c>
      <c r="H29" s="513">
        <v>22</v>
      </c>
      <c r="I29" s="389">
        <v>8</v>
      </c>
      <c r="J29" s="393">
        <v>1502</v>
      </c>
      <c r="K29" s="459">
        <v>380</v>
      </c>
      <c r="L29" s="595">
        <v>2325</v>
      </c>
      <c r="M29" s="459">
        <v>508</v>
      </c>
      <c r="N29" s="595">
        <v>3066</v>
      </c>
      <c r="O29" s="402">
        <v>680</v>
      </c>
      <c r="P29" s="759">
        <f>+J29+L29+N29</f>
        <v>6893</v>
      </c>
      <c r="Q29" s="353">
        <f>+K29+M29+O29</f>
        <v>1568</v>
      </c>
      <c r="R29" s="365">
        <f>Q29/H29</f>
        <v>71.27272727272727</v>
      </c>
      <c r="S29" s="623">
        <f>P29/Q29</f>
        <v>4.396045918367347</v>
      </c>
      <c r="T29" s="471">
        <v>2821</v>
      </c>
      <c r="U29" s="458">
        <f t="shared" si="0"/>
        <v>1.4434597660404112</v>
      </c>
      <c r="V29" s="393">
        <v>945184</v>
      </c>
      <c r="W29" s="459">
        <v>137540</v>
      </c>
      <c r="X29" s="606">
        <f t="shared" si="4"/>
        <v>6.872066307983133</v>
      </c>
    </row>
    <row r="30" spans="1:24" s="537" customFormat="1" ht="20.25" customHeight="1">
      <c r="A30" s="542">
        <v>24</v>
      </c>
      <c r="B30" s="561"/>
      <c r="C30" s="356" t="s">
        <v>65</v>
      </c>
      <c r="D30" s="355">
        <v>38751</v>
      </c>
      <c r="E30" s="590" t="s">
        <v>89</v>
      </c>
      <c r="F30" s="590" t="s">
        <v>345</v>
      </c>
      <c r="G30" s="535">
        <v>277</v>
      </c>
      <c r="H30" s="535">
        <v>13</v>
      </c>
      <c r="I30" s="390">
        <v>12</v>
      </c>
      <c r="J30" s="394">
        <v>1573</v>
      </c>
      <c r="K30" s="357">
        <v>964</v>
      </c>
      <c r="L30" s="591">
        <v>1823</v>
      </c>
      <c r="M30" s="357">
        <v>1041</v>
      </c>
      <c r="N30" s="591">
        <v>2914</v>
      </c>
      <c r="O30" s="403">
        <v>1382</v>
      </c>
      <c r="P30" s="760">
        <f>+N30+L30+J30</f>
        <v>6310</v>
      </c>
      <c r="Q30" s="357">
        <f>+O30+M30+K30</f>
        <v>3387</v>
      </c>
      <c r="R30" s="365">
        <f>Q30/H30</f>
        <v>260.53846153846155</v>
      </c>
      <c r="S30" s="623">
        <f>P30/Q30</f>
        <v>1.8630056096840861</v>
      </c>
      <c r="T30" s="394">
        <v>6927</v>
      </c>
      <c r="U30" s="458">
        <f t="shared" si="0"/>
        <v>-0.08907174823155767</v>
      </c>
      <c r="V30" s="394">
        <v>27392708</v>
      </c>
      <c r="W30" s="357">
        <v>4231681.666666667</v>
      </c>
      <c r="X30" s="608">
        <f>+V30/W30</f>
        <v>6.473244009769165</v>
      </c>
    </row>
    <row r="31" spans="1:24" s="537" customFormat="1" ht="20.25" customHeight="1">
      <c r="A31" s="542">
        <v>25</v>
      </c>
      <c r="B31" s="561"/>
      <c r="C31" s="350" t="s">
        <v>204</v>
      </c>
      <c r="D31" s="349">
        <v>38793</v>
      </c>
      <c r="E31" s="594" t="s">
        <v>88</v>
      </c>
      <c r="F31" s="348" t="s">
        <v>91</v>
      </c>
      <c r="G31" s="513">
        <v>20</v>
      </c>
      <c r="H31" s="513">
        <v>12</v>
      </c>
      <c r="I31" s="389">
        <v>6</v>
      </c>
      <c r="J31" s="393">
        <v>1372.5</v>
      </c>
      <c r="K31" s="459">
        <v>355</v>
      </c>
      <c r="L31" s="595">
        <v>1676</v>
      </c>
      <c r="M31" s="459">
        <v>421</v>
      </c>
      <c r="N31" s="595">
        <v>2568</v>
      </c>
      <c r="O31" s="402">
        <v>574</v>
      </c>
      <c r="P31" s="759">
        <f>+J31+L31+N31</f>
        <v>5616.5</v>
      </c>
      <c r="Q31" s="353">
        <f>+K31+M31+O31</f>
        <v>1350</v>
      </c>
      <c r="R31" s="352">
        <f>IF(P31&lt;&gt;0,Q31/H31,"")</f>
        <v>112.5</v>
      </c>
      <c r="S31" s="454">
        <f>IF(P31&lt;&gt;0,P31/Q31,"")</f>
        <v>4.16037037037037</v>
      </c>
      <c r="T31" s="393">
        <v>8905.5</v>
      </c>
      <c r="U31" s="458">
        <f t="shared" si="0"/>
        <v>-0.3693223288978721</v>
      </c>
      <c r="V31" s="393">
        <v>720666.75</v>
      </c>
      <c r="W31" s="459">
        <v>89439</v>
      </c>
      <c r="X31" s="606">
        <f aca="true" t="shared" si="6" ref="X31:X36">V31/W31</f>
        <v>8.057634253513568</v>
      </c>
    </row>
    <row r="32" spans="1:24" s="537" customFormat="1" ht="20.25" customHeight="1">
      <c r="A32" s="542">
        <v>26</v>
      </c>
      <c r="B32" s="561"/>
      <c r="C32" s="363" t="s">
        <v>416</v>
      </c>
      <c r="D32" s="364">
        <v>38828</v>
      </c>
      <c r="E32" s="596" t="s">
        <v>178</v>
      </c>
      <c r="F32" s="597" t="s">
        <v>417</v>
      </c>
      <c r="G32" s="529">
        <v>6</v>
      </c>
      <c r="H32" s="529">
        <v>6</v>
      </c>
      <c r="I32" s="391">
        <v>1</v>
      </c>
      <c r="J32" s="396">
        <v>1266.5</v>
      </c>
      <c r="K32" s="365">
        <v>145</v>
      </c>
      <c r="L32" s="592">
        <v>1753</v>
      </c>
      <c r="M32" s="365">
        <v>199</v>
      </c>
      <c r="N32" s="592">
        <v>2553</v>
      </c>
      <c r="O32" s="405">
        <v>281</v>
      </c>
      <c r="P32" s="761">
        <f>J32+L32+N32</f>
        <v>5572.5</v>
      </c>
      <c r="Q32" s="365">
        <f>K32+M32+O32</f>
        <v>625</v>
      </c>
      <c r="R32" s="365">
        <f>Q32/H32</f>
        <v>104.16666666666667</v>
      </c>
      <c r="S32" s="623">
        <f>P32/Q32</f>
        <v>8.916</v>
      </c>
      <c r="T32" s="396"/>
      <c r="U32" s="458">
        <f t="shared" si="0"/>
      </c>
      <c r="V32" s="396">
        <v>5572.5</v>
      </c>
      <c r="W32" s="365">
        <v>625</v>
      </c>
      <c r="X32" s="607">
        <f t="shared" si="6"/>
        <v>8.916</v>
      </c>
    </row>
    <row r="33" spans="1:26" s="534" customFormat="1" ht="20.25" customHeight="1">
      <c r="A33" s="542">
        <v>27</v>
      </c>
      <c r="B33" s="560"/>
      <c r="C33" s="356" t="s">
        <v>298</v>
      </c>
      <c r="D33" s="355">
        <v>38807</v>
      </c>
      <c r="E33" s="589" t="s">
        <v>330</v>
      </c>
      <c r="F33" s="590" t="s">
        <v>331</v>
      </c>
      <c r="G33" s="535">
        <v>20</v>
      </c>
      <c r="H33" s="535">
        <v>20</v>
      </c>
      <c r="I33" s="390">
        <v>4</v>
      </c>
      <c r="J33" s="394">
        <v>1341</v>
      </c>
      <c r="K33" s="357">
        <v>251</v>
      </c>
      <c r="L33" s="591">
        <v>1698</v>
      </c>
      <c r="M33" s="357">
        <v>340</v>
      </c>
      <c r="N33" s="591">
        <v>2366</v>
      </c>
      <c r="O33" s="403">
        <v>449</v>
      </c>
      <c r="P33" s="760">
        <f>J33+L33+N33</f>
        <v>5405</v>
      </c>
      <c r="Q33" s="357">
        <f>K33+M33+O33</f>
        <v>1040</v>
      </c>
      <c r="R33" s="365">
        <f>Q33/H33</f>
        <v>52</v>
      </c>
      <c r="S33" s="623">
        <f>P33/Q33</f>
        <v>5.197115384615385</v>
      </c>
      <c r="T33" s="396">
        <v>11307</v>
      </c>
      <c r="U33" s="458">
        <f t="shared" si="0"/>
        <v>-0.5219775360396215</v>
      </c>
      <c r="V33" s="394">
        <v>159450</v>
      </c>
      <c r="W33" s="357">
        <v>19729</v>
      </c>
      <c r="X33" s="607">
        <f t="shared" si="6"/>
        <v>8.082011252470982</v>
      </c>
      <c r="Y33" s="532"/>
      <c r="Z33" s="532"/>
    </row>
    <row r="34" spans="1:26" s="534" customFormat="1" ht="20.25" customHeight="1">
      <c r="A34" s="542">
        <v>28</v>
      </c>
      <c r="B34" s="560"/>
      <c r="C34" s="350" t="s">
        <v>73</v>
      </c>
      <c r="D34" s="349">
        <v>38772</v>
      </c>
      <c r="E34" s="348" t="s">
        <v>92</v>
      </c>
      <c r="F34" s="348" t="s">
        <v>354</v>
      </c>
      <c r="G34" s="513">
        <v>62</v>
      </c>
      <c r="H34" s="513">
        <v>6</v>
      </c>
      <c r="I34" s="389">
        <v>9</v>
      </c>
      <c r="J34" s="393">
        <v>426</v>
      </c>
      <c r="K34" s="459">
        <v>83</v>
      </c>
      <c r="L34" s="595">
        <v>1385</v>
      </c>
      <c r="M34" s="459">
        <v>271</v>
      </c>
      <c r="N34" s="595">
        <v>2560</v>
      </c>
      <c r="O34" s="402">
        <v>489</v>
      </c>
      <c r="P34" s="759">
        <f>+J34+L34+N34</f>
        <v>4371</v>
      </c>
      <c r="Q34" s="353">
        <f>+K34+M34+O34</f>
        <v>843</v>
      </c>
      <c r="R34" s="365">
        <f>Q34/H34</f>
        <v>140.5</v>
      </c>
      <c r="S34" s="623">
        <f>P34/Q34</f>
        <v>5.185053380782918</v>
      </c>
      <c r="T34" s="393">
        <v>1279</v>
      </c>
      <c r="U34" s="458">
        <f t="shared" si="0"/>
        <v>2.4175136825645036</v>
      </c>
      <c r="V34" s="393">
        <v>812783</v>
      </c>
      <c r="W34" s="459">
        <v>105984</v>
      </c>
      <c r="X34" s="606">
        <f t="shared" si="6"/>
        <v>7.668921724033816</v>
      </c>
      <c r="Y34" s="532"/>
      <c r="Z34" s="532"/>
    </row>
    <row r="35" spans="1:26" s="534" customFormat="1" ht="20.25" customHeight="1">
      <c r="A35" s="542">
        <v>29</v>
      </c>
      <c r="B35" s="560"/>
      <c r="C35" s="350" t="s">
        <v>64</v>
      </c>
      <c r="D35" s="349">
        <v>38786</v>
      </c>
      <c r="E35" s="594" t="s">
        <v>88</v>
      </c>
      <c r="F35" s="348" t="s">
        <v>346</v>
      </c>
      <c r="G35" s="513">
        <v>36</v>
      </c>
      <c r="H35" s="513">
        <v>9</v>
      </c>
      <c r="I35" s="389">
        <v>7</v>
      </c>
      <c r="J35" s="393">
        <v>822</v>
      </c>
      <c r="K35" s="459">
        <v>184</v>
      </c>
      <c r="L35" s="595">
        <v>1334.5</v>
      </c>
      <c r="M35" s="459">
        <v>305</v>
      </c>
      <c r="N35" s="595">
        <v>2009.5</v>
      </c>
      <c r="O35" s="402">
        <v>436</v>
      </c>
      <c r="P35" s="759">
        <f>+J35+L35+N35</f>
        <v>4166</v>
      </c>
      <c r="Q35" s="353">
        <f>+K35+M35+O35</f>
        <v>925</v>
      </c>
      <c r="R35" s="352">
        <f>IF(P35&lt;&gt;0,Q35/H35,"")</f>
        <v>102.77777777777777</v>
      </c>
      <c r="S35" s="454">
        <f>IF(P35&lt;&gt;0,P35/Q35,"")</f>
        <v>4.503783783783784</v>
      </c>
      <c r="T35" s="393">
        <v>9886</v>
      </c>
      <c r="U35" s="458">
        <f t="shared" si="0"/>
        <v>-0.5785959943354239</v>
      </c>
      <c r="V35" s="393">
        <v>1594414.5</v>
      </c>
      <c r="W35" s="459">
        <v>227847</v>
      </c>
      <c r="X35" s="606">
        <f t="shared" si="6"/>
        <v>6.9977419057525445</v>
      </c>
      <c r="Y35" s="532"/>
      <c r="Z35" s="532"/>
    </row>
    <row r="36" spans="1:26" s="534" customFormat="1" ht="20.25" customHeight="1">
      <c r="A36" s="542">
        <v>30</v>
      </c>
      <c r="B36" s="560"/>
      <c r="C36" s="363" t="s">
        <v>340</v>
      </c>
      <c r="D36" s="364">
        <v>38814</v>
      </c>
      <c r="E36" s="596" t="s">
        <v>178</v>
      </c>
      <c r="F36" s="597" t="s">
        <v>341</v>
      </c>
      <c r="G36" s="529">
        <v>14</v>
      </c>
      <c r="H36" s="529">
        <v>10</v>
      </c>
      <c r="I36" s="391">
        <v>3</v>
      </c>
      <c r="J36" s="396">
        <v>1008.5</v>
      </c>
      <c r="K36" s="365">
        <v>178</v>
      </c>
      <c r="L36" s="592">
        <v>1105.5</v>
      </c>
      <c r="M36" s="365">
        <v>170</v>
      </c>
      <c r="N36" s="592">
        <v>1495</v>
      </c>
      <c r="O36" s="405">
        <v>233</v>
      </c>
      <c r="P36" s="761">
        <f>J36+L36+N36</f>
        <v>3609</v>
      </c>
      <c r="Q36" s="365">
        <f>K36+M36+O36</f>
        <v>581</v>
      </c>
      <c r="R36" s="365">
        <f>Q36/H36</f>
        <v>58.1</v>
      </c>
      <c r="S36" s="623">
        <f>P36/Q36</f>
        <v>6.211703958691911</v>
      </c>
      <c r="T36" s="396">
        <v>8058</v>
      </c>
      <c r="U36" s="458">
        <f t="shared" si="0"/>
        <v>-0.5521221146686522</v>
      </c>
      <c r="V36" s="396">
        <v>59998</v>
      </c>
      <c r="W36" s="365">
        <v>7022</v>
      </c>
      <c r="X36" s="607">
        <f t="shared" si="6"/>
        <v>8.544289376246084</v>
      </c>
      <c r="Y36" s="532"/>
      <c r="Z36" s="532"/>
    </row>
    <row r="37" spans="1:26" s="534" customFormat="1" ht="20.25" customHeight="1">
      <c r="A37" s="542">
        <v>31</v>
      </c>
      <c r="B37" s="560"/>
      <c r="C37" s="356" t="s">
        <v>218</v>
      </c>
      <c r="D37" s="355">
        <v>38793</v>
      </c>
      <c r="E37" s="590" t="s">
        <v>89</v>
      </c>
      <c r="F37" s="590" t="s">
        <v>349</v>
      </c>
      <c r="G37" s="535">
        <v>33</v>
      </c>
      <c r="H37" s="535">
        <v>18</v>
      </c>
      <c r="I37" s="390">
        <v>6</v>
      </c>
      <c r="J37" s="394">
        <v>752</v>
      </c>
      <c r="K37" s="357">
        <v>204</v>
      </c>
      <c r="L37" s="591">
        <v>1092</v>
      </c>
      <c r="M37" s="357">
        <v>281</v>
      </c>
      <c r="N37" s="591">
        <v>1612</v>
      </c>
      <c r="O37" s="403">
        <v>408</v>
      </c>
      <c r="P37" s="760">
        <f>+N37+L37+J37</f>
        <v>3456</v>
      </c>
      <c r="Q37" s="357">
        <f>+O37+M37+K37</f>
        <v>893</v>
      </c>
      <c r="R37" s="365">
        <f>Q37/H37</f>
        <v>49.611111111111114</v>
      </c>
      <c r="S37" s="623">
        <f>P37/Q37</f>
        <v>3.8701007838745802</v>
      </c>
      <c r="T37" s="394">
        <v>8058</v>
      </c>
      <c r="U37" s="458">
        <f t="shared" si="0"/>
        <v>-0.5711094564408041</v>
      </c>
      <c r="V37" s="394">
        <v>132060</v>
      </c>
      <c r="W37" s="357">
        <v>20246</v>
      </c>
      <c r="X37" s="608">
        <f>+V37/W37</f>
        <v>6.522769929862689</v>
      </c>
      <c r="Y37" s="532"/>
      <c r="Z37" s="532"/>
    </row>
    <row r="38" spans="1:26" s="534" customFormat="1" ht="20.25" customHeight="1">
      <c r="A38" s="542">
        <v>32</v>
      </c>
      <c r="B38" s="560"/>
      <c r="C38" s="363" t="s">
        <v>315</v>
      </c>
      <c r="D38" s="364">
        <v>38779</v>
      </c>
      <c r="E38" s="596" t="s">
        <v>178</v>
      </c>
      <c r="F38" s="597" t="s">
        <v>435</v>
      </c>
      <c r="G38" s="529">
        <v>10</v>
      </c>
      <c r="H38" s="529">
        <v>6</v>
      </c>
      <c r="I38" s="391">
        <v>8</v>
      </c>
      <c r="J38" s="396">
        <v>320</v>
      </c>
      <c r="K38" s="365">
        <v>90</v>
      </c>
      <c r="L38" s="592">
        <v>1901.5</v>
      </c>
      <c r="M38" s="365">
        <v>529</v>
      </c>
      <c r="N38" s="592">
        <v>1093</v>
      </c>
      <c r="O38" s="405">
        <v>257</v>
      </c>
      <c r="P38" s="761">
        <f>J38+L38+N38</f>
        <v>3314.5</v>
      </c>
      <c r="Q38" s="365">
        <f>K38+M38+O38</f>
        <v>876</v>
      </c>
      <c r="R38" s="365">
        <f>Q38/H38</f>
        <v>146</v>
      </c>
      <c r="S38" s="623">
        <f>P38/Q38</f>
        <v>3.7836757990867578</v>
      </c>
      <c r="T38" s="396">
        <v>486</v>
      </c>
      <c r="U38" s="458">
        <f t="shared" si="0"/>
        <v>5.8199588477366255</v>
      </c>
      <c r="V38" s="396">
        <v>38407</v>
      </c>
      <c r="W38" s="365">
        <v>6417</v>
      </c>
      <c r="X38" s="607">
        <f>V38/W38</f>
        <v>5.985195574255883</v>
      </c>
      <c r="Y38" s="532"/>
      <c r="Z38" s="532"/>
    </row>
    <row r="39" spans="1:26" s="534" customFormat="1" ht="20.25" customHeight="1">
      <c r="A39" s="542">
        <v>33</v>
      </c>
      <c r="B39" s="560"/>
      <c r="C39" s="356" t="s">
        <v>258</v>
      </c>
      <c r="D39" s="355">
        <v>38786</v>
      </c>
      <c r="E39" s="590" t="s">
        <v>418</v>
      </c>
      <c r="F39" s="590" t="s">
        <v>368</v>
      </c>
      <c r="G39" s="535">
        <v>7</v>
      </c>
      <c r="H39" s="535">
        <v>3</v>
      </c>
      <c r="I39" s="390">
        <v>7</v>
      </c>
      <c r="J39" s="619">
        <v>1947</v>
      </c>
      <c r="K39" s="599">
        <v>373</v>
      </c>
      <c r="L39" s="598">
        <v>573</v>
      </c>
      <c r="M39" s="599">
        <v>175</v>
      </c>
      <c r="N39" s="598">
        <v>637</v>
      </c>
      <c r="O39" s="620">
        <v>184</v>
      </c>
      <c r="P39" s="762">
        <v>3157</v>
      </c>
      <c r="Q39" s="599">
        <v>732</v>
      </c>
      <c r="R39" s="365">
        <f>Q39/H39</f>
        <v>244</v>
      </c>
      <c r="S39" s="623">
        <f>P39/Q39</f>
        <v>4.312841530054645</v>
      </c>
      <c r="T39" s="619">
        <v>305</v>
      </c>
      <c r="U39" s="458">
        <f aca="true" t="shared" si="7" ref="U39:U70">IF(T39&lt;&gt;0,-(T39-P39)/T39,"")</f>
        <v>9.350819672131147</v>
      </c>
      <c r="V39" s="619">
        <v>20399.5</v>
      </c>
      <c r="W39" s="599">
        <v>3365</v>
      </c>
      <c r="X39" s="606">
        <f>+S39</f>
        <v>4.312841530054645</v>
      </c>
      <c r="Y39" s="532"/>
      <c r="Z39" s="532"/>
    </row>
    <row r="40" spans="1:26" s="534" customFormat="1" ht="20.25" customHeight="1">
      <c r="A40" s="542">
        <v>34</v>
      </c>
      <c r="B40" s="560"/>
      <c r="C40" s="356" t="s">
        <v>75</v>
      </c>
      <c r="D40" s="355">
        <v>38786</v>
      </c>
      <c r="E40" s="589" t="s">
        <v>330</v>
      </c>
      <c r="F40" s="590" t="s">
        <v>350</v>
      </c>
      <c r="G40" s="535">
        <v>30</v>
      </c>
      <c r="H40" s="535">
        <v>7</v>
      </c>
      <c r="I40" s="390">
        <v>7</v>
      </c>
      <c r="J40" s="394">
        <v>695</v>
      </c>
      <c r="K40" s="357">
        <v>155</v>
      </c>
      <c r="L40" s="591">
        <v>986.5</v>
      </c>
      <c r="M40" s="357">
        <v>217</v>
      </c>
      <c r="N40" s="591">
        <v>1271.5</v>
      </c>
      <c r="O40" s="403">
        <v>281</v>
      </c>
      <c r="P40" s="760">
        <f>J40+L40+N40</f>
        <v>2953</v>
      </c>
      <c r="Q40" s="357">
        <f>K40+M40+O40</f>
        <v>653</v>
      </c>
      <c r="R40" s="365">
        <f>Q40/H40</f>
        <v>93.28571428571429</v>
      </c>
      <c r="S40" s="623">
        <f>P40/Q40</f>
        <v>4.522205206738132</v>
      </c>
      <c r="T40" s="396">
        <v>1723</v>
      </c>
      <c r="U40" s="458">
        <f t="shared" si="7"/>
        <v>0.7138711549622752</v>
      </c>
      <c r="V40" s="394">
        <v>187745.5</v>
      </c>
      <c r="W40" s="357">
        <v>28146</v>
      </c>
      <c r="X40" s="607">
        <f>V40/W40</f>
        <v>6.670414979037874</v>
      </c>
      <c r="Y40" s="532"/>
      <c r="Z40" s="532"/>
    </row>
    <row r="41" spans="1:25" s="534" customFormat="1" ht="20.25" customHeight="1">
      <c r="A41" s="542">
        <v>35</v>
      </c>
      <c r="B41" s="560"/>
      <c r="C41" s="356" t="s">
        <v>222</v>
      </c>
      <c r="D41" s="349">
        <v>38793</v>
      </c>
      <c r="E41" s="590" t="s">
        <v>351</v>
      </c>
      <c r="F41" s="590" t="s">
        <v>352</v>
      </c>
      <c r="G41" s="535">
        <v>4</v>
      </c>
      <c r="H41" s="535">
        <v>4</v>
      </c>
      <c r="I41" s="390">
        <v>6</v>
      </c>
      <c r="J41" s="393">
        <v>657.5</v>
      </c>
      <c r="K41" s="459">
        <v>95</v>
      </c>
      <c r="L41" s="595">
        <v>814</v>
      </c>
      <c r="M41" s="459">
        <v>122</v>
      </c>
      <c r="N41" s="595">
        <v>963.5</v>
      </c>
      <c r="O41" s="402">
        <v>144</v>
      </c>
      <c r="P41" s="759">
        <f>+J41+L41+N41</f>
        <v>2435</v>
      </c>
      <c r="Q41" s="353">
        <f>+K41+M41+O41</f>
        <v>361</v>
      </c>
      <c r="R41" s="352">
        <f>IF(P41&lt;&gt;0,Q41/H41,"")</f>
        <v>90.25</v>
      </c>
      <c r="S41" s="454">
        <f>IF(P41&lt;&gt;0,P41/Q41,"")</f>
        <v>6.745152354570637</v>
      </c>
      <c r="T41" s="393">
        <v>2961.5</v>
      </c>
      <c r="U41" s="458">
        <f t="shared" si="7"/>
        <v>-0.17778152963025493</v>
      </c>
      <c r="V41" s="393">
        <v>92782</v>
      </c>
      <c r="W41" s="459">
        <v>10583</v>
      </c>
      <c r="X41" s="606">
        <f>V41/W41</f>
        <v>8.767079278087499</v>
      </c>
      <c r="Y41" s="532"/>
    </row>
    <row r="42" spans="1:27" s="534" customFormat="1" ht="20.25" customHeight="1">
      <c r="A42" s="542">
        <v>36</v>
      </c>
      <c r="B42" s="560"/>
      <c r="C42" s="350" t="s">
        <v>419</v>
      </c>
      <c r="D42" s="349">
        <v>38576</v>
      </c>
      <c r="E42" s="594" t="s">
        <v>88</v>
      </c>
      <c r="F42" s="348" t="s">
        <v>91</v>
      </c>
      <c r="G42" s="513">
        <v>79</v>
      </c>
      <c r="H42" s="513">
        <v>1</v>
      </c>
      <c r="I42" s="389">
        <v>20</v>
      </c>
      <c r="J42" s="393">
        <v>0</v>
      </c>
      <c r="K42" s="459">
        <v>0</v>
      </c>
      <c r="L42" s="595">
        <v>1188</v>
      </c>
      <c r="M42" s="459">
        <v>237</v>
      </c>
      <c r="N42" s="595">
        <v>1188</v>
      </c>
      <c r="O42" s="402">
        <v>237</v>
      </c>
      <c r="P42" s="759">
        <f>+J42+L42+N42</f>
        <v>2376</v>
      </c>
      <c r="Q42" s="353">
        <f>+K42+M42+O42</f>
        <v>474</v>
      </c>
      <c r="R42" s="352">
        <f>IF(P42&lt;&gt;0,Q42/H42,"")</f>
        <v>474</v>
      </c>
      <c r="S42" s="454">
        <f>IF(P42&lt;&gt;0,P42/Q42,"")</f>
        <v>5.012658227848101</v>
      </c>
      <c r="T42" s="393"/>
      <c r="U42" s="458">
        <f t="shared" si="7"/>
      </c>
      <c r="V42" s="393">
        <f>1201365.75+2376</f>
        <v>1203741.75</v>
      </c>
      <c r="W42" s="459">
        <f>169972+474</f>
        <v>170446</v>
      </c>
      <c r="X42" s="606">
        <f>V42/W42</f>
        <v>7.0623056569236</v>
      </c>
      <c r="Y42" s="532"/>
      <c r="AA42" s="532"/>
    </row>
    <row r="43" spans="1:27" s="533" customFormat="1" ht="20.25" customHeight="1">
      <c r="A43" s="542">
        <v>37</v>
      </c>
      <c r="B43" s="560"/>
      <c r="C43" s="356" t="s">
        <v>66</v>
      </c>
      <c r="D43" s="355">
        <v>38765</v>
      </c>
      <c r="E43" s="590" t="s">
        <v>89</v>
      </c>
      <c r="F43" s="590" t="s">
        <v>348</v>
      </c>
      <c r="G43" s="535">
        <v>164</v>
      </c>
      <c r="H43" s="535">
        <v>6</v>
      </c>
      <c r="I43" s="390">
        <v>10</v>
      </c>
      <c r="J43" s="394">
        <v>700</v>
      </c>
      <c r="K43" s="357">
        <v>541</v>
      </c>
      <c r="L43" s="591">
        <v>770.5</v>
      </c>
      <c r="M43" s="357">
        <v>563</v>
      </c>
      <c r="N43" s="591">
        <v>881.5</v>
      </c>
      <c r="O43" s="403">
        <v>566</v>
      </c>
      <c r="P43" s="760">
        <f>+N43+L43+J43</f>
        <v>2352</v>
      </c>
      <c r="Q43" s="357">
        <f>+O43+M43+K43</f>
        <v>1670</v>
      </c>
      <c r="R43" s="365">
        <f>Q43/H43</f>
        <v>278.3333333333333</v>
      </c>
      <c r="S43" s="623">
        <f>P43/Q43</f>
        <v>1.408383233532934</v>
      </c>
      <c r="T43" s="394">
        <v>4366</v>
      </c>
      <c r="U43" s="458">
        <f t="shared" si="7"/>
        <v>-0.4612918002748511</v>
      </c>
      <c r="V43" s="394">
        <v>4195912</v>
      </c>
      <c r="W43" s="357">
        <v>632126</v>
      </c>
      <c r="X43" s="608">
        <f>+V43/W43</f>
        <v>6.637777911365772</v>
      </c>
      <c r="Y43" s="532"/>
      <c r="AA43" s="532"/>
    </row>
    <row r="44" spans="1:25" s="533" customFormat="1" ht="20.25" customHeight="1">
      <c r="A44" s="542">
        <v>38</v>
      </c>
      <c r="B44" s="560"/>
      <c r="C44" s="350" t="s">
        <v>281</v>
      </c>
      <c r="D44" s="349">
        <v>38793</v>
      </c>
      <c r="E44" s="348" t="s">
        <v>333</v>
      </c>
      <c r="F44" s="348" t="s">
        <v>353</v>
      </c>
      <c r="G44" s="513">
        <v>71</v>
      </c>
      <c r="H44" s="513">
        <v>7</v>
      </c>
      <c r="I44" s="389">
        <v>6</v>
      </c>
      <c r="J44" s="393">
        <v>413</v>
      </c>
      <c r="K44" s="459">
        <v>77</v>
      </c>
      <c r="L44" s="595">
        <v>811.5</v>
      </c>
      <c r="M44" s="459">
        <v>154</v>
      </c>
      <c r="N44" s="595">
        <v>1087.5</v>
      </c>
      <c r="O44" s="402">
        <v>198</v>
      </c>
      <c r="P44" s="759">
        <f aca="true" t="shared" si="8" ref="P44:Q46">+J44+L44+N44</f>
        <v>2312</v>
      </c>
      <c r="Q44" s="353">
        <f t="shared" si="8"/>
        <v>429</v>
      </c>
      <c r="R44" s="365">
        <f>Q44/H44</f>
        <v>61.285714285714285</v>
      </c>
      <c r="S44" s="623">
        <f>P44/Q44</f>
        <v>5.389277389277389</v>
      </c>
      <c r="T44" s="393">
        <v>2485</v>
      </c>
      <c r="U44" s="458">
        <f t="shared" si="7"/>
        <v>-0.06961770623742455</v>
      </c>
      <c r="V44" s="471">
        <f>139188.5+65126.5+15320+6439+3617+2312</f>
        <v>232003</v>
      </c>
      <c r="W44" s="365">
        <f>20151+10232+2945+1343+1021+429</f>
        <v>36121</v>
      </c>
      <c r="X44" s="606">
        <f>IF(V44&lt;&gt;0,V44/W44,"")</f>
        <v>6.422939564242408</v>
      </c>
      <c r="Y44" s="532"/>
    </row>
    <row r="45" spans="1:27" s="533" customFormat="1" ht="20.25" customHeight="1">
      <c r="A45" s="542">
        <v>39</v>
      </c>
      <c r="B45" s="560"/>
      <c r="C45" s="350" t="s">
        <v>360</v>
      </c>
      <c r="D45" s="349">
        <v>38751</v>
      </c>
      <c r="E45" s="348" t="s">
        <v>92</v>
      </c>
      <c r="F45" s="348" t="s">
        <v>354</v>
      </c>
      <c r="G45" s="513">
        <v>51</v>
      </c>
      <c r="H45" s="513">
        <v>2</v>
      </c>
      <c r="I45" s="389">
        <v>11</v>
      </c>
      <c r="J45" s="393">
        <v>235</v>
      </c>
      <c r="K45" s="459">
        <v>39</v>
      </c>
      <c r="L45" s="595">
        <v>497</v>
      </c>
      <c r="M45" s="459">
        <v>81</v>
      </c>
      <c r="N45" s="595">
        <v>972</v>
      </c>
      <c r="O45" s="402">
        <v>154</v>
      </c>
      <c r="P45" s="759">
        <f t="shared" si="8"/>
        <v>1704</v>
      </c>
      <c r="Q45" s="353">
        <f t="shared" si="8"/>
        <v>274</v>
      </c>
      <c r="R45" s="365">
        <f>Q45/H45</f>
        <v>137</v>
      </c>
      <c r="S45" s="623">
        <f>P45/Q45</f>
        <v>6.218978102189781</v>
      </c>
      <c r="T45" s="393">
        <v>2015</v>
      </c>
      <c r="U45" s="458">
        <f t="shared" si="7"/>
        <v>-0.1543424317617866</v>
      </c>
      <c r="V45" s="393">
        <v>1312226</v>
      </c>
      <c r="W45" s="459">
        <v>169951</v>
      </c>
      <c r="X45" s="606">
        <f aca="true" t="shared" si="9" ref="X45:X53">V45/W45</f>
        <v>7.721201993515778</v>
      </c>
      <c r="Y45" s="532"/>
      <c r="AA45" s="532"/>
    </row>
    <row r="46" spans="1:25" s="534" customFormat="1" ht="20.25" customHeight="1">
      <c r="A46" s="542">
        <v>40</v>
      </c>
      <c r="B46" s="560"/>
      <c r="C46" s="350" t="s">
        <v>255</v>
      </c>
      <c r="D46" s="349">
        <v>38800</v>
      </c>
      <c r="E46" s="594" t="s">
        <v>88</v>
      </c>
      <c r="F46" s="348" t="s">
        <v>339</v>
      </c>
      <c r="G46" s="513">
        <v>36</v>
      </c>
      <c r="H46" s="513">
        <v>6</v>
      </c>
      <c r="I46" s="389">
        <v>5</v>
      </c>
      <c r="J46" s="393">
        <v>280</v>
      </c>
      <c r="K46" s="459">
        <v>48</v>
      </c>
      <c r="L46" s="595">
        <v>621.5</v>
      </c>
      <c r="M46" s="459">
        <v>113</v>
      </c>
      <c r="N46" s="595">
        <v>693.5</v>
      </c>
      <c r="O46" s="402">
        <v>116</v>
      </c>
      <c r="P46" s="759">
        <f t="shared" si="8"/>
        <v>1595</v>
      </c>
      <c r="Q46" s="353">
        <f t="shared" si="8"/>
        <v>277</v>
      </c>
      <c r="R46" s="352">
        <f>IF(P46&lt;&gt;0,Q46/H46,"")</f>
        <v>46.166666666666664</v>
      </c>
      <c r="S46" s="454">
        <f>IF(P46&lt;&gt;0,P46/Q46,"")</f>
        <v>5.758122743682311</v>
      </c>
      <c r="T46" s="393">
        <v>5235</v>
      </c>
      <c r="U46" s="458">
        <f t="shared" si="7"/>
        <v>-0.6953199617956065</v>
      </c>
      <c r="V46" s="393">
        <v>490591</v>
      </c>
      <c r="W46" s="459">
        <v>57447</v>
      </c>
      <c r="X46" s="606">
        <f t="shared" si="9"/>
        <v>8.539888941110936</v>
      </c>
      <c r="Y46" s="532"/>
    </row>
    <row r="47" spans="1:25" s="533" customFormat="1" ht="20.25" customHeight="1">
      <c r="A47" s="542">
        <v>41</v>
      </c>
      <c r="B47" s="560"/>
      <c r="C47" s="363" t="s">
        <v>260</v>
      </c>
      <c r="D47" s="364">
        <v>38758</v>
      </c>
      <c r="E47" s="596" t="s">
        <v>178</v>
      </c>
      <c r="F47" s="597" t="s">
        <v>364</v>
      </c>
      <c r="G47" s="529">
        <v>4</v>
      </c>
      <c r="H47" s="529">
        <v>4</v>
      </c>
      <c r="I47" s="391">
        <v>11</v>
      </c>
      <c r="J47" s="396">
        <v>301.5</v>
      </c>
      <c r="K47" s="365">
        <v>56</v>
      </c>
      <c r="L47" s="592">
        <v>632.5</v>
      </c>
      <c r="M47" s="365">
        <v>111</v>
      </c>
      <c r="N47" s="592">
        <v>560</v>
      </c>
      <c r="O47" s="405">
        <v>98</v>
      </c>
      <c r="P47" s="761">
        <f>J47+L47+N47</f>
        <v>1494</v>
      </c>
      <c r="Q47" s="365">
        <f>K47+M47+O47</f>
        <v>265</v>
      </c>
      <c r="R47" s="365">
        <f>Q47/H47</f>
        <v>66.25</v>
      </c>
      <c r="S47" s="623">
        <f>P47/Q47</f>
        <v>5.637735849056604</v>
      </c>
      <c r="T47" s="396">
        <v>674</v>
      </c>
      <c r="U47" s="458">
        <f t="shared" si="7"/>
        <v>1.2166172106824926</v>
      </c>
      <c r="V47" s="396">
        <v>43393.5</v>
      </c>
      <c r="W47" s="365">
        <v>7215</v>
      </c>
      <c r="X47" s="607">
        <f t="shared" si="9"/>
        <v>6.014345114345114</v>
      </c>
      <c r="Y47" s="532"/>
    </row>
    <row r="48" spans="1:25" s="533" customFormat="1" ht="20.25" customHeight="1">
      <c r="A48" s="542">
        <v>42</v>
      </c>
      <c r="B48" s="560"/>
      <c r="C48" s="363" t="s">
        <v>268</v>
      </c>
      <c r="D48" s="364">
        <v>38751</v>
      </c>
      <c r="E48" s="596" t="s">
        <v>178</v>
      </c>
      <c r="F48" s="597" t="s">
        <v>384</v>
      </c>
      <c r="G48" s="529">
        <v>1</v>
      </c>
      <c r="H48" s="529">
        <v>1</v>
      </c>
      <c r="I48" s="391">
        <v>8</v>
      </c>
      <c r="J48" s="396">
        <v>376</v>
      </c>
      <c r="K48" s="365">
        <v>57</v>
      </c>
      <c r="L48" s="592">
        <v>433.5</v>
      </c>
      <c r="M48" s="365">
        <v>65</v>
      </c>
      <c r="N48" s="592">
        <v>601</v>
      </c>
      <c r="O48" s="405">
        <v>86</v>
      </c>
      <c r="P48" s="761">
        <f>J48+L48+N48</f>
        <v>1410.5</v>
      </c>
      <c r="Q48" s="365">
        <f>K48+M48+O48</f>
        <v>208</v>
      </c>
      <c r="R48" s="365">
        <f>Q48/H48</f>
        <v>208</v>
      </c>
      <c r="S48" s="623">
        <f>P48/Q48</f>
        <v>6.78125</v>
      </c>
      <c r="T48" s="396">
        <v>1181</v>
      </c>
      <c r="U48" s="458">
        <f t="shared" si="7"/>
        <v>0.1943268416596105</v>
      </c>
      <c r="V48" s="396">
        <v>22706.5</v>
      </c>
      <c r="W48" s="365">
        <v>2919</v>
      </c>
      <c r="X48" s="607">
        <f t="shared" si="9"/>
        <v>7.778862624186365</v>
      </c>
      <c r="Y48" s="532"/>
    </row>
    <row r="49" spans="1:25" s="533" customFormat="1" ht="20.25" customHeight="1">
      <c r="A49" s="542">
        <v>43</v>
      </c>
      <c r="B49" s="560"/>
      <c r="C49" s="350" t="s">
        <v>420</v>
      </c>
      <c r="D49" s="349">
        <v>38730</v>
      </c>
      <c r="E49" s="348" t="s">
        <v>92</v>
      </c>
      <c r="F49" s="348" t="s">
        <v>335</v>
      </c>
      <c r="G49" s="513">
        <v>116</v>
      </c>
      <c r="H49" s="513">
        <v>3</v>
      </c>
      <c r="I49" s="389">
        <v>15</v>
      </c>
      <c r="J49" s="393">
        <v>399</v>
      </c>
      <c r="K49" s="459">
        <v>103</v>
      </c>
      <c r="L49" s="595">
        <v>414</v>
      </c>
      <c r="M49" s="459">
        <v>100</v>
      </c>
      <c r="N49" s="595">
        <v>595</v>
      </c>
      <c r="O49" s="402">
        <v>140</v>
      </c>
      <c r="P49" s="759">
        <f aca="true" t="shared" si="10" ref="P49:Q53">+J49+L49+N49</f>
        <v>1408</v>
      </c>
      <c r="Q49" s="353">
        <f t="shared" si="10"/>
        <v>343</v>
      </c>
      <c r="R49" s="365">
        <f>Q49/H49</f>
        <v>114.33333333333333</v>
      </c>
      <c r="S49" s="623">
        <f>P49/Q49</f>
        <v>4.104956268221574</v>
      </c>
      <c r="T49" s="393">
        <v>814</v>
      </c>
      <c r="U49" s="458">
        <f t="shared" si="7"/>
        <v>0.7297297297297297</v>
      </c>
      <c r="V49" s="393">
        <v>3272804</v>
      </c>
      <c r="W49" s="459">
        <v>465669</v>
      </c>
      <c r="X49" s="606">
        <f t="shared" si="9"/>
        <v>7.028176666258651</v>
      </c>
      <c r="Y49" s="532"/>
    </row>
    <row r="50" spans="1:25" s="533" customFormat="1" ht="20.25" customHeight="1">
      <c r="A50" s="542">
        <v>44</v>
      </c>
      <c r="B50" s="560"/>
      <c r="C50" s="350" t="s">
        <v>256</v>
      </c>
      <c r="D50" s="349">
        <v>38800</v>
      </c>
      <c r="E50" s="594" t="s">
        <v>88</v>
      </c>
      <c r="F50" s="348" t="s">
        <v>346</v>
      </c>
      <c r="G50" s="513">
        <v>12</v>
      </c>
      <c r="H50" s="513">
        <v>7</v>
      </c>
      <c r="I50" s="389">
        <v>5</v>
      </c>
      <c r="J50" s="393">
        <v>298</v>
      </c>
      <c r="K50" s="459">
        <v>83</v>
      </c>
      <c r="L50" s="595">
        <v>500.5</v>
      </c>
      <c r="M50" s="459">
        <v>111</v>
      </c>
      <c r="N50" s="595">
        <v>606.5</v>
      </c>
      <c r="O50" s="402">
        <v>129</v>
      </c>
      <c r="P50" s="759">
        <f t="shared" si="10"/>
        <v>1405</v>
      </c>
      <c r="Q50" s="353">
        <f t="shared" si="10"/>
        <v>323</v>
      </c>
      <c r="R50" s="352">
        <f>IF(P50&lt;&gt;0,Q50/H50,"")</f>
        <v>46.142857142857146</v>
      </c>
      <c r="S50" s="454">
        <f>IF(P50&lt;&gt;0,P50/Q50,"")</f>
        <v>4.34984520123839</v>
      </c>
      <c r="T50" s="393">
        <v>2953.5</v>
      </c>
      <c r="U50" s="458">
        <f t="shared" si="7"/>
        <v>-0.5242932114440494</v>
      </c>
      <c r="V50" s="393">
        <v>162945.5</v>
      </c>
      <c r="W50" s="459">
        <v>17818</v>
      </c>
      <c r="X50" s="606">
        <f t="shared" si="9"/>
        <v>9.144993826467617</v>
      </c>
      <c r="Y50" s="532"/>
    </row>
    <row r="51" spans="1:25" s="533" customFormat="1" ht="20.25" customHeight="1">
      <c r="A51" s="542">
        <v>45</v>
      </c>
      <c r="B51" s="560"/>
      <c r="C51" s="350" t="s">
        <v>286</v>
      </c>
      <c r="D51" s="349">
        <v>38751</v>
      </c>
      <c r="E51" s="348" t="s">
        <v>92</v>
      </c>
      <c r="F51" s="348" t="s">
        <v>326</v>
      </c>
      <c r="G51" s="513">
        <v>27</v>
      </c>
      <c r="H51" s="513">
        <v>4</v>
      </c>
      <c r="I51" s="389">
        <v>12</v>
      </c>
      <c r="J51" s="393">
        <v>287</v>
      </c>
      <c r="K51" s="459">
        <v>54</v>
      </c>
      <c r="L51" s="595">
        <v>434</v>
      </c>
      <c r="M51" s="459">
        <v>77</v>
      </c>
      <c r="N51" s="595">
        <v>683</v>
      </c>
      <c r="O51" s="402">
        <v>113</v>
      </c>
      <c r="P51" s="759">
        <f t="shared" si="10"/>
        <v>1404</v>
      </c>
      <c r="Q51" s="353">
        <f t="shared" si="10"/>
        <v>244</v>
      </c>
      <c r="R51" s="365">
        <f>Q51/H51</f>
        <v>61</v>
      </c>
      <c r="S51" s="623">
        <f>P51/Q51</f>
        <v>5.754098360655738</v>
      </c>
      <c r="T51" s="393"/>
      <c r="U51" s="458">
        <f t="shared" si="7"/>
      </c>
      <c r="V51" s="393">
        <v>476275</v>
      </c>
      <c r="W51" s="459">
        <v>55152</v>
      </c>
      <c r="X51" s="606">
        <f t="shared" si="9"/>
        <v>8.635679576443284</v>
      </c>
      <c r="Y51" s="532"/>
    </row>
    <row r="52" spans="1:30" s="534" customFormat="1" ht="20.25" customHeight="1">
      <c r="A52" s="542">
        <v>46</v>
      </c>
      <c r="B52" s="560"/>
      <c r="C52" s="350" t="s">
        <v>421</v>
      </c>
      <c r="D52" s="349">
        <v>38786</v>
      </c>
      <c r="E52" s="348" t="s">
        <v>92</v>
      </c>
      <c r="F52" s="348" t="s">
        <v>357</v>
      </c>
      <c r="G52" s="513">
        <v>63</v>
      </c>
      <c r="H52" s="513">
        <v>7</v>
      </c>
      <c r="I52" s="389">
        <v>7</v>
      </c>
      <c r="J52" s="393">
        <v>248</v>
      </c>
      <c r="K52" s="459">
        <v>54</v>
      </c>
      <c r="L52" s="595">
        <v>540</v>
      </c>
      <c r="M52" s="459">
        <v>115</v>
      </c>
      <c r="N52" s="595">
        <v>587</v>
      </c>
      <c r="O52" s="402">
        <v>124</v>
      </c>
      <c r="P52" s="759">
        <f t="shared" si="10"/>
        <v>1375</v>
      </c>
      <c r="Q52" s="353">
        <f t="shared" si="10"/>
        <v>293</v>
      </c>
      <c r="R52" s="365">
        <f>Q52/H52</f>
        <v>41.857142857142854</v>
      </c>
      <c r="S52" s="623">
        <f>P52/Q52</f>
        <v>4.69283276450512</v>
      </c>
      <c r="T52" s="393">
        <v>2922</v>
      </c>
      <c r="U52" s="458">
        <f t="shared" si="7"/>
        <v>-0.5294318959616701</v>
      </c>
      <c r="V52" s="393">
        <v>501306</v>
      </c>
      <c r="W52" s="459">
        <v>62440</v>
      </c>
      <c r="X52" s="606">
        <f t="shared" si="9"/>
        <v>8.028603459320948</v>
      </c>
      <c r="Y52" s="532"/>
      <c r="Z52" s="532"/>
      <c r="AA52" s="538"/>
      <c r="AB52" s="538"/>
      <c r="AC52" s="538"/>
      <c r="AD52" s="538"/>
    </row>
    <row r="53" spans="1:30" s="534" customFormat="1" ht="20.25" customHeight="1">
      <c r="A53" s="542">
        <v>47</v>
      </c>
      <c r="B53" s="560"/>
      <c r="C53" s="350" t="s">
        <v>170</v>
      </c>
      <c r="D53" s="349">
        <v>38716</v>
      </c>
      <c r="E53" s="594" t="s">
        <v>88</v>
      </c>
      <c r="F53" s="348" t="s">
        <v>346</v>
      </c>
      <c r="G53" s="513">
        <v>60</v>
      </c>
      <c r="H53" s="513">
        <v>2</v>
      </c>
      <c r="I53" s="389">
        <v>13</v>
      </c>
      <c r="J53" s="393">
        <v>142</v>
      </c>
      <c r="K53" s="459">
        <v>30</v>
      </c>
      <c r="L53" s="595">
        <v>314</v>
      </c>
      <c r="M53" s="459">
        <v>63</v>
      </c>
      <c r="N53" s="595">
        <v>664</v>
      </c>
      <c r="O53" s="402">
        <v>133</v>
      </c>
      <c r="P53" s="759">
        <f t="shared" si="10"/>
        <v>1120</v>
      </c>
      <c r="Q53" s="353">
        <f t="shared" si="10"/>
        <v>226</v>
      </c>
      <c r="R53" s="352">
        <f>IF(P53&lt;&gt;0,Q53/H53,"")</f>
        <v>113</v>
      </c>
      <c r="S53" s="454">
        <f>IF(P53&lt;&gt;0,P53/Q53,"")</f>
        <v>4.95575221238938</v>
      </c>
      <c r="T53" s="393"/>
      <c r="U53" s="458">
        <f t="shared" si="7"/>
      </c>
      <c r="V53" s="393">
        <f>585119+1120</f>
        <v>586239</v>
      </c>
      <c r="W53" s="459">
        <f>83689+226</f>
        <v>83915</v>
      </c>
      <c r="X53" s="606">
        <f t="shared" si="9"/>
        <v>6.986104987189418</v>
      </c>
      <c r="Y53" s="532"/>
      <c r="Z53" s="532"/>
      <c r="AA53" s="538"/>
      <c r="AB53" s="538"/>
      <c r="AC53" s="538"/>
      <c r="AD53" s="538"/>
    </row>
    <row r="54" spans="1:30" s="534" customFormat="1" ht="20.25" customHeight="1">
      <c r="A54" s="542">
        <v>48</v>
      </c>
      <c r="B54" s="560"/>
      <c r="C54" s="356" t="s">
        <v>154</v>
      </c>
      <c r="D54" s="355">
        <v>38723</v>
      </c>
      <c r="E54" s="590" t="s">
        <v>89</v>
      </c>
      <c r="F54" s="590" t="s">
        <v>382</v>
      </c>
      <c r="G54" s="535">
        <v>199</v>
      </c>
      <c r="H54" s="535">
        <v>2</v>
      </c>
      <c r="I54" s="390">
        <v>16</v>
      </c>
      <c r="J54" s="394">
        <v>227</v>
      </c>
      <c r="K54" s="357">
        <v>54</v>
      </c>
      <c r="L54" s="591">
        <v>413</v>
      </c>
      <c r="M54" s="357">
        <v>96</v>
      </c>
      <c r="N54" s="591">
        <v>401</v>
      </c>
      <c r="O54" s="403">
        <v>93</v>
      </c>
      <c r="P54" s="760">
        <f>+N54+L54+J54</f>
        <v>1041</v>
      </c>
      <c r="Q54" s="357">
        <f>+O54+M54+K54</f>
        <v>243</v>
      </c>
      <c r="R54" s="365">
        <f>Q54/H54</f>
        <v>121.5</v>
      </c>
      <c r="S54" s="623">
        <f>P54/Q54</f>
        <v>4.283950617283951</v>
      </c>
      <c r="T54" s="394">
        <v>532</v>
      </c>
      <c r="U54" s="458">
        <f t="shared" si="7"/>
        <v>0.956766917293233</v>
      </c>
      <c r="V54" s="394">
        <v>6505500.1</v>
      </c>
      <c r="W54" s="357">
        <v>994126</v>
      </c>
      <c r="X54" s="608">
        <f>+V54/W54</f>
        <v>6.543939198854068</v>
      </c>
      <c r="Y54" s="532"/>
      <c r="Z54" s="532"/>
      <c r="AA54" s="538"/>
      <c r="AB54" s="538"/>
      <c r="AC54" s="538"/>
      <c r="AD54" s="538"/>
    </row>
    <row r="55" spans="1:30" s="534" customFormat="1" ht="20.25" customHeight="1">
      <c r="A55" s="542">
        <v>49</v>
      </c>
      <c r="B55" s="560"/>
      <c r="C55" s="356" t="s">
        <v>77</v>
      </c>
      <c r="D55" s="355">
        <v>38772</v>
      </c>
      <c r="E55" s="589" t="s">
        <v>330</v>
      </c>
      <c r="F55" s="590" t="s">
        <v>331</v>
      </c>
      <c r="G55" s="535">
        <v>49</v>
      </c>
      <c r="H55" s="535">
        <v>3</v>
      </c>
      <c r="I55" s="390">
        <v>9</v>
      </c>
      <c r="J55" s="394">
        <v>331</v>
      </c>
      <c r="K55" s="357">
        <v>138</v>
      </c>
      <c r="L55" s="591">
        <v>266</v>
      </c>
      <c r="M55" s="357">
        <v>103</v>
      </c>
      <c r="N55" s="591">
        <v>426</v>
      </c>
      <c r="O55" s="403">
        <v>143</v>
      </c>
      <c r="P55" s="760">
        <f>J55+L55+N55</f>
        <v>1023</v>
      </c>
      <c r="Q55" s="357">
        <f>K55+M55+O55</f>
        <v>384</v>
      </c>
      <c r="R55" s="365">
        <f>Q55/H55</f>
        <v>128</v>
      </c>
      <c r="S55" s="623">
        <f>P55/Q55</f>
        <v>2.6640625</v>
      </c>
      <c r="T55" s="396">
        <v>525.5</v>
      </c>
      <c r="U55" s="458">
        <f t="shared" si="7"/>
        <v>0.9467174119885823</v>
      </c>
      <c r="V55" s="394">
        <v>318442.5</v>
      </c>
      <c r="W55" s="357">
        <v>49016</v>
      </c>
      <c r="X55" s="607">
        <f>V55/W55</f>
        <v>6.4967051574995915</v>
      </c>
      <c r="Y55" s="532"/>
      <c r="Z55" s="532"/>
      <c r="AA55" s="538"/>
      <c r="AB55" s="538"/>
      <c r="AC55" s="538"/>
      <c r="AD55" s="538"/>
    </row>
    <row r="56" spans="1:30" s="534" customFormat="1" ht="20.25" customHeight="1">
      <c r="A56" s="542">
        <v>50</v>
      </c>
      <c r="B56" s="560"/>
      <c r="C56" s="350" t="s">
        <v>167</v>
      </c>
      <c r="D56" s="349">
        <v>38695</v>
      </c>
      <c r="E56" s="348" t="s">
        <v>92</v>
      </c>
      <c r="F56" s="348" t="s">
        <v>335</v>
      </c>
      <c r="G56" s="513">
        <v>77</v>
      </c>
      <c r="H56" s="513">
        <v>2</v>
      </c>
      <c r="I56" s="389">
        <v>20</v>
      </c>
      <c r="J56" s="393">
        <v>314</v>
      </c>
      <c r="K56" s="459">
        <v>87</v>
      </c>
      <c r="L56" s="595">
        <v>314</v>
      </c>
      <c r="M56" s="459">
        <v>87</v>
      </c>
      <c r="N56" s="595">
        <v>306</v>
      </c>
      <c r="O56" s="402">
        <v>86</v>
      </c>
      <c r="P56" s="759">
        <f aca="true" t="shared" si="11" ref="P56:Q58">+J56+L56+N56</f>
        <v>934</v>
      </c>
      <c r="Q56" s="353">
        <f t="shared" si="11"/>
        <v>260</v>
      </c>
      <c r="R56" s="365">
        <f>Q56/H56</f>
        <v>130</v>
      </c>
      <c r="S56" s="623">
        <f>P56/Q56</f>
        <v>3.5923076923076924</v>
      </c>
      <c r="T56" s="393">
        <v>271</v>
      </c>
      <c r="U56" s="458">
        <f t="shared" si="7"/>
        <v>2.4464944649446494</v>
      </c>
      <c r="V56" s="393">
        <v>1922441</v>
      </c>
      <c r="W56" s="459">
        <v>280907</v>
      </c>
      <c r="X56" s="606">
        <f>V56/W56</f>
        <v>6.843692040426191</v>
      </c>
      <c r="Y56" s="532"/>
      <c r="Z56" s="532"/>
      <c r="AA56" s="538"/>
      <c r="AB56" s="538"/>
      <c r="AC56" s="538"/>
      <c r="AD56" s="538"/>
    </row>
    <row r="57" spans="1:30" s="534" customFormat="1" ht="20.25" customHeight="1">
      <c r="A57" s="542">
        <v>51</v>
      </c>
      <c r="B57" s="560"/>
      <c r="C57" s="350" t="s">
        <v>238</v>
      </c>
      <c r="D57" s="349">
        <v>38667</v>
      </c>
      <c r="E57" s="594" t="s">
        <v>88</v>
      </c>
      <c r="F57" s="348" t="s">
        <v>91</v>
      </c>
      <c r="G57" s="513">
        <v>1</v>
      </c>
      <c r="H57" s="513">
        <v>1</v>
      </c>
      <c r="I57" s="389">
        <v>15</v>
      </c>
      <c r="J57" s="393">
        <v>290</v>
      </c>
      <c r="K57" s="459">
        <v>58</v>
      </c>
      <c r="L57" s="595">
        <v>290</v>
      </c>
      <c r="M57" s="459">
        <v>58</v>
      </c>
      <c r="N57" s="595">
        <v>290</v>
      </c>
      <c r="O57" s="402">
        <v>58</v>
      </c>
      <c r="P57" s="759">
        <f t="shared" si="11"/>
        <v>870</v>
      </c>
      <c r="Q57" s="353">
        <f t="shared" si="11"/>
        <v>174</v>
      </c>
      <c r="R57" s="352">
        <f>IF(P57&lt;&gt;0,Q57/H57,"")</f>
        <v>174</v>
      </c>
      <c r="S57" s="454">
        <f>IF(P57&lt;&gt;0,P57/Q57,"")</f>
        <v>5</v>
      </c>
      <c r="T57" s="393">
        <v>870</v>
      </c>
      <c r="U57" s="458">
        <f t="shared" si="7"/>
        <v>0</v>
      </c>
      <c r="V57" s="393">
        <v>28731</v>
      </c>
      <c r="W57" s="459">
        <v>4957</v>
      </c>
      <c r="X57" s="606">
        <f>V57/W57</f>
        <v>5.7960459955618315</v>
      </c>
      <c r="Y57" s="532"/>
      <c r="Z57" s="532"/>
      <c r="AA57" s="538"/>
      <c r="AB57" s="538"/>
      <c r="AC57" s="538"/>
      <c r="AD57" s="538"/>
    </row>
    <row r="58" spans="1:30" s="534" customFormat="1" ht="20.25" customHeight="1">
      <c r="A58" s="542">
        <v>52</v>
      </c>
      <c r="B58" s="560"/>
      <c r="C58" s="356" t="s">
        <v>394</v>
      </c>
      <c r="D58" s="349">
        <v>38798</v>
      </c>
      <c r="E58" s="590" t="s">
        <v>351</v>
      </c>
      <c r="F58" s="590" t="s">
        <v>422</v>
      </c>
      <c r="G58" s="535">
        <v>5</v>
      </c>
      <c r="H58" s="535">
        <v>5</v>
      </c>
      <c r="I58" s="390">
        <v>2</v>
      </c>
      <c r="J58" s="393">
        <v>212</v>
      </c>
      <c r="K58" s="459">
        <v>29</v>
      </c>
      <c r="L58" s="595">
        <v>235</v>
      </c>
      <c r="M58" s="459">
        <v>29</v>
      </c>
      <c r="N58" s="595">
        <v>384</v>
      </c>
      <c r="O58" s="402">
        <v>53</v>
      </c>
      <c r="P58" s="759">
        <f t="shared" si="11"/>
        <v>831</v>
      </c>
      <c r="Q58" s="353">
        <f t="shared" si="11"/>
        <v>111</v>
      </c>
      <c r="R58" s="352">
        <f>IF(P58&lt;&gt;0,Q58/H58,"")</f>
        <v>22.2</v>
      </c>
      <c r="S58" s="454">
        <f>IF(P58&lt;&gt;0,P58/Q58,"")</f>
        <v>7.486486486486487</v>
      </c>
      <c r="T58" s="393">
        <v>1908.5</v>
      </c>
      <c r="U58" s="458">
        <f t="shared" si="7"/>
        <v>-0.5645795127063139</v>
      </c>
      <c r="V58" s="393">
        <v>4168.5</v>
      </c>
      <c r="W58" s="459">
        <v>475</v>
      </c>
      <c r="X58" s="606">
        <f>V58/W58</f>
        <v>8.77578947368421</v>
      </c>
      <c r="Y58" s="532"/>
      <c r="Z58" s="532"/>
      <c r="AA58" s="538"/>
      <c r="AB58" s="538"/>
      <c r="AC58" s="538"/>
      <c r="AD58" s="538"/>
    </row>
    <row r="59" spans="1:30" s="534" customFormat="1" ht="20.25" customHeight="1">
      <c r="A59" s="542">
        <v>53</v>
      </c>
      <c r="B59" s="560"/>
      <c r="C59" s="363" t="s">
        <v>266</v>
      </c>
      <c r="D59" s="364">
        <v>38716</v>
      </c>
      <c r="E59" s="596" t="s">
        <v>178</v>
      </c>
      <c r="F59" s="597" t="s">
        <v>423</v>
      </c>
      <c r="G59" s="529">
        <v>9</v>
      </c>
      <c r="H59" s="529">
        <v>4</v>
      </c>
      <c r="I59" s="391">
        <v>16</v>
      </c>
      <c r="J59" s="396">
        <v>106</v>
      </c>
      <c r="K59" s="365">
        <v>23</v>
      </c>
      <c r="L59" s="592">
        <v>239</v>
      </c>
      <c r="M59" s="365">
        <v>49</v>
      </c>
      <c r="N59" s="592">
        <v>435</v>
      </c>
      <c r="O59" s="405">
        <v>80</v>
      </c>
      <c r="P59" s="761">
        <f>J59+L59+N59</f>
        <v>780</v>
      </c>
      <c r="Q59" s="365">
        <f>K59+M59+O59</f>
        <v>152</v>
      </c>
      <c r="R59" s="365">
        <f>Q59/H59</f>
        <v>38</v>
      </c>
      <c r="S59" s="623">
        <f>P59/Q59</f>
        <v>5.131578947368421</v>
      </c>
      <c r="T59" s="396">
        <v>666</v>
      </c>
      <c r="U59" s="458">
        <f t="shared" si="7"/>
        <v>0.17117117117117117</v>
      </c>
      <c r="V59" s="396">
        <v>96371</v>
      </c>
      <c r="W59" s="365">
        <v>14160</v>
      </c>
      <c r="X59" s="607">
        <f>V59/W59</f>
        <v>6.805861581920904</v>
      </c>
      <c r="Y59" s="532"/>
      <c r="Z59" s="532"/>
      <c r="AA59" s="538"/>
      <c r="AB59" s="538"/>
      <c r="AC59" s="538"/>
      <c r="AD59" s="538"/>
    </row>
    <row r="60" spans="1:30" s="534" customFormat="1" ht="20.25" customHeight="1">
      <c r="A60" s="542">
        <v>54</v>
      </c>
      <c r="B60" s="560"/>
      <c r="C60" s="350" t="s">
        <v>314</v>
      </c>
      <c r="D60" s="349">
        <v>38793</v>
      </c>
      <c r="E60" s="348" t="s">
        <v>333</v>
      </c>
      <c r="F60" s="348" t="s">
        <v>366</v>
      </c>
      <c r="G60" s="513">
        <v>2</v>
      </c>
      <c r="H60" s="513">
        <v>2</v>
      </c>
      <c r="I60" s="389">
        <v>5</v>
      </c>
      <c r="J60" s="393">
        <v>245</v>
      </c>
      <c r="K60" s="459">
        <v>43</v>
      </c>
      <c r="L60" s="595">
        <v>306</v>
      </c>
      <c r="M60" s="459">
        <v>48</v>
      </c>
      <c r="N60" s="595">
        <v>224</v>
      </c>
      <c r="O60" s="402">
        <v>38</v>
      </c>
      <c r="P60" s="759">
        <f aca="true" t="shared" si="12" ref="P60:Q62">+J60+L60+N60</f>
        <v>775</v>
      </c>
      <c r="Q60" s="353">
        <f t="shared" si="12"/>
        <v>129</v>
      </c>
      <c r="R60" s="365">
        <f>Q60/H60</f>
        <v>64.5</v>
      </c>
      <c r="S60" s="623">
        <f>P60/Q60</f>
        <v>6.007751937984496</v>
      </c>
      <c r="T60" s="393"/>
      <c r="U60" s="458">
        <f t="shared" si="7"/>
      </c>
      <c r="V60" s="471">
        <f>21147.5+3690+1708+783+775</f>
        <v>28103.5</v>
      </c>
      <c r="W60" s="365">
        <f>2248+452+253+99+129</f>
        <v>3181</v>
      </c>
      <c r="X60" s="606">
        <f>IF(V60&lt;&gt;0,V60/W60,"")</f>
        <v>8.834800377239862</v>
      </c>
      <c r="Y60" s="532"/>
      <c r="Z60" s="532"/>
      <c r="AA60" s="538"/>
      <c r="AB60" s="538"/>
      <c r="AC60" s="538"/>
      <c r="AD60" s="538"/>
    </row>
    <row r="61" spans="1:30" s="534" customFormat="1" ht="20.25" customHeight="1">
      <c r="A61" s="542">
        <v>55</v>
      </c>
      <c r="B61" s="560"/>
      <c r="C61" s="356" t="s">
        <v>424</v>
      </c>
      <c r="D61" s="349">
        <v>38625</v>
      </c>
      <c r="E61" s="590" t="s">
        <v>94</v>
      </c>
      <c r="F61" s="590" t="s">
        <v>425</v>
      </c>
      <c r="G61" s="535">
        <v>29</v>
      </c>
      <c r="H61" s="535">
        <v>1</v>
      </c>
      <c r="I61" s="390">
        <v>18</v>
      </c>
      <c r="J61" s="393">
        <v>170</v>
      </c>
      <c r="K61" s="459">
        <v>57</v>
      </c>
      <c r="L61" s="595">
        <v>339</v>
      </c>
      <c r="M61" s="459">
        <v>114</v>
      </c>
      <c r="N61" s="595">
        <v>170</v>
      </c>
      <c r="O61" s="402">
        <v>57</v>
      </c>
      <c r="P61" s="759">
        <f t="shared" si="12"/>
        <v>679</v>
      </c>
      <c r="Q61" s="353">
        <f t="shared" si="12"/>
        <v>228</v>
      </c>
      <c r="R61" s="352">
        <f>IF(P61&lt;&gt;0,Q61/H61,"")</f>
        <v>228</v>
      </c>
      <c r="S61" s="454">
        <f>IF(P61&lt;&gt;0,P61/Q61,"")</f>
        <v>2.9780701754385963</v>
      </c>
      <c r="T61" s="393"/>
      <c r="U61" s="458">
        <f t="shared" si="7"/>
      </c>
      <c r="V61" s="393">
        <v>284647</v>
      </c>
      <c r="W61" s="459">
        <v>35347</v>
      </c>
      <c r="X61" s="606">
        <f aca="true" t="shared" si="13" ref="X61:X72">V61/W61</f>
        <v>8.05293235635273</v>
      </c>
      <c r="Y61" s="532"/>
      <c r="Z61" s="532"/>
      <c r="AA61" s="538"/>
      <c r="AB61" s="538"/>
      <c r="AC61" s="538"/>
      <c r="AD61" s="538"/>
    </row>
    <row r="62" spans="1:30" s="534" customFormat="1" ht="20.25" customHeight="1">
      <c r="A62" s="542">
        <v>56</v>
      </c>
      <c r="B62" s="560"/>
      <c r="C62" s="356" t="s">
        <v>426</v>
      </c>
      <c r="D62" s="349">
        <v>38786</v>
      </c>
      <c r="E62" s="590" t="s">
        <v>94</v>
      </c>
      <c r="F62" s="590" t="s">
        <v>359</v>
      </c>
      <c r="G62" s="535">
        <v>4</v>
      </c>
      <c r="H62" s="535">
        <v>4</v>
      </c>
      <c r="I62" s="390">
        <v>7</v>
      </c>
      <c r="J62" s="393">
        <v>91</v>
      </c>
      <c r="K62" s="459">
        <v>14</v>
      </c>
      <c r="L62" s="595">
        <v>305</v>
      </c>
      <c r="M62" s="459">
        <v>53</v>
      </c>
      <c r="N62" s="595">
        <v>264</v>
      </c>
      <c r="O62" s="402">
        <v>42</v>
      </c>
      <c r="P62" s="759">
        <f t="shared" si="12"/>
        <v>660</v>
      </c>
      <c r="Q62" s="353">
        <f t="shared" si="12"/>
        <v>109</v>
      </c>
      <c r="R62" s="352">
        <f>IF(P62&lt;&gt;0,Q62/H62,"")</f>
        <v>27.25</v>
      </c>
      <c r="S62" s="454">
        <f>IF(P62&lt;&gt;0,P62/Q62,"")</f>
        <v>6.055045871559633</v>
      </c>
      <c r="T62" s="393">
        <v>1052</v>
      </c>
      <c r="U62" s="458">
        <f t="shared" si="7"/>
        <v>-0.3726235741444867</v>
      </c>
      <c r="V62" s="393">
        <v>47995</v>
      </c>
      <c r="W62" s="459">
        <v>5714</v>
      </c>
      <c r="X62" s="606">
        <f t="shared" si="13"/>
        <v>8.399544977248862</v>
      </c>
      <c r="Y62" s="532"/>
      <c r="Z62" s="532"/>
      <c r="AA62" s="538"/>
      <c r="AB62" s="538"/>
      <c r="AC62" s="538"/>
      <c r="AD62" s="538"/>
    </row>
    <row r="63" spans="1:30" s="534" customFormat="1" ht="20.25" customHeight="1">
      <c r="A63" s="542">
        <v>57</v>
      </c>
      <c r="B63" s="560"/>
      <c r="C63" s="363" t="s">
        <v>400</v>
      </c>
      <c r="D63" s="364">
        <v>38723</v>
      </c>
      <c r="E63" s="596" t="s">
        <v>178</v>
      </c>
      <c r="F63" s="597" t="s">
        <v>427</v>
      </c>
      <c r="G63" s="529">
        <v>3</v>
      </c>
      <c r="H63" s="529">
        <v>1</v>
      </c>
      <c r="I63" s="391">
        <v>12</v>
      </c>
      <c r="J63" s="396">
        <v>210</v>
      </c>
      <c r="K63" s="365">
        <v>70</v>
      </c>
      <c r="L63" s="592">
        <v>210</v>
      </c>
      <c r="M63" s="365">
        <v>70</v>
      </c>
      <c r="N63" s="592">
        <v>210</v>
      </c>
      <c r="O63" s="405">
        <v>70</v>
      </c>
      <c r="P63" s="761">
        <f>J63+L63+N63</f>
        <v>630</v>
      </c>
      <c r="Q63" s="365">
        <f>K63+M63+O63</f>
        <v>210</v>
      </c>
      <c r="R63" s="365">
        <f>Q63/H63</f>
        <v>210</v>
      </c>
      <c r="S63" s="623">
        <f>P63/Q63</f>
        <v>3</v>
      </c>
      <c r="T63" s="396">
        <v>960</v>
      </c>
      <c r="U63" s="458">
        <f t="shared" si="7"/>
        <v>-0.34375</v>
      </c>
      <c r="V63" s="396">
        <v>56529.5</v>
      </c>
      <c r="W63" s="365">
        <v>8110</v>
      </c>
      <c r="X63" s="607">
        <f t="shared" si="13"/>
        <v>6.970345252774353</v>
      </c>
      <c r="Y63" s="532"/>
      <c r="Z63" s="532"/>
      <c r="AA63" s="538"/>
      <c r="AB63" s="538"/>
      <c r="AC63" s="538"/>
      <c r="AD63" s="538"/>
    </row>
    <row r="64" spans="1:30" s="534" customFormat="1" ht="20.25" customHeight="1">
      <c r="A64" s="542">
        <v>58</v>
      </c>
      <c r="B64" s="560"/>
      <c r="C64" s="350" t="s">
        <v>177</v>
      </c>
      <c r="D64" s="349">
        <v>38688</v>
      </c>
      <c r="E64" s="594" t="s">
        <v>88</v>
      </c>
      <c r="F64" s="348" t="s">
        <v>346</v>
      </c>
      <c r="G64" s="513">
        <v>63</v>
      </c>
      <c r="H64" s="513">
        <v>1</v>
      </c>
      <c r="I64" s="389">
        <v>18</v>
      </c>
      <c r="J64" s="393">
        <v>144</v>
      </c>
      <c r="K64" s="459">
        <v>36</v>
      </c>
      <c r="L64" s="595">
        <v>231.5</v>
      </c>
      <c r="M64" s="459">
        <v>49</v>
      </c>
      <c r="N64" s="595">
        <v>242.5</v>
      </c>
      <c r="O64" s="402">
        <v>51</v>
      </c>
      <c r="P64" s="759">
        <f aca="true" t="shared" si="14" ref="P64:Q68">+J64+L64+N64</f>
        <v>618</v>
      </c>
      <c r="Q64" s="353">
        <f t="shared" si="14"/>
        <v>136</v>
      </c>
      <c r="R64" s="352">
        <f>IF(P64&lt;&gt;0,Q64/H64,"")</f>
        <v>136</v>
      </c>
      <c r="S64" s="454">
        <f>IF(P64&lt;&gt;0,P64/Q64,"")</f>
        <v>4.544117647058823</v>
      </c>
      <c r="T64" s="393"/>
      <c r="U64" s="458">
        <f t="shared" si="7"/>
      </c>
      <c r="V64" s="393">
        <f>1747946+618</f>
        <v>1748564</v>
      </c>
      <c r="W64" s="459">
        <f>260656+136</f>
        <v>260792</v>
      </c>
      <c r="X64" s="606">
        <f t="shared" si="13"/>
        <v>6.704822233810853</v>
      </c>
      <c r="Y64" s="532"/>
      <c r="Z64" s="532"/>
      <c r="AA64" s="538"/>
      <c r="AB64" s="538"/>
      <c r="AC64" s="538"/>
      <c r="AD64" s="538"/>
    </row>
    <row r="65" spans="1:30" s="534" customFormat="1" ht="20.25" customHeight="1">
      <c r="A65" s="542">
        <v>59</v>
      </c>
      <c r="B65" s="560"/>
      <c r="C65" s="350" t="s">
        <v>74</v>
      </c>
      <c r="D65" s="349">
        <v>38527</v>
      </c>
      <c r="E65" s="594" t="s">
        <v>88</v>
      </c>
      <c r="F65" s="348" t="s">
        <v>356</v>
      </c>
      <c r="G65" s="513">
        <v>43</v>
      </c>
      <c r="H65" s="513">
        <v>1</v>
      </c>
      <c r="I65" s="389">
        <v>27</v>
      </c>
      <c r="J65" s="393">
        <v>205</v>
      </c>
      <c r="K65" s="459">
        <v>41</v>
      </c>
      <c r="L65" s="595">
        <v>205</v>
      </c>
      <c r="M65" s="459">
        <v>41</v>
      </c>
      <c r="N65" s="595">
        <v>205</v>
      </c>
      <c r="O65" s="402">
        <v>41</v>
      </c>
      <c r="P65" s="759">
        <f t="shared" si="14"/>
        <v>615</v>
      </c>
      <c r="Q65" s="353">
        <f t="shared" si="14"/>
        <v>123</v>
      </c>
      <c r="R65" s="352">
        <f>IF(P65&lt;&gt;0,Q65/H65,"")</f>
        <v>123</v>
      </c>
      <c r="S65" s="454">
        <f>IF(P65&lt;&gt;0,P65/Q65,"")</f>
        <v>5</v>
      </c>
      <c r="T65" s="393">
        <v>615</v>
      </c>
      <c r="U65" s="458">
        <f t="shared" si="7"/>
        <v>0</v>
      </c>
      <c r="V65" s="393">
        <v>742529.5</v>
      </c>
      <c r="W65" s="459">
        <v>94657</v>
      </c>
      <c r="X65" s="606">
        <f t="shared" si="13"/>
        <v>7.844422493846203</v>
      </c>
      <c r="Y65" s="532"/>
      <c r="Z65" s="532"/>
      <c r="AA65" s="538"/>
      <c r="AB65" s="538"/>
      <c r="AC65" s="538"/>
      <c r="AD65" s="538"/>
    </row>
    <row r="66" spans="1:30" s="534" customFormat="1" ht="20.25" customHeight="1">
      <c r="A66" s="542">
        <v>60</v>
      </c>
      <c r="B66" s="560"/>
      <c r="C66" s="350" t="s">
        <v>240</v>
      </c>
      <c r="D66" s="349">
        <v>38667</v>
      </c>
      <c r="E66" s="594" t="s">
        <v>88</v>
      </c>
      <c r="F66" s="348" t="s">
        <v>365</v>
      </c>
      <c r="G66" s="513">
        <v>76</v>
      </c>
      <c r="H66" s="513">
        <v>1</v>
      </c>
      <c r="I66" s="389">
        <v>16</v>
      </c>
      <c r="J66" s="393">
        <v>205</v>
      </c>
      <c r="K66" s="459">
        <v>41</v>
      </c>
      <c r="L66" s="595">
        <v>205</v>
      </c>
      <c r="M66" s="459">
        <v>41</v>
      </c>
      <c r="N66" s="595">
        <v>205</v>
      </c>
      <c r="O66" s="402">
        <v>41</v>
      </c>
      <c r="P66" s="759">
        <f t="shared" si="14"/>
        <v>615</v>
      </c>
      <c r="Q66" s="353">
        <f t="shared" si="14"/>
        <v>123</v>
      </c>
      <c r="R66" s="352">
        <f>IF(P66&lt;&gt;0,Q66/H66,"")</f>
        <v>123</v>
      </c>
      <c r="S66" s="454">
        <f>IF(P66&lt;&gt;0,P66/Q66,"")</f>
        <v>5</v>
      </c>
      <c r="T66" s="393">
        <v>615</v>
      </c>
      <c r="U66" s="458">
        <f t="shared" si="7"/>
        <v>0</v>
      </c>
      <c r="V66" s="393">
        <v>2494529.5</v>
      </c>
      <c r="W66" s="459">
        <v>381576</v>
      </c>
      <c r="X66" s="606">
        <f t="shared" si="13"/>
        <v>6.53743815124641</v>
      </c>
      <c r="Y66" s="532"/>
      <c r="Z66" s="532"/>
      <c r="AA66" s="538"/>
      <c r="AB66" s="538"/>
      <c r="AC66" s="538"/>
      <c r="AD66" s="538"/>
    </row>
    <row r="67" spans="1:30" s="534" customFormat="1" ht="20.25" customHeight="1">
      <c r="A67" s="542">
        <v>61</v>
      </c>
      <c r="B67" s="560"/>
      <c r="C67" s="350" t="s">
        <v>242</v>
      </c>
      <c r="D67" s="349">
        <v>38667</v>
      </c>
      <c r="E67" s="594" t="s">
        <v>88</v>
      </c>
      <c r="F67" s="348" t="s">
        <v>339</v>
      </c>
      <c r="G67" s="513">
        <v>51</v>
      </c>
      <c r="H67" s="513">
        <v>1</v>
      </c>
      <c r="I67" s="389">
        <v>22</v>
      </c>
      <c r="J67" s="393">
        <v>205</v>
      </c>
      <c r="K67" s="459">
        <v>41</v>
      </c>
      <c r="L67" s="595">
        <v>205</v>
      </c>
      <c r="M67" s="459">
        <v>41</v>
      </c>
      <c r="N67" s="595">
        <v>205</v>
      </c>
      <c r="O67" s="402">
        <v>41</v>
      </c>
      <c r="P67" s="759">
        <f t="shared" si="14"/>
        <v>615</v>
      </c>
      <c r="Q67" s="353">
        <f t="shared" si="14"/>
        <v>123</v>
      </c>
      <c r="R67" s="352">
        <f>IF(P67&lt;&gt;0,Q67/H67,"")</f>
        <v>123</v>
      </c>
      <c r="S67" s="454">
        <f>IF(P67&lt;&gt;0,P67/Q67,"")</f>
        <v>5</v>
      </c>
      <c r="T67" s="393">
        <v>615</v>
      </c>
      <c r="U67" s="458">
        <f t="shared" si="7"/>
        <v>0</v>
      </c>
      <c r="V67" s="393">
        <v>999909.5</v>
      </c>
      <c r="W67" s="459">
        <v>140989</v>
      </c>
      <c r="X67" s="606">
        <f t="shared" si="13"/>
        <v>7.092110022767733</v>
      </c>
      <c r="Y67" s="532"/>
      <c r="Z67" s="532"/>
      <c r="AA67" s="538"/>
      <c r="AB67" s="538"/>
      <c r="AC67" s="538"/>
      <c r="AD67" s="538"/>
    </row>
    <row r="68" spans="1:30" s="534" customFormat="1" ht="20.25" customHeight="1">
      <c r="A68" s="542">
        <v>62</v>
      </c>
      <c r="B68" s="560"/>
      <c r="C68" s="350" t="s">
        <v>148</v>
      </c>
      <c r="D68" s="349">
        <v>38758</v>
      </c>
      <c r="E68" s="348" t="s">
        <v>92</v>
      </c>
      <c r="F68" s="348" t="s">
        <v>354</v>
      </c>
      <c r="G68" s="513">
        <v>46</v>
      </c>
      <c r="H68" s="513">
        <v>2</v>
      </c>
      <c r="I68" s="389">
        <v>11</v>
      </c>
      <c r="J68" s="393">
        <v>140</v>
      </c>
      <c r="K68" s="459">
        <v>26</v>
      </c>
      <c r="L68" s="595">
        <v>202</v>
      </c>
      <c r="M68" s="459">
        <v>47</v>
      </c>
      <c r="N68" s="595">
        <v>202</v>
      </c>
      <c r="O68" s="402">
        <v>49</v>
      </c>
      <c r="P68" s="759">
        <f t="shared" si="14"/>
        <v>544</v>
      </c>
      <c r="Q68" s="353">
        <f t="shared" si="14"/>
        <v>122</v>
      </c>
      <c r="R68" s="365">
        <f aca="true" t="shared" si="15" ref="R68:R73">Q68/H68</f>
        <v>61</v>
      </c>
      <c r="S68" s="623">
        <f aca="true" t="shared" si="16" ref="S68:S73">P68/Q68</f>
        <v>4.459016393442623</v>
      </c>
      <c r="T68" s="393">
        <v>180</v>
      </c>
      <c r="U68" s="458">
        <f t="shared" si="7"/>
        <v>2.022222222222222</v>
      </c>
      <c r="V68" s="393">
        <v>180992</v>
      </c>
      <c r="W68" s="459">
        <v>23911</v>
      </c>
      <c r="X68" s="606">
        <f t="shared" si="13"/>
        <v>7.569403203546485</v>
      </c>
      <c r="Y68" s="532"/>
      <c r="Z68" s="532"/>
      <c r="AA68" s="538"/>
      <c r="AB68" s="538"/>
      <c r="AC68" s="538"/>
      <c r="AD68" s="538"/>
    </row>
    <row r="69" spans="1:30" s="534" customFormat="1" ht="20.25" customHeight="1">
      <c r="A69" s="542">
        <v>63</v>
      </c>
      <c r="B69" s="560"/>
      <c r="C69" s="363" t="s">
        <v>428</v>
      </c>
      <c r="D69" s="364">
        <v>37869</v>
      </c>
      <c r="E69" s="596" t="s">
        <v>178</v>
      </c>
      <c r="F69" s="597" t="s">
        <v>384</v>
      </c>
      <c r="G69" s="529">
        <v>8</v>
      </c>
      <c r="H69" s="529">
        <v>1</v>
      </c>
      <c r="I69" s="391">
        <v>24</v>
      </c>
      <c r="J69" s="396">
        <v>150</v>
      </c>
      <c r="K69" s="365">
        <v>50</v>
      </c>
      <c r="L69" s="592">
        <v>150</v>
      </c>
      <c r="M69" s="365">
        <v>50</v>
      </c>
      <c r="N69" s="592">
        <v>150</v>
      </c>
      <c r="O69" s="405">
        <v>50</v>
      </c>
      <c r="P69" s="761">
        <f aca="true" t="shared" si="17" ref="P69:Q72">J69+L69+N69</f>
        <v>450</v>
      </c>
      <c r="Q69" s="365">
        <f t="shared" si="17"/>
        <v>150</v>
      </c>
      <c r="R69" s="365">
        <f t="shared" si="15"/>
        <v>150</v>
      </c>
      <c r="S69" s="623">
        <f t="shared" si="16"/>
        <v>3</v>
      </c>
      <c r="T69" s="396"/>
      <c r="U69" s="458">
        <f t="shared" si="7"/>
      </c>
      <c r="V69" s="396">
        <v>90091.3</v>
      </c>
      <c r="W69" s="365">
        <v>17169</v>
      </c>
      <c r="X69" s="607">
        <f t="shared" si="13"/>
        <v>5.247323664744598</v>
      </c>
      <c r="Y69" s="532"/>
      <c r="Z69" s="532"/>
      <c r="AA69" s="538"/>
      <c r="AB69" s="538"/>
      <c r="AC69" s="538"/>
      <c r="AD69" s="538"/>
    </row>
    <row r="70" spans="1:30" s="534" customFormat="1" ht="20.25" customHeight="1">
      <c r="A70" s="542">
        <v>64</v>
      </c>
      <c r="B70" s="560"/>
      <c r="C70" s="363" t="s">
        <v>429</v>
      </c>
      <c r="D70" s="364">
        <v>38226</v>
      </c>
      <c r="E70" s="596" t="s">
        <v>178</v>
      </c>
      <c r="F70" s="597" t="s">
        <v>430</v>
      </c>
      <c r="G70" s="529">
        <v>4</v>
      </c>
      <c r="H70" s="529">
        <v>1</v>
      </c>
      <c r="I70" s="391">
        <v>10</v>
      </c>
      <c r="J70" s="396">
        <v>150</v>
      </c>
      <c r="K70" s="365">
        <v>50</v>
      </c>
      <c r="L70" s="592">
        <v>150</v>
      </c>
      <c r="M70" s="365">
        <v>50</v>
      </c>
      <c r="N70" s="592">
        <v>150</v>
      </c>
      <c r="O70" s="405">
        <v>50</v>
      </c>
      <c r="P70" s="761">
        <f t="shared" si="17"/>
        <v>450</v>
      </c>
      <c r="Q70" s="365">
        <f t="shared" si="17"/>
        <v>150</v>
      </c>
      <c r="R70" s="365">
        <f t="shared" si="15"/>
        <v>150</v>
      </c>
      <c r="S70" s="623">
        <f t="shared" si="16"/>
        <v>3</v>
      </c>
      <c r="T70" s="396"/>
      <c r="U70" s="458">
        <f t="shared" si="7"/>
      </c>
      <c r="V70" s="396">
        <v>18711</v>
      </c>
      <c r="W70" s="365">
        <v>2857</v>
      </c>
      <c r="X70" s="607">
        <f t="shared" si="13"/>
        <v>6.5491774588729434</v>
      </c>
      <c r="Y70" s="532"/>
      <c r="Z70" s="532"/>
      <c r="AA70" s="538"/>
      <c r="AB70" s="538"/>
      <c r="AC70" s="538"/>
      <c r="AD70" s="538"/>
    </row>
    <row r="71" spans="1:30" s="534" customFormat="1" ht="20.25" customHeight="1">
      <c r="A71" s="542">
        <v>65</v>
      </c>
      <c r="B71" s="560"/>
      <c r="C71" s="363" t="s">
        <v>431</v>
      </c>
      <c r="D71" s="364">
        <v>38282</v>
      </c>
      <c r="E71" s="596" t="s">
        <v>178</v>
      </c>
      <c r="F71" s="597" t="s">
        <v>436</v>
      </c>
      <c r="G71" s="529">
        <v>7</v>
      </c>
      <c r="H71" s="529">
        <v>1</v>
      </c>
      <c r="I71" s="391">
        <v>8</v>
      </c>
      <c r="J71" s="396">
        <v>150</v>
      </c>
      <c r="K71" s="365">
        <v>50</v>
      </c>
      <c r="L71" s="592">
        <v>150</v>
      </c>
      <c r="M71" s="365">
        <v>50</v>
      </c>
      <c r="N71" s="592">
        <v>150</v>
      </c>
      <c r="O71" s="405">
        <v>50</v>
      </c>
      <c r="P71" s="761">
        <f t="shared" si="17"/>
        <v>450</v>
      </c>
      <c r="Q71" s="365">
        <f t="shared" si="17"/>
        <v>150</v>
      </c>
      <c r="R71" s="365">
        <f t="shared" si="15"/>
        <v>150</v>
      </c>
      <c r="S71" s="623">
        <f t="shared" si="16"/>
        <v>3</v>
      </c>
      <c r="T71" s="396"/>
      <c r="U71" s="458">
        <f aca="true" t="shared" si="18" ref="U71:U81">IF(T71&lt;&gt;0,-(T71-P71)/T71,"")</f>
      </c>
      <c r="V71" s="396">
        <v>20891</v>
      </c>
      <c r="W71" s="365">
        <v>3545</v>
      </c>
      <c r="X71" s="607">
        <f t="shared" si="13"/>
        <v>5.893088857545839</v>
      </c>
      <c r="Y71" s="532"/>
      <c r="Z71" s="532"/>
      <c r="AA71" s="538"/>
      <c r="AB71" s="538"/>
      <c r="AC71" s="538"/>
      <c r="AD71" s="538"/>
    </row>
    <row r="72" spans="1:30" s="534" customFormat="1" ht="20.25" customHeight="1">
      <c r="A72" s="542">
        <v>66</v>
      </c>
      <c r="B72" s="560"/>
      <c r="C72" s="363" t="s">
        <v>378</v>
      </c>
      <c r="D72" s="364">
        <v>38527</v>
      </c>
      <c r="E72" s="596" t="s">
        <v>178</v>
      </c>
      <c r="F72" s="597" t="s">
        <v>379</v>
      </c>
      <c r="G72" s="529">
        <v>40</v>
      </c>
      <c r="H72" s="529">
        <v>1</v>
      </c>
      <c r="I72" s="391">
        <v>20</v>
      </c>
      <c r="J72" s="396">
        <v>40</v>
      </c>
      <c r="K72" s="365">
        <v>6</v>
      </c>
      <c r="L72" s="592">
        <v>94</v>
      </c>
      <c r="M72" s="365">
        <v>15</v>
      </c>
      <c r="N72" s="592">
        <v>136</v>
      </c>
      <c r="O72" s="405">
        <v>20</v>
      </c>
      <c r="P72" s="761">
        <f t="shared" si="17"/>
        <v>270</v>
      </c>
      <c r="Q72" s="365">
        <f t="shared" si="17"/>
        <v>41</v>
      </c>
      <c r="R72" s="365">
        <f t="shared" si="15"/>
        <v>41</v>
      </c>
      <c r="S72" s="623">
        <f t="shared" si="16"/>
        <v>6.585365853658536</v>
      </c>
      <c r="T72" s="396"/>
      <c r="U72" s="458">
        <f t="shared" si="18"/>
      </c>
      <c r="V72" s="396">
        <v>410715.5</v>
      </c>
      <c r="W72" s="365">
        <v>67564</v>
      </c>
      <c r="X72" s="607">
        <f t="shared" si="13"/>
        <v>6.078910366467349</v>
      </c>
      <c r="Y72" s="532"/>
      <c r="Z72" s="532"/>
      <c r="AA72" s="538"/>
      <c r="AB72" s="538"/>
      <c r="AC72" s="538"/>
      <c r="AD72" s="538"/>
    </row>
    <row r="73" spans="1:30" s="534" customFormat="1" ht="20.25" customHeight="1">
      <c r="A73" s="542">
        <v>67</v>
      </c>
      <c r="B73" s="560"/>
      <c r="C73" s="356" t="s">
        <v>159</v>
      </c>
      <c r="D73" s="355">
        <v>38709</v>
      </c>
      <c r="E73" s="590" t="s">
        <v>89</v>
      </c>
      <c r="F73" s="590" t="s">
        <v>355</v>
      </c>
      <c r="G73" s="535">
        <v>233</v>
      </c>
      <c r="H73" s="535">
        <v>2</v>
      </c>
      <c r="I73" s="390">
        <v>18</v>
      </c>
      <c r="J73" s="394">
        <v>42</v>
      </c>
      <c r="K73" s="357">
        <v>6</v>
      </c>
      <c r="L73" s="591">
        <v>56</v>
      </c>
      <c r="M73" s="357">
        <v>8</v>
      </c>
      <c r="N73" s="591">
        <v>98</v>
      </c>
      <c r="O73" s="403">
        <v>14</v>
      </c>
      <c r="P73" s="760">
        <f>+N73+L73+J73</f>
        <v>196</v>
      </c>
      <c r="Q73" s="357">
        <f>+O73+M73+K73</f>
        <v>28</v>
      </c>
      <c r="R73" s="365">
        <f t="shared" si="15"/>
        <v>14</v>
      </c>
      <c r="S73" s="623">
        <f t="shared" si="16"/>
        <v>7</v>
      </c>
      <c r="T73" s="394">
        <v>81</v>
      </c>
      <c r="U73" s="458">
        <f t="shared" si="18"/>
        <v>1.4197530864197532</v>
      </c>
      <c r="V73" s="394">
        <v>17065784.5</v>
      </c>
      <c r="W73" s="357">
        <v>2571778</v>
      </c>
      <c r="X73" s="608">
        <f>+V73/W73</f>
        <v>6.6357922417875885</v>
      </c>
      <c r="Y73" s="532"/>
      <c r="Z73" s="532"/>
      <c r="AA73" s="538"/>
      <c r="AB73" s="538"/>
      <c r="AC73" s="538"/>
      <c r="AD73" s="538"/>
    </row>
    <row r="74" spans="1:30" s="534" customFormat="1" ht="20.25" customHeight="1">
      <c r="A74" s="542">
        <v>68</v>
      </c>
      <c r="B74" s="560"/>
      <c r="C74" s="350" t="s">
        <v>161</v>
      </c>
      <c r="D74" s="349">
        <v>38730</v>
      </c>
      <c r="E74" s="594" t="s">
        <v>88</v>
      </c>
      <c r="F74" s="348" t="s">
        <v>91</v>
      </c>
      <c r="G74" s="513">
        <v>62</v>
      </c>
      <c r="H74" s="513">
        <v>1</v>
      </c>
      <c r="I74" s="389">
        <v>14</v>
      </c>
      <c r="J74" s="393">
        <v>14</v>
      </c>
      <c r="K74" s="459">
        <v>2</v>
      </c>
      <c r="L74" s="595">
        <v>28</v>
      </c>
      <c r="M74" s="459">
        <v>4</v>
      </c>
      <c r="N74" s="595">
        <v>76</v>
      </c>
      <c r="O74" s="402">
        <v>10</v>
      </c>
      <c r="P74" s="759">
        <f aca="true" t="shared" si="19" ref="P74:Q78">+J74+L74+N74</f>
        <v>118</v>
      </c>
      <c r="Q74" s="353">
        <f t="shared" si="19"/>
        <v>16</v>
      </c>
      <c r="R74" s="352">
        <f>IF(P74&lt;&gt;0,Q74/H74,"")</f>
        <v>16</v>
      </c>
      <c r="S74" s="454">
        <f>IF(P74&lt;&gt;0,P74/Q74,"")</f>
        <v>7.375</v>
      </c>
      <c r="T74" s="393">
        <v>137</v>
      </c>
      <c r="U74" s="458">
        <f t="shared" si="18"/>
        <v>-0.1386861313868613</v>
      </c>
      <c r="V74" s="393">
        <v>1182050.5</v>
      </c>
      <c r="W74" s="459">
        <v>138930</v>
      </c>
      <c r="X74" s="606">
        <f aca="true" t="shared" si="20" ref="X74:X81">V74/W74</f>
        <v>8.508245159432807</v>
      </c>
      <c r="Y74" s="532"/>
      <c r="Z74" s="532"/>
      <c r="AA74" s="538"/>
      <c r="AB74" s="538"/>
      <c r="AC74" s="538"/>
      <c r="AD74" s="538"/>
    </row>
    <row r="75" spans="1:30" s="534" customFormat="1" ht="20.25" customHeight="1">
      <c r="A75" s="542">
        <v>69</v>
      </c>
      <c r="B75" s="560"/>
      <c r="C75" s="350" t="s">
        <v>432</v>
      </c>
      <c r="D75" s="349">
        <v>38632</v>
      </c>
      <c r="E75" s="594" t="s">
        <v>88</v>
      </c>
      <c r="F75" s="348" t="s">
        <v>91</v>
      </c>
      <c r="G75" s="513">
        <v>30</v>
      </c>
      <c r="H75" s="513">
        <v>1</v>
      </c>
      <c r="I75" s="389">
        <v>14</v>
      </c>
      <c r="J75" s="393">
        <v>19</v>
      </c>
      <c r="K75" s="459">
        <v>6</v>
      </c>
      <c r="L75" s="595">
        <v>42</v>
      </c>
      <c r="M75" s="459">
        <v>13</v>
      </c>
      <c r="N75" s="595">
        <v>57</v>
      </c>
      <c r="O75" s="402">
        <v>17</v>
      </c>
      <c r="P75" s="759">
        <f t="shared" si="19"/>
        <v>118</v>
      </c>
      <c r="Q75" s="353">
        <f t="shared" si="19"/>
        <v>36</v>
      </c>
      <c r="R75" s="352">
        <f>IF(P75&lt;&gt;0,Q75/H75,"")</f>
        <v>36</v>
      </c>
      <c r="S75" s="454">
        <f>IF(P75&lt;&gt;0,P75/Q75,"")</f>
        <v>3.2777777777777777</v>
      </c>
      <c r="T75" s="393"/>
      <c r="U75" s="458">
        <f t="shared" si="18"/>
      </c>
      <c r="V75" s="393">
        <v>351837</v>
      </c>
      <c r="W75" s="459">
        <v>43441</v>
      </c>
      <c r="X75" s="606">
        <f t="shared" si="20"/>
        <v>8.09919200755047</v>
      </c>
      <c r="Y75" s="532"/>
      <c r="Z75" s="532"/>
      <c r="AA75" s="538"/>
      <c r="AB75" s="538"/>
      <c r="AC75" s="538"/>
      <c r="AD75" s="538"/>
    </row>
    <row r="76" spans="1:30" s="534" customFormat="1" ht="20.25" customHeight="1">
      <c r="A76" s="542">
        <v>70</v>
      </c>
      <c r="B76" s="560"/>
      <c r="C76" s="356" t="s">
        <v>392</v>
      </c>
      <c r="D76" s="349">
        <v>38758</v>
      </c>
      <c r="E76" s="590" t="s">
        <v>375</v>
      </c>
      <c r="F76" s="590" t="s">
        <v>393</v>
      </c>
      <c r="G76" s="535">
        <v>4</v>
      </c>
      <c r="H76" s="535">
        <v>1</v>
      </c>
      <c r="I76" s="390">
        <v>9</v>
      </c>
      <c r="J76" s="393">
        <v>25</v>
      </c>
      <c r="K76" s="459">
        <v>5</v>
      </c>
      <c r="L76" s="595">
        <v>40</v>
      </c>
      <c r="M76" s="459">
        <v>7</v>
      </c>
      <c r="N76" s="595">
        <v>52</v>
      </c>
      <c r="O76" s="402">
        <v>10</v>
      </c>
      <c r="P76" s="759">
        <f t="shared" si="19"/>
        <v>117</v>
      </c>
      <c r="Q76" s="353">
        <f t="shared" si="19"/>
        <v>22</v>
      </c>
      <c r="R76" s="352">
        <f>IF(P76&lt;&gt;0,Q76/H76,"")</f>
        <v>22</v>
      </c>
      <c r="S76" s="454">
        <f>IF(P76&lt;&gt;0,P76/Q76,"")</f>
        <v>5.318181818181818</v>
      </c>
      <c r="T76" s="393">
        <v>287</v>
      </c>
      <c r="U76" s="458">
        <f t="shared" si="18"/>
        <v>-0.5923344947735192</v>
      </c>
      <c r="V76" s="393">
        <v>5506</v>
      </c>
      <c r="W76" s="459">
        <v>961</v>
      </c>
      <c r="X76" s="606">
        <f t="shared" si="20"/>
        <v>5.729448491155047</v>
      </c>
      <c r="Y76" s="532"/>
      <c r="Z76" s="532"/>
      <c r="AA76" s="538"/>
      <c r="AB76" s="538"/>
      <c r="AC76" s="538"/>
      <c r="AD76" s="538"/>
    </row>
    <row r="77" spans="1:30" s="534" customFormat="1" ht="20.25" customHeight="1">
      <c r="A77" s="542">
        <v>71</v>
      </c>
      <c r="B77" s="560"/>
      <c r="C77" s="350" t="s">
        <v>83</v>
      </c>
      <c r="D77" s="349">
        <v>38779</v>
      </c>
      <c r="E77" s="590" t="s">
        <v>376</v>
      </c>
      <c r="F77" s="348" t="s">
        <v>433</v>
      </c>
      <c r="G77" s="513">
        <v>8</v>
      </c>
      <c r="H77" s="513">
        <v>1</v>
      </c>
      <c r="I77" s="389">
        <v>8</v>
      </c>
      <c r="J77" s="393">
        <v>40</v>
      </c>
      <c r="K77" s="459">
        <v>8</v>
      </c>
      <c r="L77" s="595">
        <v>5</v>
      </c>
      <c r="M77" s="459">
        <v>1</v>
      </c>
      <c r="N77" s="595">
        <v>50</v>
      </c>
      <c r="O77" s="402">
        <v>10</v>
      </c>
      <c r="P77" s="759">
        <f t="shared" si="19"/>
        <v>95</v>
      </c>
      <c r="Q77" s="353">
        <f t="shared" si="19"/>
        <v>19</v>
      </c>
      <c r="R77" s="352">
        <f>IF(P77&lt;&gt;0,Q77/H77,"")</f>
        <v>19</v>
      </c>
      <c r="S77" s="454">
        <f>IF(P77&lt;&gt;0,P77/Q77,"")</f>
        <v>5</v>
      </c>
      <c r="T77" s="393">
        <v>1712</v>
      </c>
      <c r="U77" s="458">
        <f t="shared" si="18"/>
        <v>-0.9445093457943925</v>
      </c>
      <c r="V77" s="393">
        <v>81126.4</v>
      </c>
      <c r="W77" s="459">
        <v>9377</v>
      </c>
      <c r="X77" s="606">
        <f t="shared" si="20"/>
        <v>8.651636984110056</v>
      </c>
      <c r="Y77" s="532"/>
      <c r="Z77" s="532"/>
      <c r="AA77" s="538"/>
      <c r="AB77" s="538"/>
      <c r="AC77" s="538"/>
      <c r="AD77" s="538"/>
    </row>
    <row r="78" spans="1:30" s="534" customFormat="1" ht="20.25" customHeight="1">
      <c r="A78" s="542">
        <v>72</v>
      </c>
      <c r="B78" s="560"/>
      <c r="C78" s="350" t="s">
        <v>136</v>
      </c>
      <c r="D78" s="349">
        <v>38758</v>
      </c>
      <c r="E78" s="594" t="s">
        <v>88</v>
      </c>
      <c r="F78" s="348" t="s">
        <v>346</v>
      </c>
      <c r="G78" s="513">
        <v>61</v>
      </c>
      <c r="H78" s="513">
        <v>1</v>
      </c>
      <c r="I78" s="389">
        <v>11</v>
      </c>
      <c r="J78" s="393">
        <v>16</v>
      </c>
      <c r="K78" s="459">
        <v>2</v>
      </c>
      <c r="L78" s="595">
        <v>16</v>
      </c>
      <c r="M78" s="459">
        <v>2</v>
      </c>
      <c r="N78" s="595">
        <v>16</v>
      </c>
      <c r="O78" s="402">
        <v>2</v>
      </c>
      <c r="P78" s="759">
        <f t="shared" si="19"/>
        <v>48</v>
      </c>
      <c r="Q78" s="353">
        <f t="shared" si="19"/>
        <v>6</v>
      </c>
      <c r="R78" s="352">
        <f>IF(P78&lt;&gt;0,Q78/H78,"")</f>
        <v>6</v>
      </c>
      <c r="S78" s="454">
        <f>IF(P78&lt;&gt;0,P78/Q78,"")</f>
        <v>8</v>
      </c>
      <c r="T78" s="393">
        <v>2039</v>
      </c>
      <c r="U78" s="458">
        <f t="shared" si="18"/>
        <v>-0.9764590485532123</v>
      </c>
      <c r="V78" s="393">
        <v>1282035.5</v>
      </c>
      <c r="W78" s="459">
        <v>156355</v>
      </c>
      <c r="X78" s="606">
        <f t="shared" si="20"/>
        <v>8.199517124492342</v>
      </c>
      <c r="Y78" s="532"/>
      <c r="Z78" s="532"/>
      <c r="AA78" s="538"/>
      <c r="AB78" s="538"/>
      <c r="AC78" s="538"/>
      <c r="AD78" s="538"/>
    </row>
    <row r="79" spans="1:30" s="534" customFormat="1" ht="20.25" customHeight="1">
      <c r="A79" s="542">
        <v>73</v>
      </c>
      <c r="B79" s="560"/>
      <c r="C79" s="363" t="s">
        <v>271</v>
      </c>
      <c r="D79" s="364">
        <v>38723</v>
      </c>
      <c r="E79" s="596" t="s">
        <v>178</v>
      </c>
      <c r="F79" s="597" t="s">
        <v>437</v>
      </c>
      <c r="G79" s="529">
        <v>5</v>
      </c>
      <c r="H79" s="529">
        <v>1</v>
      </c>
      <c r="I79" s="391">
        <v>7</v>
      </c>
      <c r="J79" s="396">
        <v>17.5</v>
      </c>
      <c r="K79" s="365">
        <v>5</v>
      </c>
      <c r="L79" s="592">
        <v>11</v>
      </c>
      <c r="M79" s="365">
        <v>3</v>
      </c>
      <c r="N79" s="592">
        <v>15</v>
      </c>
      <c r="O79" s="405">
        <v>4</v>
      </c>
      <c r="P79" s="761">
        <f>J79+L79+N79</f>
        <v>43.5</v>
      </c>
      <c r="Q79" s="365">
        <f>K79+M79+O79</f>
        <v>12</v>
      </c>
      <c r="R79" s="365">
        <f>Q79/H79</f>
        <v>12</v>
      </c>
      <c r="S79" s="623">
        <f>P79/Q79</f>
        <v>3.625</v>
      </c>
      <c r="T79" s="396"/>
      <c r="U79" s="458">
        <f t="shared" si="18"/>
      </c>
      <c r="V79" s="396">
        <v>12377.5</v>
      </c>
      <c r="W79" s="365">
        <v>1754</v>
      </c>
      <c r="X79" s="607">
        <f t="shared" si="20"/>
        <v>7.05672748004561</v>
      </c>
      <c r="Y79" s="532"/>
      <c r="Z79" s="532"/>
      <c r="AA79" s="538"/>
      <c r="AB79" s="538"/>
      <c r="AC79" s="538"/>
      <c r="AD79" s="538"/>
    </row>
    <row r="80" spans="1:30" s="534" customFormat="1" ht="20.25" customHeight="1">
      <c r="A80" s="542">
        <v>74</v>
      </c>
      <c r="B80" s="560"/>
      <c r="C80" s="350" t="s">
        <v>404</v>
      </c>
      <c r="D80" s="349">
        <v>38506</v>
      </c>
      <c r="E80" s="348" t="s">
        <v>92</v>
      </c>
      <c r="F80" s="348" t="s">
        <v>372</v>
      </c>
      <c r="G80" s="513">
        <v>106</v>
      </c>
      <c r="H80" s="513">
        <v>1</v>
      </c>
      <c r="I80" s="389">
        <v>47</v>
      </c>
      <c r="J80" s="393">
        <v>0</v>
      </c>
      <c r="K80" s="459">
        <v>0</v>
      </c>
      <c r="L80" s="595">
        <v>12</v>
      </c>
      <c r="M80" s="459">
        <v>2</v>
      </c>
      <c r="N80" s="595">
        <v>0</v>
      </c>
      <c r="O80" s="402">
        <v>0</v>
      </c>
      <c r="P80" s="759">
        <f>+J80+L80+N80</f>
        <v>12</v>
      </c>
      <c r="Q80" s="353">
        <f>+K80+M80+O80</f>
        <v>2</v>
      </c>
      <c r="R80" s="365">
        <f>Q80/H80</f>
        <v>2</v>
      </c>
      <c r="S80" s="623">
        <f>P80/Q80</f>
        <v>6</v>
      </c>
      <c r="T80" s="393">
        <v>167</v>
      </c>
      <c r="U80" s="458">
        <f t="shared" si="18"/>
        <v>-0.9281437125748503</v>
      </c>
      <c r="V80" s="393">
        <v>1514845</v>
      </c>
      <c r="W80" s="459">
        <v>235883</v>
      </c>
      <c r="X80" s="606">
        <f t="shared" si="20"/>
        <v>6.422018543091278</v>
      </c>
      <c r="Y80" s="532"/>
      <c r="Z80" s="532"/>
      <c r="AA80" s="538"/>
      <c r="AB80" s="538"/>
      <c r="AC80" s="538"/>
      <c r="AD80" s="538"/>
    </row>
    <row r="81" spans="1:30" s="534" customFormat="1" ht="20.25" customHeight="1" thickBot="1">
      <c r="A81" s="542">
        <v>75</v>
      </c>
      <c r="B81" s="562"/>
      <c r="C81" s="423" t="s">
        <v>324</v>
      </c>
      <c r="D81" s="422">
        <v>38653</v>
      </c>
      <c r="E81" s="421" t="s">
        <v>92</v>
      </c>
      <c r="F81" s="421" t="s">
        <v>372</v>
      </c>
      <c r="G81" s="564">
        <v>92</v>
      </c>
      <c r="H81" s="564">
        <v>1</v>
      </c>
      <c r="I81" s="424">
        <v>26</v>
      </c>
      <c r="J81" s="426">
        <v>0</v>
      </c>
      <c r="K81" s="511">
        <v>0</v>
      </c>
      <c r="L81" s="609">
        <v>6</v>
      </c>
      <c r="M81" s="511">
        <v>1</v>
      </c>
      <c r="N81" s="609">
        <v>0</v>
      </c>
      <c r="O81" s="427">
        <v>0</v>
      </c>
      <c r="P81" s="763">
        <f>+J81+L81+N81</f>
        <v>6</v>
      </c>
      <c r="Q81" s="429">
        <f>+K81+M81+O81</f>
        <v>1</v>
      </c>
      <c r="R81" s="449">
        <f>Q81/H81</f>
        <v>1</v>
      </c>
      <c r="S81" s="624">
        <f>P81/Q81</f>
        <v>6</v>
      </c>
      <c r="T81" s="426"/>
      <c r="U81" s="507">
        <f t="shared" si="18"/>
      </c>
      <c r="V81" s="426">
        <v>1041639</v>
      </c>
      <c r="W81" s="511">
        <v>151711</v>
      </c>
      <c r="X81" s="611">
        <f t="shared" si="20"/>
        <v>6.865942482746801</v>
      </c>
      <c r="Y81" s="532"/>
      <c r="Z81" s="532"/>
      <c r="AA81" s="538"/>
      <c r="AB81" s="538"/>
      <c r="AC81" s="538"/>
      <c r="AD81" s="538"/>
    </row>
    <row r="82" spans="1:30" s="237" customFormat="1" ht="20.25" customHeight="1" thickBot="1">
      <c r="A82" s="514"/>
      <c r="B82" s="543"/>
      <c r="C82" s="544"/>
      <c r="D82" s="545"/>
      <c r="E82" s="545"/>
      <c r="F82" s="546"/>
      <c r="G82" s="547"/>
      <c r="H82" s="547"/>
      <c r="I82" s="547"/>
      <c r="J82" s="548"/>
      <c r="K82" s="549"/>
      <c r="L82" s="548"/>
      <c r="M82" s="549"/>
      <c r="N82" s="548"/>
      <c r="O82" s="549"/>
      <c r="P82" s="550"/>
      <c r="Q82" s="551"/>
      <c r="R82" s="552"/>
      <c r="S82" s="553"/>
      <c r="T82" s="548"/>
      <c r="U82" s="554"/>
      <c r="V82" s="548"/>
      <c r="W82" s="554"/>
      <c r="X82" s="554"/>
      <c r="Y82" s="235"/>
      <c r="Z82" s="236"/>
      <c r="AA82" s="235"/>
      <c r="AB82" s="235"/>
      <c r="AC82" s="235"/>
      <c r="AD82" s="235"/>
    </row>
    <row r="83" spans="1:30" s="382" customFormat="1" ht="20.25" customHeight="1" thickBot="1">
      <c r="A83" s="518"/>
      <c r="B83" s="714" t="s">
        <v>248</v>
      </c>
      <c r="C83" s="715"/>
      <c r="D83" s="715"/>
      <c r="E83" s="715"/>
      <c r="F83" s="715"/>
      <c r="G83" s="520"/>
      <c r="H83" s="520">
        <f>SUM(H7:H82)</f>
        <v>1306</v>
      </c>
      <c r="I83" s="519"/>
      <c r="J83" s="521"/>
      <c r="K83" s="522"/>
      <c r="L83" s="521"/>
      <c r="M83" s="522"/>
      <c r="N83" s="521"/>
      <c r="O83" s="522"/>
      <c r="P83" s="521">
        <f>SUM(P7:P82)</f>
        <v>2265054.5</v>
      </c>
      <c r="Q83" s="522">
        <f>SUM(Q7:Q82)</f>
        <v>321583</v>
      </c>
      <c r="R83" s="523">
        <f>P83/H83</f>
        <v>1734.3449464012251</v>
      </c>
      <c r="S83" s="524">
        <f>P83/Q83</f>
        <v>7.043452234726338</v>
      </c>
      <c r="T83" s="521"/>
      <c r="U83" s="525"/>
      <c r="V83" s="541"/>
      <c r="W83" s="526"/>
      <c r="X83" s="527"/>
      <c r="Z83" s="383"/>
      <c r="AD83" s="382" t="s">
        <v>249</v>
      </c>
    </row>
    <row r="84" spans="20:24" ht="18">
      <c r="T84" s="702" t="s">
        <v>250</v>
      </c>
      <c r="U84" s="702"/>
      <c r="V84" s="702"/>
      <c r="W84" s="702"/>
      <c r="X84" s="702"/>
    </row>
    <row r="85" spans="20:24" ht="18">
      <c r="T85" s="667"/>
      <c r="U85" s="667"/>
      <c r="V85" s="667"/>
      <c r="W85" s="667"/>
      <c r="X85" s="667"/>
    </row>
    <row r="86" spans="20:24" ht="18">
      <c r="T86" s="667"/>
      <c r="U86" s="667"/>
      <c r="V86" s="667"/>
      <c r="W86" s="667"/>
      <c r="X86" s="667"/>
    </row>
    <row r="87" spans="20:24" ht="18">
      <c r="T87" s="667"/>
      <c r="U87" s="667"/>
      <c r="V87" s="667"/>
      <c r="W87" s="667"/>
      <c r="X87" s="667"/>
    </row>
    <row r="88" spans="20:24" ht="18">
      <c r="T88" s="667"/>
      <c r="U88" s="667"/>
      <c r="V88" s="667"/>
      <c r="W88" s="667"/>
      <c r="X88" s="667"/>
    </row>
    <row r="89" spans="20:24" ht="18">
      <c r="T89" s="667"/>
      <c r="U89" s="667"/>
      <c r="V89" s="667"/>
      <c r="W89" s="667"/>
      <c r="X89" s="667"/>
    </row>
    <row r="90" spans="1:24" ht="18">
      <c r="A90" s="668" t="s">
        <v>252</v>
      </c>
      <c r="B90" s="669"/>
      <c r="C90" s="669"/>
      <c r="D90" s="669"/>
      <c r="E90" s="669"/>
      <c r="F90" s="669"/>
      <c r="G90" s="669"/>
      <c r="H90" s="669"/>
      <c r="I90" s="669"/>
      <c r="J90" s="669"/>
      <c r="K90" s="669"/>
      <c r="L90" s="669"/>
      <c r="M90" s="669"/>
      <c r="N90" s="669"/>
      <c r="O90" s="669"/>
      <c r="P90" s="669"/>
      <c r="Q90" s="669"/>
      <c r="R90" s="669"/>
      <c r="S90" s="669"/>
      <c r="T90" s="669"/>
      <c r="U90" s="669"/>
      <c r="V90" s="669"/>
      <c r="W90" s="669"/>
      <c r="X90" s="669"/>
    </row>
    <row r="91" spans="1:24" ht="18">
      <c r="A91" s="669"/>
      <c r="B91" s="669"/>
      <c r="C91" s="669"/>
      <c r="D91" s="669"/>
      <c r="E91" s="669"/>
      <c r="F91" s="669"/>
      <c r="G91" s="669"/>
      <c r="H91" s="669"/>
      <c r="I91" s="669"/>
      <c r="J91" s="669"/>
      <c r="K91" s="669"/>
      <c r="L91" s="669"/>
      <c r="M91" s="669"/>
      <c r="N91" s="669"/>
      <c r="O91" s="669"/>
      <c r="P91" s="669"/>
      <c r="Q91" s="669"/>
      <c r="R91" s="669"/>
      <c r="S91" s="669"/>
      <c r="T91" s="669"/>
      <c r="U91" s="669"/>
      <c r="V91" s="669"/>
      <c r="W91" s="669"/>
      <c r="X91" s="669"/>
    </row>
    <row r="92" spans="1:24" ht="18">
      <c r="A92" s="669"/>
      <c r="B92" s="669"/>
      <c r="C92" s="669"/>
      <c r="D92" s="669"/>
      <c r="E92" s="669"/>
      <c r="F92" s="669"/>
      <c r="G92" s="669"/>
      <c r="H92" s="669"/>
      <c r="I92" s="669"/>
      <c r="J92" s="669"/>
      <c r="K92" s="669"/>
      <c r="L92" s="669"/>
      <c r="M92" s="669"/>
      <c r="N92" s="669"/>
      <c r="O92" s="669"/>
      <c r="P92" s="669"/>
      <c r="Q92" s="669"/>
      <c r="R92" s="669"/>
      <c r="S92" s="669"/>
      <c r="T92" s="669"/>
      <c r="U92" s="669"/>
      <c r="V92" s="669"/>
      <c r="W92" s="669"/>
      <c r="X92" s="669"/>
    </row>
    <row r="93" spans="1:24" ht="18">
      <c r="A93" s="669"/>
      <c r="B93" s="669"/>
      <c r="C93" s="669"/>
      <c r="D93" s="669"/>
      <c r="E93" s="669"/>
      <c r="F93" s="669"/>
      <c r="G93" s="669"/>
      <c r="H93" s="669"/>
      <c r="I93" s="669"/>
      <c r="J93" s="669"/>
      <c r="K93" s="669"/>
      <c r="L93" s="669"/>
      <c r="M93" s="669"/>
      <c r="N93" s="669"/>
      <c r="O93" s="669"/>
      <c r="P93" s="669"/>
      <c r="Q93" s="669"/>
      <c r="R93" s="669"/>
      <c r="S93" s="669"/>
      <c r="T93" s="669"/>
      <c r="U93" s="669"/>
      <c r="V93" s="669"/>
      <c r="W93" s="669"/>
      <c r="X93" s="669"/>
    </row>
    <row r="94" spans="1:30" ht="18">
      <c r="A94" s="669"/>
      <c r="B94" s="669"/>
      <c r="C94" s="669"/>
      <c r="D94" s="669"/>
      <c r="E94" s="669"/>
      <c r="F94" s="669"/>
      <c r="G94" s="669"/>
      <c r="H94" s="669"/>
      <c r="I94" s="669"/>
      <c r="J94" s="669"/>
      <c r="K94" s="669"/>
      <c r="L94" s="669"/>
      <c r="M94" s="669"/>
      <c r="N94" s="669"/>
      <c r="O94" s="669"/>
      <c r="P94" s="669"/>
      <c r="Q94" s="669"/>
      <c r="R94" s="669"/>
      <c r="S94" s="669"/>
      <c r="T94" s="669"/>
      <c r="U94" s="669"/>
      <c r="V94" s="669"/>
      <c r="W94" s="669"/>
      <c r="X94" s="669"/>
      <c r="AD94" s="200" t="s">
        <v>249</v>
      </c>
    </row>
  </sheetData>
  <mergeCells count="21">
    <mergeCell ref="E5:E6"/>
    <mergeCell ref="A1:X1"/>
    <mergeCell ref="O3:X3"/>
    <mergeCell ref="A2:X2"/>
    <mergeCell ref="L5:M5"/>
    <mergeCell ref="A4:X4"/>
    <mergeCell ref="F5:F6"/>
    <mergeCell ref="G5:G6"/>
    <mergeCell ref="H5:H6"/>
    <mergeCell ref="I5:I6"/>
    <mergeCell ref="J5:K5"/>
    <mergeCell ref="T84:X86"/>
    <mergeCell ref="T87:X89"/>
    <mergeCell ref="A90:X94"/>
    <mergeCell ref="N5:O5"/>
    <mergeCell ref="P5:S5"/>
    <mergeCell ref="T5:U5"/>
    <mergeCell ref="V5:X5"/>
    <mergeCell ref="C5:C6"/>
    <mergeCell ref="D5:D6"/>
    <mergeCell ref="B83:F83"/>
  </mergeCells>
  <printOptions/>
  <pageMargins left="0.44" right="0.27" top="1" bottom="1" header="0.5" footer="0.5"/>
  <pageSetup orientation="portrait" paperSize="9" scale="35" r:id="rId2"/>
  <ignoredErrors>
    <ignoredError sqref="R8:X9 R74:X79 P10:Q79 V65:W73 X10:X73 V10:W15 R10:S73 U10:U73 T10:T29 T31:T36 T38:T42 T44:T53 T55:T72" formula="1"/>
    <ignoredError sqref="V16:W64" formula="1" unlockedFormula="1"/>
  </ignoredErrors>
  <drawing r:id="rId1"/>
</worksheet>
</file>

<file path=xl/worksheets/sheet22.xml><?xml version="1.0" encoding="utf-8"?>
<worksheet xmlns="http://schemas.openxmlformats.org/spreadsheetml/2006/main" xmlns:r="http://schemas.openxmlformats.org/officeDocument/2006/relationships">
  <dimension ref="A1:AB25"/>
  <sheetViews>
    <sheetView tabSelected="1" zoomScale="80" zoomScaleNormal="80" workbookViewId="0" topLeftCell="A1">
      <selection activeCell="C3" sqref="C3"/>
    </sheetView>
  </sheetViews>
  <sheetFormatPr defaultColWidth="9.140625" defaultRowHeight="12.75"/>
  <cols>
    <col min="1" max="1" width="3.7109375" style="440" customWidth="1"/>
    <col min="2" max="2" width="1.7109375" style="253" customWidth="1"/>
    <col min="3" max="3" width="37.00390625" style="200" bestFit="1" customWidth="1"/>
    <col min="4" max="4" width="9.8515625" style="200" bestFit="1" customWidth="1"/>
    <col min="5" max="5" width="13.28125" style="200" bestFit="1" customWidth="1"/>
    <col min="6" max="6" width="7.8515625" style="255" bestFit="1" customWidth="1"/>
    <col min="7" max="7" width="8.57421875" style="200" customWidth="1"/>
    <col min="8" max="8" width="13.57421875" style="200" hidden="1" customWidth="1"/>
    <col min="9" max="9" width="8.57421875" style="200" hidden="1" customWidth="1"/>
    <col min="10" max="10" width="13.57421875" style="200" hidden="1" customWidth="1"/>
    <col min="11" max="11" width="8.57421875" style="200" hidden="1" customWidth="1"/>
    <col min="12" max="12" width="13.57421875" style="200" hidden="1" customWidth="1"/>
    <col min="13" max="13" width="8.57421875" style="200" hidden="1" customWidth="1"/>
    <col min="14" max="14" width="15.8515625" style="381" bestFit="1" customWidth="1"/>
    <col min="15" max="15" width="9.57421875" style="200" bestFit="1" customWidth="1"/>
    <col min="16" max="16" width="8.8515625" style="200" bestFit="1" customWidth="1"/>
    <col min="17" max="17" width="6.7109375" style="200" bestFit="1" customWidth="1"/>
    <col min="18" max="18" width="17.00390625" style="379" hidden="1" customWidth="1"/>
    <col min="19" max="19" width="8.57421875" style="200" hidden="1" customWidth="1"/>
    <col min="20" max="20" width="17.00390625" style="379" bestFit="1" customWidth="1"/>
    <col min="21" max="21" width="11.8515625" style="200" bestFit="1" customWidth="1"/>
    <col min="22" max="22" width="6.7109375" style="200" bestFit="1" customWidth="1"/>
    <col min="23" max="23" width="38.57421875" style="200" customWidth="1"/>
    <col min="24" max="24" width="38.57421875" style="152" customWidth="1"/>
    <col min="25" max="27" width="38.57421875" style="200" customWidth="1"/>
    <col min="28" max="28" width="2.28125" style="200" bestFit="1" customWidth="1"/>
    <col min="29" max="16384" width="38.57421875" style="200" customWidth="1"/>
  </cols>
  <sheetData>
    <row r="1" spans="1:22" ht="25.5">
      <c r="A1" s="726" t="s">
        <v>438</v>
      </c>
      <c r="B1" s="727"/>
      <c r="C1" s="727"/>
      <c r="D1" s="727"/>
      <c r="E1" s="727"/>
      <c r="F1" s="727"/>
      <c r="G1" s="727"/>
      <c r="H1" s="727"/>
      <c r="I1" s="727"/>
      <c r="J1" s="727"/>
      <c r="K1" s="727"/>
      <c r="L1" s="727"/>
      <c r="M1" s="727"/>
      <c r="N1" s="727"/>
      <c r="O1" s="727"/>
      <c r="P1" s="727"/>
      <c r="Q1" s="727"/>
      <c r="R1" s="727"/>
      <c r="S1" s="727"/>
      <c r="T1" s="727"/>
      <c r="U1" s="727"/>
      <c r="V1" s="728"/>
    </row>
    <row r="2" spans="1:22" ht="37.5">
      <c r="A2" s="729" t="s">
        <v>439</v>
      </c>
      <c r="B2" s="730"/>
      <c r="C2" s="730"/>
      <c r="D2" s="730"/>
      <c r="E2" s="730"/>
      <c r="F2" s="730"/>
      <c r="G2" s="730"/>
      <c r="H2" s="730"/>
      <c r="I2" s="730"/>
      <c r="J2" s="730"/>
      <c r="K2" s="730"/>
      <c r="L2" s="730"/>
      <c r="M2" s="730"/>
      <c r="N2" s="730"/>
      <c r="O2" s="730"/>
      <c r="P2" s="730"/>
      <c r="Q2" s="730"/>
      <c r="R2" s="730"/>
      <c r="S2" s="730"/>
      <c r="T2" s="730"/>
      <c r="U2" s="730"/>
      <c r="V2" s="731"/>
    </row>
    <row r="3" spans="1:22" ht="30" customHeight="1">
      <c r="A3" s="614"/>
      <c r="B3" s="615"/>
      <c r="C3" s="618" t="s">
        <v>441</v>
      </c>
      <c r="D3" s="615"/>
      <c r="E3" s="615"/>
      <c r="F3" s="615"/>
      <c r="G3" s="615"/>
      <c r="H3" s="734"/>
      <c r="I3" s="734"/>
      <c r="J3" s="734"/>
      <c r="K3" s="734"/>
      <c r="L3" s="734"/>
      <c r="M3" s="732" t="s">
        <v>442</v>
      </c>
      <c r="N3" s="732"/>
      <c r="O3" s="732"/>
      <c r="P3" s="732"/>
      <c r="Q3" s="732"/>
      <c r="R3" s="732"/>
      <c r="S3" s="732"/>
      <c r="T3" s="732"/>
      <c r="U3" s="732"/>
      <c r="V3" s="733"/>
    </row>
    <row r="4" spans="1:22" s="153" customFormat="1" ht="27.75" thickBot="1">
      <c r="A4" s="721" t="s">
        <v>406</v>
      </c>
      <c r="B4" s="722"/>
      <c r="C4" s="722"/>
      <c r="D4" s="722"/>
      <c r="E4" s="722"/>
      <c r="F4" s="722"/>
      <c r="G4" s="722"/>
      <c r="H4" s="722"/>
      <c r="I4" s="722"/>
      <c r="J4" s="722"/>
      <c r="K4" s="722"/>
      <c r="L4" s="722"/>
      <c r="M4" s="722"/>
      <c r="N4" s="722"/>
      <c r="O4" s="723"/>
      <c r="P4" s="723"/>
      <c r="Q4" s="723"/>
      <c r="R4" s="723"/>
      <c r="S4" s="723"/>
      <c r="T4" s="723"/>
      <c r="U4" s="723"/>
      <c r="V4" s="724"/>
    </row>
    <row r="5" spans="1:24" s="154" customFormat="1" ht="18">
      <c r="A5" s="612"/>
      <c r="B5" s="613"/>
      <c r="C5" s="719" t="s">
        <v>0</v>
      </c>
      <c r="D5" s="720" t="s">
        <v>191</v>
      </c>
      <c r="E5" s="720" t="s">
        <v>2</v>
      </c>
      <c r="F5" s="725" t="s">
        <v>194</v>
      </c>
      <c r="G5" s="725" t="s">
        <v>195</v>
      </c>
      <c r="H5" s="717" t="s">
        <v>4</v>
      </c>
      <c r="I5" s="717"/>
      <c r="J5" s="717" t="s">
        <v>7</v>
      </c>
      <c r="K5" s="717"/>
      <c r="L5" s="717" t="s">
        <v>8</v>
      </c>
      <c r="M5" s="717"/>
      <c r="N5" s="717" t="s">
        <v>196</v>
      </c>
      <c r="O5" s="717"/>
      <c r="P5" s="717"/>
      <c r="Q5" s="717"/>
      <c r="R5" s="717" t="s">
        <v>197</v>
      </c>
      <c r="S5" s="717"/>
      <c r="T5" s="717" t="s">
        <v>198</v>
      </c>
      <c r="U5" s="717"/>
      <c r="V5" s="718"/>
      <c r="X5" s="156"/>
    </row>
    <row r="6" spans="1:24" s="154" customFormat="1" ht="27.75" thickBot="1">
      <c r="A6" s="516"/>
      <c r="B6" s="286"/>
      <c r="C6" s="695"/>
      <c r="D6" s="697"/>
      <c r="E6" s="698"/>
      <c r="F6" s="700"/>
      <c r="G6" s="700"/>
      <c r="H6" s="289" t="s">
        <v>116</v>
      </c>
      <c r="I6" s="289" t="s">
        <v>16</v>
      </c>
      <c r="J6" s="289" t="s">
        <v>116</v>
      </c>
      <c r="K6" s="289" t="s">
        <v>16</v>
      </c>
      <c r="L6" s="289" t="s">
        <v>116</v>
      </c>
      <c r="M6" s="289" t="s">
        <v>16</v>
      </c>
      <c r="N6" s="287" t="s">
        <v>116</v>
      </c>
      <c r="O6" s="287" t="s">
        <v>16</v>
      </c>
      <c r="P6" s="288" t="s">
        <v>199</v>
      </c>
      <c r="Q6" s="288" t="s">
        <v>200</v>
      </c>
      <c r="R6" s="517" t="s">
        <v>116</v>
      </c>
      <c r="S6" s="291" t="s">
        <v>11</v>
      </c>
      <c r="T6" s="517" t="s">
        <v>116</v>
      </c>
      <c r="U6" s="289" t="s">
        <v>16</v>
      </c>
      <c r="V6" s="292" t="s">
        <v>200</v>
      </c>
      <c r="X6" s="156"/>
    </row>
    <row r="7" spans="1:24" s="154" customFormat="1" ht="18">
      <c r="A7" s="542">
        <v>1</v>
      </c>
      <c r="B7" s="293"/>
      <c r="C7" s="555" t="s">
        <v>405</v>
      </c>
      <c r="D7" s="556">
        <v>38821</v>
      </c>
      <c r="E7" s="600" t="s">
        <v>330</v>
      </c>
      <c r="F7" s="557">
        <v>118</v>
      </c>
      <c r="G7" s="578">
        <v>2</v>
      </c>
      <c r="H7" s="576">
        <v>169084</v>
      </c>
      <c r="I7" s="558">
        <v>23928</v>
      </c>
      <c r="J7" s="602">
        <v>349744.5</v>
      </c>
      <c r="K7" s="558">
        <v>48092</v>
      </c>
      <c r="L7" s="602">
        <v>499225</v>
      </c>
      <c r="M7" s="558">
        <v>66520</v>
      </c>
      <c r="N7" s="764">
        <f>SUM(H7+J7+L7)</f>
        <v>1018053.5</v>
      </c>
      <c r="O7" s="558">
        <f>SUM(I7+K7+M7)</f>
        <v>138540</v>
      </c>
      <c r="P7" s="603">
        <f>O7/F7</f>
        <v>1174.0677966101696</v>
      </c>
      <c r="Q7" s="622">
        <f>N7/O7</f>
        <v>7.348444492565324</v>
      </c>
      <c r="R7" s="621">
        <v>1310665.5</v>
      </c>
      <c r="S7" s="604">
        <f aca="true" t="shared" si="0" ref="S7:S16">IF(R7&lt;&gt;0,-(R7-N7)/R7,"")</f>
        <v>-0.22325452222554115</v>
      </c>
      <c r="T7" s="602">
        <v>2926914.5</v>
      </c>
      <c r="U7" s="558">
        <v>406377</v>
      </c>
      <c r="V7" s="605">
        <f aca="true" t="shared" si="1" ref="V7:V15">T7/U7</f>
        <v>7.202461015264151</v>
      </c>
      <c r="X7" s="156"/>
    </row>
    <row r="8" spans="1:24" s="530" customFormat="1" ht="18">
      <c r="A8" s="542">
        <v>2</v>
      </c>
      <c r="B8" s="559"/>
      <c r="C8" s="350" t="s">
        <v>407</v>
      </c>
      <c r="D8" s="349">
        <v>38828</v>
      </c>
      <c r="E8" s="594" t="s">
        <v>88</v>
      </c>
      <c r="F8" s="513">
        <v>61</v>
      </c>
      <c r="G8" s="389">
        <v>1</v>
      </c>
      <c r="H8" s="393">
        <v>53110.5</v>
      </c>
      <c r="I8" s="459">
        <v>6177</v>
      </c>
      <c r="J8" s="595">
        <v>64118</v>
      </c>
      <c r="K8" s="459">
        <v>7380</v>
      </c>
      <c r="L8" s="595">
        <v>116706</v>
      </c>
      <c r="M8" s="459">
        <v>13312</v>
      </c>
      <c r="N8" s="765">
        <f>+H8+J8+L8</f>
        <v>233934.5</v>
      </c>
      <c r="O8" s="353">
        <f>+I8+K8+M8</f>
        <v>26869</v>
      </c>
      <c r="P8" s="352">
        <f>IF(N8&lt;&gt;0,O8/F8,"")</f>
        <v>440.4754098360656</v>
      </c>
      <c r="Q8" s="454">
        <f>IF(N8&lt;&gt;0,N8/O8,"")</f>
        <v>8.7064833079013</v>
      </c>
      <c r="R8" s="393"/>
      <c r="S8" s="593">
        <f t="shared" si="0"/>
      </c>
      <c r="T8" s="595">
        <v>233934.5</v>
      </c>
      <c r="U8" s="459">
        <v>26869</v>
      </c>
      <c r="V8" s="606">
        <f t="shared" si="1"/>
        <v>8.7064833079013</v>
      </c>
      <c r="X8" s="531"/>
    </row>
    <row r="9" spans="1:24" s="530" customFormat="1" ht="18">
      <c r="A9" s="542">
        <v>3</v>
      </c>
      <c r="B9" s="559"/>
      <c r="C9" s="350" t="s">
        <v>385</v>
      </c>
      <c r="D9" s="349">
        <v>38815</v>
      </c>
      <c r="E9" s="348" t="s">
        <v>92</v>
      </c>
      <c r="F9" s="513">
        <v>96</v>
      </c>
      <c r="G9" s="389">
        <v>2</v>
      </c>
      <c r="H9" s="393">
        <v>18223</v>
      </c>
      <c r="I9" s="459">
        <v>2571</v>
      </c>
      <c r="J9" s="595">
        <v>60219</v>
      </c>
      <c r="K9" s="459">
        <v>8194</v>
      </c>
      <c r="L9" s="595">
        <v>90536</v>
      </c>
      <c r="M9" s="459">
        <v>11806</v>
      </c>
      <c r="N9" s="765">
        <f>+H9+J9+L9</f>
        <v>168978</v>
      </c>
      <c r="O9" s="353">
        <f>+I9+K9+M9</f>
        <v>22571</v>
      </c>
      <c r="P9" s="365">
        <f>O9/F9</f>
        <v>235.11458333333334</v>
      </c>
      <c r="Q9" s="623">
        <f>N9/O9</f>
        <v>7.4865092375171685</v>
      </c>
      <c r="R9" s="471">
        <f>+L9+N9+P9</f>
        <v>259749.11458333334</v>
      </c>
      <c r="S9" s="593">
        <f t="shared" si="0"/>
        <v>-0.34945687776045115</v>
      </c>
      <c r="T9" s="595">
        <v>597865</v>
      </c>
      <c r="U9" s="459">
        <v>80773</v>
      </c>
      <c r="V9" s="606">
        <f t="shared" si="1"/>
        <v>7.401792678246443</v>
      </c>
      <c r="X9" s="531"/>
    </row>
    <row r="10" spans="1:25" s="533" customFormat="1" ht="18">
      <c r="A10" s="542">
        <v>4</v>
      </c>
      <c r="B10" s="560"/>
      <c r="C10" s="356" t="s">
        <v>408</v>
      </c>
      <c r="D10" s="355">
        <v>38828</v>
      </c>
      <c r="E10" s="589" t="s">
        <v>330</v>
      </c>
      <c r="F10" s="535">
        <v>43</v>
      </c>
      <c r="G10" s="390">
        <v>1</v>
      </c>
      <c r="H10" s="394">
        <v>27453.5</v>
      </c>
      <c r="I10" s="357">
        <v>3802</v>
      </c>
      <c r="J10" s="591">
        <v>38397.5</v>
      </c>
      <c r="K10" s="357">
        <v>5110</v>
      </c>
      <c r="L10" s="591">
        <v>68128</v>
      </c>
      <c r="M10" s="357">
        <v>8861</v>
      </c>
      <c r="N10" s="766">
        <f>SUM(H10+J10+L10)</f>
        <v>133979</v>
      </c>
      <c r="O10" s="357">
        <f>SUM(I10+K10+M10)</f>
        <v>17773</v>
      </c>
      <c r="P10" s="365">
        <f>O10/F10</f>
        <v>413.3255813953488</v>
      </c>
      <c r="Q10" s="623">
        <f>N10/O10</f>
        <v>7.538344680132786</v>
      </c>
      <c r="R10" s="396"/>
      <c r="S10" s="593">
        <f t="shared" si="0"/>
      </c>
      <c r="T10" s="591">
        <v>133979</v>
      </c>
      <c r="U10" s="357">
        <v>17773</v>
      </c>
      <c r="V10" s="607">
        <f t="shared" si="1"/>
        <v>7.538344680132786</v>
      </c>
      <c r="W10" s="532"/>
      <c r="Y10" s="532"/>
    </row>
    <row r="11" spans="1:24" s="534" customFormat="1" ht="18">
      <c r="A11" s="542">
        <v>5</v>
      </c>
      <c r="B11" s="560"/>
      <c r="C11" s="350" t="s">
        <v>328</v>
      </c>
      <c r="D11" s="349">
        <v>38814</v>
      </c>
      <c r="E11" s="594" t="s">
        <v>88</v>
      </c>
      <c r="F11" s="513">
        <v>109</v>
      </c>
      <c r="G11" s="389">
        <v>3</v>
      </c>
      <c r="H11" s="393">
        <v>22095.5</v>
      </c>
      <c r="I11" s="459">
        <v>3070</v>
      </c>
      <c r="J11" s="595">
        <v>28533</v>
      </c>
      <c r="K11" s="459">
        <v>4486</v>
      </c>
      <c r="L11" s="595">
        <v>42939</v>
      </c>
      <c r="M11" s="459">
        <v>6626</v>
      </c>
      <c r="N11" s="765">
        <f aca="true" t="shared" si="2" ref="N11:O16">+H11+J11+L11</f>
        <v>93567.5</v>
      </c>
      <c r="O11" s="353">
        <f t="shared" si="2"/>
        <v>14182</v>
      </c>
      <c r="P11" s="352">
        <f>IF(N11&lt;&gt;0,O11/F11,"")</f>
        <v>130.11009174311926</v>
      </c>
      <c r="Q11" s="454">
        <f>IF(N11&lt;&gt;0,N11/O11,"")</f>
        <v>6.597623748413482</v>
      </c>
      <c r="R11" s="393">
        <v>167760.5</v>
      </c>
      <c r="S11" s="593">
        <f t="shared" si="0"/>
        <v>-0.44225547730246395</v>
      </c>
      <c r="T11" s="595">
        <v>807238</v>
      </c>
      <c r="U11" s="459">
        <v>122485</v>
      </c>
      <c r="V11" s="606">
        <f t="shared" si="1"/>
        <v>6.590504959790994</v>
      </c>
      <c r="W11" s="532"/>
      <c r="X11" s="532"/>
    </row>
    <row r="12" spans="1:24" s="534" customFormat="1" ht="18">
      <c r="A12" s="542">
        <v>6</v>
      </c>
      <c r="B12" s="560"/>
      <c r="C12" s="350" t="s">
        <v>292</v>
      </c>
      <c r="D12" s="349">
        <v>38807</v>
      </c>
      <c r="E12" s="348" t="s">
        <v>326</v>
      </c>
      <c r="F12" s="513">
        <v>115</v>
      </c>
      <c r="G12" s="389">
        <v>4</v>
      </c>
      <c r="H12" s="393">
        <v>18118</v>
      </c>
      <c r="I12" s="459">
        <v>2734</v>
      </c>
      <c r="J12" s="595">
        <v>28128</v>
      </c>
      <c r="K12" s="459">
        <v>4249</v>
      </c>
      <c r="L12" s="595">
        <v>44673</v>
      </c>
      <c r="M12" s="459">
        <v>6662</v>
      </c>
      <c r="N12" s="765">
        <f t="shared" si="2"/>
        <v>90919</v>
      </c>
      <c r="O12" s="353">
        <f t="shared" si="2"/>
        <v>13645</v>
      </c>
      <c r="P12" s="365">
        <f>O12/F12</f>
        <v>118.65217391304348</v>
      </c>
      <c r="Q12" s="623">
        <f>N12/O12</f>
        <v>6.663173323561744</v>
      </c>
      <c r="R12" s="471">
        <v>190050</v>
      </c>
      <c r="S12" s="593">
        <f t="shared" si="0"/>
        <v>-0.5216048408313602</v>
      </c>
      <c r="T12" s="595">
        <v>1895403</v>
      </c>
      <c r="U12" s="459">
        <v>253971</v>
      </c>
      <c r="V12" s="606">
        <f t="shared" si="1"/>
        <v>7.463068618070567</v>
      </c>
      <c r="W12" s="588"/>
      <c r="X12" s="588"/>
    </row>
    <row r="13" spans="1:24" s="534" customFormat="1" ht="18">
      <c r="A13" s="542">
        <v>7</v>
      </c>
      <c r="B13" s="560"/>
      <c r="C13" s="350" t="s">
        <v>410</v>
      </c>
      <c r="D13" s="349">
        <v>38828</v>
      </c>
      <c r="E13" s="348" t="s">
        <v>92</v>
      </c>
      <c r="F13" s="513">
        <v>48</v>
      </c>
      <c r="G13" s="389">
        <v>1</v>
      </c>
      <c r="H13" s="393">
        <v>15089</v>
      </c>
      <c r="I13" s="459">
        <v>1641</v>
      </c>
      <c r="J13" s="595">
        <v>22928</v>
      </c>
      <c r="K13" s="459">
        <v>2537</v>
      </c>
      <c r="L13" s="595">
        <v>48420</v>
      </c>
      <c r="M13" s="459">
        <v>5174</v>
      </c>
      <c r="N13" s="765">
        <f t="shared" si="2"/>
        <v>86437</v>
      </c>
      <c r="O13" s="353">
        <f t="shared" si="2"/>
        <v>9352</v>
      </c>
      <c r="P13" s="365">
        <f>O13/F13</f>
        <v>194.83333333333334</v>
      </c>
      <c r="Q13" s="623">
        <f>N13/O13</f>
        <v>9.242621899059024</v>
      </c>
      <c r="R13" s="393"/>
      <c r="S13" s="593">
        <f t="shared" si="0"/>
      </c>
      <c r="T13" s="595">
        <v>86437</v>
      </c>
      <c r="U13" s="459">
        <v>9352</v>
      </c>
      <c r="V13" s="606">
        <f t="shared" si="1"/>
        <v>9.242621899059024</v>
      </c>
      <c r="W13" s="532"/>
      <c r="X13" s="532"/>
    </row>
    <row r="14" spans="1:24" s="534" customFormat="1" ht="18">
      <c r="A14" s="542">
        <v>8</v>
      </c>
      <c r="B14" s="560"/>
      <c r="C14" s="350" t="s">
        <v>411</v>
      </c>
      <c r="D14" s="349">
        <v>38821</v>
      </c>
      <c r="E14" s="594" t="s">
        <v>88</v>
      </c>
      <c r="F14" s="513">
        <v>54</v>
      </c>
      <c r="G14" s="389">
        <v>2</v>
      </c>
      <c r="H14" s="393">
        <v>10123</v>
      </c>
      <c r="I14" s="459">
        <v>1332</v>
      </c>
      <c r="J14" s="595">
        <v>14059.5</v>
      </c>
      <c r="K14" s="459">
        <v>1912</v>
      </c>
      <c r="L14" s="595">
        <v>28760</v>
      </c>
      <c r="M14" s="459">
        <v>3680</v>
      </c>
      <c r="N14" s="765">
        <f t="shared" si="2"/>
        <v>52942.5</v>
      </c>
      <c r="O14" s="353">
        <f t="shared" si="2"/>
        <v>6924</v>
      </c>
      <c r="P14" s="352">
        <f>IF(N14&lt;&gt;0,O14/F14,"")</f>
        <v>128.22222222222223</v>
      </c>
      <c r="Q14" s="454">
        <f>IF(N14&lt;&gt;0,N14/O14,"")</f>
        <v>7.6462305025996535</v>
      </c>
      <c r="R14" s="393">
        <v>98266.5</v>
      </c>
      <c r="S14" s="593">
        <f t="shared" si="0"/>
        <v>-0.4612355176993177</v>
      </c>
      <c r="T14" s="595">
        <v>208458.5</v>
      </c>
      <c r="U14" s="459">
        <v>28033</v>
      </c>
      <c r="V14" s="606">
        <f t="shared" si="1"/>
        <v>7.436182356508401</v>
      </c>
      <c r="W14" s="532"/>
      <c r="X14" s="532"/>
    </row>
    <row r="15" spans="1:24" s="534" customFormat="1" ht="18">
      <c r="A15" s="542">
        <v>9</v>
      </c>
      <c r="B15" s="560"/>
      <c r="C15" s="350" t="s">
        <v>390</v>
      </c>
      <c r="D15" s="349">
        <v>38821</v>
      </c>
      <c r="E15" s="594" t="s">
        <v>88</v>
      </c>
      <c r="F15" s="513">
        <v>32</v>
      </c>
      <c r="G15" s="389">
        <v>2</v>
      </c>
      <c r="H15" s="393">
        <v>13128</v>
      </c>
      <c r="I15" s="459">
        <v>1347</v>
      </c>
      <c r="J15" s="595">
        <v>14899</v>
      </c>
      <c r="K15" s="459">
        <v>1602</v>
      </c>
      <c r="L15" s="595">
        <v>24232</v>
      </c>
      <c r="M15" s="459">
        <v>2557</v>
      </c>
      <c r="N15" s="765">
        <f t="shared" si="2"/>
        <v>52259</v>
      </c>
      <c r="O15" s="353">
        <f t="shared" si="2"/>
        <v>5506</v>
      </c>
      <c r="P15" s="352">
        <f>IF(N15&lt;&gt;0,O15/F15,"")</f>
        <v>172.0625</v>
      </c>
      <c r="Q15" s="454">
        <f>IF(N15&lt;&gt;0,N15/O15,"")</f>
        <v>9.491282237559027</v>
      </c>
      <c r="R15" s="393">
        <v>81322</v>
      </c>
      <c r="S15" s="593">
        <f t="shared" si="0"/>
        <v>-0.35738176631169916</v>
      </c>
      <c r="T15" s="595">
        <v>175186</v>
      </c>
      <c r="U15" s="459">
        <v>18596</v>
      </c>
      <c r="V15" s="606">
        <f t="shared" si="1"/>
        <v>9.42062809206281</v>
      </c>
      <c r="W15" s="532"/>
      <c r="X15" s="532"/>
    </row>
    <row r="16" spans="1:24" s="534" customFormat="1" ht="18.75" thickBot="1">
      <c r="A16" s="542">
        <v>10</v>
      </c>
      <c r="B16" s="562"/>
      <c r="C16" s="423" t="s">
        <v>412</v>
      </c>
      <c r="D16" s="422">
        <v>38828</v>
      </c>
      <c r="E16" s="421" t="s">
        <v>326</v>
      </c>
      <c r="F16" s="564">
        <v>46</v>
      </c>
      <c r="G16" s="424">
        <v>1</v>
      </c>
      <c r="H16" s="426">
        <v>9342</v>
      </c>
      <c r="I16" s="511">
        <v>1148</v>
      </c>
      <c r="J16" s="609">
        <v>14847</v>
      </c>
      <c r="K16" s="511">
        <v>1970</v>
      </c>
      <c r="L16" s="609">
        <v>22588</v>
      </c>
      <c r="M16" s="511">
        <v>2801</v>
      </c>
      <c r="N16" s="767">
        <f t="shared" si="2"/>
        <v>46777</v>
      </c>
      <c r="O16" s="429">
        <f t="shared" si="2"/>
        <v>5919</v>
      </c>
      <c r="P16" s="449">
        <f>O16/F16</f>
        <v>128.67391304347825</v>
      </c>
      <c r="Q16" s="624">
        <f>N16/O16</f>
        <v>7.902855212029059</v>
      </c>
      <c r="R16" s="510"/>
      <c r="S16" s="610">
        <f t="shared" si="0"/>
      </c>
      <c r="T16" s="609">
        <f>+N16</f>
        <v>46777</v>
      </c>
      <c r="U16" s="511">
        <f>+O16</f>
        <v>5919</v>
      </c>
      <c r="V16" s="611">
        <f>+Q16</f>
        <v>7.902855212029059</v>
      </c>
      <c r="W16" s="532"/>
      <c r="X16" s="532"/>
    </row>
    <row r="17" spans="1:28" s="237" customFormat="1" ht="19.5" thickBot="1">
      <c r="A17" s="514"/>
      <c r="B17" s="543"/>
      <c r="C17" s="544"/>
      <c r="D17" s="545"/>
      <c r="E17" s="545"/>
      <c r="F17" s="547"/>
      <c r="G17" s="547"/>
      <c r="H17" s="548"/>
      <c r="I17" s="549"/>
      <c r="J17" s="548"/>
      <c r="K17" s="549"/>
      <c r="L17" s="548"/>
      <c r="M17" s="549"/>
      <c r="N17" s="550"/>
      <c r="O17" s="551"/>
      <c r="P17" s="552"/>
      <c r="Q17" s="553"/>
      <c r="R17" s="548"/>
      <c r="S17" s="554"/>
      <c r="T17" s="548"/>
      <c r="U17" s="554"/>
      <c r="V17" s="554"/>
      <c r="W17" s="235"/>
      <c r="X17" s="236"/>
      <c r="Y17" s="235"/>
      <c r="Z17" s="235"/>
      <c r="AA17" s="235"/>
      <c r="AB17" s="235"/>
    </row>
    <row r="18" spans="1:28" s="382" customFormat="1" ht="15.75" thickBot="1">
      <c r="A18" s="518"/>
      <c r="B18" s="714" t="s">
        <v>248</v>
      </c>
      <c r="C18" s="715"/>
      <c r="D18" s="715"/>
      <c r="E18" s="715"/>
      <c r="F18" s="520">
        <f>SUM(F7:F17)</f>
        <v>722</v>
      </c>
      <c r="G18" s="519"/>
      <c r="H18" s="521"/>
      <c r="I18" s="522"/>
      <c r="J18" s="521"/>
      <c r="K18" s="522"/>
      <c r="L18" s="521"/>
      <c r="M18" s="522"/>
      <c r="N18" s="521">
        <f>SUM(N7:N17)</f>
        <v>1977847</v>
      </c>
      <c r="O18" s="522">
        <f>SUM(O7:O17)</f>
        <v>261281</v>
      </c>
      <c r="P18" s="523">
        <f>N18/F18</f>
        <v>2739.4002770083102</v>
      </c>
      <c r="Q18" s="524">
        <f>N18/O18</f>
        <v>7.569807984507102</v>
      </c>
      <c r="R18" s="521"/>
      <c r="S18" s="525"/>
      <c r="T18" s="541"/>
      <c r="U18" s="526"/>
      <c r="V18" s="527"/>
      <c r="X18" s="383"/>
      <c r="AB18" s="382" t="s">
        <v>249</v>
      </c>
    </row>
    <row r="19" spans="18:22" ht="18">
      <c r="R19" s="702" t="s">
        <v>250</v>
      </c>
      <c r="S19" s="702"/>
      <c r="T19" s="702"/>
      <c r="U19" s="702"/>
      <c r="V19" s="702"/>
    </row>
    <row r="20" spans="3:22" ht="12" customHeight="1">
      <c r="C20" s="617"/>
      <c r="D20" s="617"/>
      <c r="E20" s="617"/>
      <c r="F20" s="616"/>
      <c r="G20" s="616"/>
      <c r="R20" s="667"/>
      <c r="S20" s="667"/>
      <c r="T20" s="667"/>
      <c r="U20" s="667"/>
      <c r="V20" s="667"/>
    </row>
    <row r="21" spans="18:22" ht="18">
      <c r="R21" s="667"/>
      <c r="S21" s="667"/>
      <c r="T21" s="667"/>
      <c r="U21" s="667"/>
      <c r="V21" s="667"/>
    </row>
    <row r="22" spans="1:22" ht="18">
      <c r="A22" s="668" t="s">
        <v>252</v>
      </c>
      <c r="B22" s="669"/>
      <c r="C22" s="669"/>
      <c r="D22" s="669"/>
      <c r="E22" s="669"/>
      <c r="F22" s="669"/>
      <c r="G22" s="669"/>
      <c r="H22" s="669"/>
      <c r="I22" s="669"/>
      <c r="J22" s="669"/>
      <c r="K22" s="669"/>
      <c r="L22" s="669"/>
      <c r="M22" s="669"/>
      <c r="N22" s="669"/>
      <c r="O22" s="669"/>
      <c r="P22" s="669"/>
      <c r="Q22" s="669"/>
      <c r="R22" s="669"/>
      <c r="S22" s="669"/>
      <c r="T22" s="669"/>
      <c r="U22" s="669"/>
      <c r="V22" s="669"/>
    </row>
    <row r="23" spans="1:22" ht="18">
      <c r="A23" s="669"/>
      <c r="B23" s="669"/>
      <c r="C23" s="669"/>
      <c r="D23" s="669"/>
      <c r="E23" s="669"/>
      <c r="F23" s="669"/>
      <c r="G23" s="669"/>
      <c r="H23" s="669"/>
      <c r="I23" s="669"/>
      <c r="J23" s="669"/>
      <c r="K23" s="669"/>
      <c r="L23" s="669"/>
      <c r="M23" s="669"/>
      <c r="N23" s="669"/>
      <c r="O23" s="669"/>
      <c r="P23" s="669"/>
      <c r="Q23" s="669"/>
      <c r="R23" s="669"/>
      <c r="S23" s="669"/>
      <c r="T23" s="669"/>
      <c r="U23" s="669"/>
      <c r="V23" s="669"/>
    </row>
    <row r="24" spans="1:22" ht="18">
      <c r="A24" s="669"/>
      <c r="B24" s="669"/>
      <c r="C24" s="669"/>
      <c r="D24" s="669"/>
      <c r="E24" s="669"/>
      <c r="F24" s="669"/>
      <c r="G24" s="669"/>
      <c r="H24" s="669"/>
      <c r="I24" s="669"/>
      <c r="J24" s="669"/>
      <c r="K24" s="669"/>
      <c r="L24" s="669"/>
      <c r="M24" s="669"/>
      <c r="N24" s="669"/>
      <c r="O24" s="669"/>
      <c r="P24" s="669"/>
      <c r="Q24" s="669"/>
      <c r="R24" s="669"/>
      <c r="S24" s="669"/>
      <c r="T24" s="669"/>
      <c r="U24" s="669"/>
      <c r="V24" s="669"/>
    </row>
    <row r="25" spans="1:22" ht="4.5" customHeight="1">
      <c r="A25" s="669"/>
      <c r="B25" s="669"/>
      <c r="C25" s="669"/>
      <c r="D25" s="669"/>
      <c r="E25" s="669"/>
      <c r="F25" s="669"/>
      <c r="G25" s="669"/>
      <c r="H25" s="669"/>
      <c r="I25" s="669"/>
      <c r="J25" s="669"/>
      <c r="K25" s="669"/>
      <c r="L25" s="669"/>
      <c r="M25" s="669"/>
      <c r="N25" s="669"/>
      <c r="O25" s="669"/>
      <c r="P25" s="669"/>
      <c r="Q25" s="669"/>
      <c r="R25" s="669"/>
      <c r="S25" s="669"/>
      <c r="T25" s="669"/>
      <c r="U25" s="669"/>
      <c r="V25" s="669"/>
    </row>
  </sheetData>
  <mergeCells count="19">
    <mergeCell ref="A22:V25"/>
    <mergeCell ref="H3:L3"/>
    <mergeCell ref="T5:V5"/>
    <mergeCell ref="B18:E18"/>
    <mergeCell ref="R19:V21"/>
    <mergeCell ref="J5:K5"/>
    <mergeCell ref="L5:M5"/>
    <mergeCell ref="N5:Q5"/>
    <mergeCell ref="R5:S5"/>
    <mergeCell ref="F5:F6"/>
    <mergeCell ref="G5:G6"/>
    <mergeCell ref="H5:I5"/>
    <mergeCell ref="C5:C6"/>
    <mergeCell ref="D5:D6"/>
    <mergeCell ref="E5:E6"/>
    <mergeCell ref="A1:V1"/>
    <mergeCell ref="A2:V2"/>
    <mergeCell ref="M3:V3"/>
    <mergeCell ref="A4:V4"/>
  </mergeCells>
  <printOptions/>
  <pageMargins left="0.75" right="0.75" top="1" bottom="1" header="0.5" footer="0.5"/>
  <pageSetup orientation="landscape" paperSize="9" scale="80" r:id="rId2"/>
  <ignoredErrors>
    <ignoredError sqref="P8:V9 N10:O16 P10:S16 V10:V16 T10:U15" formula="1"/>
    <ignoredError sqref="T16:U16" formula="1" unlockedFormula="1"/>
  </ignoredErrors>
  <drawing r:id="rId1"/>
</worksheet>
</file>

<file path=xl/worksheets/sheet23.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26</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+'April,21-23 (we 17)'!N39</f>
        <v>637</v>
      </c>
      <c r="Q37" s="17">
        <f t="shared" si="1"/>
        <v>1</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27</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+'April, 28-30 (we 18)'!N37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28</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+'May,5-7 (we19)'!N37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29</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+'May,12-14(we20)'!N37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30</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+'May,19-21 (we21)'!O37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31</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+'May,26-28 (we22)'!N37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32</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+'June,2-4 (we23)'!N37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F173"/>
  <sheetViews>
    <sheetView zoomScale="90" zoomScaleNormal="90" workbookViewId="0" topLeftCell="A1">
      <selection activeCell="B32" sqref="B32"/>
    </sheetView>
  </sheetViews>
  <sheetFormatPr defaultColWidth="9.140625" defaultRowHeight="12.75"/>
  <cols>
    <col min="1" max="2" width="9.7109375" style="53" customWidth="1"/>
    <col min="3" max="20" width="13.57421875" style="53" customWidth="1"/>
    <col min="21" max="21" width="14.421875" style="53" customWidth="1"/>
    <col min="22" max="28" width="17.421875" style="53" customWidth="1"/>
    <col min="29" max="29" width="17.421875" style="54" customWidth="1"/>
    <col min="30" max="16384" width="17.421875" style="53" customWidth="1"/>
  </cols>
  <sheetData>
    <row r="1" spans="1:29" ht="90" customHeight="1" thickBot="1">
      <c r="A1" s="632" t="s">
        <v>169</v>
      </c>
      <c r="B1" s="633"/>
      <c r="C1" s="633"/>
      <c r="D1" s="633"/>
      <c r="E1" s="633"/>
      <c r="F1" s="633"/>
      <c r="G1" s="633"/>
      <c r="H1" s="633"/>
      <c r="I1" s="633"/>
      <c r="J1" s="633"/>
      <c r="K1" s="633"/>
      <c r="L1" s="633"/>
      <c r="M1" s="634"/>
      <c r="U1" s="54"/>
      <c r="AC1" s="53"/>
    </row>
    <row r="2" spans="1:21" ht="9" customHeight="1" thickBot="1">
      <c r="A2" s="55"/>
      <c r="B2" s="55"/>
      <c r="C2" s="55"/>
      <c r="D2" s="55"/>
      <c r="E2" s="55"/>
      <c r="F2" s="55"/>
      <c r="G2" s="55"/>
      <c r="H2" s="55"/>
      <c r="I2" s="55"/>
      <c r="J2" s="55"/>
      <c r="K2" s="55"/>
      <c r="L2" s="55"/>
      <c r="M2" s="55"/>
      <c r="N2" s="55"/>
      <c r="O2" s="55"/>
      <c r="P2" s="55"/>
      <c r="Q2" s="55"/>
      <c r="R2" s="55"/>
      <c r="S2" s="55"/>
      <c r="T2" s="55"/>
      <c r="U2" s="55"/>
    </row>
    <row r="3" spans="1:29" ht="18" customHeight="1">
      <c r="A3" s="56"/>
      <c r="B3" s="57"/>
      <c r="C3" s="123">
        <f aca="true" t="shared" si="0" ref="C3:L3">COLUMN()-2</f>
        <v>1</v>
      </c>
      <c r="D3" s="123">
        <f t="shared" si="0"/>
        <v>2</v>
      </c>
      <c r="E3" s="123">
        <f t="shared" si="0"/>
        <v>3</v>
      </c>
      <c r="F3" s="123">
        <f t="shared" si="0"/>
        <v>4</v>
      </c>
      <c r="G3" s="123">
        <f t="shared" si="0"/>
        <v>5</v>
      </c>
      <c r="H3" s="123">
        <f t="shared" si="0"/>
        <v>6</v>
      </c>
      <c r="I3" s="123">
        <f t="shared" si="0"/>
        <v>7</v>
      </c>
      <c r="J3" s="123">
        <f t="shared" si="0"/>
        <v>8</v>
      </c>
      <c r="K3" s="123">
        <f t="shared" si="0"/>
        <v>9</v>
      </c>
      <c r="L3" s="123">
        <f t="shared" si="0"/>
        <v>10</v>
      </c>
      <c r="M3" s="635" t="s">
        <v>128</v>
      </c>
      <c r="AC3" s="53"/>
    </row>
    <row r="4" spans="1:29" ht="45" customHeight="1" thickBot="1">
      <c r="A4" s="59"/>
      <c r="B4" s="60"/>
      <c r="C4" s="86" t="s">
        <v>146</v>
      </c>
      <c r="D4" s="86" t="s">
        <v>159</v>
      </c>
      <c r="E4" s="86" t="s">
        <v>154</v>
      </c>
      <c r="F4" s="86" t="s">
        <v>67</v>
      </c>
      <c r="G4" s="86" t="s">
        <v>149</v>
      </c>
      <c r="H4" s="86" t="s">
        <v>161</v>
      </c>
      <c r="I4" s="86" t="s">
        <v>170</v>
      </c>
      <c r="J4" s="86" t="s">
        <v>171</v>
      </c>
      <c r="K4" s="86" t="s">
        <v>172</v>
      </c>
      <c r="L4" s="86" t="s">
        <v>167</v>
      </c>
      <c r="M4" s="627"/>
      <c r="AC4" s="53"/>
    </row>
    <row r="5" spans="1:29" ht="19.5" customHeight="1">
      <c r="A5" s="629" t="s">
        <v>84</v>
      </c>
      <c r="B5" s="630"/>
      <c r="C5" s="87">
        <v>38723</v>
      </c>
      <c r="D5" s="87">
        <v>38709</v>
      </c>
      <c r="E5" s="87">
        <v>38723</v>
      </c>
      <c r="F5" s="87">
        <v>38674</v>
      </c>
      <c r="G5" s="87">
        <v>38730</v>
      </c>
      <c r="H5" s="87">
        <v>38730</v>
      </c>
      <c r="I5" s="87">
        <v>38716</v>
      </c>
      <c r="J5" s="87">
        <v>38702</v>
      </c>
      <c r="K5" s="87">
        <v>38723</v>
      </c>
      <c r="L5" s="87">
        <v>38695</v>
      </c>
      <c r="M5" s="627"/>
      <c r="AC5" s="53"/>
    </row>
    <row r="6" spans="1:29" ht="19.5" customHeight="1">
      <c r="A6" s="631" t="s">
        <v>132</v>
      </c>
      <c r="B6" s="626"/>
      <c r="C6" s="88">
        <v>280</v>
      </c>
      <c r="D6" s="88">
        <v>233</v>
      </c>
      <c r="E6" s="88">
        <v>199</v>
      </c>
      <c r="F6" s="88">
        <v>96</v>
      </c>
      <c r="G6" s="88">
        <v>116</v>
      </c>
      <c r="H6" s="88">
        <v>62</v>
      </c>
      <c r="I6" s="88">
        <v>60</v>
      </c>
      <c r="J6" s="88">
        <v>131</v>
      </c>
      <c r="K6" s="88">
        <v>10</v>
      </c>
      <c r="L6" s="88">
        <v>77</v>
      </c>
      <c r="M6" s="627"/>
      <c r="AC6" s="53"/>
    </row>
    <row r="7" spans="1:13" s="66" customFormat="1" ht="15" customHeight="1">
      <c r="A7" s="625" t="s">
        <v>87</v>
      </c>
      <c r="B7" s="636"/>
      <c r="C7" s="89" t="s">
        <v>90</v>
      </c>
      <c r="D7" s="89" t="s">
        <v>89</v>
      </c>
      <c r="E7" s="89" t="s">
        <v>89</v>
      </c>
      <c r="F7" s="89" t="s">
        <v>90</v>
      </c>
      <c r="G7" s="89" t="s">
        <v>92</v>
      </c>
      <c r="H7" s="89" t="s">
        <v>91</v>
      </c>
      <c r="I7" s="89" t="s">
        <v>91</v>
      </c>
      <c r="J7" s="89" t="s">
        <v>92</v>
      </c>
      <c r="K7" s="89" t="s">
        <v>173</v>
      </c>
      <c r="L7" s="89" t="s">
        <v>92</v>
      </c>
      <c r="M7" s="627"/>
    </row>
    <row r="8" spans="1:13" s="66" customFormat="1" ht="15" customHeight="1">
      <c r="A8" s="637"/>
      <c r="B8" s="638"/>
      <c r="C8" s="90" t="s">
        <v>150</v>
      </c>
      <c r="D8" s="90" t="s">
        <v>163</v>
      </c>
      <c r="E8" s="90" t="s">
        <v>157</v>
      </c>
      <c r="F8" s="90" t="s">
        <v>100</v>
      </c>
      <c r="G8" s="90" t="s">
        <v>102</v>
      </c>
      <c r="H8" s="90" t="s">
        <v>165</v>
      </c>
      <c r="I8" s="90" t="s">
        <v>97</v>
      </c>
      <c r="J8" s="90" t="s">
        <v>105</v>
      </c>
      <c r="K8" s="90" t="s">
        <v>100</v>
      </c>
      <c r="L8" s="90" t="s">
        <v>102</v>
      </c>
      <c r="M8" s="627"/>
    </row>
    <row r="9" spans="1:29" ht="19.5" customHeight="1">
      <c r="A9" s="631" t="s">
        <v>113</v>
      </c>
      <c r="B9" s="626"/>
      <c r="C9" s="88">
        <v>2</v>
      </c>
      <c r="D9" s="88">
        <v>4</v>
      </c>
      <c r="E9" s="88">
        <v>2</v>
      </c>
      <c r="F9" s="88">
        <v>9</v>
      </c>
      <c r="G9" s="88">
        <v>1</v>
      </c>
      <c r="H9" s="88">
        <v>1</v>
      </c>
      <c r="I9" s="88">
        <v>3</v>
      </c>
      <c r="J9" s="88">
        <v>5</v>
      </c>
      <c r="K9" s="88">
        <v>2</v>
      </c>
      <c r="L9" s="88">
        <v>6</v>
      </c>
      <c r="M9" s="627"/>
      <c r="AC9" s="53"/>
    </row>
    <row r="10" spans="1:29" ht="19.5" customHeight="1" thickBot="1">
      <c r="A10" s="631" t="s">
        <v>114</v>
      </c>
      <c r="B10" s="626"/>
      <c r="C10" s="91">
        <v>280</v>
      </c>
      <c r="D10" s="91">
        <v>249</v>
      </c>
      <c r="E10" s="91">
        <v>267</v>
      </c>
      <c r="F10" s="91">
        <v>87</v>
      </c>
      <c r="G10" s="91">
        <v>117</v>
      </c>
      <c r="H10" s="91">
        <v>63</v>
      </c>
      <c r="I10" s="91">
        <v>53</v>
      </c>
      <c r="J10" s="91">
        <v>20</v>
      </c>
      <c r="K10" s="91">
        <v>10</v>
      </c>
      <c r="L10" s="91">
        <v>31</v>
      </c>
      <c r="M10" s="628"/>
      <c r="N10" s="69"/>
      <c r="O10" s="69"/>
      <c r="P10" s="69"/>
      <c r="Q10" s="69"/>
      <c r="R10" s="69"/>
      <c r="S10" s="69"/>
      <c r="T10" s="69"/>
      <c r="U10" s="69"/>
      <c r="AC10" s="53"/>
    </row>
    <row r="11" spans="1:29" ht="19.5" customHeight="1">
      <c r="A11" s="625" t="s">
        <v>115</v>
      </c>
      <c r="B11" s="92" t="s">
        <v>116</v>
      </c>
      <c r="C11" s="93">
        <v>1023552.5</v>
      </c>
      <c r="D11" s="93">
        <v>564321</v>
      </c>
      <c r="E11" s="93">
        <v>471006.5</v>
      </c>
      <c r="F11" s="93">
        <v>382037.5</v>
      </c>
      <c r="G11" s="93">
        <v>328396</v>
      </c>
      <c r="H11" s="93">
        <v>154054.5</v>
      </c>
      <c r="I11" s="93">
        <v>22133</v>
      </c>
      <c r="J11" s="93">
        <v>9947</v>
      </c>
      <c r="K11" s="93">
        <v>12377</v>
      </c>
      <c r="L11" s="93">
        <v>6494</v>
      </c>
      <c r="M11" s="94">
        <f aca="true" t="shared" si="1" ref="M11:M18">SUM($C11:$L11)</f>
        <v>2974319</v>
      </c>
      <c r="AC11" s="53"/>
    </row>
    <row r="12" spans="1:29" ht="19.5" customHeight="1">
      <c r="A12" s="637"/>
      <c r="B12" s="95" t="s">
        <v>117</v>
      </c>
      <c r="C12" s="96">
        <v>156942</v>
      </c>
      <c r="D12" s="96">
        <v>81718</v>
      </c>
      <c r="E12" s="96">
        <v>67573</v>
      </c>
      <c r="F12" s="96">
        <v>48558</v>
      </c>
      <c r="G12" s="96">
        <v>42472</v>
      </c>
      <c r="H12" s="96">
        <v>16529</v>
      </c>
      <c r="I12" s="96">
        <v>3170</v>
      </c>
      <c r="J12" s="96">
        <v>1971</v>
      </c>
      <c r="K12" s="96">
        <v>1738</v>
      </c>
      <c r="L12" s="96">
        <v>1075</v>
      </c>
      <c r="M12" s="97">
        <f t="shared" si="1"/>
        <v>421746</v>
      </c>
      <c r="AC12" s="53"/>
    </row>
    <row r="13" spans="1:29" ht="19.5" customHeight="1">
      <c r="A13" s="625" t="s">
        <v>118</v>
      </c>
      <c r="B13" s="92" t="s">
        <v>116</v>
      </c>
      <c r="C13" s="93">
        <v>784923.5</v>
      </c>
      <c r="D13" s="93">
        <v>457247</v>
      </c>
      <c r="E13" s="93">
        <v>379407</v>
      </c>
      <c r="F13" s="93">
        <v>361711</v>
      </c>
      <c r="G13" s="93">
        <v>303218</v>
      </c>
      <c r="H13" s="93">
        <v>144228.5</v>
      </c>
      <c r="I13" s="93">
        <v>18991.5</v>
      </c>
      <c r="J13" s="93">
        <v>9291</v>
      </c>
      <c r="K13" s="93">
        <v>10985</v>
      </c>
      <c r="L13" s="93">
        <v>7833</v>
      </c>
      <c r="M13" s="98">
        <f t="shared" si="1"/>
        <v>2477835.5</v>
      </c>
      <c r="AC13" s="53"/>
    </row>
    <row r="14" spans="1:29" ht="19.5" customHeight="1">
      <c r="A14" s="637"/>
      <c r="B14" s="95" t="s">
        <v>117</v>
      </c>
      <c r="C14" s="96">
        <v>120996</v>
      </c>
      <c r="D14" s="96">
        <v>65609</v>
      </c>
      <c r="E14" s="96">
        <v>55075</v>
      </c>
      <c r="F14" s="96">
        <v>45748</v>
      </c>
      <c r="G14" s="96">
        <v>39000</v>
      </c>
      <c r="H14" s="96">
        <v>15338</v>
      </c>
      <c r="I14" s="96">
        <v>2633</v>
      </c>
      <c r="J14" s="96">
        <v>1821</v>
      </c>
      <c r="K14" s="96">
        <v>1367</v>
      </c>
      <c r="L14" s="96">
        <v>1272</v>
      </c>
      <c r="M14" s="97">
        <f t="shared" si="1"/>
        <v>348859</v>
      </c>
      <c r="AC14" s="53"/>
    </row>
    <row r="15" spans="1:29" ht="19.5" customHeight="1">
      <c r="A15" s="625" t="s">
        <v>119</v>
      </c>
      <c r="B15" s="92" t="s">
        <v>116</v>
      </c>
      <c r="C15" s="93">
        <v>704046</v>
      </c>
      <c r="D15" s="93">
        <v>401156</v>
      </c>
      <c r="E15" s="93">
        <v>347953</v>
      </c>
      <c r="F15" s="93">
        <v>339525.5</v>
      </c>
      <c r="G15" s="93">
        <v>277808</v>
      </c>
      <c r="H15" s="93">
        <v>134200</v>
      </c>
      <c r="I15" s="93">
        <v>18358.5</v>
      </c>
      <c r="J15" s="93">
        <v>8007</v>
      </c>
      <c r="K15" s="93">
        <v>10167</v>
      </c>
      <c r="L15" s="93">
        <v>7513</v>
      </c>
      <c r="M15" s="98">
        <f t="shared" si="1"/>
        <v>2248734</v>
      </c>
      <c r="AC15" s="53"/>
    </row>
    <row r="16" spans="1:29" ht="19.5" customHeight="1">
      <c r="A16" s="637"/>
      <c r="B16" s="95" t="s">
        <v>117</v>
      </c>
      <c r="C16" s="96">
        <v>107541</v>
      </c>
      <c r="D16" s="96">
        <v>57357</v>
      </c>
      <c r="E16" s="96">
        <v>50062</v>
      </c>
      <c r="F16" s="96">
        <v>42840</v>
      </c>
      <c r="G16" s="96">
        <v>35744</v>
      </c>
      <c r="H16" s="96">
        <v>14267</v>
      </c>
      <c r="I16" s="96">
        <v>2485</v>
      </c>
      <c r="J16" s="96">
        <v>1597</v>
      </c>
      <c r="K16" s="96">
        <v>1361</v>
      </c>
      <c r="L16" s="96">
        <v>1238</v>
      </c>
      <c r="M16" s="99">
        <f t="shared" si="1"/>
        <v>314492</v>
      </c>
      <c r="AC16" s="53"/>
    </row>
    <row r="17" spans="1:29" ht="19.5" customHeight="1">
      <c r="A17" s="639" t="s">
        <v>120</v>
      </c>
      <c r="B17" s="124" t="s">
        <v>116</v>
      </c>
      <c r="C17" s="125">
        <f aca="true" t="shared" si="2" ref="C17:L18">C11+C13+C15</f>
        <v>2512522</v>
      </c>
      <c r="D17" s="125">
        <f t="shared" si="2"/>
        <v>1422724</v>
      </c>
      <c r="E17" s="125">
        <f t="shared" si="2"/>
        <v>1198366.5</v>
      </c>
      <c r="F17" s="125">
        <f t="shared" si="2"/>
        <v>1083274</v>
      </c>
      <c r="G17" s="125">
        <f t="shared" si="2"/>
        <v>909422</v>
      </c>
      <c r="H17" s="125">
        <f t="shared" si="2"/>
        <v>432483</v>
      </c>
      <c r="I17" s="125">
        <f t="shared" si="2"/>
        <v>59483</v>
      </c>
      <c r="J17" s="125">
        <f t="shared" si="2"/>
        <v>27245</v>
      </c>
      <c r="K17" s="125">
        <f t="shared" si="2"/>
        <v>33529</v>
      </c>
      <c r="L17" s="125">
        <f t="shared" si="2"/>
        <v>21840</v>
      </c>
      <c r="M17" s="102">
        <f t="shared" si="1"/>
        <v>7700888.5</v>
      </c>
      <c r="AC17" s="53"/>
    </row>
    <row r="18" spans="1:29" ht="19.5" customHeight="1">
      <c r="A18" s="640"/>
      <c r="B18" s="126" t="s">
        <v>117</v>
      </c>
      <c r="C18" s="127">
        <f t="shared" si="2"/>
        <v>385479</v>
      </c>
      <c r="D18" s="127">
        <f t="shared" si="2"/>
        <v>204684</v>
      </c>
      <c r="E18" s="127">
        <f t="shared" si="2"/>
        <v>172710</v>
      </c>
      <c r="F18" s="127">
        <f t="shared" si="2"/>
        <v>137146</v>
      </c>
      <c r="G18" s="127">
        <f t="shared" si="2"/>
        <v>117216</v>
      </c>
      <c r="H18" s="127">
        <f t="shared" si="2"/>
        <v>46134</v>
      </c>
      <c r="I18" s="127">
        <f t="shared" si="2"/>
        <v>8288</v>
      </c>
      <c r="J18" s="127">
        <f t="shared" si="2"/>
        <v>5389</v>
      </c>
      <c r="K18" s="127">
        <f t="shared" si="2"/>
        <v>4466</v>
      </c>
      <c r="L18" s="127">
        <f t="shared" si="2"/>
        <v>3585</v>
      </c>
      <c r="M18" s="105">
        <f t="shared" si="1"/>
        <v>1085097</v>
      </c>
      <c r="AC18" s="53"/>
    </row>
    <row r="19" spans="1:13" s="108" customFormat="1" ht="19.5" customHeight="1">
      <c r="A19" s="641" t="s">
        <v>133</v>
      </c>
      <c r="B19" s="642"/>
      <c r="C19" s="106">
        <f aca="true" t="shared" si="3" ref="C19:L19">IF(C18&lt;&gt;0,C18/$M$18*100,"")</f>
        <v>35.52484247952027</v>
      </c>
      <c r="D19" s="106">
        <f t="shared" si="3"/>
        <v>18.86319840530386</v>
      </c>
      <c r="E19" s="106">
        <f t="shared" si="3"/>
        <v>15.916549396044777</v>
      </c>
      <c r="F19" s="106">
        <f t="shared" si="3"/>
        <v>12.639054388685988</v>
      </c>
      <c r="G19" s="106">
        <f t="shared" si="3"/>
        <v>10.802352232104596</v>
      </c>
      <c r="H19" s="106">
        <f t="shared" si="3"/>
        <v>4.251601469730356</v>
      </c>
      <c r="I19" s="106">
        <f t="shared" si="3"/>
        <v>0.7638026830781027</v>
      </c>
      <c r="J19" s="106">
        <f t="shared" si="3"/>
        <v>0.49663762778811477</v>
      </c>
      <c r="K19" s="106">
        <f t="shared" si="3"/>
        <v>0.4115761079424236</v>
      </c>
      <c r="L19" s="106">
        <f t="shared" si="3"/>
        <v>0.33038520980152003</v>
      </c>
      <c r="M19" s="107"/>
    </row>
    <row r="20" spans="1:29" ht="19.5" customHeight="1">
      <c r="A20" s="643" t="s">
        <v>121</v>
      </c>
      <c r="B20" s="644"/>
      <c r="C20" s="109">
        <v>450783</v>
      </c>
      <c r="D20" s="136">
        <v>350000</v>
      </c>
      <c r="E20" s="136">
        <v>312000</v>
      </c>
      <c r="F20" s="109">
        <v>95666</v>
      </c>
      <c r="G20" s="109"/>
      <c r="H20" s="109"/>
      <c r="I20" s="109">
        <v>11351</v>
      </c>
      <c r="J20" s="109">
        <v>18758</v>
      </c>
      <c r="K20" s="109">
        <v>4777</v>
      </c>
      <c r="L20" s="109">
        <v>5183</v>
      </c>
      <c r="M20" s="110">
        <f>SUM($C20:$L20)</f>
        <v>1248518</v>
      </c>
      <c r="AC20" s="53"/>
    </row>
    <row r="21" spans="1:29" ht="19.5" customHeight="1">
      <c r="A21" s="645" t="s">
        <v>122</v>
      </c>
      <c r="B21" s="646"/>
      <c r="C21" s="111">
        <f aca="true" t="shared" si="4" ref="C21:L21">IF(C20&lt;&gt;0,(+C18-C20)/C20*100," ")</f>
        <v>-14.486792980214428</v>
      </c>
      <c r="D21" s="111">
        <f t="shared" si="4"/>
        <v>-41.518857142857144</v>
      </c>
      <c r="E21" s="111">
        <f t="shared" si="4"/>
        <v>-44.64423076923077</v>
      </c>
      <c r="F21" s="111">
        <f t="shared" si="4"/>
        <v>43.35918717203604</v>
      </c>
      <c r="G21" s="111" t="str">
        <f t="shared" si="4"/>
        <v> </v>
      </c>
      <c r="H21" s="111" t="str">
        <f t="shared" si="4"/>
        <v> </v>
      </c>
      <c r="I21" s="111">
        <f t="shared" si="4"/>
        <v>-26.98440666020615</v>
      </c>
      <c r="J21" s="111">
        <f t="shared" si="4"/>
        <v>-71.27092440558695</v>
      </c>
      <c r="K21" s="111">
        <f t="shared" si="4"/>
        <v>-6.510362151978229</v>
      </c>
      <c r="L21" s="111">
        <f t="shared" si="4"/>
        <v>-30.831564730850857</v>
      </c>
      <c r="M21" s="112">
        <f>(+M18-M20)/M20*100</f>
        <v>-13.089198553805392</v>
      </c>
      <c r="AC21" s="53"/>
    </row>
    <row r="22" spans="1:29" ht="19.5" customHeight="1">
      <c r="A22" s="643" t="s">
        <v>123</v>
      </c>
      <c r="B22" s="644"/>
      <c r="C22" s="113">
        <f aca="true" t="shared" si="5" ref="C22:L22">IF(C18&lt;&gt;0,+C18/C10," ")</f>
        <v>1376.7107142857142</v>
      </c>
      <c r="D22" s="113">
        <f t="shared" si="5"/>
        <v>822.0240963855422</v>
      </c>
      <c r="E22" s="113">
        <f t="shared" si="5"/>
        <v>646.8539325842696</v>
      </c>
      <c r="F22" s="113">
        <f t="shared" si="5"/>
        <v>1576.3908045977012</v>
      </c>
      <c r="G22" s="113">
        <f t="shared" si="5"/>
        <v>1001.8461538461538</v>
      </c>
      <c r="H22" s="113">
        <f t="shared" si="5"/>
        <v>732.2857142857143</v>
      </c>
      <c r="I22" s="113">
        <f t="shared" si="5"/>
        <v>156.37735849056602</v>
      </c>
      <c r="J22" s="113">
        <f t="shared" si="5"/>
        <v>269.45</v>
      </c>
      <c r="K22" s="113">
        <f t="shared" si="5"/>
        <v>446.6</v>
      </c>
      <c r="L22" s="113">
        <f t="shared" si="5"/>
        <v>115.64516129032258</v>
      </c>
      <c r="M22" s="114">
        <f>M18/(SUM(C10:L10))</f>
        <v>921.9175870858114</v>
      </c>
      <c r="AC22" s="53"/>
    </row>
    <row r="23" spans="1:29" ht="19.5" customHeight="1">
      <c r="A23" s="648" t="s">
        <v>124</v>
      </c>
      <c r="B23" s="649"/>
      <c r="C23" s="115">
        <f aca="true" t="shared" si="6" ref="C23:L23">IF(C17&lt;&gt;0,+C17/C18," ")</f>
        <v>6.517921858259464</v>
      </c>
      <c r="D23" s="115">
        <f t="shared" si="6"/>
        <v>6.9508315256688356</v>
      </c>
      <c r="E23" s="115">
        <f t="shared" si="6"/>
        <v>6.938605176307105</v>
      </c>
      <c r="F23" s="115">
        <f t="shared" si="6"/>
        <v>7.898691904977178</v>
      </c>
      <c r="G23" s="115">
        <f t="shared" si="6"/>
        <v>7.758514196014196</v>
      </c>
      <c r="H23" s="115">
        <f t="shared" si="6"/>
        <v>9.374496033294317</v>
      </c>
      <c r="I23" s="115">
        <f t="shared" si="6"/>
        <v>7.177002895752896</v>
      </c>
      <c r="J23" s="115">
        <f t="shared" si="6"/>
        <v>5.055668955279272</v>
      </c>
      <c r="K23" s="115">
        <f t="shared" si="6"/>
        <v>7.507613076578594</v>
      </c>
      <c r="L23" s="115">
        <f t="shared" si="6"/>
        <v>6.092050209205021</v>
      </c>
      <c r="M23" s="116">
        <f>M17/M18</f>
        <v>7.096958612916633</v>
      </c>
      <c r="AC23" s="53"/>
    </row>
    <row r="24" spans="1:29" ht="19.5" customHeight="1">
      <c r="A24" s="643" t="s">
        <v>125</v>
      </c>
      <c r="B24" s="644"/>
      <c r="C24" s="128">
        <v>8104306</v>
      </c>
      <c r="D24" s="128">
        <v>14790762.5</v>
      </c>
      <c r="E24" s="128">
        <v>4131894</v>
      </c>
      <c r="F24" s="128">
        <v>16780562.5</v>
      </c>
      <c r="G24" s="128">
        <v>909422</v>
      </c>
      <c r="H24" s="128">
        <v>432483</v>
      </c>
      <c r="I24" s="128">
        <v>498905</v>
      </c>
      <c r="J24" s="128">
        <v>3016402</v>
      </c>
      <c r="K24" s="128">
        <v>119601</v>
      </c>
      <c r="L24" s="128">
        <v>1716613</v>
      </c>
      <c r="M24" s="118">
        <f>SUM($C24:$L24)</f>
        <v>50500951</v>
      </c>
      <c r="AC24" s="53"/>
    </row>
    <row r="25" spans="1:29" ht="19.5" customHeight="1">
      <c r="A25" s="650" t="s">
        <v>126</v>
      </c>
      <c r="B25" s="651"/>
      <c r="C25" s="129">
        <v>1256762</v>
      </c>
      <c r="D25" s="129">
        <v>2148828</v>
      </c>
      <c r="E25" s="129">
        <v>591342</v>
      </c>
      <c r="F25" s="129">
        <v>2284745</v>
      </c>
      <c r="G25" s="129">
        <v>117216</v>
      </c>
      <c r="H25" s="129">
        <v>46134</v>
      </c>
      <c r="I25" s="129">
        <v>69639</v>
      </c>
      <c r="J25" s="129">
        <v>416218</v>
      </c>
      <c r="K25" s="129">
        <v>15546</v>
      </c>
      <c r="L25" s="129">
        <v>250790</v>
      </c>
      <c r="M25" s="120">
        <f>SUM($C25:$L25)</f>
        <v>7197220</v>
      </c>
      <c r="AC25" s="53"/>
    </row>
    <row r="26" spans="1:29" ht="19.5" customHeight="1" thickBot="1">
      <c r="A26" s="652" t="s">
        <v>124</v>
      </c>
      <c r="B26" s="653"/>
      <c r="C26" s="121">
        <f aca="true" t="shared" si="7" ref="C26:L26">IF(C24&lt;&gt;0,+C24/C25," ")</f>
        <v>6.448560666220017</v>
      </c>
      <c r="D26" s="121">
        <f t="shared" si="7"/>
        <v>6.883176550193873</v>
      </c>
      <c r="E26" s="121">
        <f t="shared" si="7"/>
        <v>6.9873169840802785</v>
      </c>
      <c r="F26" s="121">
        <f t="shared" si="7"/>
        <v>7.344610667711276</v>
      </c>
      <c r="G26" s="121">
        <f t="shared" si="7"/>
        <v>7.758514196014196</v>
      </c>
      <c r="H26" s="121">
        <f t="shared" si="7"/>
        <v>9.374496033294317</v>
      </c>
      <c r="I26" s="121">
        <f t="shared" si="7"/>
        <v>7.164160886859375</v>
      </c>
      <c r="J26" s="121">
        <f t="shared" si="7"/>
        <v>7.24716855109582</v>
      </c>
      <c r="K26" s="121">
        <f t="shared" si="7"/>
        <v>7.693361636433809</v>
      </c>
      <c r="L26" s="121">
        <f t="shared" si="7"/>
        <v>6.844822361338172</v>
      </c>
      <c r="M26" s="122">
        <f>M24/M25</f>
        <v>7.0167302097198645</v>
      </c>
      <c r="AC26" s="53"/>
    </row>
    <row r="27" spans="21:30" ht="9.75" customHeight="1">
      <c r="U27" s="130"/>
      <c r="V27" s="130"/>
      <c r="W27" s="131"/>
      <c r="X27" s="131"/>
      <c r="Y27" s="131"/>
      <c r="Z27" s="131"/>
      <c r="AC27" s="84"/>
      <c r="AD27" s="84"/>
    </row>
    <row r="28" spans="1:32" s="134" customFormat="1" ht="12" customHeight="1">
      <c r="A28" s="647" t="s">
        <v>174</v>
      </c>
      <c r="B28" s="647"/>
      <c r="C28" s="647"/>
      <c r="D28" s="647"/>
      <c r="E28" s="647"/>
      <c r="F28" s="647"/>
      <c r="G28" s="647"/>
      <c r="H28" s="647"/>
      <c r="I28" s="647"/>
      <c r="J28" s="647"/>
      <c r="K28" s="647"/>
      <c r="L28" s="647"/>
      <c r="M28" s="647"/>
      <c r="N28" s="133"/>
      <c r="O28" s="133"/>
      <c r="P28" s="132"/>
      <c r="Q28" s="132"/>
      <c r="R28" s="132"/>
      <c r="AC28" s="135"/>
      <c r="AD28" s="135"/>
      <c r="AE28" s="135"/>
      <c r="AF28" s="135"/>
    </row>
    <row r="29" spans="29:32" ht="11.25">
      <c r="AC29" s="84"/>
      <c r="AD29" s="84"/>
      <c r="AE29" s="84"/>
      <c r="AF29" s="84"/>
    </row>
    <row r="30" spans="29:32" ht="11.25">
      <c r="AC30" s="84"/>
      <c r="AD30" s="84"/>
      <c r="AE30" s="84"/>
      <c r="AF30" s="84"/>
    </row>
    <row r="31" spans="29:32" ht="11.25">
      <c r="AC31" s="84"/>
      <c r="AD31" s="84"/>
      <c r="AE31" s="84"/>
      <c r="AF31" s="84"/>
    </row>
    <row r="32" spans="29:32" ht="11.25">
      <c r="AC32" s="84"/>
      <c r="AD32" s="84"/>
      <c r="AE32" s="84"/>
      <c r="AF32" s="84"/>
    </row>
    <row r="33" spans="29:32" ht="11.25">
      <c r="AC33" s="84"/>
      <c r="AD33" s="84"/>
      <c r="AE33" s="84"/>
      <c r="AF33" s="84"/>
    </row>
    <row r="34" spans="29:32" ht="11.25">
      <c r="AC34" s="84"/>
      <c r="AD34" s="84"/>
      <c r="AE34" s="84"/>
      <c r="AF34" s="84"/>
    </row>
    <row r="35" spans="29:32" ht="11.25">
      <c r="AC35" s="84"/>
      <c r="AD35" s="84"/>
      <c r="AE35" s="84"/>
      <c r="AF35" s="84"/>
    </row>
    <row r="36" spans="29:32" ht="11.25">
      <c r="AC36" s="84"/>
      <c r="AD36" s="84"/>
      <c r="AE36" s="84"/>
      <c r="AF36" s="84"/>
    </row>
    <row r="37" spans="29:32" ht="11.25">
      <c r="AC37" s="84"/>
      <c r="AD37" s="84"/>
      <c r="AE37" s="84"/>
      <c r="AF37" s="84"/>
    </row>
    <row r="38" spans="29:32" ht="11.25">
      <c r="AC38" s="84"/>
      <c r="AD38" s="84"/>
      <c r="AE38" s="84"/>
      <c r="AF38" s="84"/>
    </row>
    <row r="39" spans="29:32" ht="11.25">
      <c r="AC39" s="84"/>
      <c r="AD39" s="84"/>
      <c r="AE39" s="84"/>
      <c r="AF39" s="84"/>
    </row>
    <row r="40" spans="29:32" ht="11.25">
      <c r="AC40" s="84"/>
      <c r="AD40" s="84"/>
      <c r="AE40" s="84"/>
      <c r="AF40" s="84"/>
    </row>
    <row r="41" spans="29:32" ht="11.25">
      <c r="AC41" s="84"/>
      <c r="AD41" s="84"/>
      <c r="AE41" s="84"/>
      <c r="AF41" s="84"/>
    </row>
    <row r="42" spans="29:32" ht="11.25">
      <c r="AC42" s="84"/>
      <c r="AD42" s="84"/>
      <c r="AE42" s="84"/>
      <c r="AF42" s="84"/>
    </row>
    <row r="43" spans="29:32" ht="11.25">
      <c r="AC43" s="84"/>
      <c r="AD43" s="84"/>
      <c r="AE43" s="84"/>
      <c r="AF43" s="84"/>
    </row>
    <row r="44" spans="29:32" ht="11.25">
      <c r="AC44" s="84"/>
      <c r="AD44" s="84"/>
      <c r="AE44" s="84"/>
      <c r="AF44" s="84"/>
    </row>
    <row r="45" spans="29:32" ht="11.25">
      <c r="AC45" s="84"/>
      <c r="AD45" s="84"/>
      <c r="AE45" s="84"/>
      <c r="AF45" s="84"/>
    </row>
    <row r="46" spans="29:32" ht="11.25">
      <c r="AC46" s="84"/>
      <c r="AD46" s="84"/>
      <c r="AE46" s="84"/>
      <c r="AF46" s="84"/>
    </row>
    <row r="47" spans="29:32" ht="11.25">
      <c r="AC47" s="84"/>
      <c r="AD47" s="84"/>
      <c r="AE47" s="84"/>
      <c r="AF47" s="84"/>
    </row>
    <row r="48" spans="29:32" ht="11.25">
      <c r="AC48" s="84"/>
      <c r="AD48" s="84"/>
      <c r="AE48" s="84"/>
      <c r="AF48" s="84"/>
    </row>
    <row r="49" spans="29:32" ht="11.25">
      <c r="AC49" s="84"/>
      <c r="AD49" s="84"/>
      <c r="AE49" s="84"/>
      <c r="AF49" s="84"/>
    </row>
    <row r="50" spans="29:32" ht="11.25">
      <c r="AC50" s="84"/>
      <c r="AD50" s="84"/>
      <c r="AE50" s="84"/>
      <c r="AF50" s="84"/>
    </row>
    <row r="51" spans="29:32" ht="11.25">
      <c r="AC51" s="84"/>
      <c r="AD51" s="84"/>
      <c r="AE51" s="84"/>
      <c r="AF51" s="84"/>
    </row>
    <row r="52" spans="29:32" ht="11.25">
      <c r="AC52" s="84"/>
      <c r="AD52" s="84"/>
      <c r="AE52" s="84"/>
      <c r="AF52" s="84"/>
    </row>
    <row r="53" spans="29:32" ht="11.25">
      <c r="AC53" s="84"/>
      <c r="AD53" s="84"/>
      <c r="AE53" s="84"/>
      <c r="AF53" s="84"/>
    </row>
    <row r="54" spans="29:32" ht="11.25">
      <c r="AC54" s="84"/>
      <c r="AD54" s="84"/>
      <c r="AE54" s="84"/>
      <c r="AF54" s="84"/>
    </row>
    <row r="55" spans="29:32" ht="11.25">
      <c r="AC55" s="84"/>
      <c r="AD55" s="84"/>
      <c r="AE55" s="84"/>
      <c r="AF55" s="84"/>
    </row>
    <row r="56" spans="29:32" ht="11.25">
      <c r="AC56" s="84"/>
      <c r="AD56" s="84"/>
      <c r="AE56" s="84"/>
      <c r="AF56" s="84"/>
    </row>
    <row r="57" spans="29:32" ht="11.25">
      <c r="AC57" s="84"/>
      <c r="AD57" s="84"/>
      <c r="AE57" s="84"/>
      <c r="AF57" s="84"/>
    </row>
    <row r="58" spans="29:32" ht="11.25">
      <c r="AC58" s="84"/>
      <c r="AD58" s="84"/>
      <c r="AE58" s="84"/>
      <c r="AF58" s="84"/>
    </row>
    <row r="59" spans="29:32" ht="11.25">
      <c r="AC59" s="84"/>
      <c r="AD59" s="84"/>
      <c r="AE59" s="84"/>
      <c r="AF59" s="84"/>
    </row>
    <row r="60" spans="29:32" ht="11.25">
      <c r="AC60" s="84"/>
      <c r="AD60" s="84"/>
      <c r="AE60" s="84"/>
      <c r="AF60" s="84"/>
    </row>
    <row r="61" spans="29:32" ht="11.25">
      <c r="AC61" s="84"/>
      <c r="AD61" s="84"/>
      <c r="AE61" s="84"/>
      <c r="AF61" s="84"/>
    </row>
    <row r="62" spans="29:32" ht="11.25">
      <c r="AC62" s="84"/>
      <c r="AD62" s="84"/>
      <c r="AE62" s="84"/>
      <c r="AF62" s="84"/>
    </row>
    <row r="63" spans="29:32" ht="11.25">
      <c r="AC63" s="84"/>
      <c r="AD63" s="84"/>
      <c r="AE63" s="84"/>
      <c r="AF63" s="84"/>
    </row>
    <row r="64" spans="29:32" ht="11.25">
      <c r="AC64" s="84"/>
      <c r="AD64" s="84"/>
      <c r="AE64" s="84"/>
      <c r="AF64" s="84"/>
    </row>
    <row r="65" spans="29:32" ht="11.25">
      <c r="AC65" s="84"/>
      <c r="AD65" s="84"/>
      <c r="AE65" s="84"/>
      <c r="AF65" s="84"/>
    </row>
    <row r="66" spans="29:32" ht="11.25">
      <c r="AC66" s="84"/>
      <c r="AD66" s="84"/>
      <c r="AE66" s="84"/>
      <c r="AF66" s="84"/>
    </row>
    <row r="67" spans="29:32" ht="11.25">
      <c r="AC67" s="84"/>
      <c r="AD67" s="84"/>
      <c r="AE67" s="84"/>
      <c r="AF67" s="84"/>
    </row>
    <row r="68" spans="29:32" ht="11.25">
      <c r="AC68" s="84"/>
      <c r="AD68" s="84"/>
      <c r="AE68" s="84"/>
      <c r="AF68" s="84"/>
    </row>
    <row r="69" spans="29:32" ht="11.25">
      <c r="AC69" s="84"/>
      <c r="AD69" s="84"/>
      <c r="AE69" s="84"/>
      <c r="AF69" s="84"/>
    </row>
    <row r="70" spans="29:32" ht="11.25">
      <c r="AC70" s="84"/>
      <c r="AD70" s="84"/>
      <c r="AE70" s="84"/>
      <c r="AF70" s="84"/>
    </row>
    <row r="71" spans="29:32" ht="11.25">
      <c r="AC71" s="84"/>
      <c r="AD71" s="84"/>
      <c r="AE71" s="84"/>
      <c r="AF71" s="84"/>
    </row>
    <row r="72" spans="29:32" ht="11.25">
      <c r="AC72" s="84"/>
      <c r="AD72" s="84"/>
      <c r="AE72" s="84"/>
      <c r="AF72" s="84"/>
    </row>
    <row r="73" spans="29:32" ht="11.25">
      <c r="AC73" s="84"/>
      <c r="AD73" s="84"/>
      <c r="AE73" s="84"/>
      <c r="AF73" s="84"/>
    </row>
    <row r="74" spans="29:32" ht="11.25">
      <c r="AC74" s="84"/>
      <c r="AD74" s="84"/>
      <c r="AE74" s="84"/>
      <c r="AF74" s="84"/>
    </row>
    <row r="75" spans="29:32" ht="11.25">
      <c r="AC75" s="84"/>
      <c r="AD75" s="84"/>
      <c r="AE75" s="84"/>
      <c r="AF75" s="84"/>
    </row>
    <row r="76" spans="29:32" ht="11.25">
      <c r="AC76" s="84"/>
      <c r="AD76" s="84"/>
      <c r="AE76" s="84"/>
      <c r="AF76" s="84"/>
    </row>
    <row r="77" spans="29:32" ht="11.25">
      <c r="AC77" s="84"/>
      <c r="AD77" s="84"/>
      <c r="AE77" s="84"/>
      <c r="AF77" s="84"/>
    </row>
    <row r="78" spans="29:32" ht="11.25">
      <c r="AC78" s="84"/>
      <c r="AD78" s="84"/>
      <c r="AE78" s="84"/>
      <c r="AF78" s="84"/>
    </row>
    <row r="79" spans="29:32" ht="11.25">
      <c r="AC79" s="84"/>
      <c r="AD79" s="84"/>
      <c r="AE79" s="84"/>
      <c r="AF79" s="84"/>
    </row>
    <row r="80" spans="29:32" ht="11.25">
      <c r="AC80" s="84"/>
      <c r="AD80" s="84"/>
      <c r="AE80" s="84"/>
      <c r="AF80" s="84"/>
    </row>
    <row r="81" spans="29:32" ht="11.25">
      <c r="AC81" s="84"/>
      <c r="AD81" s="84"/>
      <c r="AE81" s="84"/>
      <c r="AF81" s="84"/>
    </row>
    <row r="82" spans="29:32" ht="11.25">
      <c r="AC82" s="84"/>
      <c r="AD82" s="84"/>
      <c r="AE82" s="84"/>
      <c r="AF82" s="84"/>
    </row>
    <row r="83" spans="29:32" ht="11.25">
      <c r="AC83" s="84"/>
      <c r="AD83" s="84"/>
      <c r="AE83" s="84"/>
      <c r="AF83" s="84"/>
    </row>
    <row r="84" spans="29:32" ht="11.25">
      <c r="AC84" s="84"/>
      <c r="AD84" s="84"/>
      <c r="AE84" s="84"/>
      <c r="AF84" s="84"/>
    </row>
    <row r="85" spans="29:32" ht="11.25">
      <c r="AC85" s="84"/>
      <c r="AD85" s="84"/>
      <c r="AE85" s="84"/>
      <c r="AF85" s="84"/>
    </row>
    <row r="86" spans="29:32" ht="11.25">
      <c r="AC86" s="84"/>
      <c r="AD86" s="84"/>
      <c r="AE86" s="84"/>
      <c r="AF86" s="84"/>
    </row>
    <row r="87" spans="29:32" ht="11.25">
      <c r="AC87" s="84"/>
      <c r="AD87" s="84"/>
      <c r="AE87" s="84"/>
      <c r="AF87" s="84"/>
    </row>
    <row r="88" spans="29:32" ht="11.25">
      <c r="AC88" s="84"/>
      <c r="AD88" s="84"/>
      <c r="AE88" s="84"/>
      <c r="AF88" s="84"/>
    </row>
    <row r="89" spans="29:32" ht="11.25">
      <c r="AC89" s="84"/>
      <c r="AD89" s="84"/>
      <c r="AE89" s="84"/>
      <c r="AF89" s="84"/>
    </row>
    <row r="90" spans="29:32" ht="11.25">
      <c r="AC90" s="84"/>
      <c r="AD90" s="84"/>
      <c r="AE90" s="84"/>
      <c r="AF90" s="84"/>
    </row>
    <row r="91" spans="29:32" ht="11.25">
      <c r="AC91" s="84"/>
      <c r="AD91" s="84"/>
      <c r="AE91" s="84"/>
      <c r="AF91" s="84"/>
    </row>
    <row r="92" spans="29:32" ht="11.25">
      <c r="AC92" s="84"/>
      <c r="AD92" s="84"/>
      <c r="AE92" s="84"/>
      <c r="AF92" s="84"/>
    </row>
    <row r="93" spans="29:32" ht="11.25">
      <c r="AC93" s="84"/>
      <c r="AD93" s="84"/>
      <c r="AE93" s="84"/>
      <c r="AF93" s="84"/>
    </row>
    <row r="94" spans="29:32" ht="11.25">
      <c r="AC94" s="84"/>
      <c r="AD94" s="84"/>
      <c r="AE94" s="84"/>
      <c r="AF94" s="84"/>
    </row>
    <row r="95" spans="29:32" ht="11.25">
      <c r="AC95" s="84"/>
      <c r="AD95" s="84"/>
      <c r="AE95" s="84"/>
      <c r="AF95" s="84"/>
    </row>
    <row r="96" spans="29:32" ht="11.25">
      <c r="AC96" s="84"/>
      <c r="AD96" s="84"/>
      <c r="AE96" s="84"/>
      <c r="AF96" s="84"/>
    </row>
    <row r="97" spans="29:32" ht="11.25">
      <c r="AC97" s="84"/>
      <c r="AD97" s="84"/>
      <c r="AE97" s="84"/>
      <c r="AF97" s="84"/>
    </row>
    <row r="98" spans="29:32" ht="11.25">
      <c r="AC98" s="84"/>
      <c r="AD98" s="84"/>
      <c r="AE98" s="84"/>
      <c r="AF98" s="84"/>
    </row>
    <row r="99" spans="29:32" ht="11.25">
      <c r="AC99" s="84"/>
      <c r="AD99" s="84"/>
      <c r="AE99" s="84"/>
      <c r="AF99" s="84"/>
    </row>
    <row r="100" spans="29:32" ht="11.25">
      <c r="AC100" s="84"/>
      <c r="AD100" s="84"/>
      <c r="AE100" s="84"/>
      <c r="AF100" s="84"/>
    </row>
    <row r="101" spans="29:32" ht="11.25">
      <c r="AC101" s="84"/>
      <c r="AD101" s="84"/>
      <c r="AE101" s="84"/>
      <c r="AF101" s="84"/>
    </row>
    <row r="102" spans="29:32" ht="11.25">
      <c r="AC102" s="84"/>
      <c r="AD102" s="84"/>
      <c r="AE102" s="84"/>
      <c r="AF102" s="84"/>
    </row>
    <row r="103" spans="29:32" ht="11.25">
      <c r="AC103" s="84"/>
      <c r="AD103" s="84"/>
      <c r="AE103" s="84"/>
      <c r="AF103" s="84"/>
    </row>
    <row r="104" spans="29:32" ht="11.25">
      <c r="AC104" s="84"/>
      <c r="AD104" s="84"/>
      <c r="AE104" s="84"/>
      <c r="AF104" s="84"/>
    </row>
    <row r="105" spans="29:32" ht="11.25">
      <c r="AC105" s="84"/>
      <c r="AD105" s="84"/>
      <c r="AE105" s="84"/>
      <c r="AF105" s="84"/>
    </row>
    <row r="106" spans="29:32" ht="11.25">
      <c r="AC106" s="84"/>
      <c r="AD106" s="84"/>
      <c r="AE106" s="84"/>
      <c r="AF106" s="84"/>
    </row>
    <row r="107" spans="29:32" ht="11.25">
      <c r="AC107" s="84"/>
      <c r="AD107" s="84"/>
      <c r="AE107" s="84"/>
      <c r="AF107" s="84"/>
    </row>
    <row r="108" spans="29:32" ht="11.25">
      <c r="AC108" s="84"/>
      <c r="AD108" s="84"/>
      <c r="AE108" s="84"/>
      <c r="AF108" s="84"/>
    </row>
    <row r="109" spans="29:32" ht="11.25">
      <c r="AC109" s="84"/>
      <c r="AD109" s="84"/>
      <c r="AE109" s="84"/>
      <c r="AF109" s="84"/>
    </row>
    <row r="110" spans="29:32" ht="11.25">
      <c r="AC110" s="84"/>
      <c r="AD110" s="84"/>
      <c r="AE110" s="84"/>
      <c r="AF110" s="84"/>
    </row>
    <row r="111" spans="29:32" ht="11.25">
      <c r="AC111" s="84"/>
      <c r="AD111" s="84"/>
      <c r="AE111" s="84"/>
      <c r="AF111" s="84"/>
    </row>
    <row r="112" spans="29:32" ht="11.25">
      <c r="AC112" s="84"/>
      <c r="AD112" s="84"/>
      <c r="AE112" s="84"/>
      <c r="AF112" s="84"/>
    </row>
    <row r="113" spans="29:32" ht="11.25">
      <c r="AC113" s="84"/>
      <c r="AD113" s="84"/>
      <c r="AE113" s="84"/>
      <c r="AF113" s="84"/>
    </row>
    <row r="114" spans="29:32" ht="11.25">
      <c r="AC114" s="84"/>
      <c r="AD114" s="84"/>
      <c r="AE114" s="84"/>
      <c r="AF114" s="84"/>
    </row>
    <row r="115" spans="29:32" ht="11.25">
      <c r="AC115" s="84"/>
      <c r="AD115" s="84"/>
      <c r="AE115" s="84"/>
      <c r="AF115" s="84"/>
    </row>
    <row r="116" spans="29:32" ht="11.25">
      <c r="AC116" s="84"/>
      <c r="AD116" s="84"/>
      <c r="AE116" s="84"/>
      <c r="AF116" s="84"/>
    </row>
    <row r="117" spans="29:32" ht="11.25">
      <c r="AC117" s="84"/>
      <c r="AD117" s="84"/>
      <c r="AE117" s="84"/>
      <c r="AF117" s="84"/>
    </row>
    <row r="118" spans="29:32" ht="11.25">
      <c r="AC118" s="84"/>
      <c r="AD118" s="84"/>
      <c r="AE118" s="84"/>
      <c r="AF118" s="84"/>
    </row>
    <row r="119" spans="29:32" ht="11.25">
      <c r="AC119" s="84"/>
      <c r="AD119" s="84"/>
      <c r="AE119" s="84"/>
      <c r="AF119" s="84"/>
    </row>
    <row r="120" spans="29:32" ht="11.25">
      <c r="AC120" s="84"/>
      <c r="AD120" s="84"/>
      <c r="AE120" s="84"/>
      <c r="AF120" s="84"/>
    </row>
    <row r="121" spans="29:32" ht="11.25">
      <c r="AC121" s="84"/>
      <c r="AD121" s="84"/>
      <c r="AE121" s="84"/>
      <c r="AF121" s="84"/>
    </row>
    <row r="122" spans="29:32" ht="11.25">
      <c r="AC122" s="84"/>
      <c r="AD122" s="84"/>
      <c r="AE122" s="84"/>
      <c r="AF122" s="84"/>
    </row>
    <row r="123" spans="29:32" ht="11.25">
      <c r="AC123" s="84"/>
      <c r="AD123" s="84"/>
      <c r="AE123" s="84"/>
      <c r="AF123" s="84"/>
    </row>
    <row r="124" spans="29:32" ht="11.25">
      <c r="AC124" s="84"/>
      <c r="AD124" s="84"/>
      <c r="AE124" s="84"/>
      <c r="AF124" s="84"/>
    </row>
    <row r="125" spans="29:32" ht="11.25">
      <c r="AC125" s="84"/>
      <c r="AD125" s="84"/>
      <c r="AE125" s="84"/>
      <c r="AF125" s="84"/>
    </row>
    <row r="126" spans="29:32" ht="11.25">
      <c r="AC126" s="84"/>
      <c r="AD126" s="84"/>
      <c r="AE126" s="84"/>
      <c r="AF126" s="84"/>
    </row>
    <row r="127" spans="29:32" ht="11.25">
      <c r="AC127" s="84"/>
      <c r="AD127" s="84"/>
      <c r="AE127" s="84"/>
      <c r="AF127" s="84"/>
    </row>
    <row r="128" spans="29:32" ht="11.25">
      <c r="AC128" s="84"/>
      <c r="AD128" s="84"/>
      <c r="AE128" s="84"/>
      <c r="AF128" s="84"/>
    </row>
    <row r="129" spans="29:32" ht="11.25">
      <c r="AC129" s="84"/>
      <c r="AD129" s="84"/>
      <c r="AE129" s="84"/>
      <c r="AF129" s="84"/>
    </row>
    <row r="130" spans="29:32" ht="11.25">
      <c r="AC130" s="84"/>
      <c r="AD130" s="84"/>
      <c r="AE130" s="84"/>
      <c r="AF130" s="84"/>
    </row>
    <row r="131" spans="29:32" ht="11.25">
      <c r="AC131" s="84"/>
      <c r="AD131" s="84"/>
      <c r="AE131" s="84"/>
      <c r="AF131" s="84"/>
    </row>
    <row r="132" spans="29:32" ht="11.25">
      <c r="AC132" s="84"/>
      <c r="AD132" s="84"/>
      <c r="AE132" s="84"/>
      <c r="AF132" s="84"/>
    </row>
    <row r="133" spans="29:32" ht="11.25">
      <c r="AC133" s="84"/>
      <c r="AD133" s="84"/>
      <c r="AE133" s="84"/>
      <c r="AF133" s="84"/>
    </row>
    <row r="134" spans="29:32" ht="11.25">
      <c r="AC134" s="84"/>
      <c r="AD134" s="84"/>
      <c r="AE134" s="84"/>
      <c r="AF134" s="84"/>
    </row>
    <row r="135" spans="29:32" ht="11.25">
      <c r="AC135" s="84"/>
      <c r="AD135" s="84"/>
      <c r="AE135" s="84"/>
      <c r="AF135" s="84"/>
    </row>
    <row r="136" spans="29:32" ht="11.25">
      <c r="AC136" s="84"/>
      <c r="AD136" s="84"/>
      <c r="AE136" s="84"/>
      <c r="AF136" s="84"/>
    </row>
    <row r="137" spans="29:32" ht="11.25">
      <c r="AC137" s="84"/>
      <c r="AD137" s="84"/>
      <c r="AE137" s="84"/>
      <c r="AF137" s="84"/>
    </row>
    <row r="138" spans="29:32" ht="11.25">
      <c r="AC138" s="84"/>
      <c r="AD138" s="84"/>
      <c r="AE138" s="84"/>
      <c r="AF138" s="84"/>
    </row>
    <row r="139" spans="29:32" ht="11.25">
      <c r="AC139" s="84"/>
      <c r="AD139" s="84"/>
      <c r="AE139" s="84"/>
      <c r="AF139" s="84"/>
    </row>
    <row r="140" spans="29:32" ht="11.25">
      <c r="AC140" s="84"/>
      <c r="AD140" s="84"/>
      <c r="AE140" s="84"/>
      <c r="AF140" s="84"/>
    </row>
    <row r="141" spans="29:32" ht="11.25">
      <c r="AC141" s="84"/>
      <c r="AD141" s="84"/>
      <c r="AE141" s="84"/>
      <c r="AF141" s="84"/>
    </row>
    <row r="142" spans="29:32" ht="11.25">
      <c r="AC142" s="84"/>
      <c r="AD142" s="84"/>
      <c r="AE142" s="84"/>
      <c r="AF142" s="84"/>
    </row>
    <row r="143" spans="29:32" ht="11.25">
      <c r="AC143" s="84"/>
      <c r="AD143" s="84"/>
      <c r="AE143" s="84"/>
      <c r="AF143" s="84"/>
    </row>
    <row r="144" spans="29:32" ht="11.25">
      <c r="AC144" s="84"/>
      <c r="AD144" s="84"/>
      <c r="AE144" s="84"/>
      <c r="AF144" s="84"/>
    </row>
    <row r="145" spans="29:32" ht="11.25">
      <c r="AC145" s="84"/>
      <c r="AD145" s="84"/>
      <c r="AE145" s="84"/>
      <c r="AF145" s="84"/>
    </row>
    <row r="146" spans="29:32" ht="11.25">
      <c r="AC146" s="84"/>
      <c r="AD146" s="84"/>
      <c r="AE146" s="84"/>
      <c r="AF146" s="84"/>
    </row>
    <row r="147" spans="29:32" ht="11.25">
      <c r="AC147" s="84"/>
      <c r="AD147" s="84"/>
      <c r="AE147" s="84"/>
      <c r="AF147" s="84"/>
    </row>
    <row r="148" spans="29:32" ht="11.25">
      <c r="AC148" s="84"/>
      <c r="AD148" s="84"/>
      <c r="AE148" s="84"/>
      <c r="AF148" s="84"/>
    </row>
    <row r="149" spans="29:32" ht="11.25">
      <c r="AC149" s="84"/>
      <c r="AD149" s="84"/>
      <c r="AE149" s="84"/>
      <c r="AF149" s="84"/>
    </row>
    <row r="150" spans="29:32" ht="11.25">
      <c r="AC150" s="84"/>
      <c r="AD150" s="84"/>
      <c r="AE150" s="84"/>
      <c r="AF150" s="84"/>
    </row>
    <row r="151" spans="29:32" ht="11.25">
      <c r="AC151" s="84"/>
      <c r="AD151" s="84"/>
      <c r="AE151" s="84"/>
      <c r="AF151" s="84"/>
    </row>
    <row r="152" spans="29:32" ht="11.25">
      <c r="AC152" s="84"/>
      <c r="AD152" s="84"/>
      <c r="AE152" s="84"/>
      <c r="AF152" s="84"/>
    </row>
    <row r="153" spans="29:32" ht="11.25">
      <c r="AC153" s="84"/>
      <c r="AD153" s="84"/>
      <c r="AE153" s="84"/>
      <c r="AF153" s="84"/>
    </row>
    <row r="154" spans="29:32" ht="11.25">
      <c r="AC154" s="84"/>
      <c r="AD154" s="84"/>
      <c r="AE154" s="84"/>
      <c r="AF154" s="84"/>
    </row>
    <row r="155" spans="29:32" ht="11.25">
      <c r="AC155" s="84"/>
      <c r="AD155" s="84"/>
      <c r="AE155" s="84"/>
      <c r="AF155" s="84"/>
    </row>
    <row r="156" spans="29:32" ht="11.25">
      <c r="AC156" s="84"/>
      <c r="AD156" s="84"/>
      <c r="AE156" s="84"/>
      <c r="AF156" s="84"/>
    </row>
    <row r="157" spans="29:32" ht="11.25">
      <c r="AC157" s="84"/>
      <c r="AD157" s="84"/>
      <c r="AE157" s="84"/>
      <c r="AF157" s="84"/>
    </row>
    <row r="158" spans="29:32" ht="11.25">
      <c r="AC158" s="84"/>
      <c r="AD158" s="84"/>
      <c r="AE158" s="84"/>
      <c r="AF158" s="84"/>
    </row>
    <row r="159" spans="29:32" ht="11.25">
      <c r="AC159" s="84"/>
      <c r="AD159" s="84"/>
      <c r="AE159" s="84"/>
      <c r="AF159" s="84"/>
    </row>
    <row r="160" spans="29:32" ht="11.25">
      <c r="AC160" s="84"/>
      <c r="AD160" s="84"/>
      <c r="AE160" s="84"/>
      <c r="AF160" s="84"/>
    </row>
    <row r="161" spans="29:32" ht="11.25">
      <c r="AC161" s="84"/>
      <c r="AD161" s="84"/>
      <c r="AE161" s="84"/>
      <c r="AF161" s="84"/>
    </row>
    <row r="162" spans="29:32" ht="11.25">
      <c r="AC162" s="84"/>
      <c r="AD162" s="84"/>
      <c r="AE162" s="84"/>
      <c r="AF162" s="84"/>
    </row>
    <row r="163" spans="29:32" ht="11.25">
      <c r="AC163" s="84"/>
      <c r="AD163" s="84"/>
      <c r="AE163" s="84"/>
      <c r="AF163" s="84"/>
    </row>
    <row r="164" spans="29:32" ht="11.25">
      <c r="AC164" s="84"/>
      <c r="AD164" s="84"/>
      <c r="AE164" s="84"/>
      <c r="AF164" s="84"/>
    </row>
    <row r="165" spans="29:32" ht="11.25">
      <c r="AC165" s="84"/>
      <c r="AD165" s="84"/>
      <c r="AE165" s="84"/>
      <c r="AF165" s="84"/>
    </row>
    <row r="166" spans="29:32" ht="11.25">
      <c r="AC166" s="84"/>
      <c r="AD166" s="84"/>
      <c r="AE166" s="84"/>
      <c r="AF166" s="84"/>
    </row>
    <row r="167" spans="29:32" ht="11.25">
      <c r="AC167" s="84"/>
      <c r="AD167" s="84"/>
      <c r="AE167" s="84"/>
      <c r="AF167" s="84"/>
    </row>
    <row r="168" spans="29:32" ht="11.25">
      <c r="AC168" s="84"/>
      <c r="AD168" s="84"/>
      <c r="AE168" s="84"/>
      <c r="AF168" s="84"/>
    </row>
    <row r="169" spans="29:32" ht="11.25">
      <c r="AC169" s="84"/>
      <c r="AD169" s="84"/>
      <c r="AE169" s="84"/>
      <c r="AF169" s="84"/>
    </row>
    <row r="170" spans="29:32" ht="11.25">
      <c r="AC170" s="84"/>
      <c r="AD170" s="84"/>
      <c r="AE170" s="84"/>
      <c r="AF170" s="84"/>
    </row>
    <row r="171" spans="29:32" ht="11.25">
      <c r="AC171" s="84"/>
      <c r="AD171" s="84"/>
      <c r="AE171" s="84"/>
      <c r="AF171" s="84"/>
    </row>
    <row r="172" spans="29:32" ht="11.25">
      <c r="AC172" s="84"/>
      <c r="AD172" s="84"/>
      <c r="AE172" s="84"/>
      <c r="AF172" s="84"/>
    </row>
    <row r="173" spans="29:32" ht="11.25">
      <c r="AC173" s="84"/>
      <c r="AD173" s="84"/>
      <c r="AE173" s="84"/>
      <c r="AF173" s="84"/>
    </row>
  </sheetData>
  <mergeCells count="20">
    <mergeCell ref="A28:M28"/>
    <mergeCell ref="A23:B23"/>
    <mergeCell ref="A24:B24"/>
    <mergeCell ref="A25:B25"/>
    <mergeCell ref="A26:B26"/>
    <mergeCell ref="A19:B19"/>
    <mergeCell ref="A20:B20"/>
    <mergeCell ref="A21:B21"/>
    <mergeCell ref="A22:B22"/>
    <mergeCell ref="A11:A12"/>
    <mergeCell ref="A13:A14"/>
    <mergeCell ref="A15:A16"/>
    <mergeCell ref="A17:A18"/>
    <mergeCell ref="A1:M1"/>
    <mergeCell ref="M3:M10"/>
    <mergeCell ref="A5:B5"/>
    <mergeCell ref="A6:B6"/>
    <mergeCell ref="A7:B8"/>
    <mergeCell ref="A9:B9"/>
    <mergeCell ref="A10:B10"/>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33</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+'June,9-11 (we24)'!N37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34</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+'June,16-18(we25)'!N37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35</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+'June23-25 (we26)'!N37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36</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+'June 30-July,2 (we27)'!N37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37</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+'July7-9 (we28)'!N37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38</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+'July 14-16 (we29)'!N37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39</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+'July 21-23 (we30)'!N37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40</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+'July 28-30 (we 31)'!N37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41</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+'Aug.4-6 (we32)'!N37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42</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+'Aug.11-13 (we33)'!N37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F173"/>
  <sheetViews>
    <sheetView zoomScale="90" zoomScaleNormal="90" workbookViewId="0" topLeftCell="A1">
      <selection activeCell="C33" sqref="C33"/>
    </sheetView>
  </sheetViews>
  <sheetFormatPr defaultColWidth="9.140625" defaultRowHeight="12.75"/>
  <cols>
    <col min="1" max="2" width="9.7109375" style="53" customWidth="1"/>
    <col min="3" max="20" width="13.57421875" style="53" customWidth="1"/>
    <col min="21" max="21" width="14.421875" style="53" customWidth="1"/>
    <col min="22" max="28" width="17.421875" style="53" customWidth="1"/>
    <col min="29" max="29" width="17.421875" style="54" customWidth="1"/>
    <col min="30" max="16384" width="17.421875" style="53" customWidth="1"/>
  </cols>
  <sheetData>
    <row r="1" spans="1:29" ht="90" customHeight="1" thickBot="1">
      <c r="A1" s="632" t="s">
        <v>166</v>
      </c>
      <c r="B1" s="633"/>
      <c r="C1" s="633"/>
      <c r="D1" s="633"/>
      <c r="E1" s="633"/>
      <c r="F1" s="633"/>
      <c r="G1" s="633"/>
      <c r="H1" s="633"/>
      <c r="I1" s="633"/>
      <c r="J1" s="633"/>
      <c r="K1" s="633"/>
      <c r="L1" s="633"/>
      <c r="M1" s="634"/>
      <c r="U1" s="54"/>
      <c r="AC1" s="53"/>
    </row>
    <row r="2" spans="1:21" ht="9" customHeight="1" thickBot="1">
      <c r="A2" s="55"/>
      <c r="B2" s="55"/>
      <c r="C2" s="55"/>
      <c r="D2" s="55"/>
      <c r="E2" s="55"/>
      <c r="F2" s="55"/>
      <c r="G2" s="55"/>
      <c r="H2" s="55"/>
      <c r="I2" s="55"/>
      <c r="J2" s="55"/>
      <c r="K2" s="55"/>
      <c r="L2" s="55"/>
      <c r="M2" s="55"/>
      <c r="N2" s="55"/>
      <c r="O2" s="55"/>
      <c r="P2" s="55"/>
      <c r="Q2" s="55"/>
      <c r="R2" s="55"/>
      <c r="S2" s="55"/>
      <c r="T2" s="55"/>
      <c r="U2" s="55"/>
    </row>
    <row r="3" spans="1:29" ht="18" customHeight="1">
      <c r="A3" s="56"/>
      <c r="B3" s="57"/>
      <c r="C3" s="123">
        <f aca="true" t="shared" si="0" ref="C3:L3">COLUMN()-2</f>
        <v>1</v>
      </c>
      <c r="D3" s="123">
        <f t="shared" si="0"/>
        <v>2</v>
      </c>
      <c r="E3" s="123">
        <f t="shared" si="0"/>
        <v>3</v>
      </c>
      <c r="F3" s="123">
        <f t="shared" si="0"/>
        <v>4</v>
      </c>
      <c r="G3" s="123">
        <f t="shared" si="0"/>
        <v>5</v>
      </c>
      <c r="H3" s="123">
        <f t="shared" si="0"/>
        <v>6</v>
      </c>
      <c r="I3" s="123">
        <f t="shared" si="0"/>
        <v>7</v>
      </c>
      <c r="J3" s="123">
        <f t="shared" si="0"/>
        <v>8</v>
      </c>
      <c r="K3" s="123">
        <f t="shared" si="0"/>
        <v>9</v>
      </c>
      <c r="L3" s="123">
        <f t="shared" si="0"/>
        <v>10</v>
      </c>
      <c r="M3" s="635" t="s">
        <v>128</v>
      </c>
      <c r="AC3" s="53"/>
    </row>
    <row r="4" spans="1:29" ht="45" customHeight="1" thickBot="1">
      <c r="A4" s="59"/>
      <c r="B4" s="60"/>
      <c r="C4" s="86" t="s">
        <v>146</v>
      </c>
      <c r="D4" s="86" t="s">
        <v>67</v>
      </c>
      <c r="E4" s="86" t="s">
        <v>159</v>
      </c>
      <c r="F4" s="86" t="s">
        <v>154</v>
      </c>
      <c r="G4" s="86" t="s">
        <v>149</v>
      </c>
      <c r="H4" s="86" t="s">
        <v>155</v>
      </c>
      <c r="I4" s="86" t="s">
        <v>160</v>
      </c>
      <c r="J4" s="86" t="s">
        <v>161</v>
      </c>
      <c r="K4" s="86" t="s">
        <v>162</v>
      </c>
      <c r="L4" s="86" t="s">
        <v>167</v>
      </c>
      <c r="M4" s="627"/>
      <c r="AC4" s="53"/>
    </row>
    <row r="5" spans="1:29" ht="19.5" customHeight="1">
      <c r="A5" s="629" t="s">
        <v>84</v>
      </c>
      <c r="B5" s="630"/>
      <c r="C5" s="87">
        <v>38723</v>
      </c>
      <c r="D5" s="87">
        <v>38674</v>
      </c>
      <c r="E5" s="87">
        <v>38709</v>
      </c>
      <c r="F5" s="87">
        <v>38723</v>
      </c>
      <c r="G5" s="87">
        <v>38730</v>
      </c>
      <c r="H5" s="87">
        <v>38737</v>
      </c>
      <c r="I5" s="87">
        <v>38737</v>
      </c>
      <c r="J5" s="87">
        <v>38730</v>
      </c>
      <c r="K5" s="87">
        <v>38737</v>
      </c>
      <c r="L5" s="87">
        <v>38695</v>
      </c>
      <c r="M5" s="627"/>
      <c r="AC5" s="53"/>
    </row>
    <row r="6" spans="1:29" ht="19.5" customHeight="1">
      <c r="A6" s="631" t="s">
        <v>132</v>
      </c>
      <c r="B6" s="626"/>
      <c r="C6" s="88">
        <v>280</v>
      </c>
      <c r="D6" s="88">
        <v>96</v>
      </c>
      <c r="E6" s="88">
        <v>233</v>
      </c>
      <c r="F6" s="88">
        <v>199</v>
      </c>
      <c r="G6" s="88">
        <v>116</v>
      </c>
      <c r="H6" s="88">
        <v>59</v>
      </c>
      <c r="I6" s="88">
        <v>43</v>
      </c>
      <c r="J6" s="88">
        <v>62</v>
      </c>
      <c r="K6" s="88">
        <v>28</v>
      </c>
      <c r="L6" s="88">
        <v>77</v>
      </c>
      <c r="M6" s="627"/>
      <c r="AC6" s="53"/>
    </row>
    <row r="7" spans="1:13" s="66" customFormat="1" ht="15" customHeight="1">
      <c r="A7" s="625" t="s">
        <v>87</v>
      </c>
      <c r="B7" s="636"/>
      <c r="C7" s="89" t="s">
        <v>90</v>
      </c>
      <c r="D7" s="89" t="s">
        <v>90</v>
      </c>
      <c r="E7" s="89" t="s">
        <v>89</v>
      </c>
      <c r="F7" s="89" t="s">
        <v>89</v>
      </c>
      <c r="G7" s="89" t="s">
        <v>92</v>
      </c>
      <c r="H7" s="89" t="s">
        <v>91</v>
      </c>
      <c r="I7" s="89" t="s">
        <v>90</v>
      </c>
      <c r="J7" s="89" t="s">
        <v>91</v>
      </c>
      <c r="K7" s="89" t="s">
        <v>92</v>
      </c>
      <c r="L7" s="89" t="s">
        <v>92</v>
      </c>
      <c r="M7" s="627"/>
    </row>
    <row r="8" spans="1:13" s="66" customFormat="1" ht="15" customHeight="1">
      <c r="A8" s="637"/>
      <c r="B8" s="638"/>
      <c r="C8" s="90" t="s">
        <v>150</v>
      </c>
      <c r="D8" s="90" t="s">
        <v>100</v>
      </c>
      <c r="E8" s="90" t="s">
        <v>163</v>
      </c>
      <c r="F8" s="90" t="s">
        <v>157</v>
      </c>
      <c r="G8" s="90" t="s">
        <v>102</v>
      </c>
      <c r="H8" s="90" t="s">
        <v>97</v>
      </c>
      <c r="I8" s="90" t="s">
        <v>164</v>
      </c>
      <c r="J8" s="90" t="s">
        <v>165</v>
      </c>
      <c r="K8" s="90" t="s">
        <v>151</v>
      </c>
      <c r="L8" s="90" t="s">
        <v>102</v>
      </c>
      <c r="M8" s="627"/>
    </row>
    <row r="9" spans="1:29" ht="19.5" customHeight="1">
      <c r="A9" s="631" t="s">
        <v>113</v>
      </c>
      <c r="B9" s="626"/>
      <c r="C9" s="88">
        <v>3</v>
      </c>
      <c r="D9" s="88">
        <v>10</v>
      </c>
      <c r="E9" s="88">
        <v>5</v>
      </c>
      <c r="F9" s="88">
        <v>3</v>
      </c>
      <c r="G9" s="88">
        <v>2</v>
      </c>
      <c r="H9" s="88">
        <v>1</v>
      </c>
      <c r="I9" s="88">
        <v>1</v>
      </c>
      <c r="J9" s="88">
        <v>2</v>
      </c>
      <c r="K9" s="88">
        <v>1</v>
      </c>
      <c r="L9" s="88">
        <v>7</v>
      </c>
      <c r="M9" s="627"/>
      <c r="AC9" s="53"/>
    </row>
    <row r="10" spans="1:29" ht="19.5" customHeight="1" thickBot="1">
      <c r="A10" s="631" t="s">
        <v>114</v>
      </c>
      <c r="B10" s="626"/>
      <c r="C10" s="91">
        <v>280</v>
      </c>
      <c r="D10" s="91">
        <v>106</v>
      </c>
      <c r="E10" s="91">
        <v>237</v>
      </c>
      <c r="F10" s="91">
        <v>202</v>
      </c>
      <c r="G10" s="91">
        <v>119</v>
      </c>
      <c r="H10" s="91">
        <v>59</v>
      </c>
      <c r="I10" s="91">
        <v>43</v>
      </c>
      <c r="J10" s="91">
        <v>64</v>
      </c>
      <c r="K10" s="91">
        <v>29</v>
      </c>
      <c r="L10" s="91">
        <v>30</v>
      </c>
      <c r="M10" s="628"/>
      <c r="N10" s="69"/>
      <c r="O10" s="69"/>
      <c r="P10" s="69"/>
      <c r="Q10" s="69"/>
      <c r="R10" s="69"/>
      <c r="S10" s="69"/>
      <c r="T10" s="69"/>
      <c r="U10" s="69"/>
      <c r="AC10" s="53"/>
    </row>
    <row r="11" spans="1:29" ht="19.5" customHeight="1">
      <c r="A11" s="625" t="s">
        <v>115</v>
      </c>
      <c r="B11" s="92" t="s">
        <v>116</v>
      </c>
      <c r="C11" s="93">
        <v>278583</v>
      </c>
      <c r="D11" s="93">
        <v>180879</v>
      </c>
      <c r="E11" s="93">
        <v>139293.5</v>
      </c>
      <c r="F11" s="93">
        <v>135656</v>
      </c>
      <c r="G11" s="93">
        <v>144137</v>
      </c>
      <c r="H11" s="93">
        <v>102573</v>
      </c>
      <c r="I11" s="93">
        <v>49412</v>
      </c>
      <c r="J11" s="93">
        <v>55102.5</v>
      </c>
      <c r="K11" s="93">
        <v>16773</v>
      </c>
      <c r="L11" s="93">
        <v>3872</v>
      </c>
      <c r="M11" s="94">
        <f aca="true" t="shared" si="1" ref="M11:M18">SUM($C11:$L11)</f>
        <v>1106281</v>
      </c>
      <c r="AC11" s="53"/>
    </row>
    <row r="12" spans="1:29" ht="19.5" customHeight="1">
      <c r="A12" s="637"/>
      <c r="B12" s="95" t="s">
        <v>117</v>
      </c>
      <c r="C12" s="96">
        <v>45594</v>
      </c>
      <c r="D12" s="96">
        <v>27088</v>
      </c>
      <c r="E12" s="96">
        <v>22273</v>
      </c>
      <c r="F12" s="96">
        <v>22039</v>
      </c>
      <c r="G12" s="96">
        <v>21148</v>
      </c>
      <c r="H12" s="96">
        <v>14124</v>
      </c>
      <c r="I12" s="96">
        <v>5859</v>
      </c>
      <c r="J12" s="96">
        <v>6234</v>
      </c>
      <c r="K12" s="96">
        <v>1925</v>
      </c>
      <c r="L12" s="96">
        <v>692</v>
      </c>
      <c r="M12" s="97">
        <f t="shared" si="1"/>
        <v>166976</v>
      </c>
      <c r="AC12" s="53"/>
    </row>
    <row r="13" spans="1:29" ht="19.5" customHeight="1">
      <c r="A13" s="625" t="s">
        <v>118</v>
      </c>
      <c r="B13" s="92" t="s">
        <v>116</v>
      </c>
      <c r="C13" s="93">
        <v>355471</v>
      </c>
      <c r="D13" s="93">
        <v>293547.5</v>
      </c>
      <c r="E13" s="93">
        <v>205724.5</v>
      </c>
      <c r="F13" s="93">
        <v>188801.5</v>
      </c>
      <c r="G13" s="93">
        <v>210415</v>
      </c>
      <c r="H13" s="93">
        <v>123790.5</v>
      </c>
      <c r="I13" s="93">
        <v>84308.5</v>
      </c>
      <c r="J13" s="93">
        <v>79574</v>
      </c>
      <c r="K13" s="93">
        <v>28256</v>
      </c>
      <c r="L13" s="93">
        <v>6719</v>
      </c>
      <c r="M13" s="98">
        <f t="shared" si="1"/>
        <v>1576607.5</v>
      </c>
      <c r="AC13" s="53"/>
    </row>
    <row r="14" spans="1:29" ht="19.5" customHeight="1">
      <c r="A14" s="637"/>
      <c r="B14" s="95" t="s">
        <v>117</v>
      </c>
      <c r="C14" s="96">
        <v>54457</v>
      </c>
      <c r="D14" s="96">
        <v>41021</v>
      </c>
      <c r="E14" s="96">
        <v>29989</v>
      </c>
      <c r="F14" s="96">
        <v>28449</v>
      </c>
      <c r="G14" s="96">
        <v>27138</v>
      </c>
      <c r="H14" s="96">
        <v>15608</v>
      </c>
      <c r="I14" s="96">
        <v>9183</v>
      </c>
      <c r="J14" s="96">
        <v>8430</v>
      </c>
      <c r="K14" s="96">
        <v>3814</v>
      </c>
      <c r="L14" s="96">
        <v>1131</v>
      </c>
      <c r="M14" s="97">
        <f t="shared" si="1"/>
        <v>219220</v>
      </c>
      <c r="AC14" s="53"/>
    </row>
    <row r="15" spans="1:29" ht="19.5" customHeight="1">
      <c r="A15" s="625" t="s">
        <v>119</v>
      </c>
      <c r="B15" s="92" t="s">
        <v>116</v>
      </c>
      <c r="C15" s="93">
        <v>432767.5</v>
      </c>
      <c r="D15" s="93">
        <v>373369.5</v>
      </c>
      <c r="E15" s="93">
        <v>262855.5</v>
      </c>
      <c r="F15" s="93">
        <v>240548.5</v>
      </c>
      <c r="G15" s="93">
        <v>231386</v>
      </c>
      <c r="H15" s="93">
        <v>135810</v>
      </c>
      <c r="I15" s="93">
        <v>100808.5</v>
      </c>
      <c r="J15" s="93">
        <v>83425</v>
      </c>
      <c r="K15" s="93">
        <v>31918</v>
      </c>
      <c r="L15" s="93">
        <v>7381</v>
      </c>
      <c r="M15" s="98">
        <f t="shared" si="1"/>
        <v>1900269.5</v>
      </c>
      <c r="AC15" s="53"/>
    </row>
    <row r="16" spans="1:29" ht="19.5" customHeight="1">
      <c r="A16" s="637"/>
      <c r="B16" s="95" t="s">
        <v>117</v>
      </c>
      <c r="C16" s="96">
        <v>65126</v>
      </c>
      <c r="D16" s="96">
        <v>52026</v>
      </c>
      <c r="E16" s="96">
        <v>38170</v>
      </c>
      <c r="F16" s="96">
        <v>36143</v>
      </c>
      <c r="G16" s="96">
        <v>29790</v>
      </c>
      <c r="H16" s="96">
        <v>17157</v>
      </c>
      <c r="I16" s="96">
        <v>11093</v>
      </c>
      <c r="J16" s="96">
        <v>8833</v>
      </c>
      <c r="K16" s="96">
        <v>3495</v>
      </c>
      <c r="L16" s="96">
        <v>1227</v>
      </c>
      <c r="M16" s="99">
        <f t="shared" si="1"/>
        <v>263060</v>
      </c>
      <c r="AC16" s="53"/>
    </row>
    <row r="17" spans="1:29" ht="19.5" customHeight="1">
      <c r="A17" s="639" t="s">
        <v>120</v>
      </c>
      <c r="B17" s="124" t="s">
        <v>116</v>
      </c>
      <c r="C17" s="125">
        <f aca="true" t="shared" si="2" ref="C17:L18">C11+C13+C15</f>
        <v>1066821.5</v>
      </c>
      <c r="D17" s="125">
        <f t="shared" si="2"/>
        <v>847796</v>
      </c>
      <c r="E17" s="125">
        <f t="shared" si="2"/>
        <v>607873.5</v>
      </c>
      <c r="F17" s="125">
        <f t="shared" si="2"/>
        <v>565006</v>
      </c>
      <c r="G17" s="125">
        <f t="shared" si="2"/>
        <v>585938</v>
      </c>
      <c r="H17" s="125">
        <f t="shared" si="2"/>
        <v>362173.5</v>
      </c>
      <c r="I17" s="125">
        <f t="shared" si="2"/>
        <v>234529</v>
      </c>
      <c r="J17" s="125">
        <f t="shared" si="2"/>
        <v>218101.5</v>
      </c>
      <c r="K17" s="125">
        <f t="shared" si="2"/>
        <v>76947</v>
      </c>
      <c r="L17" s="125">
        <f t="shared" si="2"/>
        <v>17972</v>
      </c>
      <c r="M17" s="102">
        <f t="shared" si="1"/>
        <v>4583158</v>
      </c>
      <c r="AC17" s="53"/>
    </row>
    <row r="18" spans="1:29" ht="19.5" customHeight="1">
      <c r="A18" s="640"/>
      <c r="B18" s="126" t="s">
        <v>117</v>
      </c>
      <c r="C18" s="127">
        <f t="shared" si="2"/>
        <v>165177</v>
      </c>
      <c r="D18" s="127">
        <f t="shared" si="2"/>
        <v>120135</v>
      </c>
      <c r="E18" s="127">
        <f t="shared" si="2"/>
        <v>90432</v>
      </c>
      <c r="F18" s="127">
        <f t="shared" si="2"/>
        <v>86631</v>
      </c>
      <c r="G18" s="127">
        <f t="shared" si="2"/>
        <v>78076</v>
      </c>
      <c r="H18" s="127">
        <f t="shared" si="2"/>
        <v>46889</v>
      </c>
      <c r="I18" s="127">
        <f t="shared" si="2"/>
        <v>26135</v>
      </c>
      <c r="J18" s="127">
        <f t="shared" si="2"/>
        <v>23497</v>
      </c>
      <c r="K18" s="127">
        <f t="shared" si="2"/>
        <v>9234</v>
      </c>
      <c r="L18" s="127">
        <f t="shared" si="2"/>
        <v>3050</v>
      </c>
      <c r="M18" s="105">
        <f t="shared" si="1"/>
        <v>649256</v>
      </c>
      <c r="AC18" s="53"/>
    </row>
    <row r="19" spans="1:13" s="108" customFormat="1" ht="19.5" customHeight="1">
      <c r="A19" s="641" t="s">
        <v>133</v>
      </c>
      <c r="B19" s="642"/>
      <c r="C19" s="106">
        <f aca="true" t="shared" si="3" ref="C19:L19">IF(C18&lt;&gt;0,C18/$M$18*100,"")</f>
        <v>25.440966275244282</v>
      </c>
      <c r="D19" s="106">
        <f t="shared" si="3"/>
        <v>18.50348706827507</v>
      </c>
      <c r="E19" s="106">
        <f t="shared" si="3"/>
        <v>13.928558226647118</v>
      </c>
      <c r="F19" s="106">
        <f t="shared" si="3"/>
        <v>13.343118893009844</v>
      </c>
      <c r="G19" s="106">
        <f t="shared" si="3"/>
        <v>12.025456830587625</v>
      </c>
      <c r="H19" s="106">
        <f t="shared" si="3"/>
        <v>7.2219586726961325</v>
      </c>
      <c r="I19" s="106">
        <f t="shared" si="3"/>
        <v>4.025376738913463</v>
      </c>
      <c r="J19" s="106">
        <f t="shared" si="3"/>
        <v>3.619065514989465</v>
      </c>
      <c r="K19" s="106">
        <f t="shared" si="3"/>
        <v>1.4222433061843094</v>
      </c>
      <c r="L19" s="106">
        <f t="shared" si="3"/>
        <v>0.4697684734526904</v>
      </c>
      <c r="M19" s="107"/>
    </row>
    <row r="20" spans="1:29" ht="19.5" customHeight="1">
      <c r="A20" s="643" t="s">
        <v>121</v>
      </c>
      <c r="B20" s="644"/>
      <c r="C20" s="109">
        <v>385479</v>
      </c>
      <c r="D20" s="109">
        <v>137146</v>
      </c>
      <c r="E20" s="109">
        <v>204684</v>
      </c>
      <c r="F20" s="109">
        <v>172710</v>
      </c>
      <c r="G20" s="109">
        <v>117216</v>
      </c>
      <c r="H20" s="109"/>
      <c r="I20" s="109"/>
      <c r="J20" s="109">
        <v>46134</v>
      </c>
      <c r="K20" s="109"/>
      <c r="L20" s="109">
        <v>3585</v>
      </c>
      <c r="M20" s="110">
        <f>SUM($C20:$L20)</f>
        <v>1066954</v>
      </c>
      <c r="AC20" s="53"/>
    </row>
    <row r="21" spans="1:29" ht="19.5" customHeight="1">
      <c r="A21" s="645" t="s">
        <v>122</v>
      </c>
      <c r="B21" s="646"/>
      <c r="C21" s="111">
        <f aca="true" t="shared" si="4" ref="C21:L21">IF(C20&lt;&gt;0,(+C18-C20)/C20*100," ")</f>
        <v>-57.15019495225421</v>
      </c>
      <c r="D21" s="111">
        <f t="shared" si="4"/>
        <v>-12.403569918189374</v>
      </c>
      <c r="E21" s="111">
        <f t="shared" si="4"/>
        <v>-55.81872544996189</v>
      </c>
      <c r="F21" s="111">
        <f t="shared" si="4"/>
        <v>-49.840194545770366</v>
      </c>
      <c r="G21" s="111">
        <f t="shared" si="4"/>
        <v>-33.39134589134589</v>
      </c>
      <c r="H21" s="111" t="str">
        <f t="shared" si="4"/>
        <v> </v>
      </c>
      <c r="I21" s="111" t="str">
        <f t="shared" si="4"/>
        <v> </v>
      </c>
      <c r="J21" s="111">
        <f t="shared" si="4"/>
        <v>-49.06793254432739</v>
      </c>
      <c r="K21" s="111" t="str">
        <f t="shared" si="4"/>
        <v> </v>
      </c>
      <c r="L21" s="111">
        <f t="shared" si="4"/>
        <v>-14.923291492329149</v>
      </c>
      <c r="M21" s="112">
        <f>(+M18-M20)/M20*100</f>
        <v>-39.148641834605804</v>
      </c>
      <c r="AC21" s="53"/>
    </row>
    <row r="22" spans="1:29" ht="19.5" customHeight="1">
      <c r="A22" s="643" t="s">
        <v>123</v>
      </c>
      <c r="B22" s="644"/>
      <c r="C22" s="113">
        <f aca="true" t="shared" si="5" ref="C22:L22">IF(C18&lt;&gt;0,+C18/C10," ")</f>
        <v>589.9178571428571</v>
      </c>
      <c r="D22" s="113">
        <f t="shared" si="5"/>
        <v>1133.3490566037735</v>
      </c>
      <c r="E22" s="113">
        <f t="shared" si="5"/>
        <v>381.56962025316454</v>
      </c>
      <c r="F22" s="113">
        <f t="shared" si="5"/>
        <v>428.86633663366337</v>
      </c>
      <c r="G22" s="113">
        <f t="shared" si="5"/>
        <v>656.1008403361344</v>
      </c>
      <c r="H22" s="113">
        <f t="shared" si="5"/>
        <v>794.728813559322</v>
      </c>
      <c r="I22" s="113">
        <f t="shared" si="5"/>
        <v>607.7906976744187</v>
      </c>
      <c r="J22" s="113">
        <f t="shared" si="5"/>
        <v>367.140625</v>
      </c>
      <c r="K22" s="113">
        <f t="shared" si="5"/>
        <v>318.41379310344826</v>
      </c>
      <c r="L22" s="113">
        <f t="shared" si="5"/>
        <v>101.66666666666667</v>
      </c>
      <c r="M22" s="114">
        <f>M18/(SUM(C10:L10))</f>
        <v>555.3943541488452</v>
      </c>
      <c r="AC22" s="53"/>
    </row>
    <row r="23" spans="1:29" ht="19.5" customHeight="1">
      <c r="A23" s="648" t="s">
        <v>124</v>
      </c>
      <c r="B23" s="649"/>
      <c r="C23" s="115">
        <f aca="true" t="shared" si="6" ref="C23:L23">IF(C17&lt;&gt;0,+C17/C18," ")</f>
        <v>6.458656471542648</v>
      </c>
      <c r="D23" s="115">
        <f t="shared" si="6"/>
        <v>7.05702751071711</v>
      </c>
      <c r="E23" s="115">
        <f t="shared" si="6"/>
        <v>6.721884952229299</v>
      </c>
      <c r="F23" s="115">
        <f t="shared" si="6"/>
        <v>6.521984047280997</v>
      </c>
      <c r="G23" s="115">
        <f t="shared" si="6"/>
        <v>7.504713356217019</v>
      </c>
      <c r="H23" s="115">
        <f t="shared" si="6"/>
        <v>7.72406108042398</v>
      </c>
      <c r="I23" s="115">
        <f t="shared" si="6"/>
        <v>8.973751674000383</v>
      </c>
      <c r="J23" s="115">
        <f t="shared" si="6"/>
        <v>9.28209984253309</v>
      </c>
      <c r="K23" s="115">
        <f t="shared" si="6"/>
        <v>8.333008447043534</v>
      </c>
      <c r="L23" s="115">
        <f t="shared" si="6"/>
        <v>5.892459016393443</v>
      </c>
      <c r="M23" s="116">
        <f>M17/M18</f>
        <v>7.059092253286839</v>
      </c>
      <c r="AC23" s="53"/>
    </row>
    <row r="24" spans="1:29" ht="19.5" customHeight="1">
      <c r="A24" s="643" t="s">
        <v>125</v>
      </c>
      <c r="B24" s="644"/>
      <c r="C24" s="128">
        <v>10539517</v>
      </c>
      <c r="D24" s="128">
        <v>18272253</v>
      </c>
      <c r="E24" s="128">
        <v>15995270.5</v>
      </c>
      <c r="F24" s="128">
        <v>5410570.1</v>
      </c>
      <c r="G24" s="128">
        <v>2045746</v>
      </c>
      <c r="H24" s="128">
        <v>362173.5</v>
      </c>
      <c r="I24" s="128">
        <v>234529</v>
      </c>
      <c r="J24" s="128">
        <v>838736</v>
      </c>
      <c r="K24" s="128">
        <v>76947</v>
      </c>
      <c r="L24" s="128">
        <v>1796142</v>
      </c>
      <c r="M24" s="118">
        <f>SUM($C24:$L24)</f>
        <v>55571884.1</v>
      </c>
      <c r="AC24" s="53"/>
    </row>
    <row r="25" spans="1:29" ht="19.5" customHeight="1">
      <c r="A25" s="650" t="s">
        <v>126</v>
      </c>
      <c r="B25" s="651"/>
      <c r="C25" s="129">
        <v>1658351</v>
      </c>
      <c r="D25" s="129">
        <v>2502857</v>
      </c>
      <c r="E25" s="129">
        <v>2344088</v>
      </c>
      <c r="F25" s="129">
        <v>795321</v>
      </c>
      <c r="G25" s="129">
        <v>280911</v>
      </c>
      <c r="H25" s="129">
        <v>46889</v>
      </c>
      <c r="I25" s="129">
        <v>26135</v>
      </c>
      <c r="J25" s="129">
        <v>95029</v>
      </c>
      <c r="K25" s="129">
        <v>9234</v>
      </c>
      <c r="L25" s="129">
        <v>256955</v>
      </c>
      <c r="M25" s="120">
        <f>SUM($C25:$L25)</f>
        <v>8015770</v>
      </c>
      <c r="AC25" s="53"/>
    </row>
    <row r="26" spans="1:29" ht="19.5" customHeight="1" thickBot="1">
      <c r="A26" s="652" t="s">
        <v>124</v>
      </c>
      <c r="B26" s="653"/>
      <c r="C26" s="121">
        <f aca="true" t="shared" si="7" ref="C26:L26">IF(C24&lt;&gt;0,+C24/C25," ")</f>
        <v>6.3554199322097675</v>
      </c>
      <c r="D26" s="121">
        <f t="shared" si="7"/>
        <v>7.300558122177975</v>
      </c>
      <c r="E26" s="121">
        <f t="shared" si="7"/>
        <v>6.823664683237148</v>
      </c>
      <c r="F26" s="121">
        <f t="shared" si="7"/>
        <v>6.803001681082229</v>
      </c>
      <c r="G26" s="121">
        <f t="shared" si="7"/>
        <v>7.282541445511212</v>
      </c>
      <c r="H26" s="121">
        <f t="shared" si="7"/>
        <v>7.72406108042398</v>
      </c>
      <c r="I26" s="121">
        <f t="shared" si="7"/>
        <v>8.973751674000383</v>
      </c>
      <c r="J26" s="121">
        <f t="shared" si="7"/>
        <v>8.826105715097496</v>
      </c>
      <c r="K26" s="121">
        <f t="shared" si="7"/>
        <v>8.333008447043534</v>
      </c>
      <c r="L26" s="121">
        <f t="shared" si="7"/>
        <v>6.990103325485007</v>
      </c>
      <c r="M26" s="122">
        <f>M24/M25</f>
        <v>6.932819192666456</v>
      </c>
      <c r="AC26" s="53"/>
    </row>
    <row r="27" spans="21:30" ht="9.75" customHeight="1">
      <c r="U27" s="130"/>
      <c r="V27" s="130"/>
      <c r="W27" s="131"/>
      <c r="X27" s="131"/>
      <c r="Y27" s="131"/>
      <c r="Z27" s="131"/>
      <c r="AC27" s="84"/>
      <c r="AD27" s="84"/>
    </row>
    <row r="28" spans="1:32" s="134" customFormat="1" ht="12" customHeight="1">
      <c r="A28" s="647" t="s">
        <v>168</v>
      </c>
      <c r="B28" s="647"/>
      <c r="C28" s="647"/>
      <c r="D28" s="647"/>
      <c r="E28" s="647"/>
      <c r="F28" s="647"/>
      <c r="G28" s="647"/>
      <c r="H28" s="647"/>
      <c r="I28" s="647"/>
      <c r="J28" s="647"/>
      <c r="K28" s="647"/>
      <c r="L28" s="647"/>
      <c r="M28" s="647"/>
      <c r="N28" s="133"/>
      <c r="O28" s="133"/>
      <c r="P28" s="132"/>
      <c r="Q28" s="132"/>
      <c r="R28" s="132"/>
      <c r="AC28" s="135"/>
      <c r="AD28" s="135"/>
      <c r="AE28" s="135"/>
      <c r="AF28" s="135"/>
    </row>
    <row r="29" spans="29:32" ht="11.25">
      <c r="AC29" s="84"/>
      <c r="AD29" s="84"/>
      <c r="AE29" s="84"/>
      <c r="AF29" s="84"/>
    </row>
    <row r="30" spans="29:32" ht="11.25">
      <c r="AC30" s="84"/>
      <c r="AD30" s="84"/>
      <c r="AE30" s="84"/>
      <c r="AF30" s="84"/>
    </row>
    <row r="31" spans="29:32" ht="11.25">
      <c r="AC31" s="84"/>
      <c r="AD31" s="84"/>
      <c r="AE31" s="84"/>
      <c r="AF31" s="84"/>
    </row>
    <row r="32" spans="29:32" ht="11.25">
      <c r="AC32" s="84"/>
      <c r="AD32" s="84"/>
      <c r="AE32" s="84"/>
      <c r="AF32" s="84"/>
    </row>
    <row r="33" spans="29:32" ht="11.25">
      <c r="AC33" s="84"/>
      <c r="AD33" s="84"/>
      <c r="AE33" s="84"/>
      <c r="AF33" s="84"/>
    </row>
    <row r="34" spans="29:32" ht="11.25">
      <c r="AC34" s="84"/>
      <c r="AD34" s="84"/>
      <c r="AE34" s="84"/>
      <c r="AF34" s="84"/>
    </row>
    <row r="35" spans="29:32" ht="11.25">
      <c r="AC35" s="84"/>
      <c r="AD35" s="84"/>
      <c r="AE35" s="84"/>
      <c r="AF35" s="84"/>
    </row>
    <row r="36" spans="29:32" ht="11.25">
      <c r="AC36" s="84"/>
      <c r="AD36" s="84"/>
      <c r="AE36" s="84"/>
      <c r="AF36" s="84"/>
    </row>
    <row r="37" spans="29:32" ht="11.25">
      <c r="AC37" s="84"/>
      <c r="AD37" s="84"/>
      <c r="AE37" s="84"/>
      <c r="AF37" s="84"/>
    </row>
    <row r="38" spans="29:32" ht="11.25">
      <c r="AC38" s="84"/>
      <c r="AD38" s="84"/>
      <c r="AE38" s="84"/>
      <c r="AF38" s="84"/>
    </row>
    <row r="39" spans="29:32" ht="11.25">
      <c r="AC39" s="84"/>
      <c r="AD39" s="84"/>
      <c r="AE39" s="84"/>
      <c r="AF39" s="84"/>
    </row>
    <row r="40" spans="29:32" ht="11.25">
      <c r="AC40" s="84"/>
      <c r="AD40" s="84"/>
      <c r="AE40" s="84"/>
      <c r="AF40" s="84"/>
    </row>
    <row r="41" spans="29:32" ht="11.25">
      <c r="AC41" s="84"/>
      <c r="AD41" s="84"/>
      <c r="AE41" s="84"/>
      <c r="AF41" s="84"/>
    </row>
    <row r="42" spans="29:32" ht="11.25">
      <c r="AC42" s="84"/>
      <c r="AD42" s="84"/>
      <c r="AE42" s="84"/>
      <c r="AF42" s="84"/>
    </row>
    <row r="43" spans="29:32" ht="11.25">
      <c r="AC43" s="84"/>
      <c r="AD43" s="84"/>
      <c r="AE43" s="84"/>
      <c r="AF43" s="84"/>
    </row>
    <row r="44" spans="29:32" ht="11.25">
      <c r="AC44" s="84"/>
      <c r="AD44" s="84"/>
      <c r="AE44" s="84"/>
      <c r="AF44" s="84"/>
    </row>
    <row r="45" spans="29:32" ht="11.25">
      <c r="AC45" s="84"/>
      <c r="AD45" s="84"/>
      <c r="AE45" s="84"/>
      <c r="AF45" s="84"/>
    </row>
    <row r="46" spans="29:32" ht="11.25">
      <c r="AC46" s="84"/>
      <c r="AD46" s="84"/>
      <c r="AE46" s="84"/>
      <c r="AF46" s="84"/>
    </row>
    <row r="47" spans="29:32" ht="11.25">
      <c r="AC47" s="84"/>
      <c r="AD47" s="84"/>
      <c r="AE47" s="84"/>
      <c r="AF47" s="84"/>
    </row>
    <row r="48" spans="29:32" ht="11.25">
      <c r="AC48" s="84"/>
      <c r="AD48" s="84"/>
      <c r="AE48" s="84"/>
      <c r="AF48" s="84"/>
    </row>
    <row r="49" spans="29:32" ht="11.25">
      <c r="AC49" s="84"/>
      <c r="AD49" s="84"/>
      <c r="AE49" s="84"/>
      <c r="AF49" s="84"/>
    </row>
    <row r="50" spans="29:32" ht="11.25">
      <c r="AC50" s="84"/>
      <c r="AD50" s="84"/>
      <c r="AE50" s="84"/>
      <c r="AF50" s="84"/>
    </row>
    <row r="51" spans="29:32" ht="11.25">
      <c r="AC51" s="84"/>
      <c r="AD51" s="84"/>
      <c r="AE51" s="84"/>
      <c r="AF51" s="84"/>
    </row>
    <row r="52" spans="29:32" ht="11.25">
      <c r="AC52" s="84"/>
      <c r="AD52" s="84"/>
      <c r="AE52" s="84"/>
      <c r="AF52" s="84"/>
    </row>
    <row r="53" spans="29:32" ht="11.25">
      <c r="AC53" s="84"/>
      <c r="AD53" s="84"/>
      <c r="AE53" s="84"/>
      <c r="AF53" s="84"/>
    </row>
    <row r="54" spans="29:32" ht="11.25">
      <c r="AC54" s="84"/>
      <c r="AD54" s="84"/>
      <c r="AE54" s="84"/>
      <c r="AF54" s="84"/>
    </row>
    <row r="55" spans="29:32" ht="11.25">
      <c r="AC55" s="84"/>
      <c r="AD55" s="84"/>
      <c r="AE55" s="84"/>
      <c r="AF55" s="84"/>
    </row>
    <row r="56" spans="29:32" ht="11.25">
      <c r="AC56" s="84"/>
      <c r="AD56" s="84"/>
      <c r="AE56" s="84"/>
      <c r="AF56" s="84"/>
    </row>
    <row r="57" spans="29:32" ht="11.25">
      <c r="AC57" s="84"/>
      <c r="AD57" s="84"/>
      <c r="AE57" s="84"/>
      <c r="AF57" s="84"/>
    </row>
    <row r="58" spans="29:32" ht="11.25">
      <c r="AC58" s="84"/>
      <c r="AD58" s="84"/>
      <c r="AE58" s="84"/>
      <c r="AF58" s="84"/>
    </row>
    <row r="59" spans="29:32" ht="11.25">
      <c r="AC59" s="84"/>
      <c r="AD59" s="84"/>
      <c r="AE59" s="84"/>
      <c r="AF59" s="84"/>
    </row>
    <row r="60" spans="29:32" ht="11.25">
      <c r="AC60" s="84"/>
      <c r="AD60" s="84"/>
      <c r="AE60" s="84"/>
      <c r="AF60" s="84"/>
    </row>
    <row r="61" spans="29:32" ht="11.25">
      <c r="AC61" s="84"/>
      <c r="AD61" s="84"/>
      <c r="AE61" s="84"/>
      <c r="AF61" s="84"/>
    </row>
    <row r="62" spans="29:32" ht="11.25">
      <c r="AC62" s="84"/>
      <c r="AD62" s="84"/>
      <c r="AE62" s="84"/>
      <c r="AF62" s="84"/>
    </row>
    <row r="63" spans="29:32" ht="11.25">
      <c r="AC63" s="84"/>
      <c r="AD63" s="84"/>
      <c r="AE63" s="84"/>
      <c r="AF63" s="84"/>
    </row>
    <row r="64" spans="29:32" ht="11.25">
      <c r="AC64" s="84"/>
      <c r="AD64" s="84"/>
      <c r="AE64" s="84"/>
      <c r="AF64" s="84"/>
    </row>
    <row r="65" spans="29:32" ht="11.25">
      <c r="AC65" s="84"/>
      <c r="AD65" s="84"/>
      <c r="AE65" s="84"/>
      <c r="AF65" s="84"/>
    </row>
    <row r="66" spans="29:32" ht="11.25">
      <c r="AC66" s="84"/>
      <c r="AD66" s="84"/>
      <c r="AE66" s="84"/>
      <c r="AF66" s="84"/>
    </row>
    <row r="67" spans="29:32" ht="11.25">
      <c r="AC67" s="84"/>
      <c r="AD67" s="84"/>
      <c r="AE67" s="84"/>
      <c r="AF67" s="84"/>
    </row>
    <row r="68" spans="29:32" ht="11.25">
      <c r="AC68" s="84"/>
      <c r="AD68" s="84"/>
      <c r="AE68" s="84"/>
      <c r="AF68" s="84"/>
    </row>
    <row r="69" spans="29:32" ht="11.25">
      <c r="AC69" s="84"/>
      <c r="AD69" s="84"/>
      <c r="AE69" s="84"/>
      <c r="AF69" s="84"/>
    </row>
    <row r="70" spans="29:32" ht="11.25">
      <c r="AC70" s="84"/>
      <c r="AD70" s="84"/>
      <c r="AE70" s="84"/>
      <c r="AF70" s="84"/>
    </row>
    <row r="71" spans="29:32" ht="11.25">
      <c r="AC71" s="84"/>
      <c r="AD71" s="84"/>
      <c r="AE71" s="84"/>
      <c r="AF71" s="84"/>
    </row>
    <row r="72" spans="29:32" ht="11.25">
      <c r="AC72" s="84"/>
      <c r="AD72" s="84"/>
      <c r="AE72" s="84"/>
      <c r="AF72" s="84"/>
    </row>
    <row r="73" spans="29:32" ht="11.25">
      <c r="AC73" s="84"/>
      <c r="AD73" s="84"/>
      <c r="AE73" s="84"/>
      <c r="AF73" s="84"/>
    </row>
    <row r="74" spans="29:32" ht="11.25">
      <c r="AC74" s="84"/>
      <c r="AD74" s="84"/>
      <c r="AE74" s="84"/>
      <c r="AF74" s="84"/>
    </row>
    <row r="75" spans="29:32" ht="11.25">
      <c r="AC75" s="84"/>
      <c r="AD75" s="84"/>
      <c r="AE75" s="84"/>
      <c r="AF75" s="84"/>
    </row>
    <row r="76" spans="29:32" ht="11.25">
      <c r="AC76" s="84"/>
      <c r="AD76" s="84"/>
      <c r="AE76" s="84"/>
      <c r="AF76" s="84"/>
    </row>
    <row r="77" spans="29:32" ht="11.25">
      <c r="AC77" s="84"/>
      <c r="AD77" s="84"/>
      <c r="AE77" s="84"/>
      <c r="AF77" s="84"/>
    </row>
    <row r="78" spans="29:32" ht="11.25">
      <c r="AC78" s="84"/>
      <c r="AD78" s="84"/>
      <c r="AE78" s="84"/>
      <c r="AF78" s="84"/>
    </row>
    <row r="79" spans="29:32" ht="11.25">
      <c r="AC79" s="84"/>
      <c r="AD79" s="84"/>
      <c r="AE79" s="84"/>
      <c r="AF79" s="84"/>
    </row>
    <row r="80" spans="29:32" ht="11.25">
      <c r="AC80" s="84"/>
      <c r="AD80" s="84"/>
      <c r="AE80" s="84"/>
      <c r="AF80" s="84"/>
    </row>
    <row r="81" spans="29:32" ht="11.25">
      <c r="AC81" s="84"/>
      <c r="AD81" s="84"/>
      <c r="AE81" s="84"/>
      <c r="AF81" s="84"/>
    </row>
    <row r="82" spans="29:32" ht="11.25">
      <c r="AC82" s="84"/>
      <c r="AD82" s="84"/>
      <c r="AE82" s="84"/>
      <c r="AF82" s="84"/>
    </row>
    <row r="83" spans="29:32" ht="11.25">
      <c r="AC83" s="84"/>
      <c r="AD83" s="84"/>
      <c r="AE83" s="84"/>
      <c r="AF83" s="84"/>
    </row>
    <row r="84" spans="29:32" ht="11.25">
      <c r="AC84" s="84"/>
      <c r="AD84" s="84"/>
      <c r="AE84" s="84"/>
      <c r="AF84" s="84"/>
    </row>
    <row r="85" spans="29:32" ht="11.25">
      <c r="AC85" s="84"/>
      <c r="AD85" s="84"/>
      <c r="AE85" s="84"/>
      <c r="AF85" s="84"/>
    </row>
    <row r="86" spans="29:32" ht="11.25">
      <c r="AC86" s="84"/>
      <c r="AD86" s="84"/>
      <c r="AE86" s="84"/>
      <c r="AF86" s="84"/>
    </row>
    <row r="87" spans="29:32" ht="11.25">
      <c r="AC87" s="84"/>
      <c r="AD87" s="84"/>
      <c r="AE87" s="84"/>
      <c r="AF87" s="84"/>
    </row>
    <row r="88" spans="29:32" ht="11.25">
      <c r="AC88" s="84"/>
      <c r="AD88" s="84"/>
      <c r="AE88" s="84"/>
      <c r="AF88" s="84"/>
    </row>
    <row r="89" spans="29:32" ht="11.25">
      <c r="AC89" s="84"/>
      <c r="AD89" s="84"/>
      <c r="AE89" s="84"/>
      <c r="AF89" s="84"/>
    </row>
    <row r="90" spans="29:32" ht="11.25">
      <c r="AC90" s="84"/>
      <c r="AD90" s="84"/>
      <c r="AE90" s="84"/>
      <c r="AF90" s="84"/>
    </row>
    <row r="91" spans="29:32" ht="11.25">
      <c r="AC91" s="84"/>
      <c r="AD91" s="84"/>
      <c r="AE91" s="84"/>
      <c r="AF91" s="84"/>
    </row>
    <row r="92" spans="29:32" ht="11.25">
      <c r="AC92" s="84"/>
      <c r="AD92" s="84"/>
      <c r="AE92" s="84"/>
      <c r="AF92" s="84"/>
    </row>
    <row r="93" spans="29:32" ht="11.25">
      <c r="AC93" s="84"/>
      <c r="AD93" s="84"/>
      <c r="AE93" s="84"/>
      <c r="AF93" s="84"/>
    </row>
    <row r="94" spans="29:32" ht="11.25">
      <c r="AC94" s="84"/>
      <c r="AD94" s="84"/>
      <c r="AE94" s="84"/>
      <c r="AF94" s="84"/>
    </row>
    <row r="95" spans="29:32" ht="11.25">
      <c r="AC95" s="84"/>
      <c r="AD95" s="84"/>
      <c r="AE95" s="84"/>
      <c r="AF95" s="84"/>
    </row>
    <row r="96" spans="29:32" ht="11.25">
      <c r="AC96" s="84"/>
      <c r="AD96" s="84"/>
      <c r="AE96" s="84"/>
      <c r="AF96" s="84"/>
    </row>
    <row r="97" spans="29:32" ht="11.25">
      <c r="AC97" s="84"/>
      <c r="AD97" s="84"/>
      <c r="AE97" s="84"/>
      <c r="AF97" s="84"/>
    </row>
    <row r="98" spans="29:32" ht="11.25">
      <c r="AC98" s="84"/>
      <c r="AD98" s="84"/>
      <c r="AE98" s="84"/>
      <c r="AF98" s="84"/>
    </row>
    <row r="99" spans="29:32" ht="11.25">
      <c r="AC99" s="84"/>
      <c r="AD99" s="84"/>
      <c r="AE99" s="84"/>
      <c r="AF99" s="84"/>
    </row>
    <row r="100" spans="29:32" ht="11.25">
      <c r="AC100" s="84"/>
      <c r="AD100" s="84"/>
      <c r="AE100" s="84"/>
      <c r="AF100" s="84"/>
    </row>
    <row r="101" spans="29:32" ht="11.25">
      <c r="AC101" s="84"/>
      <c r="AD101" s="84"/>
      <c r="AE101" s="84"/>
      <c r="AF101" s="84"/>
    </row>
    <row r="102" spans="29:32" ht="11.25">
      <c r="AC102" s="84"/>
      <c r="AD102" s="84"/>
      <c r="AE102" s="84"/>
      <c r="AF102" s="84"/>
    </row>
    <row r="103" spans="29:32" ht="11.25">
      <c r="AC103" s="84"/>
      <c r="AD103" s="84"/>
      <c r="AE103" s="84"/>
      <c r="AF103" s="84"/>
    </row>
    <row r="104" spans="29:32" ht="11.25">
      <c r="AC104" s="84"/>
      <c r="AD104" s="84"/>
      <c r="AE104" s="84"/>
      <c r="AF104" s="84"/>
    </row>
    <row r="105" spans="29:32" ht="11.25">
      <c r="AC105" s="84"/>
      <c r="AD105" s="84"/>
      <c r="AE105" s="84"/>
      <c r="AF105" s="84"/>
    </row>
    <row r="106" spans="29:32" ht="11.25">
      <c r="AC106" s="84"/>
      <c r="AD106" s="84"/>
      <c r="AE106" s="84"/>
      <c r="AF106" s="84"/>
    </row>
    <row r="107" spans="29:32" ht="11.25">
      <c r="AC107" s="84"/>
      <c r="AD107" s="84"/>
      <c r="AE107" s="84"/>
      <c r="AF107" s="84"/>
    </row>
    <row r="108" spans="29:32" ht="11.25">
      <c r="AC108" s="84"/>
      <c r="AD108" s="84"/>
      <c r="AE108" s="84"/>
      <c r="AF108" s="84"/>
    </row>
    <row r="109" spans="29:32" ht="11.25">
      <c r="AC109" s="84"/>
      <c r="AD109" s="84"/>
      <c r="AE109" s="84"/>
      <c r="AF109" s="84"/>
    </row>
    <row r="110" spans="29:32" ht="11.25">
      <c r="AC110" s="84"/>
      <c r="AD110" s="84"/>
      <c r="AE110" s="84"/>
      <c r="AF110" s="84"/>
    </row>
    <row r="111" spans="29:32" ht="11.25">
      <c r="AC111" s="84"/>
      <c r="AD111" s="84"/>
      <c r="AE111" s="84"/>
      <c r="AF111" s="84"/>
    </row>
    <row r="112" spans="29:32" ht="11.25">
      <c r="AC112" s="84"/>
      <c r="AD112" s="84"/>
      <c r="AE112" s="84"/>
      <c r="AF112" s="84"/>
    </row>
    <row r="113" spans="29:32" ht="11.25">
      <c r="AC113" s="84"/>
      <c r="AD113" s="84"/>
      <c r="AE113" s="84"/>
      <c r="AF113" s="84"/>
    </row>
    <row r="114" spans="29:32" ht="11.25">
      <c r="AC114" s="84"/>
      <c r="AD114" s="84"/>
      <c r="AE114" s="84"/>
      <c r="AF114" s="84"/>
    </row>
    <row r="115" spans="29:32" ht="11.25">
      <c r="AC115" s="84"/>
      <c r="AD115" s="84"/>
      <c r="AE115" s="84"/>
      <c r="AF115" s="84"/>
    </row>
    <row r="116" spans="29:32" ht="11.25">
      <c r="AC116" s="84"/>
      <c r="AD116" s="84"/>
      <c r="AE116" s="84"/>
      <c r="AF116" s="84"/>
    </row>
    <row r="117" spans="29:32" ht="11.25">
      <c r="AC117" s="84"/>
      <c r="AD117" s="84"/>
      <c r="AE117" s="84"/>
      <c r="AF117" s="84"/>
    </row>
    <row r="118" spans="29:32" ht="11.25">
      <c r="AC118" s="84"/>
      <c r="AD118" s="84"/>
      <c r="AE118" s="84"/>
      <c r="AF118" s="84"/>
    </row>
    <row r="119" spans="29:32" ht="11.25">
      <c r="AC119" s="84"/>
      <c r="AD119" s="84"/>
      <c r="AE119" s="84"/>
      <c r="AF119" s="84"/>
    </row>
    <row r="120" spans="29:32" ht="11.25">
      <c r="AC120" s="84"/>
      <c r="AD120" s="84"/>
      <c r="AE120" s="84"/>
      <c r="AF120" s="84"/>
    </row>
    <row r="121" spans="29:32" ht="11.25">
      <c r="AC121" s="84"/>
      <c r="AD121" s="84"/>
      <c r="AE121" s="84"/>
      <c r="AF121" s="84"/>
    </row>
    <row r="122" spans="29:32" ht="11.25">
      <c r="AC122" s="84"/>
      <c r="AD122" s="84"/>
      <c r="AE122" s="84"/>
      <c r="AF122" s="84"/>
    </row>
    <row r="123" spans="29:32" ht="11.25">
      <c r="AC123" s="84"/>
      <c r="AD123" s="84"/>
      <c r="AE123" s="84"/>
      <c r="AF123" s="84"/>
    </row>
    <row r="124" spans="29:32" ht="11.25">
      <c r="AC124" s="84"/>
      <c r="AD124" s="84"/>
      <c r="AE124" s="84"/>
      <c r="AF124" s="84"/>
    </row>
    <row r="125" spans="29:32" ht="11.25">
      <c r="AC125" s="84"/>
      <c r="AD125" s="84"/>
      <c r="AE125" s="84"/>
      <c r="AF125" s="84"/>
    </row>
    <row r="126" spans="29:32" ht="11.25">
      <c r="AC126" s="84"/>
      <c r="AD126" s="84"/>
      <c r="AE126" s="84"/>
      <c r="AF126" s="84"/>
    </row>
    <row r="127" spans="29:32" ht="11.25">
      <c r="AC127" s="84"/>
      <c r="AD127" s="84"/>
      <c r="AE127" s="84"/>
      <c r="AF127" s="84"/>
    </row>
    <row r="128" spans="29:32" ht="11.25">
      <c r="AC128" s="84"/>
      <c r="AD128" s="84"/>
      <c r="AE128" s="84"/>
      <c r="AF128" s="84"/>
    </row>
    <row r="129" spans="29:32" ht="11.25">
      <c r="AC129" s="84"/>
      <c r="AD129" s="84"/>
      <c r="AE129" s="84"/>
      <c r="AF129" s="84"/>
    </row>
    <row r="130" spans="29:32" ht="11.25">
      <c r="AC130" s="84"/>
      <c r="AD130" s="84"/>
      <c r="AE130" s="84"/>
      <c r="AF130" s="84"/>
    </row>
    <row r="131" spans="29:32" ht="11.25">
      <c r="AC131" s="84"/>
      <c r="AD131" s="84"/>
      <c r="AE131" s="84"/>
      <c r="AF131" s="84"/>
    </row>
    <row r="132" spans="29:32" ht="11.25">
      <c r="AC132" s="84"/>
      <c r="AD132" s="84"/>
      <c r="AE132" s="84"/>
      <c r="AF132" s="84"/>
    </row>
    <row r="133" spans="29:32" ht="11.25">
      <c r="AC133" s="84"/>
      <c r="AD133" s="84"/>
      <c r="AE133" s="84"/>
      <c r="AF133" s="84"/>
    </row>
    <row r="134" spans="29:32" ht="11.25">
      <c r="AC134" s="84"/>
      <c r="AD134" s="84"/>
      <c r="AE134" s="84"/>
      <c r="AF134" s="84"/>
    </row>
    <row r="135" spans="29:32" ht="11.25">
      <c r="AC135" s="84"/>
      <c r="AD135" s="84"/>
      <c r="AE135" s="84"/>
      <c r="AF135" s="84"/>
    </row>
    <row r="136" spans="29:32" ht="11.25">
      <c r="AC136" s="84"/>
      <c r="AD136" s="84"/>
      <c r="AE136" s="84"/>
      <c r="AF136" s="84"/>
    </row>
    <row r="137" spans="29:32" ht="11.25">
      <c r="AC137" s="84"/>
      <c r="AD137" s="84"/>
      <c r="AE137" s="84"/>
      <c r="AF137" s="84"/>
    </row>
    <row r="138" spans="29:32" ht="11.25">
      <c r="AC138" s="84"/>
      <c r="AD138" s="84"/>
      <c r="AE138" s="84"/>
      <c r="AF138" s="84"/>
    </row>
    <row r="139" spans="29:32" ht="11.25">
      <c r="AC139" s="84"/>
      <c r="AD139" s="84"/>
      <c r="AE139" s="84"/>
      <c r="AF139" s="84"/>
    </row>
    <row r="140" spans="29:32" ht="11.25">
      <c r="AC140" s="84"/>
      <c r="AD140" s="84"/>
      <c r="AE140" s="84"/>
      <c r="AF140" s="84"/>
    </row>
    <row r="141" spans="29:32" ht="11.25">
      <c r="AC141" s="84"/>
      <c r="AD141" s="84"/>
      <c r="AE141" s="84"/>
      <c r="AF141" s="84"/>
    </row>
    <row r="142" spans="29:32" ht="11.25">
      <c r="AC142" s="84"/>
      <c r="AD142" s="84"/>
      <c r="AE142" s="84"/>
      <c r="AF142" s="84"/>
    </row>
    <row r="143" spans="29:32" ht="11.25">
      <c r="AC143" s="84"/>
      <c r="AD143" s="84"/>
      <c r="AE143" s="84"/>
      <c r="AF143" s="84"/>
    </row>
    <row r="144" spans="29:32" ht="11.25">
      <c r="AC144" s="84"/>
      <c r="AD144" s="84"/>
      <c r="AE144" s="84"/>
      <c r="AF144" s="84"/>
    </row>
    <row r="145" spans="29:32" ht="11.25">
      <c r="AC145" s="84"/>
      <c r="AD145" s="84"/>
      <c r="AE145" s="84"/>
      <c r="AF145" s="84"/>
    </row>
    <row r="146" spans="29:32" ht="11.25">
      <c r="AC146" s="84"/>
      <c r="AD146" s="84"/>
      <c r="AE146" s="84"/>
      <c r="AF146" s="84"/>
    </row>
    <row r="147" spans="29:32" ht="11.25">
      <c r="AC147" s="84"/>
      <c r="AD147" s="84"/>
      <c r="AE147" s="84"/>
      <c r="AF147" s="84"/>
    </row>
    <row r="148" spans="29:32" ht="11.25">
      <c r="AC148" s="84"/>
      <c r="AD148" s="84"/>
      <c r="AE148" s="84"/>
      <c r="AF148" s="84"/>
    </row>
    <row r="149" spans="29:32" ht="11.25">
      <c r="AC149" s="84"/>
      <c r="AD149" s="84"/>
      <c r="AE149" s="84"/>
      <c r="AF149" s="84"/>
    </row>
    <row r="150" spans="29:32" ht="11.25">
      <c r="AC150" s="84"/>
      <c r="AD150" s="84"/>
      <c r="AE150" s="84"/>
      <c r="AF150" s="84"/>
    </row>
    <row r="151" spans="29:32" ht="11.25">
      <c r="AC151" s="84"/>
      <c r="AD151" s="84"/>
      <c r="AE151" s="84"/>
      <c r="AF151" s="84"/>
    </row>
    <row r="152" spans="29:32" ht="11.25">
      <c r="AC152" s="84"/>
      <c r="AD152" s="84"/>
      <c r="AE152" s="84"/>
      <c r="AF152" s="84"/>
    </row>
    <row r="153" spans="29:32" ht="11.25">
      <c r="AC153" s="84"/>
      <c r="AD153" s="84"/>
      <c r="AE153" s="84"/>
      <c r="AF153" s="84"/>
    </row>
    <row r="154" spans="29:32" ht="11.25">
      <c r="AC154" s="84"/>
      <c r="AD154" s="84"/>
      <c r="AE154" s="84"/>
      <c r="AF154" s="84"/>
    </row>
    <row r="155" spans="29:32" ht="11.25">
      <c r="AC155" s="84"/>
      <c r="AD155" s="84"/>
      <c r="AE155" s="84"/>
      <c r="AF155" s="84"/>
    </row>
    <row r="156" spans="29:32" ht="11.25">
      <c r="AC156" s="84"/>
      <c r="AD156" s="84"/>
      <c r="AE156" s="84"/>
      <c r="AF156" s="84"/>
    </row>
    <row r="157" spans="29:32" ht="11.25">
      <c r="AC157" s="84"/>
      <c r="AD157" s="84"/>
      <c r="AE157" s="84"/>
      <c r="AF157" s="84"/>
    </row>
    <row r="158" spans="29:32" ht="11.25">
      <c r="AC158" s="84"/>
      <c r="AD158" s="84"/>
      <c r="AE158" s="84"/>
      <c r="AF158" s="84"/>
    </row>
    <row r="159" spans="29:32" ht="11.25">
      <c r="AC159" s="84"/>
      <c r="AD159" s="84"/>
      <c r="AE159" s="84"/>
      <c r="AF159" s="84"/>
    </row>
    <row r="160" spans="29:32" ht="11.25">
      <c r="AC160" s="84"/>
      <c r="AD160" s="84"/>
      <c r="AE160" s="84"/>
      <c r="AF160" s="84"/>
    </row>
    <row r="161" spans="29:32" ht="11.25">
      <c r="AC161" s="84"/>
      <c r="AD161" s="84"/>
      <c r="AE161" s="84"/>
      <c r="AF161" s="84"/>
    </row>
    <row r="162" spans="29:32" ht="11.25">
      <c r="AC162" s="84"/>
      <c r="AD162" s="84"/>
      <c r="AE162" s="84"/>
      <c r="AF162" s="84"/>
    </row>
    <row r="163" spans="29:32" ht="11.25">
      <c r="AC163" s="84"/>
      <c r="AD163" s="84"/>
      <c r="AE163" s="84"/>
      <c r="AF163" s="84"/>
    </row>
    <row r="164" spans="29:32" ht="11.25">
      <c r="AC164" s="84"/>
      <c r="AD164" s="84"/>
      <c r="AE164" s="84"/>
      <c r="AF164" s="84"/>
    </row>
    <row r="165" spans="29:32" ht="11.25">
      <c r="AC165" s="84"/>
      <c r="AD165" s="84"/>
      <c r="AE165" s="84"/>
      <c r="AF165" s="84"/>
    </row>
    <row r="166" spans="29:32" ht="11.25">
      <c r="AC166" s="84"/>
      <c r="AD166" s="84"/>
      <c r="AE166" s="84"/>
      <c r="AF166" s="84"/>
    </row>
    <row r="167" spans="29:32" ht="11.25">
      <c r="AC167" s="84"/>
      <c r="AD167" s="84"/>
      <c r="AE167" s="84"/>
      <c r="AF167" s="84"/>
    </row>
    <row r="168" spans="29:32" ht="11.25">
      <c r="AC168" s="84"/>
      <c r="AD168" s="84"/>
      <c r="AE168" s="84"/>
      <c r="AF168" s="84"/>
    </row>
    <row r="169" spans="29:32" ht="11.25">
      <c r="AC169" s="84"/>
      <c r="AD169" s="84"/>
      <c r="AE169" s="84"/>
      <c r="AF169" s="84"/>
    </row>
    <row r="170" spans="29:32" ht="11.25">
      <c r="AC170" s="84"/>
      <c r="AD170" s="84"/>
      <c r="AE170" s="84"/>
      <c r="AF170" s="84"/>
    </row>
    <row r="171" spans="29:32" ht="11.25">
      <c r="AC171" s="84"/>
      <c r="AD171" s="84"/>
      <c r="AE171" s="84"/>
      <c r="AF171" s="84"/>
    </row>
    <row r="172" spans="29:32" ht="11.25">
      <c r="AC172" s="84"/>
      <c r="AD172" s="84"/>
      <c r="AE172" s="84"/>
      <c r="AF172" s="84"/>
    </row>
    <row r="173" spans="29:32" ht="11.25">
      <c r="AC173" s="84"/>
      <c r="AD173" s="84"/>
      <c r="AE173" s="84"/>
      <c r="AF173" s="84"/>
    </row>
  </sheetData>
  <mergeCells count="20">
    <mergeCell ref="A28:M28"/>
    <mergeCell ref="A23:B23"/>
    <mergeCell ref="A24:B24"/>
    <mergeCell ref="A25:B25"/>
    <mergeCell ref="A26:B26"/>
    <mergeCell ref="A19:B19"/>
    <mergeCell ref="A20:B20"/>
    <mergeCell ref="A21:B21"/>
    <mergeCell ref="A22:B22"/>
    <mergeCell ref="A11:A12"/>
    <mergeCell ref="A13:A14"/>
    <mergeCell ref="A15:A16"/>
    <mergeCell ref="A17:A18"/>
    <mergeCell ref="A1:M1"/>
    <mergeCell ref="M3:M10"/>
    <mergeCell ref="A5:B5"/>
    <mergeCell ref="A6:B6"/>
    <mergeCell ref="A7:B8"/>
    <mergeCell ref="A9:B9"/>
    <mergeCell ref="A10:B10"/>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43</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+'Aug.18-20 (we34)'!N37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44</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+'Aug.25-27 (we35)'!N37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45</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+'Sep.1-3 (we36)'!N37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46</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+'Sep.8-10 (we37)'!N37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47</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+'Sep.15-17 (we38)'!N37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V37"/>
  <sheetViews>
    <sheetView zoomScale="90" zoomScaleNormal="90" workbookViewId="0" topLeftCell="A1">
      <pane xSplit="7" ySplit="6" topLeftCell="H7" activePane="bottomRight" state="frozen"/>
      <selection pane="topLeft" activeCell="A3" sqref="A3:V3"/>
      <selection pane="topRight" activeCell="A3" sqref="A3:V3"/>
      <selection pane="bottomLeft" activeCell="A3" sqref="A3:V3"/>
      <selection pane="bottomRight"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48</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+'Sep.22-24 (we39)'!N37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2:V2"/>
    <mergeCell ref="A3:V3"/>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49</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+'Sep.29-Oct.1(we40)'!N37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50</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+'Oct.6-8 (we41)'!N37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51</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+'Oct.13-15 (we42)'!N37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52</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+'Oct 20-22 (we43)'!N37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F173"/>
  <sheetViews>
    <sheetView zoomScale="90" zoomScaleNormal="90" workbookViewId="0" topLeftCell="A1">
      <selection activeCell="C33" sqref="C32:C33"/>
    </sheetView>
  </sheetViews>
  <sheetFormatPr defaultColWidth="9.140625" defaultRowHeight="12.75"/>
  <cols>
    <col min="1" max="2" width="9.7109375" style="53" customWidth="1"/>
    <col min="3" max="20" width="13.57421875" style="53" customWidth="1"/>
    <col min="21" max="21" width="14.421875" style="53" customWidth="1"/>
    <col min="22" max="28" width="17.421875" style="53" customWidth="1"/>
    <col min="29" max="29" width="17.421875" style="54" customWidth="1"/>
    <col min="30" max="16384" width="17.421875" style="53" customWidth="1"/>
  </cols>
  <sheetData>
    <row r="1" spans="1:29" ht="90" customHeight="1" thickBot="1">
      <c r="A1" s="632" t="s">
        <v>158</v>
      </c>
      <c r="B1" s="633"/>
      <c r="C1" s="633"/>
      <c r="D1" s="633"/>
      <c r="E1" s="633"/>
      <c r="F1" s="633"/>
      <c r="G1" s="633"/>
      <c r="H1" s="633"/>
      <c r="I1" s="633"/>
      <c r="J1" s="633"/>
      <c r="K1" s="633"/>
      <c r="L1" s="633"/>
      <c r="M1" s="634"/>
      <c r="U1" s="54"/>
      <c r="AC1" s="53"/>
    </row>
    <row r="2" spans="1:21" ht="9" customHeight="1" thickBot="1">
      <c r="A2" s="55"/>
      <c r="B2" s="55"/>
      <c r="C2" s="55"/>
      <c r="D2" s="55"/>
      <c r="E2" s="55"/>
      <c r="F2" s="55"/>
      <c r="G2" s="55"/>
      <c r="H2" s="55"/>
      <c r="I2" s="55"/>
      <c r="J2" s="55"/>
      <c r="K2" s="55"/>
      <c r="L2" s="55"/>
      <c r="M2" s="55"/>
      <c r="N2" s="55"/>
      <c r="O2" s="55"/>
      <c r="P2" s="55"/>
      <c r="Q2" s="55"/>
      <c r="R2" s="55"/>
      <c r="S2" s="55"/>
      <c r="T2" s="55"/>
      <c r="U2" s="55"/>
    </row>
    <row r="3" spans="1:29" ht="18" customHeight="1">
      <c r="A3" s="56"/>
      <c r="B3" s="57"/>
      <c r="C3" s="123">
        <f aca="true" t="shared" si="0" ref="C3:L3">COLUMN()-2</f>
        <v>1</v>
      </c>
      <c r="D3" s="123">
        <f t="shared" si="0"/>
        <v>2</v>
      </c>
      <c r="E3" s="123">
        <f t="shared" si="0"/>
        <v>3</v>
      </c>
      <c r="F3" s="123">
        <f t="shared" si="0"/>
        <v>4</v>
      </c>
      <c r="G3" s="123">
        <f t="shared" si="0"/>
        <v>5</v>
      </c>
      <c r="H3" s="123">
        <f t="shared" si="0"/>
        <v>6</v>
      </c>
      <c r="I3" s="123">
        <f t="shared" si="0"/>
        <v>7</v>
      </c>
      <c r="J3" s="123">
        <f t="shared" si="0"/>
        <v>8</v>
      </c>
      <c r="K3" s="123">
        <f t="shared" si="0"/>
        <v>9</v>
      </c>
      <c r="L3" s="123">
        <f t="shared" si="0"/>
        <v>10</v>
      </c>
      <c r="M3" s="635" t="s">
        <v>128</v>
      </c>
      <c r="AC3" s="53"/>
    </row>
    <row r="4" spans="1:29" ht="45" customHeight="1" thickBot="1">
      <c r="A4" s="59"/>
      <c r="B4" s="60"/>
      <c r="C4" s="86" t="s">
        <v>67</v>
      </c>
      <c r="D4" s="86" t="s">
        <v>146</v>
      </c>
      <c r="E4" s="86" t="s">
        <v>141</v>
      </c>
      <c r="F4" s="86" t="s">
        <v>159</v>
      </c>
      <c r="G4" s="86" t="s">
        <v>149</v>
      </c>
      <c r="H4" s="86" t="s">
        <v>155</v>
      </c>
      <c r="I4" s="86" t="s">
        <v>160</v>
      </c>
      <c r="J4" s="86" t="s">
        <v>154</v>
      </c>
      <c r="K4" s="86" t="s">
        <v>161</v>
      </c>
      <c r="L4" s="86" t="s">
        <v>162</v>
      </c>
      <c r="M4" s="627"/>
      <c r="AC4" s="53"/>
    </row>
    <row r="5" spans="1:29" ht="19.5" customHeight="1">
      <c r="A5" s="629" t="s">
        <v>84</v>
      </c>
      <c r="B5" s="630"/>
      <c r="C5" s="87">
        <v>38674</v>
      </c>
      <c r="D5" s="87">
        <v>38723</v>
      </c>
      <c r="E5" s="87">
        <v>38744</v>
      </c>
      <c r="F5" s="87">
        <v>38709</v>
      </c>
      <c r="G5" s="87">
        <v>38730</v>
      </c>
      <c r="H5" s="87">
        <v>38737</v>
      </c>
      <c r="I5" s="87">
        <v>38737</v>
      </c>
      <c r="J5" s="87">
        <v>38723</v>
      </c>
      <c r="K5" s="87">
        <v>38730</v>
      </c>
      <c r="L5" s="87">
        <v>38737</v>
      </c>
      <c r="M5" s="627"/>
      <c r="AC5" s="53"/>
    </row>
    <row r="6" spans="1:29" ht="19.5" customHeight="1">
      <c r="A6" s="631" t="s">
        <v>132</v>
      </c>
      <c r="B6" s="626"/>
      <c r="C6" s="88">
        <v>96</v>
      </c>
      <c r="D6" s="88">
        <v>280</v>
      </c>
      <c r="E6" s="88">
        <v>70</v>
      </c>
      <c r="F6" s="88">
        <v>233</v>
      </c>
      <c r="G6" s="88">
        <v>116</v>
      </c>
      <c r="H6" s="88">
        <v>59</v>
      </c>
      <c r="I6" s="88">
        <v>43</v>
      </c>
      <c r="J6" s="88">
        <v>199</v>
      </c>
      <c r="K6" s="88">
        <v>62</v>
      </c>
      <c r="L6" s="88">
        <v>28</v>
      </c>
      <c r="M6" s="627"/>
      <c r="AC6" s="53"/>
    </row>
    <row r="7" spans="1:13" s="66" customFormat="1" ht="15" customHeight="1">
      <c r="A7" s="625" t="s">
        <v>87</v>
      </c>
      <c r="B7" s="636"/>
      <c r="C7" s="89" t="s">
        <v>90</v>
      </c>
      <c r="D7" s="89" t="s">
        <v>90</v>
      </c>
      <c r="E7" s="89" t="s">
        <v>92</v>
      </c>
      <c r="F7" s="89" t="s">
        <v>89</v>
      </c>
      <c r="G7" s="89" t="s">
        <v>92</v>
      </c>
      <c r="H7" s="89" t="s">
        <v>91</v>
      </c>
      <c r="I7" s="89" t="s">
        <v>90</v>
      </c>
      <c r="J7" s="89" t="s">
        <v>89</v>
      </c>
      <c r="K7" s="89" t="s">
        <v>91</v>
      </c>
      <c r="L7" s="89" t="s">
        <v>92</v>
      </c>
      <c r="M7" s="627"/>
    </row>
    <row r="8" spans="1:13" s="66" customFormat="1" ht="15" customHeight="1">
      <c r="A8" s="637"/>
      <c r="B8" s="638"/>
      <c r="C8" s="90" t="s">
        <v>100</v>
      </c>
      <c r="D8" s="90" t="s">
        <v>150</v>
      </c>
      <c r="E8" s="90" t="s">
        <v>143</v>
      </c>
      <c r="F8" s="90" t="s">
        <v>163</v>
      </c>
      <c r="G8" s="90" t="s">
        <v>102</v>
      </c>
      <c r="H8" s="90" t="s">
        <v>97</v>
      </c>
      <c r="I8" s="90" t="s">
        <v>164</v>
      </c>
      <c r="J8" s="90" t="s">
        <v>157</v>
      </c>
      <c r="K8" s="90" t="s">
        <v>165</v>
      </c>
      <c r="L8" s="90" t="s">
        <v>151</v>
      </c>
      <c r="M8" s="627"/>
    </row>
    <row r="9" spans="1:29" ht="19.5" customHeight="1">
      <c r="A9" s="631" t="s">
        <v>113</v>
      </c>
      <c r="B9" s="626"/>
      <c r="C9" s="88">
        <v>11</v>
      </c>
      <c r="D9" s="88">
        <v>4</v>
      </c>
      <c r="E9" s="88">
        <v>1</v>
      </c>
      <c r="F9" s="88">
        <v>6</v>
      </c>
      <c r="G9" s="88">
        <v>3</v>
      </c>
      <c r="H9" s="88">
        <v>2</v>
      </c>
      <c r="I9" s="88">
        <v>2</v>
      </c>
      <c r="J9" s="88">
        <v>4</v>
      </c>
      <c r="K9" s="88">
        <v>3</v>
      </c>
      <c r="L9" s="88">
        <v>2</v>
      </c>
      <c r="M9" s="627"/>
      <c r="AC9" s="53"/>
    </row>
    <row r="10" spans="1:29" ht="19.5" customHeight="1" thickBot="1">
      <c r="A10" s="631" t="s">
        <v>114</v>
      </c>
      <c r="B10" s="626"/>
      <c r="C10" s="91">
        <v>116</v>
      </c>
      <c r="D10" s="91">
        <v>257</v>
      </c>
      <c r="E10" s="91">
        <v>72</v>
      </c>
      <c r="F10" s="91">
        <v>214</v>
      </c>
      <c r="G10" s="91">
        <v>119</v>
      </c>
      <c r="H10" s="91">
        <v>59</v>
      </c>
      <c r="I10" s="91">
        <v>43</v>
      </c>
      <c r="J10" s="91">
        <v>198</v>
      </c>
      <c r="K10" s="91">
        <v>60</v>
      </c>
      <c r="L10" s="91">
        <v>29</v>
      </c>
      <c r="M10" s="628"/>
      <c r="N10" s="69"/>
      <c r="O10" s="69"/>
      <c r="P10" s="69"/>
      <c r="Q10" s="69"/>
      <c r="R10" s="69"/>
      <c r="S10" s="69"/>
      <c r="T10" s="69"/>
      <c r="U10" s="69"/>
      <c r="AC10" s="53"/>
    </row>
    <row r="11" spans="1:29" ht="19.5" customHeight="1">
      <c r="A11" s="625" t="s">
        <v>115</v>
      </c>
      <c r="B11" s="92" t="s">
        <v>116</v>
      </c>
      <c r="C11" s="93">
        <v>184261.5</v>
      </c>
      <c r="D11" s="93">
        <v>158724.5</v>
      </c>
      <c r="E11" s="93">
        <v>174873</v>
      </c>
      <c r="F11" s="93">
        <v>79601.5</v>
      </c>
      <c r="G11" s="93">
        <v>91736</v>
      </c>
      <c r="H11" s="93">
        <v>67130</v>
      </c>
      <c r="I11" s="93">
        <v>49075.5</v>
      </c>
      <c r="J11" s="93">
        <v>27857.5</v>
      </c>
      <c r="K11" s="93">
        <v>31554</v>
      </c>
      <c r="L11" s="93">
        <v>13967</v>
      </c>
      <c r="M11" s="94">
        <f aca="true" t="shared" si="1" ref="M11:M18">SUM($C11:$L11)</f>
        <v>878780.5</v>
      </c>
      <c r="AC11" s="53"/>
    </row>
    <row r="12" spans="1:29" ht="19.5" customHeight="1">
      <c r="A12" s="637"/>
      <c r="B12" s="95" t="s">
        <v>117</v>
      </c>
      <c r="C12" s="96">
        <v>28820</v>
      </c>
      <c r="D12" s="96">
        <v>26490</v>
      </c>
      <c r="E12" s="96">
        <v>20677</v>
      </c>
      <c r="F12" s="96">
        <v>14501</v>
      </c>
      <c r="G12" s="96">
        <v>12991</v>
      </c>
      <c r="H12" s="96">
        <v>9775</v>
      </c>
      <c r="I12" s="96">
        <v>5638</v>
      </c>
      <c r="J12" s="96">
        <v>5065</v>
      </c>
      <c r="K12" s="96">
        <v>3662</v>
      </c>
      <c r="L12" s="96">
        <v>1622</v>
      </c>
      <c r="M12" s="97">
        <f t="shared" si="1"/>
        <v>129241</v>
      </c>
      <c r="AC12" s="53"/>
    </row>
    <row r="13" spans="1:29" ht="19.5" customHeight="1">
      <c r="A13" s="625" t="s">
        <v>118</v>
      </c>
      <c r="B13" s="92" t="s">
        <v>116</v>
      </c>
      <c r="C13" s="93">
        <v>285688</v>
      </c>
      <c r="D13" s="93">
        <v>201458.5</v>
      </c>
      <c r="E13" s="93">
        <v>246904</v>
      </c>
      <c r="F13" s="93">
        <v>119560</v>
      </c>
      <c r="G13" s="93">
        <v>134504</v>
      </c>
      <c r="H13" s="93">
        <v>73007.5</v>
      </c>
      <c r="I13" s="93">
        <v>64931</v>
      </c>
      <c r="J13" s="93">
        <v>33671</v>
      </c>
      <c r="K13" s="93">
        <v>45236</v>
      </c>
      <c r="L13" s="93">
        <v>19215</v>
      </c>
      <c r="M13" s="98">
        <f t="shared" si="1"/>
        <v>1224175</v>
      </c>
      <c r="AC13" s="53"/>
    </row>
    <row r="14" spans="1:29" ht="19.5" customHeight="1">
      <c r="A14" s="637"/>
      <c r="B14" s="95" t="s">
        <v>117</v>
      </c>
      <c r="C14" s="96">
        <v>41403</v>
      </c>
      <c r="D14" s="96">
        <v>31178</v>
      </c>
      <c r="E14" s="96">
        <v>26497</v>
      </c>
      <c r="F14" s="96">
        <v>19209</v>
      </c>
      <c r="G14" s="96">
        <v>17786</v>
      </c>
      <c r="H14" s="96">
        <v>9590</v>
      </c>
      <c r="I14" s="96">
        <v>7259</v>
      </c>
      <c r="J14" s="96">
        <v>6122</v>
      </c>
      <c r="K14" s="96">
        <v>4780</v>
      </c>
      <c r="L14" s="96">
        <v>2125</v>
      </c>
      <c r="M14" s="97">
        <f t="shared" si="1"/>
        <v>165949</v>
      </c>
      <c r="AC14" s="53"/>
    </row>
    <row r="15" spans="1:29" ht="19.5" customHeight="1">
      <c r="A15" s="625" t="s">
        <v>119</v>
      </c>
      <c r="B15" s="92" t="s">
        <v>116</v>
      </c>
      <c r="C15" s="93">
        <v>374503</v>
      </c>
      <c r="D15" s="93">
        <v>266569</v>
      </c>
      <c r="E15" s="93">
        <v>263373</v>
      </c>
      <c r="F15" s="93">
        <v>153800</v>
      </c>
      <c r="G15" s="93">
        <v>144834</v>
      </c>
      <c r="H15" s="93">
        <v>81748</v>
      </c>
      <c r="I15" s="93">
        <v>73314</v>
      </c>
      <c r="J15" s="93">
        <v>36063.5</v>
      </c>
      <c r="K15" s="93">
        <v>45332</v>
      </c>
      <c r="L15" s="93">
        <v>21597</v>
      </c>
      <c r="M15" s="98">
        <f t="shared" si="1"/>
        <v>1461133.5</v>
      </c>
      <c r="AC15" s="53"/>
    </row>
    <row r="16" spans="1:29" ht="19.5" customHeight="1">
      <c r="A16" s="637"/>
      <c r="B16" s="95" t="s">
        <v>117</v>
      </c>
      <c r="C16" s="96">
        <v>53500</v>
      </c>
      <c r="D16" s="96">
        <v>40215</v>
      </c>
      <c r="E16" s="96">
        <v>28537</v>
      </c>
      <c r="F16" s="96">
        <v>24048</v>
      </c>
      <c r="G16" s="96">
        <v>19044</v>
      </c>
      <c r="H16" s="96">
        <v>10693</v>
      </c>
      <c r="I16" s="96">
        <v>8227</v>
      </c>
      <c r="J16" s="96">
        <v>6557</v>
      </c>
      <c r="K16" s="96">
        <v>4834</v>
      </c>
      <c r="L16" s="96">
        <v>2482</v>
      </c>
      <c r="M16" s="99">
        <f t="shared" si="1"/>
        <v>198137</v>
      </c>
      <c r="AC16" s="53"/>
    </row>
    <row r="17" spans="1:29" ht="19.5" customHeight="1">
      <c r="A17" s="639" t="s">
        <v>120</v>
      </c>
      <c r="B17" s="124" t="s">
        <v>116</v>
      </c>
      <c r="C17" s="125">
        <f aca="true" t="shared" si="2" ref="C17:L18">C11+C13+C15</f>
        <v>844452.5</v>
      </c>
      <c r="D17" s="125">
        <f t="shared" si="2"/>
        <v>626752</v>
      </c>
      <c r="E17" s="125">
        <f t="shared" si="2"/>
        <v>685150</v>
      </c>
      <c r="F17" s="125">
        <f t="shared" si="2"/>
        <v>352961.5</v>
      </c>
      <c r="G17" s="125">
        <f t="shared" si="2"/>
        <v>371074</v>
      </c>
      <c r="H17" s="125">
        <f t="shared" si="2"/>
        <v>221885.5</v>
      </c>
      <c r="I17" s="125">
        <f t="shared" si="2"/>
        <v>187320.5</v>
      </c>
      <c r="J17" s="125">
        <f t="shared" si="2"/>
        <v>97592</v>
      </c>
      <c r="K17" s="125">
        <f t="shared" si="2"/>
        <v>122122</v>
      </c>
      <c r="L17" s="125">
        <f t="shared" si="2"/>
        <v>54779</v>
      </c>
      <c r="M17" s="102">
        <f t="shared" si="1"/>
        <v>3564089</v>
      </c>
      <c r="AC17" s="53"/>
    </row>
    <row r="18" spans="1:29" ht="19.5" customHeight="1">
      <c r="A18" s="640"/>
      <c r="B18" s="126" t="s">
        <v>117</v>
      </c>
      <c r="C18" s="127">
        <f t="shared" si="2"/>
        <v>123723</v>
      </c>
      <c r="D18" s="127">
        <f t="shared" si="2"/>
        <v>97883</v>
      </c>
      <c r="E18" s="127">
        <f t="shared" si="2"/>
        <v>75711</v>
      </c>
      <c r="F18" s="127">
        <f t="shared" si="2"/>
        <v>57758</v>
      </c>
      <c r="G18" s="127">
        <f t="shared" si="2"/>
        <v>49821</v>
      </c>
      <c r="H18" s="127">
        <f t="shared" si="2"/>
        <v>30058</v>
      </c>
      <c r="I18" s="127">
        <f t="shared" si="2"/>
        <v>21124</v>
      </c>
      <c r="J18" s="127">
        <f t="shared" si="2"/>
        <v>17744</v>
      </c>
      <c r="K18" s="127">
        <f t="shared" si="2"/>
        <v>13276</v>
      </c>
      <c r="L18" s="127">
        <f t="shared" si="2"/>
        <v>6229</v>
      </c>
      <c r="M18" s="105">
        <f t="shared" si="1"/>
        <v>493327</v>
      </c>
      <c r="AC18" s="53"/>
    </row>
    <row r="19" spans="1:13" s="108" customFormat="1" ht="19.5" customHeight="1">
      <c r="A19" s="641" t="s">
        <v>133</v>
      </c>
      <c r="B19" s="642"/>
      <c r="C19" s="106">
        <f aca="true" t="shared" si="3" ref="C19:L19">IF(C18&lt;&gt;0,C18/$M$18*100,"")</f>
        <v>25.07930845058146</v>
      </c>
      <c r="D19" s="106">
        <f t="shared" si="3"/>
        <v>19.84140336936758</v>
      </c>
      <c r="E19" s="106">
        <f t="shared" si="3"/>
        <v>15.34702134689567</v>
      </c>
      <c r="F19" s="106">
        <f t="shared" si="3"/>
        <v>11.707853006221027</v>
      </c>
      <c r="G19" s="106">
        <f t="shared" si="3"/>
        <v>10.098981000431763</v>
      </c>
      <c r="H19" s="106">
        <f t="shared" si="3"/>
        <v>6.092916057706146</v>
      </c>
      <c r="I19" s="106">
        <f t="shared" si="3"/>
        <v>4.281946862831347</v>
      </c>
      <c r="J19" s="106">
        <f t="shared" si="3"/>
        <v>3.5968029319295316</v>
      </c>
      <c r="K19" s="106">
        <f t="shared" si="3"/>
        <v>2.691115629187131</v>
      </c>
      <c r="L19" s="106">
        <f t="shared" si="3"/>
        <v>1.262651344848346</v>
      </c>
      <c r="M19" s="107"/>
    </row>
    <row r="20" spans="1:29" ht="19.5" customHeight="1">
      <c r="A20" s="643" t="s">
        <v>121</v>
      </c>
      <c r="B20" s="644"/>
      <c r="C20" s="109">
        <v>120135</v>
      </c>
      <c r="D20" s="109">
        <v>165177</v>
      </c>
      <c r="E20" s="109"/>
      <c r="F20" s="109">
        <v>90432</v>
      </c>
      <c r="G20" s="109">
        <v>78076</v>
      </c>
      <c r="H20" s="109">
        <v>46889</v>
      </c>
      <c r="I20" s="109">
        <v>26135</v>
      </c>
      <c r="J20" s="109">
        <v>86631</v>
      </c>
      <c r="K20" s="109">
        <v>23497</v>
      </c>
      <c r="L20" s="109">
        <v>9234</v>
      </c>
      <c r="M20" s="110">
        <f>SUM($C20:$L20)</f>
        <v>646206</v>
      </c>
      <c r="AC20" s="53"/>
    </row>
    <row r="21" spans="1:29" ht="19.5" customHeight="1">
      <c r="A21" s="645" t="s">
        <v>122</v>
      </c>
      <c r="B21" s="646"/>
      <c r="C21" s="111">
        <f aca="true" t="shared" si="4" ref="C21:L21">IF(C20&lt;&gt;0,(+C18-C20)/C20*100," ")</f>
        <v>2.986640029966288</v>
      </c>
      <c r="D21" s="111">
        <f t="shared" si="4"/>
        <v>-40.740538937019075</v>
      </c>
      <c r="E21" s="111" t="str">
        <f t="shared" si="4"/>
        <v> </v>
      </c>
      <c r="F21" s="111">
        <f t="shared" si="4"/>
        <v>-36.13101556970983</v>
      </c>
      <c r="G21" s="111">
        <f t="shared" si="4"/>
        <v>-36.189097802141504</v>
      </c>
      <c r="H21" s="111">
        <f t="shared" si="4"/>
        <v>-35.8954125701124</v>
      </c>
      <c r="I21" s="111">
        <f t="shared" si="4"/>
        <v>-19.17352209680505</v>
      </c>
      <c r="J21" s="111">
        <f t="shared" si="4"/>
        <v>-79.51772460204776</v>
      </c>
      <c r="K21" s="111">
        <f t="shared" si="4"/>
        <v>-43.49917010682215</v>
      </c>
      <c r="L21" s="111">
        <f t="shared" si="4"/>
        <v>-32.54277669482348</v>
      </c>
      <c r="M21" s="112">
        <f>(+M18-M20)/M20*100</f>
        <v>-23.657935704713356</v>
      </c>
      <c r="AC21" s="53"/>
    </row>
    <row r="22" spans="1:29" ht="19.5" customHeight="1">
      <c r="A22" s="643" t="s">
        <v>123</v>
      </c>
      <c r="B22" s="644"/>
      <c r="C22" s="113">
        <f aca="true" t="shared" si="5" ref="C22:L22">IF(C18&lt;&gt;0,+C18/C10," ")</f>
        <v>1066.5775862068965</v>
      </c>
      <c r="D22" s="113">
        <f t="shared" si="5"/>
        <v>380.86770428015564</v>
      </c>
      <c r="E22" s="113">
        <f t="shared" si="5"/>
        <v>1051.5416666666667</v>
      </c>
      <c r="F22" s="113">
        <f t="shared" si="5"/>
        <v>269.89719626168227</v>
      </c>
      <c r="G22" s="113">
        <f t="shared" si="5"/>
        <v>418.66386554621846</v>
      </c>
      <c r="H22" s="113">
        <f t="shared" si="5"/>
        <v>509.45762711864404</v>
      </c>
      <c r="I22" s="113">
        <f t="shared" si="5"/>
        <v>491.25581395348837</v>
      </c>
      <c r="J22" s="113">
        <f t="shared" si="5"/>
        <v>89.61616161616162</v>
      </c>
      <c r="K22" s="113">
        <f t="shared" si="5"/>
        <v>221.26666666666668</v>
      </c>
      <c r="L22" s="113">
        <f t="shared" si="5"/>
        <v>214.79310344827587</v>
      </c>
      <c r="M22" s="114">
        <f>M18/(SUM(C10:L10))</f>
        <v>422.73093401885177</v>
      </c>
      <c r="AC22" s="53"/>
    </row>
    <row r="23" spans="1:29" ht="19.5" customHeight="1">
      <c r="A23" s="648" t="s">
        <v>124</v>
      </c>
      <c r="B23" s="649"/>
      <c r="C23" s="115">
        <f aca="true" t="shared" si="6" ref="C23:L23">IF(C17&lt;&gt;0,+C17/C18," ")</f>
        <v>6.8253477526409805</v>
      </c>
      <c r="D23" s="115">
        <f t="shared" si="6"/>
        <v>6.4030730566084</v>
      </c>
      <c r="E23" s="115">
        <f t="shared" si="6"/>
        <v>9.049543659441825</v>
      </c>
      <c r="F23" s="115">
        <f t="shared" si="6"/>
        <v>6.111040894767824</v>
      </c>
      <c r="G23" s="115">
        <f t="shared" si="6"/>
        <v>7.448144356797335</v>
      </c>
      <c r="H23" s="115">
        <f t="shared" si="6"/>
        <v>7.381911637500831</v>
      </c>
      <c r="I23" s="115">
        <f t="shared" si="6"/>
        <v>8.867662374550275</v>
      </c>
      <c r="J23" s="115">
        <f t="shared" si="6"/>
        <v>5.5</v>
      </c>
      <c r="K23" s="115">
        <f t="shared" si="6"/>
        <v>9.198704429044893</v>
      </c>
      <c r="L23" s="115">
        <f t="shared" si="6"/>
        <v>8.794188473270188</v>
      </c>
      <c r="M23" s="116">
        <f>M17/M18</f>
        <v>7.224597477940595</v>
      </c>
      <c r="AC23" s="53"/>
    </row>
    <row r="24" spans="1:29" ht="19.5" customHeight="1">
      <c r="A24" s="643" t="s">
        <v>125</v>
      </c>
      <c r="B24" s="644"/>
      <c r="C24" s="128">
        <v>19678583.5</v>
      </c>
      <c r="D24" s="128">
        <v>11772395.12</v>
      </c>
      <c r="E24" s="128">
        <v>685150</v>
      </c>
      <c r="F24" s="128">
        <v>16697177.5</v>
      </c>
      <c r="G24" s="128">
        <v>2742183</v>
      </c>
      <c r="H24" s="128">
        <v>830312.5</v>
      </c>
      <c r="I24" s="128">
        <v>580524</v>
      </c>
      <c r="J24" s="128">
        <v>5822516.1</v>
      </c>
      <c r="K24" s="128">
        <v>1084809</v>
      </c>
      <c r="L24" s="128">
        <v>184623</v>
      </c>
      <c r="M24" s="118">
        <f>SUM($C24:$L24)</f>
        <v>60078273.72</v>
      </c>
      <c r="AC24" s="53"/>
    </row>
    <row r="25" spans="1:29" ht="19.5" customHeight="1">
      <c r="A25" s="650" t="s">
        <v>126</v>
      </c>
      <c r="B25" s="651"/>
      <c r="C25" s="129">
        <v>2718529</v>
      </c>
      <c r="D25" s="129">
        <v>1861131</v>
      </c>
      <c r="E25" s="129">
        <v>75711</v>
      </c>
      <c r="F25" s="129">
        <v>2460972</v>
      </c>
      <c r="G25" s="129">
        <v>380416</v>
      </c>
      <c r="H25" s="129">
        <v>115016</v>
      </c>
      <c r="I25" s="129">
        <v>69020</v>
      </c>
      <c r="J25" s="129">
        <v>867277</v>
      </c>
      <c r="K25" s="129">
        <v>124595</v>
      </c>
      <c r="L25" s="129">
        <v>21508</v>
      </c>
      <c r="M25" s="120">
        <f>SUM($C25:$L25)</f>
        <v>8694175</v>
      </c>
      <c r="AC25" s="53"/>
    </row>
    <row r="26" spans="1:29" ht="19.5" customHeight="1" thickBot="1">
      <c r="A26" s="652" t="s">
        <v>124</v>
      </c>
      <c r="B26" s="653"/>
      <c r="C26" s="121">
        <f aca="true" t="shared" si="7" ref="C26:L26">IF(C24&lt;&gt;0,+C24/C25," ")</f>
        <v>7.238688091979155</v>
      </c>
      <c r="D26" s="121">
        <f t="shared" si="7"/>
        <v>6.325398437831619</v>
      </c>
      <c r="E26" s="121">
        <f t="shared" si="7"/>
        <v>9.049543659441825</v>
      </c>
      <c r="F26" s="121">
        <f t="shared" si="7"/>
        <v>6.784789709106808</v>
      </c>
      <c r="G26" s="121">
        <f t="shared" si="7"/>
        <v>7.2083797737214</v>
      </c>
      <c r="H26" s="121">
        <f t="shared" si="7"/>
        <v>7.219104298532378</v>
      </c>
      <c r="I26" s="121">
        <f t="shared" si="7"/>
        <v>8.410953346855983</v>
      </c>
      <c r="J26" s="121">
        <f t="shared" si="7"/>
        <v>6.71355991223104</v>
      </c>
      <c r="K26" s="121">
        <f t="shared" si="7"/>
        <v>8.706681648541274</v>
      </c>
      <c r="L26" s="121">
        <f t="shared" si="7"/>
        <v>8.5839222614841</v>
      </c>
      <c r="M26" s="122">
        <f>M24/M25</f>
        <v>6.910175343836534</v>
      </c>
      <c r="AC26" s="53"/>
    </row>
    <row r="27" spans="21:30" ht="9.75" customHeight="1">
      <c r="U27" s="130"/>
      <c r="V27" s="130"/>
      <c r="W27" s="131"/>
      <c r="X27" s="131"/>
      <c r="Y27" s="131"/>
      <c r="Z27" s="131"/>
      <c r="AC27" s="84"/>
      <c r="AD27" s="84"/>
    </row>
    <row r="28" spans="1:32" s="134" customFormat="1" ht="12" customHeight="1">
      <c r="A28" s="647" t="s">
        <v>152</v>
      </c>
      <c r="B28" s="647"/>
      <c r="C28" s="647"/>
      <c r="D28" s="647"/>
      <c r="E28" s="647"/>
      <c r="F28" s="647"/>
      <c r="G28" s="647"/>
      <c r="H28" s="647"/>
      <c r="I28" s="647"/>
      <c r="J28" s="647"/>
      <c r="K28" s="647"/>
      <c r="L28" s="647"/>
      <c r="M28" s="647"/>
      <c r="N28" s="133"/>
      <c r="O28" s="133"/>
      <c r="P28" s="132"/>
      <c r="Q28" s="132"/>
      <c r="R28" s="132"/>
      <c r="AC28" s="135"/>
      <c r="AD28" s="135"/>
      <c r="AE28" s="135"/>
      <c r="AF28" s="135"/>
    </row>
    <row r="29" spans="29:32" ht="11.25">
      <c r="AC29" s="84"/>
      <c r="AD29" s="84"/>
      <c r="AE29" s="84"/>
      <c r="AF29" s="84"/>
    </row>
    <row r="30" spans="29:32" ht="11.25">
      <c r="AC30" s="84"/>
      <c r="AD30" s="84"/>
      <c r="AE30" s="84"/>
      <c r="AF30" s="84"/>
    </row>
    <row r="31" spans="29:32" ht="11.25">
      <c r="AC31" s="84"/>
      <c r="AD31" s="84"/>
      <c r="AE31" s="84"/>
      <c r="AF31" s="84"/>
    </row>
    <row r="32" spans="29:32" ht="11.25">
      <c r="AC32" s="84"/>
      <c r="AD32" s="84"/>
      <c r="AE32" s="84"/>
      <c r="AF32" s="84"/>
    </row>
    <row r="33" spans="29:32" ht="11.25">
      <c r="AC33" s="84"/>
      <c r="AD33" s="84"/>
      <c r="AE33" s="84"/>
      <c r="AF33" s="84"/>
    </row>
    <row r="34" spans="29:32" ht="11.25">
      <c r="AC34" s="84"/>
      <c r="AD34" s="84"/>
      <c r="AE34" s="84"/>
      <c r="AF34" s="84"/>
    </row>
    <row r="35" spans="29:32" ht="11.25">
      <c r="AC35" s="84"/>
      <c r="AD35" s="84"/>
      <c r="AE35" s="84"/>
      <c r="AF35" s="84"/>
    </row>
    <row r="36" spans="29:32" ht="11.25">
      <c r="AC36" s="84"/>
      <c r="AD36" s="84"/>
      <c r="AE36" s="84"/>
      <c r="AF36" s="84"/>
    </row>
    <row r="37" spans="29:32" ht="11.25">
      <c r="AC37" s="84"/>
      <c r="AD37" s="84"/>
      <c r="AE37" s="84"/>
      <c r="AF37" s="84"/>
    </row>
    <row r="38" spans="29:32" ht="11.25">
      <c r="AC38" s="84"/>
      <c r="AD38" s="84"/>
      <c r="AE38" s="84"/>
      <c r="AF38" s="84"/>
    </row>
    <row r="39" spans="29:32" ht="11.25">
      <c r="AC39" s="84"/>
      <c r="AD39" s="84"/>
      <c r="AE39" s="84"/>
      <c r="AF39" s="84"/>
    </row>
    <row r="40" spans="29:32" ht="11.25">
      <c r="AC40" s="84"/>
      <c r="AD40" s="84"/>
      <c r="AE40" s="84"/>
      <c r="AF40" s="84"/>
    </row>
    <row r="41" spans="29:32" ht="11.25">
      <c r="AC41" s="84"/>
      <c r="AD41" s="84"/>
      <c r="AE41" s="84"/>
      <c r="AF41" s="84"/>
    </row>
    <row r="42" spans="29:32" ht="11.25">
      <c r="AC42" s="84"/>
      <c r="AD42" s="84"/>
      <c r="AE42" s="84"/>
      <c r="AF42" s="84"/>
    </row>
    <row r="43" spans="29:32" ht="11.25">
      <c r="AC43" s="84"/>
      <c r="AD43" s="84"/>
      <c r="AE43" s="84"/>
      <c r="AF43" s="84"/>
    </row>
    <row r="44" spans="29:32" ht="11.25">
      <c r="AC44" s="84"/>
      <c r="AD44" s="84"/>
      <c r="AE44" s="84"/>
      <c r="AF44" s="84"/>
    </row>
    <row r="45" spans="29:32" ht="11.25">
      <c r="AC45" s="84"/>
      <c r="AD45" s="84"/>
      <c r="AE45" s="84"/>
      <c r="AF45" s="84"/>
    </row>
    <row r="46" spans="29:32" ht="11.25">
      <c r="AC46" s="84"/>
      <c r="AD46" s="84"/>
      <c r="AE46" s="84"/>
      <c r="AF46" s="84"/>
    </row>
    <row r="47" spans="29:32" ht="11.25">
      <c r="AC47" s="84"/>
      <c r="AD47" s="84"/>
      <c r="AE47" s="84"/>
      <c r="AF47" s="84"/>
    </row>
    <row r="48" spans="29:32" ht="11.25">
      <c r="AC48" s="84"/>
      <c r="AD48" s="84"/>
      <c r="AE48" s="84"/>
      <c r="AF48" s="84"/>
    </row>
    <row r="49" spans="29:32" ht="11.25">
      <c r="AC49" s="84"/>
      <c r="AD49" s="84"/>
      <c r="AE49" s="84"/>
      <c r="AF49" s="84"/>
    </row>
    <row r="50" spans="29:32" ht="11.25">
      <c r="AC50" s="84"/>
      <c r="AD50" s="84"/>
      <c r="AE50" s="84"/>
      <c r="AF50" s="84"/>
    </row>
    <row r="51" spans="29:32" ht="11.25">
      <c r="AC51" s="84"/>
      <c r="AD51" s="84"/>
      <c r="AE51" s="84"/>
      <c r="AF51" s="84"/>
    </row>
    <row r="52" spans="29:32" ht="11.25">
      <c r="AC52" s="84"/>
      <c r="AD52" s="84"/>
      <c r="AE52" s="84"/>
      <c r="AF52" s="84"/>
    </row>
    <row r="53" spans="29:32" ht="11.25">
      <c r="AC53" s="84"/>
      <c r="AD53" s="84"/>
      <c r="AE53" s="84"/>
      <c r="AF53" s="84"/>
    </row>
    <row r="54" spans="29:32" ht="11.25">
      <c r="AC54" s="84"/>
      <c r="AD54" s="84"/>
      <c r="AE54" s="84"/>
      <c r="AF54" s="84"/>
    </row>
    <row r="55" spans="29:32" ht="11.25">
      <c r="AC55" s="84"/>
      <c r="AD55" s="84"/>
      <c r="AE55" s="84"/>
      <c r="AF55" s="84"/>
    </row>
    <row r="56" spans="29:32" ht="11.25">
      <c r="AC56" s="84"/>
      <c r="AD56" s="84"/>
      <c r="AE56" s="84"/>
      <c r="AF56" s="84"/>
    </row>
    <row r="57" spans="29:32" ht="11.25">
      <c r="AC57" s="84"/>
      <c r="AD57" s="84"/>
      <c r="AE57" s="84"/>
      <c r="AF57" s="84"/>
    </row>
    <row r="58" spans="29:32" ht="11.25">
      <c r="AC58" s="84"/>
      <c r="AD58" s="84"/>
      <c r="AE58" s="84"/>
      <c r="AF58" s="84"/>
    </row>
    <row r="59" spans="29:32" ht="11.25">
      <c r="AC59" s="84"/>
      <c r="AD59" s="84"/>
      <c r="AE59" s="84"/>
      <c r="AF59" s="84"/>
    </row>
    <row r="60" spans="29:32" ht="11.25">
      <c r="AC60" s="84"/>
      <c r="AD60" s="84"/>
      <c r="AE60" s="84"/>
      <c r="AF60" s="84"/>
    </row>
    <row r="61" spans="29:32" ht="11.25">
      <c r="AC61" s="84"/>
      <c r="AD61" s="84"/>
      <c r="AE61" s="84"/>
      <c r="AF61" s="84"/>
    </row>
    <row r="62" spans="29:32" ht="11.25">
      <c r="AC62" s="84"/>
      <c r="AD62" s="84"/>
      <c r="AE62" s="84"/>
      <c r="AF62" s="84"/>
    </row>
    <row r="63" spans="29:32" ht="11.25">
      <c r="AC63" s="84"/>
      <c r="AD63" s="84"/>
      <c r="AE63" s="84"/>
      <c r="AF63" s="84"/>
    </row>
    <row r="64" spans="29:32" ht="11.25">
      <c r="AC64" s="84"/>
      <c r="AD64" s="84"/>
      <c r="AE64" s="84"/>
      <c r="AF64" s="84"/>
    </row>
    <row r="65" spans="29:32" ht="11.25">
      <c r="AC65" s="84"/>
      <c r="AD65" s="84"/>
      <c r="AE65" s="84"/>
      <c r="AF65" s="84"/>
    </row>
    <row r="66" spans="29:32" ht="11.25">
      <c r="AC66" s="84"/>
      <c r="AD66" s="84"/>
      <c r="AE66" s="84"/>
      <c r="AF66" s="84"/>
    </row>
    <row r="67" spans="29:32" ht="11.25">
      <c r="AC67" s="84"/>
      <c r="AD67" s="84"/>
      <c r="AE67" s="84"/>
      <c r="AF67" s="84"/>
    </row>
    <row r="68" spans="29:32" ht="11.25">
      <c r="AC68" s="84"/>
      <c r="AD68" s="84"/>
      <c r="AE68" s="84"/>
      <c r="AF68" s="84"/>
    </row>
    <row r="69" spans="29:32" ht="11.25">
      <c r="AC69" s="84"/>
      <c r="AD69" s="84"/>
      <c r="AE69" s="84"/>
      <c r="AF69" s="84"/>
    </row>
    <row r="70" spans="29:32" ht="11.25">
      <c r="AC70" s="84"/>
      <c r="AD70" s="84"/>
      <c r="AE70" s="84"/>
      <c r="AF70" s="84"/>
    </row>
    <row r="71" spans="29:32" ht="11.25">
      <c r="AC71" s="84"/>
      <c r="AD71" s="84"/>
      <c r="AE71" s="84"/>
      <c r="AF71" s="84"/>
    </row>
    <row r="72" spans="29:32" ht="11.25">
      <c r="AC72" s="84"/>
      <c r="AD72" s="84"/>
      <c r="AE72" s="84"/>
      <c r="AF72" s="84"/>
    </row>
    <row r="73" spans="29:32" ht="11.25">
      <c r="AC73" s="84"/>
      <c r="AD73" s="84"/>
      <c r="AE73" s="84"/>
      <c r="AF73" s="84"/>
    </row>
    <row r="74" spans="29:32" ht="11.25">
      <c r="AC74" s="84"/>
      <c r="AD74" s="84"/>
      <c r="AE74" s="84"/>
      <c r="AF74" s="84"/>
    </row>
    <row r="75" spans="29:32" ht="11.25">
      <c r="AC75" s="84"/>
      <c r="AD75" s="84"/>
      <c r="AE75" s="84"/>
      <c r="AF75" s="84"/>
    </row>
    <row r="76" spans="29:32" ht="11.25">
      <c r="AC76" s="84"/>
      <c r="AD76" s="84"/>
      <c r="AE76" s="84"/>
      <c r="AF76" s="84"/>
    </row>
    <row r="77" spans="29:32" ht="11.25">
      <c r="AC77" s="84"/>
      <c r="AD77" s="84"/>
      <c r="AE77" s="84"/>
      <c r="AF77" s="84"/>
    </row>
    <row r="78" spans="29:32" ht="11.25">
      <c r="AC78" s="84"/>
      <c r="AD78" s="84"/>
      <c r="AE78" s="84"/>
      <c r="AF78" s="84"/>
    </row>
    <row r="79" spans="29:32" ht="11.25">
      <c r="AC79" s="84"/>
      <c r="AD79" s="84"/>
      <c r="AE79" s="84"/>
      <c r="AF79" s="84"/>
    </row>
    <row r="80" spans="29:32" ht="11.25">
      <c r="AC80" s="84"/>
      <c r="AD80" s="84"/>
      <c r="AE80" s="84"/>
      <c r="AF80" s="84"/>
    </row>
    <row r="81" spans="29:32" ht="11.25">
      <c r="AC81" s="84"/>
      <c r="AD81" s="84"/>
      <c r="AE81" s="84"/>
      <c r="AF81" s="84"/>
    </row>
    <row r="82" spans="29:32" ht="11.25">
      <c r="AC82" s="84"/>
      <c r="AD82" s="84"/>
      <c r="AE82" s="84"/>
      <c r="AF82" s="84"/>
    </row>
    <row r="83" spans="29:32" ht="11.25">
      <c r="AC83" s="84"/>
      <c r="AD83" s="84"/>
      <c r="AE83" s="84"/>
      <c r="AF83" s="84"/>
    </row>
    <row r="84" spans="29:32" ht="11.25">
      <c r="AC84" s="84"/>
      <c r="AD84" s="84"/>
      <c r="AE84" s="84"/>
      <c r="AF84" s="84"/>
    </row>
    <row r="85" spans="29:32" ht="11.25">
      <c r="AC85" s="84"/>
      <c r="AD85" s="84"/>
      <c r="AE85" s="84"/>
      <c r="AF85" s="84"/>
    </row>
    <row r="86" spans="29:32" ht="11.25">
      <c r="AC86" s="84"/>
      <c r="AD86" s="84"/>
      <c r="AE86" s="84"/>
      <c r="AF86" s="84"/>
    </row>
    <row r="87" spans="29:32" ht="11.25">
      <c r="AC87" s="84"/>
      <c r="AD87" s="84"/>
      <c r="AE87" s="84"/>
      <c r="AF87" s="84"/>
    </row>
    <row r="88" spans="29:32" ht="11.25">
      <c r="AC88" s="84"/>
      <c r="AD88" s="84"/>
      <c r="AE88" s="84"/>
      <c r="AF88" s="84"/>
    </row>
    <row r="89" spans="29:32" ht="11.25">
      <c r="AC89" s="84"/>
      <c r="AD89" s="84"/>
      <c r="AE89" s="84"/>
      <c r="AF89" s="84"/>
    </row>
    <row r="90" spans="29:32" ht="11.25">
      <c r="AC90" s="84"/>
      <c r="AD90" s="84"/>
      <c r="AE90" s="84"/>
      <c r="AF90" s="84"/>
    </row>
    <row r="91" spans="29:32" ht="11.25">
      <c r="AC91" s="84"/>
      <c r="AD91" s="84"/>
      <c r="AE91" s="84"/>
      <c r="AF91" s="84"/>
    </row>
    <row r="92" spans="29:32" ht="11.25">
      <c r="AC92" s="84"/>
      <c r="AD92" s="84"/>
      <c r="AE92" s="84"/>
      <c r="AF92" s="84"/>
    </row>
    <row r="93" spans="29:32" ht="11.25">
      <c r="AC93" s="84"/>
      <c r="AD93" s="84"/>
      <c r="AE93" s="84"/>
      <c r="AF93" s="84"/>
    </row>
    <row r="94" spans="29:32" ht="11.25">
      <c r="AC94" s="84"/>
      <c r="AD94" s="84"/>
      <c r="AE94" s="84"/>
      <c r="AF94" s="84"/>
    </row>
    <row r="95" spans="29:32" ht="11.25">
      <c r="AC95" s="84"/>
      <c r="AD95" s="84"/>
      <c r="AE95" s="84"/>
      <c r="AF95" s="84"/>
    </row>
    <row r="96" spans="29:32" ht="11.25">
      <c r="AC96" s="84"/>
      <c r="AD96" s="84"/>
      <c r="AE96" s="84"/>
      <c r="AF96" s="84"/>
    </row>
    <row r="97" spans="29:32" ht="11.25">
      <c r="AC97" s="84"/>
      <c r="AD97" s="84"/>
      <c r="AE97" s="84"/>
      <c r="AF97" s="84"/>
    </row>
    <row r="98" spans="29:32" ht="11.25">
      <c r="AC98" s="84"/>
      <c r="AD98" s="84"/>
      <c r="AE98" s="84"/>
      <c r="AF98" s="84"/>
    </row>
    <row r="99" spans="29:32" ht="11.25">
      <c r="AC99" s="84"/>
      <c r="AD99" s="84"/>
      <c r="AE99" s="84"/>
      <c r="AF99" s="84"/>
    </row>
    <row r="100" spans="29:32" ht="11.25">
      <c r="AC100" s="84"/>
      <c r="AD100" s="84"/>
      <c r="AE100" s="84"/>
      <c r="AF100" s="84"/>
    </row>
    <row r="101" spans="29:32" ht="11.25">
      <c r="AC101" s="84"/>
      <c r="AD101" s="84"/>
      <c r="AE101" s="84"/>
      <c r="AF101" s="84"/>
    </row>
    <row r="102" spans="29:32" ht="11.25">
      <c r="AC102" s="84"/>
      <c r="AD102" s="84"/>
      <c r="AE102" s="84"/>
      <c r="AF102" s="84"/>
    </row>
    <row r="103" spans="29:32" ht="11.25">
      <c r="AC103" s="84"/>
      <c r="AD103" s="84"/>
      <c r="AE103" s="84"/>
      <c r="AF103" s="84"/>
    </row>
    <row r="104" spans="29:32" ht="11.25">
      <c r="AC104" s="84"/>
      <c r="AD104" s="84"/>
      <c r="AE104" s="84"/>
      <c r="AF104" s="84"/>
    </row>
    <row r="105" spans="29:32" ht="11.25">
      <c r="AC105" s="84"/>
      <c r="AD105" s="84"/>
      <c r="AE105" s="84"/>
      <c r="AF105" s="84"/>
    </row>
    <row r="106" spans="29:32" ht="11.25">
      <c r="AC106" s="84"/>
      <c r="AD106" s="84"/>
      <c r="AE106" s="84"/>
      <c r="AF106" s="84"/>
    </row>
    <row r="107" spans="29:32" ht="11.25">
      <c r="AC107" s="84"/>
      <c r="AD107" s="84"/>
      <c r="AE107" s="84"/>
      <c r="AF107" s="84"/>
    </row>
    <row r="108" spans="29:32" ht="11.25">
      <c r="AC108" s="84"/>
      <c r="AD108" s="84"/>
      <c r="AE108" s="84"/>
      <c r="AF108" s="84"/>
    </row>
    <row r="109" spans="29:32" ht="11.25">
      <c r="AC109" s="84"/>
      <c r="AD109" s="84"/>
      <c r="AE109" s="84"/>
      <c r="AF109" s="84"/>
    </row>
    <row r="110" spans="29:32" ht="11.25">
      <c r="AC110" s="84"/>
      <c r="AD110" s="84"/>
      <c r="AE110" s="84"/>
      <c r="AF110" s="84"/>
    </row>
    <row r="111" spans="29:32" ht="11.25">
      <c r="AC111" s="84"/>
      <c r="AD111" s="84"/>
      <c r="AE111" s="84"/>
      <c r="AF111" s="84"/>
    </row>
    <row r="112" spans="29:32" ht="11.25">
      <c r="AC112" s="84"/>
      <c r="AD112" s="84"/>
      <c r="AE112" s="84"/>
      <c r="AF112" s="84"/>
    </row>
    <row r="113" spans="29:32" ht="11.25">
      <c r="AC113" s="84"/>
      <c r="AD113" s="84"/>
      <c r="AE113" s="84"/>
      <c r="AF113" s="84"/>
    </row>
    <row r="114" spans="29:32" ht="11.25">
      <c r="AC114" s="84"/>
      <c r="AD114" s="84"/>
      <c r="AE114" s="84"/>
      <c r="AF114" s="84"/>
    </row>
    <row r="115" spans="29:32" ht="11.25">
      <c r="AC115" s="84"/>
      <c r="AD115" s="84"/>
      <c r="AE115" s="84"/>
      <c r="AF115" s="84"/>
    </row>
    <row r="116" spans="29:32" ht="11.25">
      <c r="AC116" s="84"/>
      <c r="AD116" s="84"/>
      <c r="AE116" s="84"/>
      <c r="AF116" s="84"/>
    </row>
    <row r="117" spans="29:32" ht="11.25">
      <c r="AC117" s="84"/>
      <c r="AD117" s="84"/>
      <c r="AE117" s="84"/>
      <c r="AF117" s="84"/>
    </row>
    <row r="118" spans="29:32" ht="11.25">
      <c r="AC118" s="84"/>
      <c r="AD118" s="84"/>
      <c r="AE118" s="84"/>
      <c r="AF118" s="84"/>
    </row>
    <row r="119" spans="29:32" ht="11.25">
      <c r="AC119" s="84"/>
      <c r="AD119" s="84"/>
      <c r="AE119" s="84"/>
      <c r="AF119" s="84"/>
    </row>
    <row r="120" spans="29:32" ht="11.25">
      <c r="AC120" s="84"/>
      <c r="AD120" s="84"/>
      <c r="AE120" s="84"/>
      <c r="AF120" s="84"/>
    </row>
    <row r="121" spans="29:32" ht="11.25">
      <c r="AC121" s="84"/>
      <c r="AD121" s="84"/>
      <c r="AE121" s="84"/>
      <c r="AF121" s="84"/>
    </row>
    <row r="122" spans="29:32" ht="11.25">
      <c r="AC122" s="84"/>
      <c r="AD122" s="84"/>
      <c r="AE122" s="84"/>
      <c r="AF122" s="84"/>
    </row>
    <row r="123" spans="29:32" ht="11.25">
      <c r="AC123" s="84"/>
      <c r="AD123" s="84"/>
      <c r="AE123" s="84"/>
      <c r="AF123" s="84"/>
    </row>
    <row r="124" spans="29:32" ht="11.25">
      <c r="AC124" s="84"/>
      <c r="AD124" s="84"/>
      <c r="AE124" s="84"/>
      <c r="AF124" s="84"/>
    </row>
    <row r="125" spans="29:32" ht="11.25">
      <c r="AC125" s="84"/>
      <c r="AD125" s="84"/>
      <c r="AE125" s="84"/>
      <c r="AF125" s="84"/>
    </row>
    <row r="126" spans="29:32" ht="11.25">
      <c r="AC126" s="84"/>
      <c r="AD126" s="84"/>
      <c r="AE126" s="84"/>
      <c r="AF126" s="84"/>
    </row>
    <row r="127" spans="29:32" ht="11.25">
      <c r="AC127" s="84"/>
      <c r="AD127" s="84"/>
      <c r="AE127" s="84"/>
      <c r="AF127" s="84"/>
    </row>
    <row r="128" spans="29:32" ht="11.25">
      <c r="AC128" s="84"/>
      <c r="AD128" s="84"/>
      <c r="AE128" s="84"/>
      <c r="AF128" s="84"/>
    </row>
    <row r="129" spans="29:32" ht="11.25">
      <c r="AC129" s="84"/>
      <c r="AD129" s="84"/>
      <c r="AE129" s="84"/>
      <c r="AF129" s="84"/>
    </row>
    <row r="130" spans="29:32" ht="11.25">
      <c r="AC130" s="84"/>
      <c r="AD130" s="84"/>
      <c r="AE130" s="84"/>
      <c r="AF130" s="84"/>
    </row>
    <row r="131" spans="29:32" ht="11.25">
      <c r="AC131" s="84"/>
      <c r="AD131" s="84"/>
      <c r="AE131" s="84"/>
      <c r="AF131" s="84"/>
    </row>
    <row r="132" spans="29:32" ht="11.25">
      <c r="AC132" s="84"/>
      <c r="AD132" s="84"/>
      <c r="AE132" s="84"/>
      <c r="AF132" s="84"/>
    </row>
    <row r="133" spans="29:32" ht="11.25">
      <c r="AC133" s="84"/>
      <c r="AD133" s="84"/>
      <c r="AE133" s="84"/>
      <c r="AF133" s="84"/>
    </row>
    <row r="134" spans="29:32" ht="11.25">
      <c r="AC134" s="84"/>
      <c r="AD134" s="84"/>
      <c r="AE134" s="84"/>
      <c r="AF134" s="84"/>
    </row>
    <row r="135" spans="29:32" ht="11.25">
      <c r="AC135" s="84"/>
      <c r="AD135" s="84"/>
      <c r="AE135" s="84"/>
      <c r="AF135" s="84"/>
    </row>
    <row r="136" spans="29:32" ht="11.25">
      <c r="AC136" s="84"/>
      <c r="AD136" s="84"/>
      <c r="AE136" s="84"/>
      <c r="AF136" s="84"/>
    </row>
    <row r="137" spans="29:32" ht="11.25">
      <c r="AC137" s="84"/>
      <c r="AD137" s="84"/>
      <c r="AE137" s="84"/>
      <c r="AF137" s="84"/>
    </row>
    <row r="138" spans="29:32" ht="11.25">
      <c r="AC138" s="84"/>
      <c r="AD138" s="84"/>
      <c r="AE138" s="84"/>
      <c r="AF138" s="84"/>
    </row>
    <row r="139" spans="29:32" ht="11.25">
      <c r="AC139" s="84"/>
      <c r="AD139" s="84"/>
      <c r="AE139" s="84"/>
      <c r="AF139" s="84"/>
    </row>
    <row r="140" spans="29:32" ht="11.25">
      <c r="AC140" s="84"/>
      <c r="AD140" s="84"/>
      <c r="AE140" s="84"/>
      <c r="AF140" s="84"/>
    </row>
    <row r="141" spans="29:32" ht="11.25">
      <c r="AC141" s="84"/>
      <c r="AD141" s="84"/>
      <c r="AE141" s="84"/>
      <c r="AF141" s="84"/>
    </row>
    <row r="142" spans="29:32" ht="11.25">
      <c r="AC142" s="84"/>
      <c r="AD142" s="84"/>
      <c r="AE142" s="84"/>
      <c r="AF142" s="84"/>
    </row>
    <row r="143" spans="29:32" ht="11.25">
      <c r="AC143" s="84"/>
      <c r="AD143" s="84"/>
      <c r="AE143" s="84"/>
      <c r="AF143" s="84"/>
    </row>
    <row r="144" spans="29:32" ht="11.25">
      <c r="AC144" s="84"/>
      <c r="AD144" s="84"/>
      <c r="AE144" s="84"/>
      <c r="AF144" s="84"/>
    </row>
    <row r="145" spans="29:32" ht="11.25">
      <c r="AC145" s="84"/>
      <c r="AD145" s="84"/>
      <c r="AE145" s="84"/>
      <c r="AF145" s="84"/>
    </row>
    <row r="146" spans="29:32" ht="11.25">
      <c r="AC146" s="84"/>
      <c r="AD146" s="84"/>
      <c r="AE146" s="84"/>
      <c r="AF146" s="84"/>
    </row>
    <row r="147" spans="29:32" ht="11.25">
      <c r="AC147" s="84"/>
      <c r="AD147" s="84"/>
      <c r="AE147" s="84"/>
      <c r="AF147" s="84"/>
    </row>
    <row r="148" spans="29:32" ht="11.25">
      <c r="AC148" s="84"/>
      <c r="AD148" s="84"/>
      <c r="AE148" s="84"/>
      <c r="AF148" s="84"/>
    </row>
    <row r="149" spans="29:32" ht="11.25">
      <c r="AC149" s="84"/>
      <c r="AD149" s="84"/>
      <c r="AE149" s="84"/>
      <c r="AF149" s="84"/>
    </row>
    <row r="150" spans="29:32" ht="11.25">
      <c r="AC150" s="84"/>
      <c r="AD150" s="84"/>
      <c r="AE150" s="84"/>
      <c r="AF150" s="84"/>
    </row>
    <row r="151" spans="29:32" ht="11.25">
      <c r="AC151" s="84"/>
      <c r="AD151" s="84"/>
      <c r="AE151" s="84"/>
      <c r="AF151" s="84"/>
    </row>
    <row r="152" spans="29:32" ht="11.25">
      <c r="AC152" s="84"/>
      <c r="AD152" s="84"/>
      <c r="AE152" s="84"/>
      <c r="AF152" s="84"/>
    </row>
    <row r="153" spans="29:32" ht="11.25">
      <c r="AC153" s="84"/>
      <c r="AD153" s="84"/>
      <c r="AE153" s="84"/>
      <c r="AF153" s="84"/>
    </row>
    <row r="154" spans="29:32" ht="11.25">
      <c r="AC154" s="84"/>
      <c r="AD154" s="84"/>
      <c r="AE154" s="84"/>
      <c r="AF154" s="84"/>
    </row>
    <row r="155" spans="29:32" ht="11.25">
      <c r="AC155" s="84"/>
      <c r="AD155" s="84"/>
      <c r="AE155" s="84"/>
      <c r="AF155" s="84"/>
    </row>
    <row r="156" spans="29:32" ht="11.25">
      <c r="AC156" s="84"/>
      <c r="AD156" s="84"/>
      <c r="AE156" s="84"/>
      <c r="AF156" s="84"/>
    </row>
    <row r="157" spans="29:32" ht="11.25">
      <c r="AC157" s="84"/>
      <c r="AD157" s="84"/>
      <c r="AE157" s="84"/>
      <c r="AF157" s="84"/>
    </row>
    <row r="158" spans="29:32" ht="11.25">
      <c r="AC158" s="84"/>
      <c r="AD158" s="84"/>
      <c r="AE158" s="84"/>
      <c r="AF158" s="84"/>
    </row>
    <row r="159" spans="29:32" ht="11.25">
      <c r="AC159" s="84"/>
      <c r="AD159" s="84"/>
      <c r="AE159" s="84"/>
      <c r="AF159" s="84"/>
    </row>
    <row r="160" spans="29:32" ht="11.25">
      <c r="AC160" s="84"/>
      <c r="AD160" s="84"/>
      <c r="AE160" s="84"/>
      <c r="AF160" s="84"/>
    </row>
    <row r="161" spans="29:32" ht="11.25">
      <c r="AC161" s="84"/>
      <c r="AD161" s="84"/>
      <c r="AE161" s="84"/>
      <c r="AF161" s="84"/>
    </row>
    <row r="162" spans="29:32" ht="11.25">
      <c r="AC162" s="84"/>
      <c r="AD162" s="84"/>
      <c r="AE162" s="84"/>
      <c r="AF162" s="84"/>
    </row>
    <row r="163" spans="29:32" ht="11.25">
      <c r="AC163" s="84"/>
      <c r="AD163" s="84"/>
      <c r="AE163" s="84"/>
      <c r="AF163" s="84"/>
    </row>
    <row r="164" spans="29:32" ht="11.25">
      <c r="AC164" s="84"/>
      <c r="AD164" s="84"/>
      <c r="AE164" s="84"/>
      <c r="AF164" s="84"/>
    </row>
    <row r="165" spans="29:32" ht="11.25">
      <c r="AC165" s="84"/>
      <c r="AD165" s="84"/>
      <c r="AE165" s="84"/>
      <c r="AF165" s="84"/>
    </row>
    <row r="166" spans="29:32" ht="11.25">
      <c r="AC166" s="84"/>
      <c r="AD166" s="84"/>
      <c r="AE166" s="84"/>
      <c r="AF166" s="84"/>
    </row>
    <row r="167" spans="29:32" ht="11.25">
      <c r="AC167" s="84"/>
      <c r="AD167" s="84"/>
      <c r="AE167" s="84"/>
      <c r="AF167" s="84"/>
    </row>
    <row r="168" spans="29:32" ht="11.25">
      <c r="AC168" s="84"/>
      <c r="AD168" s="84"/>
      <c r="AE168" s="84"/>
      <c r="AF168" s="84"/>
    </row>
    <row r="169" spans="29:32" ht="11.25">
      <c r="AC169" s="84"/>
      <c r="AD169" s="84"/>
      <c r="AE169" s="84"/>
      <c r="AF169" s="84"/>
    </row>
    <row r="170" spans="29:32" ht="11.25">
      <c r="AC170" s="84"/>
      <c r="AD170" s="84"/>
      <c r="AE170" s="84"/>
      <c r="AF170" s="84"/>
    </row>
    <row r="171" spans="29:32" ht="11.25">
      <c r="AC171" s="84"/>
      <c r="AD171" s="84"/>
      <c r="AE171" s="84"/>
      <c r="AF171" s="84"/>
    </row>
    <row r="172" spans="29:32" ht="11.25">
      <c r="AC172" s="84"/>
      <c r="AD172" s="84"/>
      <c r="AE172" s="84"/>
      <c r="AF172" s="84"/>
    </row>
    <row r="173" spans="29:32" ht="11.25">
      <c r="AC173" s="84"/>
      <c r="AD173" s="84"/>
      <c r="AE173" s="84"/>
      <c r="AF173" s="84"/>
    </row>
  </sheetData>
  <mergeCells count="20">
    <mergeCell ref="A28:M28"/>
    <mergeCell ref="A23:B23"/>
    <mergeCell ref="A24:B24"/>
    <mergeCell ref="A25:B25"/>
    <mergeCell ref="A26:B26"/>
    <mergeCell ref="A19:B19"/>
    <mergeCell ref="A20:B20"/>
    <mergeCell ref="A21:B21"/>
    <mergeCell ref="A22:B22"/>
    <mergeCell ref="A11:A12"/>
    <mergeCell ref="A13:A14"/>
    <mergeCell ref="A15:A16"/>
    <mergeCell ref="A17:A18"/>
    <mergeCell ref="A1:M1"/>
    <mergeCell ref="M3:M10"/>
    <mergeCell ref="A5:B5"/>
    <mergeCell ref="A6:B6"/>
    <mergeCell ref="A7:B8"/>
    <mergeCell ref="A9:B9"/>
    <mergeCell ref="A10:B10"/>
  </mergeCells>
  <printOptions/>
  <pageMargins left="0.75" right="0.75" top="1" bottom="1" header="0.5" footer="0.5"/>
  <pageSetup orientation="portrait" paperSize="9"/>
</worksheet>
</file>

<file path=xl/worksheets/sheet50.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53</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+'Oct.27-29 (we44)'!N37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51.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54</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+'Nov.3-5 (we45)'!N37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52.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55</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+'Nov.10-12 (we46)'!N37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56</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+'Nov.17-19 (we47)'!N37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54.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57</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+'Nov.24-26 (we48)'!N37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58</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+'Dec.1-3 (we49)'!N37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56.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59</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+'Dec.8-10 (we50)'!N37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57.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75">
      <c r="A2" s="747" t="s">
        <v>61</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60</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+'Dec.15-17 (we51)'!N37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horizontalDpi="600" verticalDpi="600" orientation="portrait" r:id="rId1"/>
</worksheet>
</file>

<file path=xl/worksheets/sheet58.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H39" sqref="H39"/>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
      <c r="A2" s="748" t="s">
        <v>25</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24</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+'Dec.30-Jan.1(we1)'!N37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59.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G20" sqref="G20"/>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
      <c r="A2" s="748" t="s">
        <v>25</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24</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+'Dec.30-Jan.1(we1)'!N37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F173"/>
  <sheetViews>
    <sheetView zoomScale="90" zoomScaleNormal="90" workbookViewId="0" topLeftCell="A1">
      <selection activeCell="E30" sqref="E30"/>
    </sheetView>
  </sheetViews>
  <sheetFormatPr defaultColWidth="9.140625" defaultRowHeight="12.75"/>
  <cols>
    <col min="1" max="2" width="9.7109375" style="53" customWidth="1"/>
    <col min="3" max="20" width="13.57421875" style="53" customWidth="1"/>
    <col min="21" max="21" width="14.421875" style="53" customWidth="1"/>
    <col min="22" max="28" width="17.421875" style="53" customWidth="1"/>
    <col min="29" max="29" width="17.421875" style="54" customWidth="1"/>
    <col min="30" max="16384" width="17.421875" style="53" customWidth="1"/>
  </cols>
  <sheetData>
    <row r="1" spans="1:29" ht="90" customHeight="1" thickBot="1">
      <c r="A1" s="632" t="s">
        <v>153</v>
      </c>
      <c r="B1" s="633"/>
      <c r="C1" s="633"/>
      <c r="D1" s="633"/>
      <c r="E1" s="633"/>
      <c r="F1" s="633"/>
      <c r="G1" s="633"/>
      <c r="H1" s="633"/>
      <c r="I1" s="633"/>
      <c r="J1" s="633"/>
      <c r="K1" s="633"/>
      <c r="L1" s="633"/>
      <c r="M1" s="634"/>
      <c r="U1" s="54"/>
      <c r="AC1" s="53"/>
    </row>
    <row r="2" spans="1:21" ht="9" customHeight="1" thickBot="1">
      <c r="A2" s="55"/>
      <c r="B2" s="55"/>
      <c r="C2" s="55"/>
      <c r="D2" s="55"/>
      <c r="E2" s="55"/>
      <c r="F2" s="55"/>
      <c r="G2" s="55"/>
      <c r="H2" s="55"/>
      <c r="I2" s="55"/>
      <c r="J2" s="55"/>
      <c r="K2" s="55"/>
      <c r="L2" s="55"/>
      <c r="M2" s="55"/>
      <c r="N2" s="55"/>
      <c r="O2" s="55"/>
      <c r="P2" s="55"/>
      <c r="Q2" s="55"/>
      <c r="R2" s="55"/>
      <c r="S2" s="55"/>
      <c r="T2" s="55"/>
      <c r="U2" s="55"/>
    </row>
    <row r="3" spans="1:29" ht="18" customHeight="1">
      <c r="A3" s="56"/>
      <c r="B3" s="57"/>
      <c r="C3" s="123">
        <f aca="true" t="shared" si="0" ref="C3:L3">COLUMN()-2</f>
        <v>1</v>
      </c>
      <c r="D3" s="123">
        <f t="shared" si="0"/>
        <v>2</v>
      </c>
      <c r="E3" s="123">
        <f t="shared" si="0"/>
        <v>3</v>
      </c>
      <c r="F3" s="123">
        <f t="shared" si="0"/>
        <v>4</v>
      </c>
      <c r="G3" s="123">
        <f t="shared" si="0"/>
        <v>5</v>
      </c>
      <c r="H3" s="123">
        <f t="shared" si="0"/>
        <v>6</v>
      </c>
      <c r="I3" s="123">
        <f t="shared" si="0"/>
        <v>7</v>
      </c>
      <c r="J3" s="123">
        <f t="shared" si="0"/>
        <v>8</v>
      </c>
      <c r="K3" s="123">
        <f t="shared" si="0"/>
        <v>9</v>
      </c>
      <c r="L3" s="123">
        <f t="shared" si="0"/>
        <v>10</v>
      </c>
      <c r="M3" s="635" t="s">
        <v>128</v>
      </c>
      <c r="AC3" s="53"/>
    </row>
    <row r="4" spans="1:29" ht="45" customHeight="1" thickBot="1">
      <c r="A4" s="59"/>
      <c r="B4" s="60"/>
      <c r="C4" s="86" t="s">
        <v>65</v>
      </c>
      <c r="D4" s="86" t="s">
        <v>67</v>
      </c>
      <c r="E4" s="86" t="s">
        <v>146</v>
      </c>
      <c r="F4" s="86" t="s">
        <v>141</v>
      </c>
      <c r="G4" s="86" t="s">
        <v>138</v>
      </c>
      <c r="H4" s="86" t="s">
        <v>154</v>
      </c>
      <c r="I4" s="86" t="s">
        <v>149</v>
      </c>
      <c r="J4" s="86" t="s">
        <v>147</v>
      </c>
      <c r="K4" s="86" t="s">
        <v>155</v>
      </c>
      <c r="L4" s="86" t="s">
        <v>156</v>
      </c>
      <c r="M4" s="627"/>
      <c r="AC4" s="53"/>
    </row>
    <row r="5" spans="1:29" ht="19.5" customHeight="1">
      <c r="A5" s="629" t="s">
        <v>84</v>
      </c>
      <c r="B5" s="630"/>
      <c r="C5" s="87">
        <v>38751</v>
      </c>
      <c r="D5" s="87">
        <v>38674</v>
      </c>
      <c r="E5" s="87">
        <v>38723</v>
      </c>
      <c r="F5" s="87">
        <v>38744</v>
      </c>
      <c r="G5" s="87">
        <v>38751</v>
      </c>
      <c r="H5" s="87">
        <v>38723</v>
      </c>
      <c r="I5" s="87">
        <v>38730</v>
      </c>
      <c r="J5" s="87">
        <v>38751</v>
      </c>
      <c r="K5" s="87">
        <v>38737</v>
      </c>
      <c r="L5" s="87">
        <v>38751</v>
      </c>
      <c r="M5" s="627"/>
      <c r="AC5" s="53"/>
    </row>
    <row r="6" spans="1:29" ht="19.5" customHeight="1">
      <c r="A6" s="631" t="s">
        <v>132</v>
      </c>
      <c r="B6" s="626"/>
      <c r="C6" s="88">
        <v>277</v>
      </c>
      <c r="D6" s="88">
        <v>96</v>
      </c>
      <c r="E6" s="88">
        <v>280</v>
      </c>
      <c r="F6" s="88">
        <v>70</v>
      </c>
      <c r="G6" s="88">
        <v>51</v>
      </c>
      <c r="H6" s="88">
        <v>199</v>
      </c>
      <c r="I6" s="88">
        <v>116</v>
      </c>
      <c r="J6" s="88">
        <v>27</v>
      </c>
      <c r="K6" s="88">
        <v>59</v>
      </c>
      <c r="L6" s="88">
        <v>25</v>
      </c>
      <c r="M6" s="627"/>
      <c r="AC6" s="53"/>
    </row>
    <row r="7" spans="1:13" s="66" customFormat="1" ht="15" customHeight="1">
      <c r="A7" s="625" t="s">
        <v>87</v>
      </c>
      <c r="B7" s="636"/>
      <c r="C7" s="89" t="s">
        <v>89</v>
      </c>
      <c r="D7" s="89" t="s">
        <v>90</v>
      </c>
      <c r="E7" s="89" t="s">
        <v>90</v>
      </c>
      <c r="F7" s="89" t="s">
        <v>92</v>
      </c>
      <c r="G7" s="89" t="s">
        <v>92</v>
      </c>
      <c r="H7" s="89" t="s">
        <v>89</v>
      </c>
      <c r="I7" s="89" t="s">
        <v>92</v>
      </c>
      <c r="J7" s="89" t="s">
        <v>92</v>
      </c>
      <c r="K7" s="89" t="s">
        <v>91</v>
      </c>
      <c r="L7" s="89" t="s">
        <v>90</v>
      </c>
      <c r="M7" s="627"/>
    </row>
    <row r="8" spans="1:13" s="66" customFormat="1" ht="15" customHeight="1">
      <c r="A8" s="637"/>
      <c r="B8" s="638"/>
      <c r="C8" s="90" t="s">
        <v>98</v>
      </c>
      <c r="D8" s="90" t="s">
        <v>100</v>
      </c>
      <c r="E8" s="90" t="s">
        <v>150</v>
      </c>
      <c r="F8" s="90" t="s">
        <v>143</v>
      </c>
      <c r="G8" s="90" t="s">
        <v>105</v>
      </c>
      <c r="H8" s="90" t="s">
        <v>157</v>
      </c>
      <c r="I8" s="90" t="s">
        <v>102</v>
      </c>
      <c r="J8" s="90" t="s">
        <v>151</v>
      </c>
      <c r="K8" s="90" t="s">
        <v>97</v>
      </c>
      <c r="L8" s="90" t="s">
        <v>108</v>
      </c>
      <c r="M8" s="627"/>
    </row>
    <row r="9" spans="1:29" ht="19.5" customHeight="1">
      <c r="A9" s="631" t="s">
        <v>113</v>
      </c>
      <c r="B9" s="626"/>
      <c r="C9" s="88">
        <v>1</v>
      </c>
      <c r="D9" s="88">
        <v>12</v>
      </c>
      <c r="E9" s="88">
        <v>5</v>
      </c>
      <c r="F9" s="88">
        <v>2</v>
      </c>
      <c r="G9" s="88">
        <v>1</v>
      </c>
      <c r="H9" s="88">
        <v>5</v>
      </c>
      <c r="I9" s="88">
        <v>4</v>
      </c>
      <c r="J9" s="88">
        <v>1</v>
      </c>
      <c r="K9" s="88">
        <v>3</v>
      </c>
      <c r="L9" s="88">
        <v>1</v>
      </c>
      <c r="M9" s="627"/>
      <c r="AC9" s="53"/>
    </row>
    <row r="10" spans="1:29" ht="19.5" customHeight="1" thickBot="1">
      <c r="A10" s="631" t="s">
        <v>114</v>
      </c>
      <c r="B10" s="626"/>
      <c r="C10" s="91">
        <v>480</v>
      </c>
      <c r="D10" s="91">
        <v>122</v>
      </c>
      <c r="E10" s="91">
        <v>229</v>
      </c>
      <c r="F10" s="91">
        <v>70</v>
      </c>
      <c r="G10" s="91">
        <v>51</v>
      </c>
      <c r="H10" s="91">
        <v>134</v>
      </c>
      <c r="I10" s="91">
        <v>68</v>
      </c>
      <c r="J10" s="91">
        <v>27</v>
      </c>
      <c r="K10" s="91">
        <v>59</v>
      </c>
      <c r="L10" s="91">
        <v>25</v>
      </c>
      <c r="M10" s="628"/>
      <c r="N10" s="69"/>
      <c r="O10" s="69"/>
      <c r="P10" s="69"/>
      <c r="Q10" s="69"/>
      <c r="R10" s="69"/>
      <c r="S10" s="69"/>
      <c r="T10" s="69"/>
      <c r="U10" s="69"/>
      <c r="AC10" s="53"/>
    </row>
    <row r="11" spans="1:29" ht="19.5" customHeight="1">
      <c r="A11" s="625" t="s">
        <v>115</v>
      </c>
      <c r="B11" s="92" t="s">
        <v>116</v>
      </c>
      <c r="C11" s="93">
        <v>2526727</v>
      </c>
      <c r="D11" s="93">
        <v>143317</v>
      </c>
      <c r="E11" s="93">
        <v>90282</v>
      </c>
      <c r="F11" s="93">
        <v>72413</v>
      </c>
      <c r="G11" s="93">
        <v>63448</v>
      </c>
      <c r="H11" s="93">
        <v>24333.5</v>
      </c>
      <c r="I11" s="93">
        <v>29536</v>
      </c>
      <c r="J11" s="93">
        <v>38570</v>
      </c>
      <c r="K11" s="93">
        <v>22573.5</v>
      </c>
      <c r="L11" s="93">
        <v>23883</v>
      </c>
      <c r="M11" s="94">
        <f aca="true" t="shared" si="1" ref="M11:M18">SUM($C11:$L11)</f>
        <v>3035083</v>
      </c>
      <c r="AC11" s="53"/>
    </row>
    <row r="12" spans="1:29" ht="19.5" customHeight="1">
      <c r="A12" s="637"/>
      <c r="B12" s="95" t="s">
        <v>117</v>
      </c>
      <c r="C12" s="96">
        <v>370673</v>
      </c>
      <c r="D12" s="96">
        <v>24050</v>
      </c>
      <c r="E12" s="96">
        <v>14130</v>
      </c>
      <c r="F12" s="96">
        <v>8762</v>
      </c>
      <c r="G12" s="96">
        <v>7258</v>
      </c>
      <c r="H12" s="96">
        <v>4881</v>
      </c>
      <c r="I12" s="96">
        <v>4344</v>
      </c>
      <c r="J12" s="96">
        <v>4188</v>
      </c>
      <c r="K12" s="96">
        <v>3274</v>
      </c>
      <c r="L12" s="96">
        <v>2440</v>
      </c>
      <c r="M12" s="97">
        <f t="shared" si="1"/>
        <v>444000</v>
      </c>
      <c r="AC12" s="53"/>
    </row>
    <row r="13" spans="1:29" ht="19.5" customHeight="1">
      <c r="A13" s="625" t="s">
        <v>118</v>
      </c>
      <c r="B13" s="92" t="s">
        <v>116</v>
      </c>
      <c r="C13" s="93">
        <v>2577530.5</v>
      </c>
      <c r="D13" s="93">
        <v>215254</v>
      </c>
      <c r="E13" s="93">
        <v>112601</v>
      </c>
      <c r="F13" s="93">
        <v>105532</v>
      </c>
      <c r="G13" s="93">
        <v>95924</v>
      </c>
      <c r="H13" s="93">
        <v>31983</v>
      </c>
      <c r="I13" s="93">
        <v>40663</v>
      </c>
      <c r="J13" s="93">
        <v>54945</v>
      </c>
      <c r="K13" s="93">
        <v>23778</v>
      </c>
      <c r="L13" s="93">
        <v>36841.5</v>
      </c>
      <c r="M13" s="98">
        <f t="shared" si="1"/>
        <v>3295052</v>
      </c>
      <c r="AC13" s="53"/>
    </row>
    <row r="14" spans="1:29" ht="19.5" customHeight="1">
      <c r="A14" s="637"/>
      <c r="B14" s="95" t="s">
        <v>117</v>
      </c>
      <c r="C14" s="96">
        <v>361592</v>
      </c>
      <c r="D14" s="96">
        <v>34773</v>
      </c>
      <c r="E14" s="96">
        <v>17058</v>
      </c>
      <c r="F14" s="96">
        <v>11837</v>
      </c>
      <c r="G14" s="96">
        <v>10325</v>
      </c>
      <c r="H14" s="96">
        <v>6131</v>
      </c>
      <c r="I14" s="96">
        <v>5769</v>
      </c>
      <c r="J14" s="96">
        <v>5738</v>
      </c>
      <c r="K14" s="96">
        <v>3360</v>
      </c>
      <c r="L14" s="96">
        <v>3572</v>
      </c>
      <c r="M14" s="97">
        <f t="shared" si="1"/>
        <v>460155</v>
      </c>
      <c r="AC14" s="53"/>
    </row>
    <row r="15" spans="1:29" ht="19.5" customHeight="1">
      <c r="A15" s="625" t="s">
        <v>119</v>
      </c>
      <c r="B15" s="92" t="s">
        <v>116</v>
      </c>
      <c r="C15" s="93">
        <v>2573162.5</v>
      </c>
      <c r="D15" s="93">
        <v>246072</v>
      </c>
      <c r="E15" s="93">
        <v>126909</v>
      </c>
      <c r="F15" s="93">
        <v>120289</v>
      </c>
      <c r="G15" s="93">
        <v>103618</v>
      </c>
      <c r="H15" s="93">
        <v>36666.5</v>
      </c>
      <c r="I15" s="93">
        <v>46602</v>
      </c>
      <c r="J15" s="93">
        <v>65077</v>
      </c>
      <c r="K15" s="93">
        <v>28945</v>
      </c>
      <c r="L15" s="93">
        <v>40565.5</v>
      </c>
      <c r="M15" s="98">
        <f t="shared" si="1"/>
        <v>3387906.5</v>
      </c>
      <c r="AC15" s="53"/>
    </row>
    <row r="16" spans="1:29" ht="19.5" customHeight="1">
      <c r="A16" s="637"/>
      <c r="B16" s="95" t="s">
        <v>117</v>
      </c>
      <c r="C16" s="96">
        <v>366954</v>
      </c>
      <c r="D16" s="96">
        <v>38631</v>
      </c>
      <c r="E16" s="96">
        <v>18918</v>
      </c>
      <c r="F16" s="96">
        <v>13475</v>
      </c>
      <c r="G16" s="96">
        <v>11383</v>
      </c>
      <c r="H16" s="96">
        <v>6654</v>
      </c>
      <c r="I16" s="96">
        <v>6561</v>
      </c>
      <c r="J16" s="96">
        <v>6712</v>
      </c>
      <c r="K16" s="96">
        <v>3975</v>
      </c>
      <c r="L16" s="96">
        <v>4060</v>
      </c>
      <c r="M16" s="99">
        <f t="shared" si="1"/>
        <v>477323</v>
      </c>
      <c r="AC16" s="53"/>
    </row>
    <row r="17" spans="1:29" ht="19.5" customHeight="1">
      <c r="A17" s="639" t="s">
        <v>120</v>
      </c>
      <c r="B17" s="124" t="s">
        <v>116</v>
      </c>
      <c r="C17" s="125">
        <f aca="true" t="shared" si="2" ref="C17:L18">C11+C13+C15</f>
        <v>7677420</v>
      </c>
      <c r="D17" s="125">
        <f t="shared" si="2"/>
        <v>604643</v>
      </c>
      <c r="E17" s="125">
        <f t="shared" si="2"/>
        <v>329792</v>
      </c>
      <c r="F17" s="125">
        <f t="shared" si="2"/>
        <v>298234</v>
      </c>
      <c r="G17" s="125">
        <f t="shared" si="2"/>
        <v>262990</v>
      </c>
      <c r="H17" s="125">
        <f t="shared" si="2"/>
        <v>92983</v>
      </c>
      <c r="I17" s="125">
        <f t="shared" si="2"/>
        <v>116801</v>
      </c>
      <c r="J17" s="125">
        <f t="shared" si="2"/>
        <v>158592</v>
      </c>
      <c r="K17" s="125">
        <f t="shared" si="2"/>
        <v>75296.5</v>
      </c>
      <c r="L17" s="125">
        <f t="shared" si="2"/>
        <v>101290</v>
      </c>
      <c r="M17" s="102">
        <f t="shared" si="1"/>
        <v>9718041.5</v>
      </c>
      <c r="AC17" s="53"/>
    </row>
    <row r="18" spans="1:29" ht="19.5" customHeight="1">
      <c r="A18" s="640"/>
      <c r="B18" s="126" t="s">
        <v>117</v>
      </c>
      <c r="C18" s="127">
        <f t="shared" si="2"/>
        <v>1099219</v>
      </c>
      <c r="D18" s="127">
        <f t="shared" si="2"/>
        <v>97454</v>
      </c>
      <c r="E18" s="127">
        <f t="shared" si="2"/>
        <v>50106</v>
      </c>
      <c r="F18" s="127">
        <f t="shared" si="2"/>
        <v>34074</v>
      </c>
      <c r="G18" s="127">
        <f t="shared" si="2"/>
        <v>28966</v>
      </c>
      <c r="H18" s="127">
        <f t="shared" si="2"/>
        <v>17666</v>
      </c>
      <c r="I18" s="127">
        <f t="shared" si="2"/>
        <v>16674</v>
      </c>
      <c r="J18" s="127">
        <f t="shared" si="2"/>
        <v>16638</v>
      </c>
      <c r="K18" s="127">
        <f t="shared" si="2"/>
        <v>10609</v>
      </c>
      <c r="L18" s="127">
        <f t="shared" si="2"/>
        <v>10072</v>
      </c>
      <c r="M18" s="105">
        <f t="shared" si="1"/>
        <v>1381478</v>
      </c>
      <c r="AC18" s="53"/>
    </row>
    <row r="19" spans="1:13" s="108" customFormat="1" ht="19.5" customHeight="1">
      <c r="A19" s="641" t="s">
        <v>133</v>
      </c>
      <c r="B19" s="642"/>
      <c r="C19" s="106">
        <f aca="true" t="shared" si="3" ref="C19:L19">IF(C18&lt;&gt;0,C18/$M$18*100,"")</f>
        <v>79.56833188802138</v>
      </c>
      <c r="D19" s="106">
        <f t="shared" si="3"/>
        <v>7.054328769622101</v>
      </c>
      <c r="E19" s="106">
        <f t="shared" si="3"/>
        <v>3.626985011704855</v>
      </c>
      <c r="F19" s="106">
        <f t="shared" si="3"/>
        <v>2.466488789542794</v>
      </c>
      <c r="G19" s="106">
        <f t="shared" si="3"/>
        <v>2.0967398684597223</v>
      </c>
      <c r="H19" s="106">
        <f t="shared" si="3"/>
        <v>1.2787753406134588</v>
      </c>
      <c r="I19" s="106">
        <f t="shared" si="3"/>
        <v>1.2069681891423534</v>
      </c>
      <c r="J19" s="106">
        <f t="shared" si="3"/>
        <v>1.2043622844518698</v>
      </c>
      <c r="K19" s="106">
        <f t="shared" si="3"/>
        <v>0.7679456350372572</v>
      </c>
      <c r="L19" s="106">
        <f t="shared" si="3"/>
        <v>0.7290742234042091</v>
      </c>
      <c r="M19" s="107"/>
    </row>
    <row r="20" spans="1:29" ht="19.5" customHeight="1">
      <c r="A20" s="643" t="s">
        <v>121</v>
      </c>
      <c r="B20" s="644"/>
      <c r="C20" s="109"/>
      <c r="D20" s="109">
        <v>123723</v>
      </c>
      <c r="E20" s="109">
        <v>97883</v>
      </c>
      <c r="F20" s="109">
        <v>75711</v>
      </c>
      <c r="G20" s="109"/>
      <c r="H20" s="109">
        <v>17744</v>
      </c>
      <c r="I20" s="109">
        <v>49821</v>
      </c>
      <c r="J20" s="109"/>
      <c r="K20" s="109">
        <v>30058</v>
      </c>
      <c r="L20" s="109"/>
      <c r="M20" s="110">
        <f>SUM($C20:$L20)</f>
        <v>394940</v>
      </c>
      <c r="AC20" s="53"/>
    </row>
    <row r="21" spans="1:29" ht="19.5" customHeight="1">
      <c r="A21" s="645" t="s">
        <v>122</v>
      </c>
      <c r="B21" s="646"/>
      <c r="C21" s="111" t="str">
        <f aca="true" t="shared" si="4" ref="C21:L21">IF(C20&lt;&gt;0,(+C18-C20)/C20*100," ")</f>
        <v> </v>
      </c>
      <c r="D21" s="111">
        <f t="shared" si="4"/>
        <v>-21.23210720722905</v>
      </c>
      <c r="E21" s="111">
        <f t="shared" si="4"/>
        <v>-48.81031435489309</v>
      </c>
      <c r="F21" s="111">
        <f t="shared" si="4"/>
        <v>-54.99465071125728</v>
      </c>
      <c r="G21" s="111" t="str">
        <f t="shared" si="4"/>
        <v> </v>
      </c>
      <c r="H21" s="111">
        <f t="shared" si="4"/>
        <v>-0.43958521190261496</v>
      </c>
      <c r="I21" s="111">
        <f t="shared" si="4"/>
        <v>-66.5321852230987</v>
      </c>
      <c r="J21" s="111" t="str">
        <f t="shared" si="4"/>
        <v> </v>
      </c>
      <c r="K21" s="111">
        <f t="shared" si="4"/>
        <v>-64.70490385255174</v>
      </c>
      <c r="L21" s="111" t="str">
        <f t="shared" si="4"/>
        <v> </v>
      </c>
      <c r="M21" s="112">
        <f>(+M18-M20)/M20*100</f>
        <v>249.79439914923788</v>
      </c>
      <c r="AC21" s="53"/>
    </row>
    <row r="22" spans="1:29" ht="19.5" customHeight="1">
      <c r="A22" s="643" t="s">
        <v>123</v>
      </c>
      <c r="B22" s="644"/>
      <c r="C22" s="113">
        <f aca="true" t="shared" si="5" ref="C22:L22">IF(C18&lt;&gt;0,+C18/C10," ")</f>
        <v>2290.039583333333</v>
      </c>
      <c r="D22" s="113">
        <f t="shared" si="5"/>
        <v>798.8032786885246</v>
      </c>
      <c r="E22" s="113">
        <f t="shared" si="5"/>
        <v>218.80349344978166</v>
      </c>
      <c r="F22" s="113">
        <f t="shared" si="5"/>
        <v>486.77142857142854</v>
      </c>
      <c r="G22" s="113">
        <f t="shared" si="5"/>
        <v>567.9607843137255</v>
      </c>
      <c r="H22" s="113">
        <f t="shared" si="5"/>
        <v>131.83582089552237</v>
      </c>
      <c r="I22" s="113">
        <f t="shared" si="5"/>
        <v>245.2058823529412</v>
      </c>
      <c r="J22" s="113">
        <f t="shared" si="5"/>
        <v>616.2222222222222</v>
      </c>
      <c r="K22" s="113">
        <f t="shared" si="5"/>
        <v>179.8135593220339</v>
      </c>
      <c r="L22" s="113">
        <f t="shared" si="5"/>
        <v>402.88</v>
      </c>
      <c r="M22" s="114">
        <f>M18/(SUM(C10:L10))</f>
        <v>1092.0774703557313</v>
      </c>
      <c r="AC22" s="53"/>
    </row>
    <row r="23" spans="1:29" ht="19.5" customHeight="1">
      <c r="A23" s="648" t="s">
        <v>124</v>
      </c>
      <c r="B23" s="649"/>
      <c r="C23" s="115">
        <f aca="true" t="shared" si="6" ref="C23:L23">IF(C17&lt;&gt;0,+C17/C18," ")</f>
        <v>6.984431673761097</v>
      </c>
      <c r="D23" s="115">
        <f t="shared" si="6"/>
        <v>6.204393867876126</v>
      </c>
      <c r="E23" s="115">
        <f t="shared" si="6"/>
        <v>6.58188640083024</v>
      </c>
      <c r="F23" s="115">
        <f t="shared" si="6"/>
        <v>8.7525385924752</v>
      </c>
      <c r="G23" s="115">
        <f t="shared" si="6"/>
        <v>9.079265345577573</v>
      </c>
      <c r="H23" s="115">
        <f t="shared" si="6"/>
        <v>5.263387297633873</v>
      </c>
      <c r="I23" s="115">
        <f t="shared" si="6"/>
        <v>7.004977809763704</v>
      </c>
      <c r="J23" s="115">
        <f t="shared" si="6"/>
        <v>9.53191489361702</v>
      </c>
      <c r="K23" s="115">
        <f t="shared" si="6"/>
        <v>7.097417287208973</v>
      </c>
      <c r="L23" s="115">
        <f t="shared" si="6"/>
        <v>10.05659253375695</v>
      </c>
      <c r="M23" s="116">
        <f>M17/M18</f>
        <v>7.034524979768046</v>
      </c>
      <c r="AC23" s="53"/>
    </row>
    <row r="24" spans="1:29" ht="19.5" customHeight="1">
      <c r="A24" s="643" t="s">
        <v>125</v>
      </c>
      <c r="B24" s="644"/>
      <c r="C24" s="128">
        <v>7677420</v>
      </c>
      <c r="D24" s="128">
        <v>20935824.5</v>
      </c>
      <c r="E24" s="128">
        <v>12594510.62</v>
      </c>
      <c r="F24" s="128">
        <v>1301803</v>
      </c>
      <c r="G24" s="128">
        <v>262990</v>
      </c>
      <c r="H24" s="128">
        <v>6389592.6</v>
      </c>
      <c r="I24" s="128">
        <v>3128956</v>
      </c>
      <c r="J24" s="128">
        <v>158592</v>
      </c>
      <c r="K24" s="128">
        <v>1064005.5</v>
      </c>
      <c r="L24" s="128">
        <v>101290</v>
      </c>
      <c r="M24" s="118">
        <f>SUM($C24:$L24)</f>
        <v>53614984.22</v>
      </c>
      <c r="AC24" s="53"/>
    </row>
    <row r="25" spans="1:29" ht="19.5" customHeight="1">
      <c r="A25" s="650" t="s">
        <v>126</v>
      </c>
      <c r="B25" s="651"/>
      <c r="C25" s="129">
        <v>1099219</v>
      </c>
      <c r="D25" s="129">
        <v>2922989</v>
      </c>
      <c r="E25" s="129">
        <v>1992810</v>
      </c>
      <c r="F25" s="129">
        <v>151995</v>
      </c>
      <c r="G25" s="129">
        <v>28966</v>
      </c>
      <c r="H25" s="129">
        <v>963352</v>
      </c>
      <c r="I25" s="129">
        <v>437197</v>
      </c>
      <c r="J25" s="129">
        <v>16638</v>
      </c>
      <c r="K25" s="129">
        <v>149415</v>
      </c>
      <c r="L25" s="129">
        <v>10072</v>
      </c>
      <c r="M25" s="120">
        <f>SUM($C25:$L25)</f>
        <v>7772653</v>
      </c>
      <c r="AC25" s="53"/>
    </row>
    <row r="26" spans="1:29" ht="19.5" customHeight="1" thickBot="1">
      <c r="A26" s="652" t="s">
        <v>124</v>
      </c>
      <c r="B26" s="653"/>
      <c r="C26" s="121">
        <f aca="true" t="shared" si="7" ref="C26:L26">IF(C24&lt;&gt;0,+C24/C25," ")</f>
        <v>6.984431673761097</v>
      </c>
      <c r="D26" s="121">
        <f t="shared" si="7"/>
        <v>7.16247118959394</v>
      </c>
      <c r="E26" s="121">
        <f t="shared" si="7"/>
        <v>6.319975622362392</v>
      </c>
      <c r="F26" s="121">
        <f t="shared" si="7"/>
        <v>8.564775157077536</v>
      </c>
      <c r="G26" s="121">
        <f t="shared" si="7"/>
        <v>9.079265345577573</v>
      </c>
      <c r="H26" s="121">
        <f t="shared" si="7"/>
        <v>6.632666564246506</v>
      </c>
      <c r="I26" s="121">
        <f t="shared" si="7"/>
        <v>7.1568560625987825</v>
      </c>
      <c r="J26" s="121">
        <f t="shared" si="7"/>
        <v>9.53191489361702</v>
      </c>
      <c r="K26" s="121">
        <f t="shared" si="7"/>
        <v>7.1211424555767495</v>
      </c>
      <c r="L26" s="121">
        <f t="shared" si="7"/>
        <v>10.05659253375695</v>
      </c>
      <c r="M26" s="122">
        <f>M24/M25</f>
        <v>6.897900140402511</v>
      </c>
      <c r="AC26" s="53"/>
    </row>
    <row r="27" spans="21:30" ht="9.75" customHeight="1">
      <c r="U27" s="130"/>
      <c r="V27" s="130"/>
      <c r="W27" s="131"/>
      <c r="X27" s="131"/>
      <c r="Y27" s="131"/>
      <c r="Z27" s="131"/>
      <c r="AC27" s="84"/>
      <c r="AD27" s="84"/>
    </row>
    <row r="28" spans="1:32" s="134" customFormat="1" ht="12" customHeight="1">
      <c r="A28" s="647" t="s">
        <v>152</v>
      </c>
      <c r="B28" s="647"/>
      <c r="C28" s="647"/>
      <c r="D28" s="647"/>
      <c r="E28" s="647"/>
      <c r="F28" s="647"/>
      <c r="G28" s="647"/>
      <c r="H28" s="647"/>
      <c r="I28" s="647"/>
      <c r="J28" s="647"/>
      <c r="K28" s="647"/>
      <c r="L28" s="647"/>
      <c r="M28" s="647"/>
      <c r="N28" s="133"/>
      <c r="O28" s="133"/>
      <c r="P28" s="132"/>
      <c r="Q28" s="132"/>
      <c r="R28" s="132"/>
      <c r="AC28" s="135"/>
      <c r="AD28" s="135"/>
      <c r="AE28" s="135"/>
      <c r="AF28" s="135"/>
    </row>
    <row r="29" spans="29:32" ht="11.25">
      <c r="AC29" s="84"/>
      <c r="AD29" s="84"/>
      <c r="AE29" s="84"/>
      <c r="AF29" s="84"/>
    </row>
    <row r="30" spans="29:32" ht="11.25">
      <c r="AC30" s="84"/>
      <c r="AD30" s="84"/>
      <c r="AE30" s="84"/>
      <c r="AF30" s="84"/>
    </row>
    <row r="31" spans="29:32" ht="11.25">
      <c r="AC31" s="84"/>
      <c r="AD31" s="84"/>
      <c r="AE31" s="84"/>
      <c r="AF31" s="84"/>
    </row>
    <row r="32" spans="29:32" ht="11.25">
      <c r="AC32" s="84"/>
      <c r="AD32" s="84"/>
      <c r="AE32" s="84"/>
      <c r="AF32" s="84"/>
    </row>
    <row r="33" spans="29:32" ht="11.25">
      <c r="AC33" s="84"/>
      <c r="AD33" s="84"/>
      <c r="AE33" s="84"/>
      <c r="AF33" s="84"/>
    </row>
    <row r="34" spans="29:32" ht="11.25">
      <c r="AC34" s="84"/>
      <c r="AD34" s="84"/>
      <c r="AE34" s="84"/>
      <c r="AF34" s="84"/>
    </row>
    <row r="35" spans="29:32" ht="11.25">
      <c r="AC35" s="84"/>
      <c r="AD35" s="84"/>
      <c r="AE35" s="84"/>
      <c r="AF35" s="84"/>
    </row>
    <row r="36" spans="29:32" ht="11.25">
      <c r="AC36" s="84"/>
      <c r="AD36" s="84"/>
      <c r="AE36" s="84"/>
      <c r="AF36" s="84"/>
    </row>
    <row r="37" spans="29:32" ht="11.25">
      <c r="AC37" s="84"/>
      <c r="AD37" s="84"/>
      <c r="AE37" s="84"/>
      <c r="AF37" s="84"/>
    </row>
    <row r="38" spans="29:32" ht="11.25">
      <c r="AC38" s="84"/>
      <c r="AD38" s="84"/>
      <c r="AE38" s="84"/>
      <c r="AF38" s="84"/>
    </row>
    <row r="39" spans="29:32" ht="11.25">
      <c r="AC39" s="84"/>
      <c r="AD39" s="84"/>
      <c r="AE39" s="84"/>
      <c r="AF39" s="84"/>
    </row>
    <row r="40" spans="29:32" ht="11.25">
      <c r="AC40" s="84"/>
      <c r="AD40" s="84"/>
      <c r="AE40" s="84"/>
      <c r="AF40" s="84"/>
    </row>
    <row r="41" spans="29:32" ht="11.25">
      <c r="AC41" s="84"/>
      <c r="AD41" s="84"/>
      <c r="AE41" s="84"/>
      <c r="AF41" s="84"/>
    </row>
    <row r="42" spans="29:32" ht="11.25">
      <c r="AC42" s="84"/>
      <c r="AD42" s="84"/>
      <c r="AE42" s="84"/>
      <c r="AF42" s="84"/>
    </row>
    <row r="43" spans="29:32" ht="11.25">
      <c r="AC43" s="84"/>
      <c r="AD43" s="84"/>
      <c r="AE43" s="84"/>
      <c r="AF43" s="84"/>
    </row>
    <row r="44" spans="29:32" ht="11.25">
      <c r="AC44" s="84"/>
      <c r="AD44" s="84"/>
      <c r="AE44" s="84"/>
      <c r="AF44" s="84"/>
    </row>
    <row r="45" spans="29:32" ht="11.25">
      <c r="AC45" s="84"/>
      <c r="AD45" s="84"/>
      <c r="AE45" s="84"/>
      <c r="AF45" s="84"/>
    </row>
    <row r="46" spans="29:32" ht="11.25">
      <c r="AC46" s="84"/>
      <c r="AD46" s="84"/>
      <c r="AE46" s="84"/>
      <c r="AF46" s="84"/>
    </row>
    <row r="47" spans="29:32" ht="11.25">
      <c r="AC47" s="84"/>
      <c r="AD47" s="84"/>
      <c r="AE47" s="84"/>
      <c r="AF47" s="84"/>
    </row>
    <row r="48" spans="29:32" ht="11.25">
      <c r="AC48" s="84"/>
      <c r="AD48" s="84"/>
      <c r="AE48" s="84"/>
      <c r="AF48" s="84"/>
    </row>
    <row r="49" spans="29:32" ht="11.25">
      <c r="AC49" s="84"/>
      <c r="AD49" s="84"/>
      <c r="AE49" s="84"/>
      <c r="AF49" s="84"/>
    </row>
    <row r="50" spans="29:32" ht="11.25">
      <c r="AC50" s="84"/>
      <c r="AD50" s="84"/>
      <c r="AE50" s="84"/>
      <c r="AF50" s="84"/>
    </row>
    <row r="51" spans="29:32" ht="11.25">
      <c r="AC51" s="84"/>
      <c r="AD51" s="84"/>
      <c r="AE51" s="84"/>
      <c r="AF51" s="84"/>
    </row>
    <row r="52" spans="29:32" ht="11.25">
      <c r="AC52" s="84"/>
      <c r="AD52" s="84"/>
      <c r="AE52" s="84"/>
      <c r="AF52" s="84"/>
    </row>
    <row r="53" spans="29:32" ht="11.25">
      <c r="AC53" s="84"/>
      <c r="AD53" s="84"/>
      <c r="AE53" s="84"/>
      <c r="AF53" s="84"/>
    </row>
    <row r="54" spans="29:32" ht="11.25">
      <c r="AC54" s="84"/>
      <c r="AD54" s="84"/>
      <c r="AE54" s="84"/>
      <c r="AF54" s="84"/>
    </row>
    <row r="55" spans="29:32" ht="11.25">
      <c r="AC55" s="84"/>
      <c r="AD55" s="84"/>
      <c r="AE55" s="84"/>
      <c r="AF55" s="84"/>
    </row>
    <row r="56" spans="29:32" ht="11.25">
      <c r="AC56" s="84"/>
      <c r="AD56" s="84"/>
      <c r="AE56" s="84"/>
      <c r="AF56" s="84"/>
    </row>
    <row r="57" spans="29:32" ht="11.25">
      <c r="AC57" s="84"/>
      <c r="AD57" s="84"/>
      <c r="AE57" s="84"/>
      <c r="AF57" s="84"/>
    </row>
    <row r="58" spans="29:32" ht="11.25">
      <c r="AC58" s="84"/>
      <c r="AD58" s="84"/>
      <c r="AE58" s="84"/>
      <c r="AF58" s="84"/>
    </row>
    <row r="59" spans="29:32" ht="11.25">
      <c r="AC59" s="84"/>
      <c r="AD59" s="84"/>
      <c r="AE59" s="84"/>
      <c r="AF59" s="84"/>
    </row>
    <row r="60" spans="29:32" ht="11.25">
      <c r="AC60" s="84"/>
      <c r="AD60" s="84"/>
      <c r="AE60" s="84"/>
      <c r="AF60" s="84"/>
    </row>
    <row r="61" spans="29:32" ht="11.25">
      <c r="AC61" s="84"/>
      <c r="AD61" s="84"/>
      <c r="AE61" s="84"/>
      <c r="AF61" s="84"/>
    </row>
    <row r="62" spans="29:32" ht="11.25">
      <c r="AC62" s="84"/>
      <c r="AD62" s="84"/>
      <c r="AE62" s="84"/>
      <c r="AF62" s="84"/>
    </row>
    <row r="63" spans="29:32" ht="11.25">
      <c r="AC63" s="84"/>
      <c r="AD63" s="84"/>
      <c r="AE63" s="84"/>
      <c r="AF63" s="84"/>
    </row>
    <row r="64" spans="29:32" ht="11.25">
      <c r="AC64" s="84"/>
      <c r="AD64" s="84"/>
      <c r="AE64" s="84"/>
      <c r="AF64" s="84"/>
    </row>
    <row r="65" spans="29:32" ht="11.25">
      <c r="AC65" s="84"/>
      <c r="AD65" s="84"/>
      <c r="AE65" s="84"/>
      <c r="AF65" s="84"/>
    </row>
    <row r="66" spans="29:32" ht="11.25">
      <c r="AC66" s="84"/>
      <c r="AD66" s="84"/>
      <c r="AE66" s="84"/>
      <c r="AF66" s="84"/>
    </row>
    <row r="67" spans="29:32" ht="11.25">
      <c r="AC67" s="84"/>
      <c r="AD67" s="84"/>
      <c r="AE67" s="84"/>
      <c r="AF67" s="84"/>
    </row>
    <row r="68" spans="29:32" ht="11.25">
      <c r="AC68" s="84"/>
      <c r="AD68" s="84"/>
      <c r="AE68" s="84"/>
      <c r="AF68" s="84"/>
    </row>
    <row r="69" spans="29:32" ht="11.25">
      <c r="AC69" s="84"/>
      <c r="AD69" s="84"/>
      <c r="AE69" s="84"/>
      <c r="AF69" s="84"/>
    </row>
    <row r="70" spans="29:32" ht="11.25">
      <c r="AC70" s="84"/>
      <c r="AD70" s="84"/>
      <c r="AE70" s="84"/>
      <c r="AF70" s="84"/>
    </row>
    <row r="71" spans="29:32" ht="11.25">
      <c r="AC71" s="84"/>
      <c r="AD71" s="84"/>
      <c r="AE71" s="84"/>
      <c r="AF71" s="84"/>
    </row>
    <row r="72" spans="29:32" ht="11.25">
      <c r="AC72" s="84"/>
      <c r="AD72" s="84"/>
      <c r="AE72" s="84"/>
      <c r="AF72" s="84"/>
    </row>
    <row r="73" spans="29:32" ht="11.25">
      <c r="AC73" s="84"/>
      <c r="AD73" s="84"/>
      <c r="AE73" s="84"/>
      <c r="AF73" s="84"/>
    </row>
    <row r="74" spans="29:32" ht="11.25">
      <c r="AC74" s="84"/>
      <c r="AD74" s="84"/>
      <c r="AE74" s="84"/>
      <c r="AF74" s="84"/>
    </row>
    <row r="75" spans="29:32" ht="11.25">
      <c r="AC75" s="84"/>
      <c r="AD75" s="84"/>
      <c r="AE75" s="84"/>
      <c r="AF75" s="84"/>
    </row>
    <row r="76" spans="29:32" ht="11.25">
      <c r="AC76" s="84"/>
      <c r="AD76" s="84"/>
      <c r="AE76" s="84"/>
      <c r="AF76" s="84"/>
    </row>
    <row r="77" spans="29:32" ht="11.25">
      <c r="AC77" s="84"/>
      <c r="AD77" s="84"/>
      <c r="AE77" s="84"/>
      <c r="AF77" s="84"/>
    </row>
    <row r="78" spans="29:32" ht="11.25">
      <c r="AC78" s="84"/>
      <c r="AD78" s="84"/>
      <c r="AE78" s="84"/>
      <c r="AF78" s="84"/>
    </row>
    <row r="79" spans="29:32" ht="11.25">
      <c r="AC79" s="84"/>
      <c r="AD79" s="84"/>
      <c r="AE79" s="84"/>
      <c r="AF79" s="84"/>
    </row>
    <row r="80" spans="29:32" ht="11.25">
      <c r="AC80" s="84"/>
      <c r="AD80" s="84"/>
      <c r="AE80" s="84"/>
      <c r="AF80" s="84"/>
    </row>
    <row r="81" spans="29:32" ht="11.25">
      <c r="AC81" s="84"/>
      <c r="AD81" s="84"/>
      <c r="AE81" s="84"/>
      <c r="AF81" s="84"/>
    </row>
    <row r="82" spans="29:32" ht="11.25">
      <c r="AC82" s="84"/>
      <c r="AD82" s="84"/>
      <c r="AE82" s="84"/>
      <c r="AF82" s="84"/>
    </row>
    <row r="83" spans="29:32" ht="11.25">
      <c r="AC83" s="84"/>
      <c r="AD83" s="84"/>
      <c r="AE83" s="84"/>
      <c r="AF83" s="84"/>
    </row>
    <row r="84" spans="29:32" ht="11.25">
      <c r="AC84" s="84"/>
      <c r="AD84" s="84"/>
      <c r="AE84" s="84"/>
      <c r="AF84" s="84"/>
    </row>
    <row r="85" spans="29:32" ht="11.25">
      <c r="AC85" s="84"/>
      <c r="AD85" s="84"/>
      <c r="AE85" s="84"/>
      <c r="AF85" s="84"/>
    </row>
    <row r="86" spans="29:32" ht="11.25">
      <c r="AC86" s="84"/>
      <c r="AD86" s="84"/>
      <c r="AE86" s="84"/>
      <c r="AF86" s="84"/>
    </row>
    <row r="87" spans="29:32" ht="11.25">
      <c r="AC87" s="84"/>
      <c r="AD87" s="84"/>
      <c r="AE87" s="84"/>
      <c r="AF87" s="84"/>
    </row>
    <row r="88" spans="29:32" ht="11.25">
      <c r="AC88" s="84"/>
      <c r="AD88" s="84"/>
      <c r="AE88" s="84"/>
      <c r="AF88" s="84"/>
    </row>
    <row r="89" spans="29:32" ht="11.25">
      <c r="AC89" s="84"/>
      <c r="AD89" s="84"/>
      <c r="AE89" s="84"/>
      <c r="AF89" s="84"/>
    </row>
    <row r="90" spans="29:32" ht="11.25">
      <c r="AC90" s="84"/>
      <c r="AD90" s="84"/>
      <c r="AE90" s="84"/>
      <c r="AF90" s="84"/>
    </row>
    <row r="91" spans="29:32" ht="11.25">
      <c r="AC91" s="84"/>
      <c r="AD91" s="84"/>
      <c r="AE91" s="84"/>
      <c r="AF91" s="84"/>
    </row>
    <row r="92" spans="29:32" ht="11.25">
      <c r="AC92" s="84"/>
      <c r="AD92" s="84"/>
      <c r="AE92" s="84"/>
      <c r="AF92" s="84"/>
    </row>
    <row r="93" spans="29:32" ht="11.25">
      <c r="AC93" s="84"/>
      <c r="AD93" s="84"/>
      <c r="AE93" s="84"/>
      <c r="AF93" s="84"/>
    </row>
    <row r="94" spans="29:32" ht="11.25">
      <c r="AC94" s="84"/>
      <c r="AD94" s="84"/>
      <c r="AE94" s="84"/>
      <c r="AF94" s="84"/>
    </row>
    <row r="95" spans="29:32" ht="11.25">
      <c r="AC95" s="84"/>
      <c r="AD95" s="84"/>
      <c r="AE95" s="84"/>
      <c r="AF95" s="84"/>
    </row>
    <row r="96" spans="29:32" ht="11.25">
      <c r="AC96" s="84"/>
      <c r="AD96" s="84"/>
      <c r="AE96" s="84"/>
      <c r="AF96" s="84"/>
    </row>
    <row r="97" spans="29:32" ht="11.25">
      <c r="AC97" s="84"/>
      <c r="AD97" s="84"/>
      <c r="AE97" s="84"/>
      <c r="AF97" s="84"/>
    </row>
    <row r="98" spans="29:32" ht="11.25">
      <c r="AC98" s="84"/>
      <c r="AD98" s="84"/>
      <c r="AE98" s="84"/>
      <c r="AF98" s="84"/>
    </row>
    <row r="99" spans="29:32" ht="11.25">
      <c r="AC99" s="84"/>
      <c r="AD99" s="84"/>
      <c r="AE99" s="84"/>
      <c r="AF99" s="84"/>
    </row>
    <row r="100" spans="29:32" ht="11.25">
      <c r="AC100" s="84"/>
      <c r="AD100" s="84"/>
      <c r="AE100" s="84"/>
      <c r="AF100" s="84"/>
    </row>
    <row r="101" spans="29:32" ht="11.25">
      <c r="AC101" s="84"/>
      <c r="AD101" s="84"/>
      <c r="AE101" s="84"/>
      <c r="AF101" s="84"/>
    </row>
    <row r="102" spans="29:32" ht="11.25">
      <c r="AC102" s="84"/>
      <c r="AD102" s="84"/>
      <c r="AE102" s="84"/>
      <c r="AF102" s="84"/>
    </row>
    <row r="103" spans="29:32" ht="11.25">
      <c r="AC103" s="84"/>
      <c r="AD103" s="84"/>
      <c r="AE103" s="84"/>
      <c r="AF103" s="84"/>
    </row>
    <row r="104" spans="29:32" ht="11.25">
      <c r="AC104" s="84"/>
      <c r="AD104" s="84"/>
      <c r="AE104" s="84"/>
      <c r="AF104" s="84"/>
    </row>
    <row r="105" spans="29:32" ht="11.25">
      <c r="AC105" s="84"/>
      <c r="AD105" s="84"/>
      <c r="AE105" s="84"/>
      <c r="AF105" s="84"/>
    </row>
    <row r="106" spans="29:32" ht="11.25">
      <c r="AC106" s="84"/>
      <c r="AD106" s="84"/>
      <c r="AE106" s="84"/>
      <c r="AF106" s="84"/>
    </row>
    <row r="107" spans="29:32" ht="11.25">
      <c r="AC107" s="84"/>
      <c r="AD107" s="84"/>
      <c r="AE107" s="84"/>
      <c r="AF107" s="84"/>
    </row>
    <row r="108" spans="29:32" ht="11.25">
      <c r="AC108" s="84"/>
      <c r="AD108" s="84"/>
      <c r="AE108" s="84"/>
      <c r="AF108" s="84"/>
    </row>
    <row r="109" spans="29:32" ht="11.25">
      <c r="AC109" s="84"/>
      <c r="AD109" s="84"/>
      <c r="AE109" s="84"/>
      <c r="AF109" s="84"/>
    </row>
    <row r="110" spans="29:32" ht="11.25">
      <c r="AC110" s="84"/>
      <c r="AD110" s="84"/>
      <c r="AE110" s="84"/>
      <c r="AF110" s="84"/>
    </row>
    <row r="111" spans="29:32" ht="11.25">
      <c r="AC111" s="84"/>
      <c r="AD111" s="84"/>
      <c r="AE111" s="84"/>
      <c r="AF111" s="84"/>
    </row>
    <row r="112" spans="29:32" ht="11.25">
      <c r="AC112" s="84"/>
      <c r="AD112" s="84"/>
      <c r="AE112" s="84"/>
      <c r="AF112" s="84"/>
    </row>
    <row r="113" spans="29:32" ht="11.25">
      <c r="AC113" s="84"/>
      <c r="AD113" s="84"/>
      <c r="AE113" s="84"/>
      <c r="AF113" s="84"/>
    </row>
    <row r="114" spans="29:32" ht="11.25">
      <c r="AC114" s="84"/>
      <c r="AD114" s="84"/>
      <c r="AE114" s="84"/>
      <c r="AF114" s="84"/>
    </row>
    <row r="115" spans="29:32" ht="11.25">
      <c r="AC115" s="84"/>
      <c r="AD115" s="84"/>
      <c r="AE115" s="84"/>
      <c r="AF115" s="84"/>
    </row>
    <row r="116" spans="29:32" ht="11.25">
      <c r="AC116" s="84"/>
      <c r="AD116" s="84"/>
      <c r="AE116" s="84"/>
      <c r="AF116" s="84"/>
    </row>
    <row r="117" spans="29:32" ht="11.25">
      <c r="AC117" s="84"/>
      <c r="AD117" s="84"/>
      <c r="AE117" s="84"/>
      <c r="AF117" s="84"/>
    </row>
    <row r="118" spans="29:32" ht="11.25">
      <c r="AC118" s="84"/>
      <c r="AD118" s="84"/>
      <c r="AE118" s="84"/>
      <c r="AF118" s="84"/>
    </row>
    <row r="119" spans="29:32" ht="11.25">
      <c r="AC119" s="84"/>
      <c r="AD119" s="84"/>
      <c r="AE119" s="84"/>
      <c r="AF119" s="84"/>
    </row>
    <row r="120" spans="29:32" ht="11.25">
      <c r="AC120" s="84"/>
      <c r="AD120" s="84"/>
      <c r="AE120" s="84"/>
      <c r="AF120" s="84"/>
    </row>
    <row r="121" spans="29:32" ht="11.25">
      <c r="AC121" s="84"/>
      <c r="AD121" s="84"/>
      <c r="AE121" s="84"/>
      <c r="AF121" s="84"/>
    </row>
    <row r="122" spans="29:32" ht="11.25">
      <c r="AC122" s="84"/>
      <c r="AD122" s="84"/>
      <c r="AE122" s="84"/>
      <c r="AF122" s="84"/>
    </row>
    <row r="123" spans="29:32" ht="11.25">
      <c r="AC123" s="84"/>
      <c r="AD123" s="84"/>
      <c r="AE123" s="84"/>
      <c r="AF123" s="84"/>
    </row>
    <row r="124" spans="29:32" ht="11.25">
      <c r="AC124" s="84"/>
      <c r="AD124" s="84"/>
      <c r="AE124" s="84"/>
      <c r="AF124" s="84"/>
    </row>
    <row r="125" spans="29:32" ht="11.25">
      <c r="AC125" s="84"/>
      <c r="AD125" s="84"/>
      <c r="AE125" s="84"/>
      <c r="AF125" s="84"/>
    </row>
    <row r="126" spans="29:32" ht="11.25">
      <c r="AC126" s="84"/>
      <c r="AD126" s="84"/>
      <c r="AE126" s="84"/>
      <c r="AF126" s="84"/>
    </row>
    <row r="127" spans="29:32" ht="11.25">
      <c r="AC127" s="84"/>
      <c r="AD127" s="84"/>
      <c r="AE127" s="84"/>
      <c r="AF127" s="84"/>
    </row>
    <row r="128" spans="29:32" ht="11.25">
      <c r="AC128" s="84"/>
      <c r="AD128" s="84"/>
      <c r="AE128" s="84"/>
      <c r="AF128" s="84"/>
    </row>
    <row r="129" spans="29:32" ht="11.25">
      <c r="AC129" s="84"/>
      <c r="AD129" s="84"/>
      <c r="AE129" s="84"/>
      <c r="AF129" s="84"/>
    </row>
    <row r="130" spans="29:32" ht="11.25">
      <c r="AC130" s="84"/>
      <c r="AD130" s="84"/>
      <c r="AE130" s="84"/>
      <c r="AF130" s="84"/>
    </row>
    <row r="131" spans="29:32" ht="11.25">
      <c r="AC131" s="84"/>
      <c r="AD131" s="84"/>
      <c r="AE131" s="84"/>
      <c r="AF131" s="84"/>
    </row>
    <row r="132" spans="29:32" ht="11.25">
      <c r="AC132" s="84"/>
      <c r="AD132" s="84"/>
      <c r="AE132" s="84"/>
      <c r="AF132" s="84"/>
    </row>
    <row r="133" spans="29:32" ht="11.25">
      <c r="AC133" s="84"/>
      <c r="AD133" s="84"/>
      <c r="AE133" s="84"/>
      <c r="AF133" s="84"/>
    </row>
    <row r="134" spans="29:32" ht="11.25">
      <c r="AC134" s="84"/>
      <c r="AD134" s="84"/>
      <c r="AE134" s="84"/>
      <c r="AF134" s="84"/>
    </row>
    <row r="135" spans="29:32" ht="11.25">
      <c r="AC135" s="84"/>
      <c r="AD135" s="84"/>
      <c r="AE135" s="84"/>
      <c r="AF135" s="84"/>
    </row>
    <row r="136" spans="29:32" ht="11.25">
      <c r="AC136" s="84"/>
      <c r="AD136" s="84"/>
      <c r="AE136" s="84"/>
      <c r="AF136" s="84"/>
    </row>
    <row r="137" spans="29:32" ht="11.25">
      <c r="AC137" s="84"/>
      <c r="AD137" s="84"/>
      <c r="AE137" s="84"/>
      <c r="AF137" s="84"/>
    </row>
    <row r="138" spans="29:32" ht="11.25">
      <c r="AC138" s="84"/>
      <c r="AD138" s="84"/>
      <c r="AE138" s="84"/>
      <c r="AF138" s="84"/>
    </row>
    <row r="139" spans="29:32" ht="11.25">
      <c r="AC139" s="84"/>
      <c r="AD139" s="84"/>
      <c r="AE139" s="84"/>
      <c r="AF139" s="84"/>
    </row>
    <row r="140" spans="29:32" ht="11.25">
      <c r="AC140" s="84"/>
      <c r="AD140" s="84"/>
      <c r="AE140" s="84"/>
      <c r="AF140" s="84"/>
    </row>
    <row r="141" spans="29:32" ht="11.25">
      <c r="AC141" s="84"/>
      <c r="AD141" s="84"/>
      <c r="AE141" s="84"/>
      <c r="AF141" s="84"/>
    </row>
    <row r="142" spans="29:32" ht="11.25">
      <c r="AC142" s="84"/>
      <c r="AD142" s="84"/>
      <c r="AE142" s="84"/>
      <c r="AF142" s="84"/>
    </row>
    <row r="143" spans="29:32" ht="11.25">
      <c r="AC143" s="84"/>
      <c r="AD143" s="84"/>
      <c r="AE143" s="84"/>
      <c r="AF143" s="84"/>
    </row>
    <row r="144" spans="29:32" ht="11.25">
      <c r="AC144" s="84"/>
      <c r="AD144" s="84"/>
      <c r="AE144" s="84"/>
      <c r="AF144" s="84"/>
    </row>
    <row r="145" spans="29:32" ht="11.25">
      <c r="AC145" s="84"/>
      <c r="AD145" s="84"/>
      <c r="AE145" s="84"/>
      <c r="AF145" s="84"/>
    </row>
    <row r="146" spans="29:32" ht="11.25">
      <c r="AC146" s="84"/>
      <c r="AD146" s="84"/>
      <c r="AE146" s="84"/>
      <c r="AF146" s="84"/>
    </row>
    <row r="147" spans="29:32" ht="11.25">
      <c r="AC147" s="84"/>
      <c r="AD147" s="84"/>
      <c r="AE147" s="84"/>
      <c r="AF147" s="84"/>
    </row>
    <row r="148" spans="29:32" ht="11.25">
      <c r="AC148" s="84"/>
      <c r="AD148" s="84"/>
      <c r="AE148" s="84"/>
      <c r="AF148" s="84"/>
    </row>
    <row r="149" spans="29:32" ht="11.25">
      <c r="AC149" s="84"/>
      <c r="AD149" s="84"/>
      <c r="AE149" s="84"/>
      <c r="AF149" s="84"/>
    </row>
    <row r="150" spans="29:32" ht="11.25">
      <c r="AC150" s="84"/>
      <c r="AD150" s="84"/>
      <c r="AE150" s="84"/>
      <c r="AF150" s="84"/>
    </row>
    <row r="151" spans="29:32" ht="11.25">
      <c r="AC151" s="84"/>
      <c r="AD151" s="84"/>
      <c r="AE151" s="84"/>
      <c r="AF151" s="84"/>
    </row>
    <row r="152" spans="29:32" ht="11.25">
      <c r="AC152" s="84"/>
      <c r="AD152" s="84"/>
      <c r="AE152" s="84"/>
      <c r="AF152" s="84"/>
    </row>
    <row r="153" spans="29:32" ht="11.25">
      <c r="AC153" s="84"/>
      <c r="AD153" s="84"/>
      <c r="AE153" s="84"/>
      <c r="AF153" s="84"/>
    </row>
    <row r="154" spans="29:32" ht="11.25">
      <c r="AC154" s="84"/>
      <c r="AD154" s="84"/>
      <c r="AE154" s="84"/>
      <c r="AF154" s="84"/>
    </row>
    <row r="155" spans="29:32" ht="11.25">
      <c r="AC155" s="84"/>
      <c r="AD155" s="84"/>
      <c r="AE155" s="84"/>
      <c r="AF155" s="84"/>
    </row>
    <row r="156" spans="29:32" ht="11.25">
      <c r="AC156" s="84"/>
      <c r="AD156" s="84"/>
      <c r="AE156" s="84"/>
      <c r="AF156" s="84"/>
    </row>
    <row r="157" spans="29:32" ht="11.25">
      <c r="AC157" s="84"/>
      <c r="AD157" s="84"/>
      <c r="AE157" s="84"/>
      <c r="AF157" s="84"/>
    </row>
    <row r="158" spans="29:32" ht="11.25">
      <c r="AC158" s="84"/>
      <c r="AD158" s="84"/>
      <c r="AE158" s="84"/>
      <c r="AF158" s="84"/>
    </row>
    <row r="159" spans="29:32" ht="11.25">
      <c r="AC159" s="84"/>
      <c r="AD159" s="84"/>
      <c r="AE159" s="84"/>
      <c r="AF159" s="84"/>
    </row>
    <row r="160" spans="29:32" ht="11.25">
      <c r="AC160" s="84"/>
      <c r="AD160" s="84"/>
      <c r="AE160" s="84"/>
      <c r="AF160" s="84"/>
    </row>
    <row r="161" spans="29:32" ht="11.25">
      <c r="AC161" s="84"/>
      <c r="AD161" s="84"/>
      <c r="AE161" s="84"/>
      <c r="AF161" s="84"/>
    </row>
    <row r="162" spans="29:32" ht="11.25">
      <c r="AC162" s="84"/>
      <c r="AD162" s="84"/>
      <c r="AE162" s="84"/>
      <c r="AF162" s="84"/>
    </row>
    <row r="163" spans="29:32" ht="11.25">
      <c r="AC163" s="84"/>
      <c r="AD163" s="84"/>
      <c r="AE163" s="84"/>
      <c r="AF163" s="84"/>
    </row>
    <row r="164" spans="29:32" ht="11.25">
      <c r="AC164" s="84"/>
      <c r="AD164" s="84"/>
      <c r="AE164" s="84"/>
      <c r="AF164" s="84"/>
    </row>
    <row r="165" spans="29:32" ht="11.25">
      <c r="AC165" s="84"/>
      <c r="AD165" s="84"/>
      <c r="AE165" s="84"/>
      <c r="AF165" s="84"/>
    </row>
    <row r="166" spans="29:32" ht="11.25">
      <c r="AC166" s="84"/>
      <c r="AD166" s="84"/>
      <c r="AE166" s="84"/>
      <c r="AF166" s="84"/>
    </row>
    <row r="167" spans="29:32" ht="11.25">
      <c r="AC167" s="84"/>
      <c r="AD167" s="84"/>
      <c r="AE167" s="84"/>
      <c r="AF167" s="84"/>
    </row>
    <row r="168" spans="29:32" ht="11.25">
      <c r="AC168" s="84"/>
      <c r="AD168" s="84"/>
      <c r="AE168" s="84"/>
      <c r="AF168" s="84"/>
    </row>
    <row r="169" spans="29:32" ht="11.25">
      <c r="AC169" s="84"/>
      <c r="AD169" s="84"/>
      <c r="AE169" s="84"/>
      <c r="AF169" s="84"/>
    </row>
    <row r="170" spans="29:32" ht="11.25">
      <c r="AC170" s="84"/>
      <c r="AD170" s="84"/>
      <c r="AE170" s="84"/>
      <c r="AF170" s="84"/>
    </row>
    <row r="171" spans="29:32" ht="11.25">
      <c r="AC171" s="84"/>
      <c r="AD171" s="84"/>
      <c r="AE171" s="84"/>
      <c r="AF171" s="84"/>
    </row>
    <row r="172" spans="29:32" ht="11.25">
      <c r="AC172" s="84"/>
      <c r="AD172" s="84"/>
      <c r="AE172" s="84"/>
      <c r="AF172" s="84"/>
    </row>
    <row r="173" spans="29:32" ht="11.25">
      <c r="AC173" s="84"/>
      <c r="AD173" s="84"/>
      <c r="AE173" s="84"/>
      <c r="AF173" s="84"/>
    </row>
  </sheetData>
  <mergeCells count="20">
    <mergeCell ref="A28:M28"/>
    <mergeCell ref="A23:B23"/>
    <mergeCell ref="A24:B24"/>
    <mergeCell ref="A25:B25"/>
    <mergeCell ref="A26:B26"/>
    <mergeCell ref="A19:B19"/>
    <mergeCell ref="A20:B20"/>
    <mergeCell ref="A21:B21"/>
    <mergeCell ref="A22:B22"/>
    <mergeCell ref="A11:A12"/>
    <mergeCell ref="A13:A14"/>
    <mergeCell ref="A15:A16"/>
    <mergeCell ref="A17:A18"/>
    <mergeCell ref="A1:M1"/>
    <mergeCell ref="M3:M10"/>
    <mergeCell ref="A5:B5"/>
    <mergeCell ref="A6:B6"/>
    <mergeCell ref="A7:B8"/>
    <mergeCell ref="A9:B9"/>
    <mergeCell ref="A10:B10"/>
  </mergeCells>
  <printOptions/>
  <pageMargins left="0.75" right="0.75" top="1" bottom="1" header="0.5" footer="0.5"/>
  <pageSetup orientation="portrait" paperSize="9"/>
</worksheet>
</file>

<file path=xl/worksheets/sheet60.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A3" sqref="A3:V3"/>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
      <c r="A2" s="748" t="s">
        <v>25</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24</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+'Dec.30-Jan.1(we1)'!N37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61.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K35" sqref="K35"/>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
      <c r="A2" s="748" t="s">
        <v>25</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24</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+'Dec.30-Jan.1(we1)'!N37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3:V3"/>
    <mergeCell ref="A2:V2"/>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62.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C19" sqref="C19"/>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745" t="s">
        <v>23</v>
      </c>
      <c r="B1" s="745"/>
      <c r="C1" s="745"/>
      <c r="D1" s="745"/>
      <c r="E1" s="745"/>
      <c r="F1" s="745"/>
      <c r="G1" s="745"/>
      <c r="H1" s="745"/>
      <c r="I1" s="745"/>
      <c r="J1" s="745"/>
      <c r="K1" s="745"/>
      <c r="L1" s="745"/>
      <c r="M1" s="745"/>
      <c r="N1" s="745"/>
      <c r="O1" s="745"/>
      <c r="P1" s="745"/>
      <c r="Q1" s="745"/>
      <c r="R1" s="745"/>
      <c r="S1" s="745"/>
      <c r="T1" s="745"/>
      <c r="U1" s="745"/>
      <c r="V1" s="745"/>
    </row>
    <row r="2" spans="1:22" ht="15">
      <c r="A2" s="748" t="s">
        <v>25</v>
      </c>
      <c r="B2" s="748"/>
      <c r="C2" s="748"/>
      <c r="D2" s="748"/>
      <c r="E2" s="748"/>
      <c r="F2" s="748"/>
      <c r="G2" s="748"/>
      <c r="H2" s="748"/>
      <c r="I2" s="748"/>
      <c r="J2" s="748"/>
      <c r="K2" s="748"/>
      <c r="L2" s="748"/>
      <c r="M2" s="748"/>
      <c r="N2" s="748"/>
      <c r="O2" s="748"/>
      <c r="P2" s="748"/>
      <c r="Q2" s="748"/>
      <c r="R2" s="748"/>
      <c r="S2" s="748"/>
      <c r="T2" s="748"/>
      <c r="U2" s="748"/>
      <c r="V2" s="748"/>
    </row>
    <row r="3" spans="1:22" ht="15.75" thickBot="1">
      <c r="A3" s="746" t="s">
        <v>24</v>
      </c>
      <c r="B3" s="746"/>
      <c r="C3" s="746"/>
      <c r="D3" s="746"/>
      <c r="E3" s="746"/>
      <c r="F3" s="746"/>
      <c r="G3" s="746"/>
      <c r="H3" s="746"/>
      <c r="I3" s="746"/>
      <c r="J3" s="746"/>
      <c r="K3" s="746"/>
      <c r="L3" s="746"/>
      <c r="M3" s="746"/>
      <c r="N3" s="746"/>
      <c r="O3" s="746"/>
      <c r="P3" s="746"/>
      <c r="Q3" s="746"/>
      <c r="R3" s="746"/>
      <c r="S3" s="746"/>
      <c r="T3" s="746"/>
      <c r="U3" s="746"/>
      <c r="V3" s="746"/>
    </row>
    <row r="4" spans="1:22" ht="12">
      <c r="A4" s="749" t="s">
        <v>21</v>
      </c>
      <c r="B4" s="752" t="s">
        <v>0</v>
      </c>
      <c r="C4" s="755" t="s">
        <v>1</v>
      </c>
      <c r="D4" s="752" t="s">
        <v>2</v>
      </c>
      <c r="E4" s="752" t="s">
        <v>3</v>
      </c>
      <c r="F4" s="752" t="s">
        <v>20</v>
      </c>
      <c r="G4" s="752" t="s">
        <v>19</v>
      </c>
      <c r="H4" s="742" t="s">
        <v>10</v>
      </c>
      <c r="I4" s="743"/>
      <c r="J4" s="743"/>
      <c r="K4" s="743"/>
      <c r="L4" s="743"/>
      <c r="M4" s="743"/>
      <c r="N4" s="743"/>
      <c r="O4" s="744"/>
      <c r="P4" s="14"/>
      <c r="Q4" s="15"/>
      <c r="R4" s="752" t="s">
        <v>12</v>
      </c>
      <c r="S4" s="752" t="s">
        <v>13</v>
      </c>
      <c r="T4" s="752" t="s">
        <v>14</v>
      </c>
      <c r="U4" s="752" t="s">
        <v>15</v>
      </c>
      <c r="V4" s="735" t="s">
        <v>13</v>
      </c>
    </row>
    <row r="5" spans="1:22" ht="12">
      <c r="A5" s="750"/>
      <c r="B5" s="753"/>
      <c r="C5" s="756"/>
      <c r="D5" s="750"/>
      <c r="E5" s="750"/>
      <c r="F5" s="750"/>
      <c r="G5" s="750"/>
      <c r="H5" s="738" t="s">
        <v>4</v>
      </c>
      <c r="I5" s="739"/>
      <c r="J5" s="738" t="s">
        <v>7</v>
      </c>
      <c r="K5" s="739"/>
      <c r="L5" s="738" t="s">
        <v>8</v>
      </c>
      <c r="M5" s="739"/>
      <c r="N5" s="738" t="s">
        <v>9</v>
      </c>
      <c r="O5" s="739"/>
      <c r="P5" s="740" t="s">
        <v>17</v>
      </c>
      <c r="Q5" s="741"/>
      <c r="R5" s="750"/>
      <c r="S5" s="750"/>
      <c r="T5" s="750"/>
      <c r="U5" s="750"/>
      <c r="V5" s="736"/>
    </row>
    <row r="6" spans="1:22" ht="36">
      <c r="A6" s="751"/>
      <c r="B6" s="754"/>
      <c r="C6" s="757"/>
      <c r="D6" s="751"/>
      <c r="E6" s="751"/>
      <c r="F6" s="751"/>
      <c r="G6" s="751"/>
      <c r="H6" s="16" t="s">
        <v>5</v>
      </c>
      <c r="I6" s="3" t="s">
        <v>16</v>
      </c>
      <c r="J6" s="16" t="s">
        <v>5</v>
      </c>
      <c r="K6" s="3" t="s">
        <v>6</v>
      </c>
      <c r="L6" s="16" t="s">
        <v>5</v>
      </c>
      <c r="M6" s="3" t="s">
        <v>6</v>
      </c>
      <c r="N6" s="16" t="s">
        <v>5</v>
      </c>
      <c r="O6" s="3" t="s">
        <v>6</v>
      </c>
      <c r="P6" s="16" t="s">
        <v>18</v>
      </c>
      <c r="Q6" s="4" t="s">
        <v>11</v>
      </c>
      <c r="R6" s="751"/>
      <c r="S6" s="751"/>
      <c r="T6" s="751"/>
      <c r="U6" s="751"/>
      <c r="V6" s="737"/>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+'Dec.30-Jan.1(we1)'!N37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2:V2"/>
    <mergeCell ref="A3:V3"/>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F173"/>
  <sheetViews>
    <sheetView zoomScale="90" zoomScaleNormal="90" workbookViewId="0" topLeftCell="A1">
      <selection activeCell="I30" sqref="I30"/>
    </sheetView>
  </sheetViews>
  <sheetFormatPr defaultColWidth="9.140625" defaultRowHeight="12.75"/>
  <cols>
    <col min="1" max="2" width="9.7109375" style="53" customWidth="1"/>
    <col min="3" max="20" width="13.57421875" style="53" customWidth="1"/>
    <col min="21" max="21" width="14.421875" style="53" customWidth="1"/>
    <col min="22" max="28" width="17.421875" style="53" customWidth="1"/>
    <col min="29" max="29" width="17.421875" style="54" customWidth="1"/>
    <col min="30" max="16384" width="17.421875" style="53" customWidth="1"/>
  </cols>
  <sheetData>
    <row r="1" spans="1:29" ht="90" customHeight="1" thickBot="1">
      <c r="A1" s="632" t="s">
        <v>145</v>
      </c>
      <c r="B1" s="633"/>
      <c r="C1" s="633"/>
      <c r="D1" s="633"/>
      <c r="E1" s="633"/>
      <c r="F1" s="633"/>
      <c r="G1" s="633"/>
      <c r="H1" s="633"/>
      <c r="I1" s="633"/>
      <c r="J1" s="633"/>
      <c r="K1" s="633"/>
      <c r="L1" s="633"/>
      <c r="M1" s="634"/>
      <c r="U1" s="54"/>
      <c r="AC1" s="53"/>
    </row>
    <row r="2" spans="1:21" ht="9" customHeight="1" thickBot="1">
      <c r="A2" s="55"/>
      <c r="B2" s="55"/>
      <c r="C2" s="55"/>
      <c r="D2" s="55"/>
      <c r="E2" s="55"/>
      <c r="F2" s="55"/>
      <c r="G2" s="55"/>
      <c r="H2" s="55"/>
      <c r="I2" s="55"/>
      <c r="J2" s="55"/>
      <c r="K2" s="55"/>
      <c r="L2" s="55"/>
      <c r="M2" s="55"/>
      <c r="N2" s="55"/>
      <c r="O2" s="55"/>
      <c r="P2" s="55"/>
      <c r="Q2" s="55"/>
      <c r="R2" s="55"/>
      <c r="S2" s="55"/>
      <c r="T2" s="55"/>
      <c r="U2" s="55"/>
    </row>
    <row r="3" spans="1:29" ht="18" customHeight="1">
      <c r="A3" s="56"/>
      <c r="B3" s="57"/>
      <c r="C3" s="123">
        <f aca="true" t="shared" si="0" ref="C3:L3">COLUMN()-2</f>
        <v>1</v>
      </c>
      <c r="D3" s="123">
        <f t="shared" si="0"/>
        <v>2</v>
      </c>
      <c r="E3" s="123">
        <f t="shared" si="0"/>
        <v>3</v>
      </c>
      <c r="F3" s="123">
        <f t="shared" si="0"/>
        <v>4</v>
      </c>
      <c r="G3" s="123">
        <f t="shared" si="0"/>
        <v>5</v>
      </c>
      <c r="H3" s="123">
        <f t="shared" si="0"/>
        <v>6</v>
      </c>
      <c r="I3" s="123">
        <f t="shared" si="0"/>
        <v>7</v>
      </c>
      <c r="J3" s="123">
        <f t="shared" si="0"/>
        <v>8</v>
      </c>
      <c r="K3" s="123">
        <f t="shared" si="0"/>
        <v>9</v>
      </c>
      <c r="L3" s="123">
        <f t="shared" si="0"/>
        <v>10</v>
      </c>
      <c r="M3" s="635" t="s">
        <v>128</v>
      </c>
      <c r="AC3" s="53"/>
    </row>
    <row r="4" spans="1:29" ht="45" customHeight="1" thickBot="1">
      <c r="A4" s="59"/>
      <c r="B4" s="60"/>
      <c r="C4" s="86" t="s">
        <v>65</v>
      </c>
      <c r="D4" s="86" t="s">
        <v>68</v>
      </c>
      <c r="E4" s="86" t="s">
        <v>67</v>
      </c>
      <c r="F4" s="86" t="s">
        <v>136</v>
      </c>
      <c r="G4" s="86" t="s">
        <v>138</v>
      </c>
      <c r="H4" s="86" t="s">
        <v>141</v>
      </c>
      <c r="I4" s="86" t="s">
        <v>146</v>
      </c>
      <c r="J4" s="86" t="s">
        <v>147</v>
      </c>
      <c r="K4" s="86" t="s">
        <v>148</v>
      </c>
      <c r="L4" s="86" t="s">
        <v>149</v>
      </c>
      <c r="M4" s="627"/>
      <c r="AC4" s="53"/>
    </row>
    <row r="5" spans="1:29" ht="19.5" customHeight="1">
      <c r="A5" s="629" t="s">
        <v>84</v>
      </c>
      <c r="B5" s="630"/>
      <c r="C5" s="87">
        <v>38751</v>
      </c>
      <c r="D5" s="87">
        <v>38758</v>
      </c>
      <c r="E5" s="87">
        <v>38674</v>
      </c>
      <c r="F5" s="87">
        <v>38758</v>
      </c>
      <c r="G5" s="87">
        <v>38751</v>
      </c>
      <c r="H5" s="87">
        <v>38744</v>
      </c>
      <c r="I5" s="87">
        <v>38723</v>
      </c>
      <c r="J5" s="87">
        <v>38751</v>
      </c>
      <c r="K5" s="87">
        <v>38758</v>
      </c>
      <c r="L5" s="87">
        <v>38730</v>
      </c>
      <c r="M5" s="627"/>
      <c r="AC5" s="53"/>
    </row>
    <row r="6" spans="1:29" ht="19.5" customHeight="1">
      <c r="A6" s="631" t="s">
        <v>132</v>
      </c>
      <c r="B6" s="626"/>
      <c r="C6" s="88">
        <v>277</v>
      </c>
      <c r="D6" s="88">
        <v>80</v>
      </c>
      <c r="E6" s="88">
        <v>96</v>
      </c>
      <c r="F6" s="88">
        <v>61</v>
      </c>
      <c r="G6" s="88">
        <v>51</v>
      </c>
      <c r="H6" s="88">
        <v>70</v>
      </c>
      <c r="I6" s="88">
        <v>280</v>
      </c>
      <c r="J6" s="88">
        <v>27</v>
      </c>
      <c r="K6" s="88">
        <v>46</v>
      </c>
      <c r="L6" s="88">
        <v>116</v>
      </c>
      <c r="M6" s="627"/>
      <c r="AC6" s="53"/>
    </row>
    <row r="7" spans="1:13" s="66" customFormat="1" ht="15" customHeight="1">
      <c r="A7" s="625" t="s">
        <v>87</v>
      </c>
      <c r="B7" s="636"/>
      <c r="C7" s="89" t="s">
        <v>89</v>
      </c>
      <c r="D7" s="89" t="s">
        <v>90</v>
      </c>
      <c r="E7" s="89" t="s">
        <v>90</v>
      </c>
      <c r="F7" s="89" t="s">
        <v>91</v>
      </c>
      <c r="G7" s="89" t="s">
        <v>92</v>
      </c>
      <c r="H7" s="89" t="s">
        <v>92</v>
      </c>
      <c r="I7" s="89" t="s">
        <v>90</v>
      </c>
      <c r="J7" s="89" t="s">
        <v>92</v>
      </c>
      <c r="K7" s="89" t="s">
        <v>92</v>
      </c>
      <c r="L7" s="89" t="s">
        <v>92</v>
      </c>
      <c r="M7" s="627"/>
    </row>
    <row r="8" spans="1:13" s="66" customFormat="1" ht="15" customHeight="1">
      <c r="A8" s="637"/>
      <c r="B8" s="638"/>
      <c r="C8" s="90" t="s">
        <v>98</v>
      </c>
      <c r="D8" s="90" t="s">
        <v>101</v>
      </c>
      <c r="E8" s="90" t="s">
        <v>100</v>
      </c>
      <c r="F8" s="90" t="s">
        <v>97</v>
      </c>
      <c r="G8" s="90" t="s">
        <v>105</v>
      </c>
      <c r="H8" s="90" t="s">
        <v>143</v>
      </c>
      <c r="I8" s="90" t="s">
        <v>150</v>
      </c>
      <c r="J8" s="90" t="s">
        <v>151</v>
      </c>
      <c r="K8" s="90" t="s">
        <v>105</v>
      </c>
      <c r="L8" s="90" t="s">
        <v>102</v>
      </c>
      <c r="M8" s="627"/>
    </row>
    <row r="9" spans="1:29" ht="19.5" customHeight="1">
      <c r="A9" s="631" t="s">
        <v>113</v>
      </c>
      <c r="B9" s="626"/>
      <c r="C9" s="88">
        <v>2</v>
      </c>
      <c r="D9" s="88">
        <v>1</v>
      </c>
      <c r="E9" s="88">
        <v>13</v>
      </c>
      <c r="F9" s="88">
        <v>1</v>
      </c>
      <c r="G9" s="88">
        <v>2</v>
      </c>
      <c r="H9" s="88">
        <v>3</v>
      </c>
      <c r="I9" s="88">
        <v>6</v>
      </c>
      <c r="J9" s="88">
        <v>2</v>
      </c>
      <c r="K9" s="88">
        <v>1</v>
      </c>
      <c r="L9" s="88">
        <v>5</v>
      </c>
      <c r="M9" s="627"/>
      <c r="AC9" s="53"/>
    </row>
    <row r="10" spans="1:29" ht="19.5" customHeight="1" thickBot="1">
      <c r="A10" s="631" t="s">
        <v>114</v>
      </c>
      <c r="B10" s="626"/>
      <c r="C10" s="91">
        <v>461</v>
      </c>
      <c r="D10" s="91">
        <v>80</v>
      </c>
      <c r="E10" s="91">
        <v>122</v>
      </c>
      <c r="F10" s="91">
        <v>62</v>
      </c>
      <c r="G10" s="91">
        <v>51</v>
      </c>
      <c r="H10" s="91">
        <v>70</v>
      </c>
      <c r="I10" s="91">
        <v>166</v>
      </c>
      <c r="J10" s="91">
        <v>27</v>
      </c>
      <c r="K10" s="91">
        <v>46</v>
      </c>
      <c r="L10" s="91">
        <v>33</v>
      </c>
      <c r="M10" s="628"/>
      <c r="N10" s="69"/>
      <c r="O10" s="69"/>
      <c r="P10" s="69"/>
      <c r="Q10" s="69"/>
      <c r="R10" s="69"/>
      <c r="S10" s="69"/>
      <c r="T10" s="69"/>
      <c r="U10" s="69"/>
      <c r="AC10" s="53"/>
    </row>
    <row r="11" spans="1:29" ht="19.5" customHeight="1">
      <c r="A11" s="625" t="s">
        <v>115</v>
      </c>
      <c r="B11" s="92" t="s">
        <v>116</v>
      </c>
      <c r="C11" s="93">
        <v>1185674</v>
      </c>
      <c r="D11" s="93">
        <v>157663.5</v>
      </c>
      <c r="E11" s="93">
        <v>103155</v>
      </c>
      <c r="F11" s="93">
        <v>78403</v>
      </c>
      <c r="G11" s="93">
        <v>52960</v>
      </c>
      <c r="H11" s="93">
        <v>36663</v>
      </c>
      <c r="I11" s="93">
        <v>14746</v>
      </c>
      <c r="J11" s="93">
        <v>22566</v>
      </c>
      <c r="K11" s="93">
        <v>19854</v>
      </c>
      <c r="L11" s="93">
        <v>5147</v>
      </c>
      <c r="M11" s="94">
        <f aca="true" t="shared" si="1" ref="M11:M18">SUM($C11:$L11)</f>
        <v>1676831.5</v>
      </c>
      <c r="AC11" s="53"/>
    </row>
    <row r="12" spans="1:29" ht="19.5" customHeight="1">
      <c r="A12" s="637"/>
      <c r="B12" s="95" t="s">
        <v>117</v>
      </c>
      <c r="C12" s="96">
        <v>179085</v>
      </c>
      <c r="D12" s="96">
        <v>22961</v>
      </c>
      <c r="E12" s="96">
        <v>18178</v>
      </c>
      <c r="F12" s="96">
        <v>8488</v>
      </c>
      <c r="G12" s="96">
        <v>6138</v>
      </c>
      <c r="H12" s="96">
        <v>4471</v>
      </c>
      <c r="I12" s="96">
        <v>2747</v>
      </c>
      <c r="J12" s="96">
        <v>2359</v>
      </c>
      <c r="K12" s="96">
        <v>2438</v>
      </c>
      <c r="L12" s="96">
        <v>1058</v>
      </c>
      <c r="M12" s="97">
        <f t="shared" si="1"/>
        <v>247923</v>
      </c>
      <c r="AC12" s="53"/>
    </row>
    <row r="13" spans="1:29" ht="19.5" customHeight="1">
      <c r="A13" s="625" t="s">
        <v>118</v>
      </c>
      <c r="B13" s="92" t="s">
        <v>116</v>
      </c>
      <c r="C13" s="93">
        <v>1883851.5</v>
      </c>
      <c r="D13" s="93">
        <v>221104</v>
      </c>
      <c r="E13" s="93">
        <v>179833.5</v>
      </c>
      <c r="F13" s="93">
        <v>123676.5</v>
      </c>
      <c r="G13" s="93">
        <v>87596</v>
      </c>
      <c r="H13" s="93">
        <v>65156</v>
      </c>
      <c r="I13" s="93">
        <v>33712.5</v>
      </c>
      <c r="J13" s="93">
        <v>39798</v>
      </c>
      <c r="K13" s="93">
        <v>29713</v>
      </c>
      <c r="L13" s="93">
        <v>13538</v>
      </c>
      <c r="M13" s="98">
        <f t="shared" si="1"/>
        <v>2677979</v>
      </c>
      <c r="AC13" s="53"/>
    </row>
    <row r="14" spans="1:29" ht="19.5" customHeight="1">
      <c r="A14" s="637"/>
      <c r="B14" s="95" t="s">
        <v>117</v>
      </c>
      <c r="C14" s="96">
        <v>272497</v>
      </c>
      <c r="D14" s="96">
        <v>30007</v>
      </c>
      <c r="E14" s="96">
        <v>29573</v>
      </c>
      <c r="F14" s="96">
        <v>13204</v>
      </c>
      <c r="G14" s="96">
        <v>9675</v>
      </c>
      <c r="H14" s="96">
        <v>7742</v>
      </c>
      <c r="I14" s="96">
        <v>5763</v>
      </c>
      <c r="J14" s="96">
        <v>4063</v>
      </c>
      <c r="K14" s="96">
        <v>3501</v>
      </c>
      <c r="L14" s="96">
        <v>2477</v>
      </c>
      <c r="M14" s="97">
        <f t="shared" si="1"/>
        <v>378502</v>
      </c>
      <c r="AC14" s="53"/>
    </row>
    <row r="15" spans="1:29" ht="19.5" customHeight="1">
      <c r="A15" s="625" t="s">
        <v>119</v>
      </c>
      <c r="B15" s="92" t="s">
        <v>116</v>
      </c>
      <c r="C15" s="93">
        <v>2025966</v>
      </c>
      <c r="D15" s="93">
        <v>236128.5</v>
      </c>
      <c r="E15" s="93">
        <v>195515</v>
      </c>
      <c r="F15" s="93">
        <v>133325</v>
      </c>
      <c r="G15" s="93">
        <v>87790</v>
      </c>
      <c r="H15" s="93">
        <v>64705</v>
      </c>
      <c r="I15" s="93">
        <v>40892</v>
      </c>
      <c r="J15" s="93">
        <v>41568</v>
      </c>
      <c r="K15" s="93">
        <v>27889</v>
      </c>
      <c r="L15" s="93">
        <v>15462</v>
      </c>
      <c r="M15" s="98">
        <f t="shared" si="1"/>
        <v>2869240.5</v>
      </c>
      <c r="AC15" s="53"/>
    </row>
    <row r="16" spans="1:29" ht="19.5" customHeight="1">
      <c r="A16" s="637"/>
      <c r="B16" s="95" t="s">
        <v>117</v>
      </c>
      <c r="C16" s="96">
        <v>276199</v>
      </c>
      <c r="D16" s="96">
        <v>32040</v>
      </c>
      <c r="E16" s="96">
        <v>31385</v>
      </c>
      <c r="F16" s="96">
        <v>14309</v>
      </c>
      <c r="G16" s="96">
        <v>9964</v>
      </c>
      <c r="H16" s="96">
        <v>7682</v>
      </c>
      <c r="I16" s="96">
        <v>6783</v>
      </c>
      <c r="J16" s="96">
        <v>4182</v>
      </c>
      <c r="K16" s="96">
        <v>3344</v>
      </c>
      <c r="L16" s="96">
        <v>2782</v>
      </c>
      <c r="M16" s="99">
        <f t="shared" si="1"/>
        <v>388670</v>
      </c>
      <c r="AC16" s="53"/>
    </row>
    <row r="17" spans="1:29" ht="19.5" customHeight="1">
      <c r="A17" s="639" t="s">
        <v>120</v>
      </c>
      <c r="B17" s="124" t="s">
        <v>116</v>
      </c>
      <c r="C17" s="125">
        <f aca="true" t="shared" si="2" ref="C17:L18">C11+C13+C15</f>
        <v>5095491.5</v>
      </c>
      <c r="D17" s="125">
        <f t="shared" si="2"/>
        <v>614896</v>
      </c>
      <c r="E17" s="125">
        <f t="shared" si="2"/>
        <v>478503.5</v>
      </c>
      <c r="F17" s="125">
        <f t="shared" si="2"/>
        <v>335404.5</v>
      </c>
      <c r="G17" s="125">
        <f t="shared" si="2"/>
        <v>228346</v>
      </c>
      <c r="H17" s="125">
        <f t="shared" si="2"/>
        <v>166524</v>
      </c>
      <c r="I17" s="125">
        <f t="shared" si="2"/>
        <v>89350.5</v>
      </c>
      <c r="J17" s="125">
        <f t="shared" si="2"/>
        <v>103932</v>
      </c>
      <c r="K17" s="125">
        <f t="shared" si="2"/>
        <v>77456</v>
      </c>
      <c r="L17" s="125">
        <f t="shared" si="2"/>
        <v>34147</v>
      </c>
      <c r="M17" s="102">
        <f t="shared" si="1"/>
        <v>7224051</v>
      </c>
      <c r="AC17" s="53"/>
    </row>
    <row r="18" spans="1:29" ht="19.5" customHeight="1">
      <c r="A18" s="640"/>
      <c r="B18" s="126" t="s">
        <v>117</v>
      </c>
      <c r="C18" s="127">
        <f t="shared" si="2"/>
        <v>727781</v>
      </c>
      <c r="D18" s="127">
        <f t="shared" si="2"/>
        <v>85008</v>
      </c>
      <c r="E18" s="127">
        <f t="shared" si="2"/>
        <v>79136</v>
      </c>
      <c r="F18" s="127">
        <f t="shared" si="2"/>
        <v>36001</v>
      </c>
      <c r="G18" s="127">
        <f t="shared" si="2"/>
        <v>25777</v>
      </c>
      <c r="H18" s="127">
        <f t="shared" si="2"/>
        <v>19895</v>
      </c>
      <c r="I18" s="127">
        <f t="shared" si="2"/>
        <v>15293</v>
      </c>
      <c r="J18" s="127">
        <f t="shared" si="2"/>
        <v>10604</v>
      </c>
      <c r="K18" s="127">
        <f t="shared" si="2"/>
        <v>9283</v>
      </c>
      <c r="L18" s="127">
        <f t="shared" si="2"/>
        <v>6317</v>
      </c>
      <c r="M18" s="105">
        <f t="shared" si="1"/>
        <v>1015095</v>
      </c>
      <c r="AC18" s="53"/>
    </row>
    <row r="19" spans="1:13" s="108" customFormat="1" ht="19.5" customHeight="1">
      <c r="A19" s="641" t="s">
        <v>133</v>
      </c>
      <c r="B19" s="642"/>
      <c r="C19" s="106">
        <f aca="true" t="shared" si="3" ref="C19:L19">IF(C18&lt;&gt;0,C18/$M$18*100,"")</f>
        <v>71.6958511272344</v>
      </c>
      <c r="D19" s="106">
        <f t="shared" si="3"/>
        <v>8.374388604022284</v>
      </c>
      <c r="E19" s="106">
        <f t="shared" si="3"/>
        <v>7.795920578862077</v>
      </c>
      <c r="F19" s="106">
        <f t="shared" si="3"/>
        <v>3.5465646072535084</v>
      </c>
      <c r="G19" s="106">
        <f t="shared" si="3"/>
        <v>2.539368236470478</v>
      </c>
      <c r="H19" s="106">
        <f t="shared" si="3"/>
        <v>1.959915081839631</v>
      </c>
      <c r="I19" s="106">
        <f t="shared" si="3"/>
        <v>1.5065584994507903</v>
      </c>
      <c r="J19" s="106">
        <f t="shared" si="3"/>
        <v>1.044631290667376</v>
      </c>
      <c r="K19" s="106">
        <f t="shared" si="3"/>
        <v>0.9144956875957422</v>
      </c>
      <c r="L19" s="106">
        <f t="shared" si="3"/>
        <v>0.6223062866037169</v>
      </c>
      <c r="M19" s="107"/>
    </row>
    <row r="20" spans="1:29" ht="19.5" customHeight="1">
      <c r="A20" s="643" t="s">
        <v>121</v>
      </c>
      <c r="B20" s="644"/>
      <c r="C20" s="109">
        <v>1099219</v>
      </c>
      <c r="D20" s="109"/>
      <c r="E20" s="109">
        <v>97454</v>
      </c>
      <c r="F20" s="109"/>
      <c r="G20" s="109">
        <v>28966</v>
      </c>
      <c r="H20" s="109">
        <v>34074</v>
      </c>
      <c r="I20" s="109">
        <v>50106</v>
      </c>
      <c r="J20" s="109">
        <v>16638</v>
      </c>
      <c r="K20" s="109"/>
      <c r="L20" s="109">
        <v>16674</v>
      </c>
      <c r="M20" s="110">
        <f>SUM($C20:$L20)</f>
        <v>1343131</v>
      </c>
      <c r="AC20" s="53"/>
    </row>
    <row r="21" spans="1:29" ht="19.5" customHeight="1">
      <c r="A21" s="645" t="s">
        <v>122</v>
      </c>
      <c r="B21" s="646"/>
      <c r="C21" s="111">
        <f aca="true" t="shared" si="4" ref="C21:L21">IF(C20&lt;&gt;0,(+C18-C20)/C20*100," ")</f>
        <v>-33.79108257772109</v>
      </c>
      <c r="D21" s="111" t="str">
        <f t="shared" si="4"/>
        <v> </v>
      </c>
      <c r="E21" s="111">
        <f t="shared" si="4"/>
        <v>-18.796560428509864</v>
      </c>
      <c r="F21" s="111" t="str">
        <f t="shared" si="4"/>
        <v> </v>
      </c>
      <c r="G21" s="111">
        <f t="shared" si="4"/>
        <v>-11.00945936615342</v>
      </c>
      <c r="H21" s="111">
        <f t="shared" si="4"/>
        <v>-41.61237307037624</v>
      </c>
      <c r="I21" s="111">
        <f t="shared" si="4"/>
        <v>-69.4787051450924</v>
      </c>
      <c r="J21" s="111">
        <f t="shared" si="4"/>
        <v>-36.26637817045318</v>
      </c>
      <c r="K21" s="111" t="str">
        <f t="shared" si="4"/>
        <v> </v>
      </c>
      <c r="L21" s="111">
        <f t="shared" si="4"/>
        <v>-62.11466954540003</v>
      </c>
      <c r="M21" s="112">
        <f>(+M18-M20)/M20*100</f>
        <v>-24.423231985562094</v>
      </c>
      <c r="AC21" s="53"/>
    </row>
    <row r="22" spans="1:29" ht="19.5" customHeight="1">
      <c r="A22" s="643" t="s">
        <v>123</v>
      </c>
      <c r="B22" s="644"/>
      <c r="C22" s="113">
        <f aca="true" t="shared" si="5" ref="C22:L22">IF(C18&lt;&gt;0,+C18/C10," ")</f>
        <v>1578.7006507592191</v>
      </c>
      <c r="D22" s="113">
        <f t="shared" si="5"/>
        <v>1062.6</v>
      </c>
      <c r="E22" s="113">
        <f t="shared" si="5"/>
        <v>648.655737704918</v>
      </c>
      <c r="F22" s="113">
        <f t="shared" si="5"/>
        <v>580.6612903225806</v>
      </c>
      <c r="G22" s="113">
        <f t="shared" si="5"/>
        <v>505.4313725490196</v>
      </c>
      <c r="H22" s="113">
        <f t="shared" si="5"/>
        <v>284.2142857142857</v>
      </c>
      <c r="I22" s="113">
        <f t="shared" si="5"/>
        <v>92.12650602409639</v>
      </c>
      <c r="J22" s="113">
        <f t="shared" si="5"/>
        <v>392.74074074074076</v>
      </c>
      <c r="K22" s="113">
        <f t="shared" si="5"/>
        <v>201.80434782608697</v>
      </c>
      <c r="L22" s="113">
        <f t="shared" si="5"/>
        <v>191.42424242424244</v>
      </c>
      <c r="M22" s="114">
        <f>M18/(SUM(C10:L10))</f>
        <v>907.9561717352415</v>
      </c>
      <c r="AC22" s="53"/>
    </row>
    <row r="23" spans="1:29" ht="19.5" customHeight="1">
      <c r="A23" s="648" t="s">
        <v>124</v>
      </c>
      <c r="B23" s="649"/>
      <c r="C23" s="115">
        <f aca="true" t="shared" si="6" ref="C23:L23">IF(C17&lt;&gt;0,+C17/C18," ")</f>
        <v>7.001407703691083</v>
      </c>
      <c r="D23" s="115">
        <f t="shared" si="6"/>
        <v>7.23338979860719</v>
      </c>
      <c r="E23" s="115">
        <f t="shared" si="6"/>
        <v>6.046596997573797</v>
      </c>
      <c r="F23" s="115">
        <f t="shared" si="6"/>
        <v>9.31653287408683</v>
      </c>
      <c r="G23" s="115">
        <f t="shared" si="6"/>
        <v>8.858517282849052</v>
      </c>
      <c r="H23" s="115">
        <f t="shared" si="6"/>
        <v>8.370143252073385</v>
      </c>
      <c r="I23" s="115">
        <f t="shared" si="6"/>
        <v>5.842575034329432</v>
      </c>
      <c r="J23" s="115">
        <f t="shared" si="6"/>
        <v>9.801207091663523</v>
      </c>
      <c r="K23" s="115">
        <f t="shared" si="6"/>
        <v>8.343854357427556</v>
      </c>
      <c r="L23" s="115">
        <f t="shared" si="6"/>
        <v>5.405572265315814</v>
      </c>
      <c r="M23" s="116">
        <f>M17/M18</f>
        <v>7.1166255375112675</v>
      </c>
      <c r="AC23" s="53"/>
    </row>
    <row r="24" spans="1:29" ht="19.5" customHeight="1">
      <c r="A24" s="643" t="s">
        <v>125</v>
      </c>
      <c r="B24" s="644"/>
      <c r="C24" s="128">
        <v>18017883.5</v>
      </c>
      <c r="D24" s="128">
        <v>614896</v>
      </c>
      <c r="E24" s="128">
        <v>21806319</v>
      </c>
      <c r="F24" s="128">
        <v>335404.5</v>
      </c>
      <c r="G24" s="128">
        <v>691556</v>
      </c>
      <c r="H24" s="128">
        <v>1607661</v>
      </c>
      <c r="I24" s="128">
        <v>12788586.62</v>
      </c>
      <c r="J24" s="128">
        <v>348369</v>
      </c>
      <c r="K24" s="128">
        <v>77456</v>
      </c>
      <c r="L24" s="128">
        <v>3202526</v>
      </c>
      <c r="M24" s="118">
        <f>SUM($C24:$L24)</f>
        <v>59490657.62</v>
      </c>
      <c r="AC24" s="53"/>
    </row>
    <row r="25" spans="1:29" ht="19.5" customHeight="1">
      <c r="A25" s="650" t="s">
        <v>126</v>
      </c>
      <c r="B25" s="651"/>
      <c r="C25" s="129">
        <v>2655929</v>
      </c>
      <c r="D25" s="129">
        <v>85008</v>
      </c>
      <c r="E25" s="129">
        <v>3072032</v>
      </c>
      <c r="F25" s="129">
        <v>36001</v>
      </c>
      <c r="G25" s="129">
        <v>79998</v>
      </c>
      <c r="H25" s="129">
        <v>190568</v>
      </c>
      <c r="I25" s="129">
        <v>2025733</v>
      </c>
      <c r="J25" s="129">
        <v>37575</v>
      </c>
      <c r="K25" s="129">
        <v>9283</v>
      </c>
      <c r="L25" s="129">
        <v>449807</v>
      </c>
      <c r="M25" s="120">
        <f>SUM($C25:$L25)</f>
        <v>8641934</v>
      </c>
      <c r="AC25" s="53"/>
    </row>
    <row r="26" spans="1:29" ht="19.5" customHeight="1" thickBot="1">
      <c r="A26" s="652" t="s">
        <v>124</v>
      </c>
      <c r="B26" s="653"/>
      <c r="C26" s="121">
        <f aca="true" t="shared" si="7" ref="C26:L26">IF(C24&lt;&gt;0,+C24/C25," ")</f>
        <v>6.784023029230074</v>
      </c>
      <c r="D26" s="121">
        <f t="shared" si="7"/>
        <v>7.23338979860719</v>
      </c>
      <c r="E26" s="121">
        <f t="shared" si="7"/>
        <v>7.098337191800085</v>
      </c>
      <c r="F26" s="121">
        <f t="shared" si="7"/>
        <v>9.31653287408683</v>
      </c>
      <c r="G26" s="121">
        <f t="shared" si="7"/>
        <v>8.644666116652916</v>
      </c>
      <c r="H26" s="121">
        <f t="shared" si="7"/>
        <v>8.436154023760547</v>
      </c>
      <c r="I26" s="121">
        <f t="shared" si="7"/>
        <v>6.313066243182097</v>
      </c>
      <c r="J26" s="121">
        <f t="shared" si="7"/>
        <v>9.271297405189621</v>
      </c>
      <c r="K26" s="121">
        <f t="shared" si="7"/>
        <v>8.343854357427556</v>
      </c>
      <c r="L26" s="121">
        <f t="shared" si="7"/>
        <v>7.1197780381363565</v>
      </c>
      <c r="M26" s="122">
        <f>M24/M25</f>
        <v>6.8839518584613115</v>
      </c>
      <c r="AC26" s="53"/>
    </row>
    <row r="27" spans="21:30" ht="9.75" customHeight="1">
      <c r="U27" s="130"/>
      <c r="V27" s="130"/>
      <c r="W27" s="131"/>
      <c r="X27" s="131"/>
      <c r="Y27" s="131"/>
      <c r="Z27" s="131"/>
      <c r="AC27" s="84"/>
      <c r="AD27" s="84"/>
    </row>
    <row r="28" spans="1:32" s="134" customFormat="1" ht="12" customHeight="1">
      <c r="A28" s="647" t="s">
        <v>152</v>
      </c>
      <c r="B28" s="647"/>
      <c r="C28" s="647"/>
      <c r="D28" s="647"/>
      <c r="E28" s="647"/>
      <c r="F28" s="647"/>
      <c r="G28" s="647"/>
      <c r="H28" s="647"/>
      <c r="I28" s="647"/>
      <c r="J28" s="647"/>
      <c r="K28" s="647"/>
      <c r="L28" s="647"/>
      <c r="M28" s="647"/>
      <c r="N28" s="133"/>
      <c r="O28" s="133"/>
      <c r="P28" s="132"/>
      <c r="Q28" s="132"/>
      <c r="R28" s="132"/>
      <c r="AC28" s="135"/>
      <c r="AD28" s="135"/>
      <c r="AE28" s="135"/>
      <c r="AF28" s="135"/>
    </row>
    <row r="29" spans="29:32" ht="11.25">
      <c r="AC29" s="84"/>
      <c r="AD29" s="84"/>
      <c r="AE29" s="84"/>
      <c r="AF29" s="84"/>
    </row>
    <row r="30" spans="29:32" ht="11.25">
      <c r="AC30" s="84"/>
      <c r="AD30" s="84"/>
      <c r="AE30" s="84"/>
      <c r="AF30" s="84"/>
    </row>
    <row r="31" spans="29:32" ht="11.25">
      <c r="AC31" s="84"/>
      <c r="AD31" s="84"/>
      <c r="AE31" s="84"/>
      <c r="AF31" s="84"/>
    </row>
    <row r="32" spans="29:32" ht="11.25">
      <c r="AC32" s="84"/>
      <c r="AD32" s="84"/>
      <c r="AE32" s="84"/>
      <c r="AF32" s="84"/>
    </row>
    <row r="33" spans="29:32" ht="11.25">
      <c r="AC33" s="84"/>
      <c r="AD33" s="84"/>
      <c r="AE33" s="84"/>
      <c r="AF33" s="84"/>
    </row>
    <row r="34" spans="29:32" ht="11.25">
      <c r="AC34" s="84"/>
      <c r="AD34" s="84"/>
      <c r="AE34" s="84"/>
      <c r="AF34" s="84"/>
    </row>
    <row r="35" spans="29:32" ht="11.25">
      <c r="AC35" s="84"/>
      <c r="AD35" s="84"/>
      <c r="AE35" s="84"/>
      <c r="AF35" s="84"/>
    </row>
    <row r="36" spans="29:32" ht="11.25">
      <c r="AC36" s="84"/>
      <c r="AD36" s="84"/>
      <c r="AE36" s="84"/>
      <c r="AF36" s="84"/>
    </row>
    <row r="37" spans="29:32" ht="11.25">
      <c r="AC37" s="84"/>
      <c r="AD37" s="84"/>
      <c r="AE37" s="84"/>
      <c r="AF37" s="84"/>
    </row>
    <row r="38" spans="29:32" ht="11.25">
      <c r="AC38" s="84"/>
      <c r="AD38" s="84"/>
      <c r="AE38" s="84"/>
      <c r="AF38" s="84"/>
    </row>
    <row r="39" spans="29:32" ht="11.25">
      <c r="AC39" s="84"/>
      <c r="AD39" s="84"/>
      <c r="AE39" s="84"/>
      <c r="AF39" s="84"/>
    </row>
    <row r="40" spans="29:32" ht="11.25">
      <c r="AC40" s="84"/>
      <c r="AD40" s="84"/>
      <c r="AE40" s="84"/>
      <c r="AF40" s="84"/>
    </row>
    <row r="41" spans="29:32" ht="11.25">
      <c r="AC41" s="84"/>
      <c r="AD41" s="84"/>
      <c r="AE41" s="84"/>
      <c r="AF41" s="84"/>
    </row>
    <row r="42" spans="29:32" ht="11.25">
      <c r="AC42" s="84"/>
      <c r="AD42" s="84"/>
      <c r="AE42" s="84"/>
      <c r="AF42" s="84"/>
    </row>
    <row r="43" spans="29:32" ht="11.25">
      <c r="AC43" s="84"/>
      <c r="AD43" s="84"/>
      <c r="AE43" s="84"/>
      <c r="AF43" s="84"/>
    </row>
    <row r="44" spans="29:32" ht="11.25">
      <c r="AC44" s="84"/>
      <c r="AD44" s="84"/>
      <c r="AE44" s="84"/>
      <c r="AF44" s="84"/>
    </row>
    <row r="45" spans="29:32" ht="11.25">
      <c r="AC45" s="84"/>
      <c r="AD45" s="84"/>
      <c r="AE45" s="84"/>
      <c r="AF45" s="84"/>
    </row>
    <row r="46" spans="29:32" ht="11.25">
      <c r="AC46" s="84"/>
      <c r="AD46" s="84"/>
      <c r="AE46" s="84"/>
      <c r="AF46" s="84"/>
    </row>
    <row r="47" spans="29:32" ht="11.25">
      <c r="AC47" s="84"/>
      <c r="AD47" s="84"/>
      <c r="AE47" s="84"/>
      <c r="AF47" s="84"/>
    </row>
    <row r="48" spans="29:32" ht="11.25">
      <c r="AC48" s="84"/>
      <c r="AD48" s="84"/>
      <c r="AE48" s="84"/>
      <c r="AF48" s="84"/>
    </row>
    <row r="49" spans="29:32" ht="11.25">
      <c r="AC49" s="84"/>
      <c r="AD49" s="84"/>
      <c r="AE49" s="84"/>
      <c r="AF49" s="84"/>
    </row>
    <row r="50" spans="29:32" ht="11.25">
      <c r="AC50" s="84"/>
      <c r="AD50" s="84"/>
      <c r="AE50" s="84"/>
      <c r="AF50" s="84"/>
    </row>
    <row r="51" spans="29:32" ht="11.25">
      <c r="AC51" s="84"/>
      <c r="AD51" s="84"/>
      <c r="AE51" s="84"/>
      <c r="AF51" s="84"/>
    </row>
    <row r="52" spans="29:32" ht="11.25">
      <c r="AC52" s="84"/>
      <c r="AD52" s="84"/>
      <c r="AE52" s="84"/>
      <c r="AF52" s="84"/>
    </row>
    <row r="53" spans="29:32" ht="11.25">
      <c r="AC53" s="84"/>
      <c r="AD53" s="84"/>
      <c r="AE53" s="84"/>
      <c r="AF53" s="84"/>
    </row>
    <row r="54" spans="29:32" ht="11.25">
      <c r="AC54" s="84"/>
      <c r="AD54" s="84"/>
      <c r="AE54" s="84"/>
      <c r="AF54" s="84"/>
    </row>
    <row r="55" spans="29:32" ht="11.25">
      <c r="AC55" s="84"/>
      <c r="AD55" s="84"/>
      <c r="AE55" s="84"/>
      <c r="AF55" s="84"/>
    </row>
    <row r="56" spans="29:32" ht="11.25">
      <c r="AC56" s="84"/>
      <c r="AD56" s="84"/>
      <c r="AE56" s="84"/>
      <c r="AF56" s="84"/>
    </row>
    <row r="57" spans="29:32" ht="11.25">
      <c r="AC57" s="84"/>
      <c r="AD57" s="84"/>
      <c r="AE57" s="84"/>
      <c r="AF57" s="84"/>
    </row>
    <row r="58" spans="29:32" ht="11.25">
      <c r="AC58" s="84"/>
      <c r="AD58" s="84"/>
      <c r="AE58" s="84"/>
      <c r="AF58" s="84"/>
    </row>
    <row r="59" spans="29:32" ht="11.25">
      <c r="AC59" s="84"/>
      <c r="AD59" s="84"/>
      <c r="AE59" s="84"/>
      <c r="AF59" s="84"/>
    </row>
    <row r="60" spans="29:32" ht="11.25">
      <c r="AC60" s="84"/>
      <c r="AD60" s="84"/>
      <c r="AE60" s="84"/>
      <c r="AF60" s="84"/>
    </row>
    <row r="61" spans="29:32" ht="11.25">
      <c r="AC61" s="84"/>
      <c r="AD61" s="84"/>
      <c r="AE61" s="84"/>
      <c r="AF61" s="84"/>
    </row>
    <row r="62" spans="29:32" ht="11.25">
      <c r="AC62" s="84"/>
      <c r="AD62" s="84"/>
      <c r="AE62" s="84"/>
      <c r="AF62" s="84"/>
    </row>
    <row r="63" spans="29:32" ht="11.25">
      <c r="AC63" s="84"/>
      <c r="AD63" s="84"/>
      <c r="AE63" s="84"/>
      <c r="AF63" s="84"/>
    </row>
    <row r="64" spans="29:32" ht="11.25">
      <c r="AC64" s="84"/>
      <c r="AD64" s="84"/>
      <c r="AE64" s="84"/>
      <c r="AF64" s="84"/>
    </row>
    <row r="65" spans="29:32" ht="11.25">
      <c r="AC65" s="84"/>
      <c r="AD65" s="84"/>
      <c r="AE65" s="84"/>
      <c r="AF65" s="84"/>
    </row>
    <row r="66" spans="29:32" ht="11.25">
      <c r="AC66" s="84"/>
      <c r="AD66" s="84"/>
      <c r="AE66" s="84"/>
      <c r="AF66" s="84"/>
    </row>
    <row r="67" spans="29:32" ht="11.25">
      <c r="AC67" s="84"/>
      <c r="AD67" s="84"/>
      <c r="AE67" s="84"/>
      <c r="AF67" s="84"/>
    </row>
    <row r="68" spans="29:32" ht="11.25">
      <c r="AC68" s="84"/>
      <c r="AD68" s="84"/>
      <c r="AE68" s="84"/>
      <c r="AF68" s="84"/>
    </row>
    <row r="69" spans="29:32" ht="11.25">
      <c r="AC69" s="84"/>
      <c r="AD69" s="84"/>
      <c r="AE69" s="84"/>
      <c r="AF69" s="84"/>
    </row>
    <row r="70" spans="29:32" ht="11.25">
      <c r="AC70" s="84"/>
      <c r="AD70" s="84"/>
      <c r="AE70" s="84"/>
      <c r="AF70" s="84"/>
    </row>
    <row r="71" spans="29:32" ht="11.25">
      <c r="AC71" s="84"/>
      <c r="AD71" s="84"/>
      <c r="AE71" s="84"/>
      <c r="AF71" s="84"/>
    </row>
    <row r="72" spans="29:32" ht="11.25">
      <c r="AC72" s="84"/>
      <c r="AD72" s="84"/>
      <c r="AE72" s="84"/>
      <c r="AF72" s="84"/>
    </row>
    <row r="73" spans="29:32" ht="11.25">
      <c r="AC73" s="84"/>
      <c r="AD73" s="84"/>
      <c r="AE73" s="84"/>
      <c r="AF73" s="84"/>
    </row>
    <row r="74" spans="29:32" ht="11.25">
      <c r="AC74" s="84"/>
      <c r="AD74" s="84"/>
      <c r="AE74" s="84"/>
      <c r="AF74" s="84"/>
    </row>
    <row r="75" spans="29:32" ht="11.25">
      <c r="AC75" s="84"/>
      <c r="AD75" s="84"/>
      <c r="AE75" s="84"/>
      <c r="AF75" s="84"/>
    </row>
    <row r="76" spans="29:32" ht="11.25">
      <c r="AC76" s="84"/>
      <c r="AD76" s="84"/>
      <c r="AE76" s="84"/>
      <c r="AF76" s="84"/>
    </row>
    <row r="77" spans="29:32" ht="11.25">
      <c r="AC77" s="84"/>
      <c r="AD77" s="84"/>
      <c r="AE77" s="84"/>
      <c r="AF77" s="84"/>
    </row>
    <row r="78" spans="29:32" ht="11.25">
      <c r="AC78" s="84"/>
      <c r="AD78" s="84"/>
      <c r="AE78" s="84"/>
      <c r="AF78" s="84"/>
    </row>
    <row r="79" spans="29:32" ht="11.25">
      <c r="AC79" s="84"/>
      <c r="AD79" s="84"/>
      <c r="AE79" s="84"/>
      <c r="AF79" s="84"/>
    </row>
    <row r="80" spans="29:32" ht="11.25">
      <c r="AC80" s="84"/>
      <c r="AD80" s="84"/>
      <c r="AE80" s="84"/>
      <c r="AF80" s="84"/>
    </row>
    <row r="81" spans="29:32" ht="11.25">
      <c r="AC81" s="84"/>
      <c r="AD81" s="84"/>
      <c r="AE81" s="84"/>
      <c r="AF81" s="84"/>
    </row>
    <row r="82" spans="29:32" ht="11.25">
      <c r="AC82" s="84"/>
      <c r="AD82" s="84"/>
      <c r="AE82" s="84"/>
      <c r="AF82" s="84"/>
    </row>
    <row r="83" spans="29:32" ht="11.25">
      <c r="AC83" s="84"/>
      <c r="AD83" s="84"/>
      <c r="AE83" s="84"/>
      <c r="AF83" s="84"/>
    </row>
    <row r="84" spans="29:32" ht="11.25">
      <c r="AC84" s="84"/>
      <c r="AD84" s="84"/>
      <c r="AE84" s="84"/>
      <c r="AF84" s="84"/>
    </row>
    <row r="85" spans="29:32" ht="11.25">
      <c r="AC85" s="84"/>
      <c r="AD85" s="84"/>
      <c r="AE85" s="84"/>
      <c r="AF85" s="84"/>
    </row>
    <row r="86" spans="29:32" ht="11.25">
      <c r="AC86" s="84"/>
      <c r="AD86" s="84"/>
      <c r="AE86" s="84"/>
      <c r="AF86" s="84"/>
    </row>
    <row r="87" spans="29:32" ht="11.25">
      <c r="AC87" s="84"/>
      <c r="AD87" s="84"/>
      <c r="AE87" s="84"/>
      <c r="AF87" s="84"/>
    </row>
    <row r="88" spans="29:32" ht="11.25">
      <c r="AC88" s="84"/>
      <c r="AD88" s="84"/>
      <c r="AE88" s="84"/>
      <c r="AF88" s="84"/>
    </row>
    <row r="89" spans="29:32" ht="11.25">
      <c r="AC89" s="84"/>
      <c r="AD89" s="84"/>
      <c r="AE89" s="84"/>
      <c r="AF89" s="84"/>
    </row>
    <row r="90" spans="29:32" ht="11.25">
      <c r="AC90" s="84"/>
      <c r="AD90" s="84"/>
      <c r="AE90" s="84"/>
      <c r="AF90" s="84"/>
    </row>
    <row r="91" spans="29:32" ht="11.25">
      <c r="AC91" s="84"/>
      <c r="AD91" s="84"/>
      <c r="AE91" s="84"/>
      <c r="AF91" s="84"/>
    </row>
    <row r="92" spans="29:32" ht="11.25">
      <c r="AC92" s="84"/>
      <c r="AD92" s="84"/>
      <c r="AE92" s="84"/>
      <c r="AF92" s="84"/>
    </row>
    <row r="93" spans="29:32" ht="11.25">
      <c r="AC93" s="84"/>
      <c r="AD93" s="84"/>
      <c r="AE93" s="84"/>
      <c r="AF93" s="84"/>
    </row>
    <row r="94" spans="29:32" ht="11.25">
      <c r="AC94" s="84"/>
      <c r="AD94" s="84"/>
      <c r="AE94" s="84"/>
      <c r="AF94" s="84"/>
    </row>
    <row r="95" spans="29:32" ht="11.25">
      <c r="AC95" s="84"/>
      <c r="AD95" s="84"/>
      <c r="AE95" s="84"/>
      <c r="AF95" s="84"/>
    </row>
    <row r="96" spans="29:32" ht="11.25">
      <c r="AC96" s="84"/>
      <c r="AD96" s="84"/>
      <c r="AE96" s="84"/>
      <c r="AF96" s="84"/>
    </row>
    <row r="97" spans="29:32" ht="11.25">
      <c r="AC97" s="84"/>
      <c r="AD97" s="84"/>
      <c r="AE97" s="84"/>
      <c r="AF97" s="84"/>
    </row>
    <row r="98" spans="29:32" ht="11.25">
      <c r="AC98" s="84"/>
      <c r="AD98" s="84"/>
      <c r="AE98" s="84"/>
      <c r="AF98" s="84"/>
    </row>
    <row r="99" spans="29:32" ht="11.25">
      <c r="AC99" s="84"/>
      <c r="AD99" s="84"/>
      <c r="AE99" s="84"/>
      <c r="AF99" s="84"/>
    </row>
    <row r="100" spans="29:32" ht="11.25">
      <c r="AC100" s="84"/>
      <c r="AD100" s="84"/>
      <c r="AE100" s="84"/>
      <c r="AF100" s="84"/>
    </row>
    <row r="101" spans="29:32" ht="11.25">
      <c r="AC101" s="84"/>
      <c r="AD101" s="84"/>
      <c r="AE101" s="84"/>
      <c r="AF101" s="84"/>
    </row>
    <row r="102" spans="29:32" ht="11.25">
      <c r="AC102" s="84"/>
      <c r="AD102" s="84"/>
      <c r="AE102" s="84"/>
      <c r="AF102" s="84"/>
    </row>
    <row r="103" spans="29:32" ht="11.25">
      <c r="AC103" s="84"/>
      <c r="AD103" s="84"/>
      <c r="AE103" s="84"/>
      <c r="AF103" s="84"/>
    </row>
    <row r="104" spans="29:32" ht="11.25">
      <c r="AC104" s="84"/>
      <c r="AD104" s="84"/>
      <c r="AE104" s="84"/>
      <c r="AF104" s="84"/>
    </row>
    <row r="105" spans="29:32" ht="11.25">
      <c r="AC105" s="84"/>
      <c r="AD105" s="84"/>
      <c r="AE105" s="84"/>
      <c r="AF105" s="84"/>
    </row>
    <row r="106" spans="29:32" ht="11.25">
      <c r="AC106" s="84"/>
      <c r="AD106" s="84"/>
      <c r="AE106" s="84"/>
      <c r="AF106" s="84"/>
    </row>
    <row r="107" spans="29:32" ht="11.25">
      <c r="AC107" s="84"/>
      <c r="AD107" s="84"/>
      <c r="AE107" s="84"/>
      <c r="AF107" s="84"/>
    </row>
    <row r="108" spans="29:32" ht="11.25">
      <c r="AC108" s="84"/>
      <c r="AD108" s="84"/>
      <c r="AE108" s="84"/>
      <c r="AF108" s="84"/>
    </row>
    <row r="109" spans="29:32" ht="11.25">
      <c r="AC109" s="84"/>
      <c r="AD109" s="84"/>
      <c r="AE109" s="84"/>
      <c r="AF109" s="84"/>
    </row>
    <row r="110" spans="29:32" ht="11.25">
      <c r="AC110" s="84"/>
      <c r="AD110" s="84"/>
      <c r="AE110" s="84"/>
      <c r="AF110" s="84"/>
    </row>
    <row r="111" spans="29:32" ht="11.25">
      <c r="AC111" s="84"/>
      <c r="AD111" s="84"/>
      <c r="AE111" s="84"/>
      <c r="AF111" s="84"/>
    </row>
    <row r="112" spans="29:32" ht="11.25">
      <c r="AC112" s="84"/>
      <c r="AD112" s="84"/>
      <c r="AE112" s="84"/>
      <c r="AF112" s="84"/>
    </row>
    <row r="113" spans="29:32" ht="11.25">
      <c r="AC113" s="84"/>
      <c r="AD113" s="84"/>
      <c r="AE113" s="84"/>
      <c r="AF113" s="84"/>
    </row>
    <row r="114" spans="29:32" ht="11.25">
      <c r="AC114" s="84"/>
      <c r="AD114" s="84"/>
      <c r="AE114" s="84"/>
      <c r="AF114" s="84"/>
    </row>
    <row r="115" spans="29:32" ht="11.25">
      <c r="AC115" s="84"/>
      <c r="AD115" s="84"/>
      <c r="AE115" s="84"/>
      <c r="AF115" s="84"/>
    </row>
    <row r="116" spans="29:32" ht="11.25">
      <c r="AC116" s="84"/>
      <c r="AD116" s="84"/>
      <c r="AE116" s="84"/>
      <c r="AF116" s="84"/>
    </row>
    <row r="117" spans="29:32" ht="11.25">
      <c r="AC117" s="84"/>
      <c r="AD117" s="84"/>
      <c r="AE117" s="84"/>
      <c r="AF117" s="84"/>
    </row>
    <row r="118" spans="29:32" ht="11.25">
      <c r="AC118" s="84"/>
      <c r="AD118" s="84"/>
      <c r="AE118" s="84"/>
      <c r="AF118" s="84"/>
    </row>
    <row r="119" spans="29:32" ht="11.25">
      <c r="AC119" s="84"/>
      <c r="AD119" s="84"/>
      <c r="AE119" s="84"/>
      <c r="AF119" s="84"/>
    </row>
    <row r="120" spans="29:32" ht="11.25">
      <c r="AC120" s="84"/>
      <c r="AD120" s="84"/>
      <c r="AE120" s="84"/>
      <c r="AF120" s="84"/>
    </row>
    <row r="121" spans="29:32" ht="11.25">
      <c r="AC121" s="84"/>
      <c r="AD121" s="84"/>
      <c r="AE121" s="84"/>
      <c r="AF121" s="84"/>
    </row>
    <row r="122" spans="29:32" ht="11.25">
      <c r="AC122" s="84"/>
      <c r="AD122" s="84"/>
      <c r="AE122" s="84"/>
      <c r="AF122" s="84"/>
    </row>
    <row r="123" spans="29:32" ht="11.25">
      <c r="AC123" s="84"/>
      <c r="AD123" s="84"/>
      <c r="AE123" s="84"/>
      <c r="AF123" s="84"/>
    </row>
    <row r="124" spans="29:32" ht="11.25">
      <c r="AC124" s="84"/>
      <c r="AD124" s="84"/>
      <c r="AE124" s="84"/>
      <c r="AF124" s="84"/>
    </row>
    <row r="125" spans="29:32" ht="11.25">
      <c r="AC125" s="84"/>
      <c r="AD125" s="84"/>
      <c r="AE125" s="84"/>
      <c r="AF125" s="84"/>
    </row>
    <row r="126" spans="29:32" ht="11.25">
      <c r="AC126" s="84"/>
      <c r="AD126" s="84"/>
      <c r="AE126" s="84"/>
      <c r="AF126" s="84"/>
    </row>
    <row r="127" spans="29:32" ht="11.25">
      <c r="AC127" s="84"/>
      <c r="AD127" s="84"/>
      <c r="AE127" s="84"/>
      <c r="AF127" s="84"/>
    </row>
    <row r="128" spans="29:32" ht="11.25">
      <c r="AC128" s="84"/>
      <c r="AD128" s="84"/>
      <c r="AE128" s="84"/>
      <c r="AF128" s="84"/>
    </row>
    <row r="129" spans="29:32" ht="11.25">
      <c r="AC129" s="84"/>
      <c r="AD129" s="84"/>
      <c r="AE129" s="84"/>
      <c r="AF129" s="84"/>
    </row>
    <row r="130" spans="29:32" ht="11.25">
      <c r="AC130" s="84"/>
      <c r="AD130" s="84"/>
      <c r="AE130" s="84"/>
      <c r="AF130" s="84"/>
    </row>
    <row r="131" spans="29:32" ht="11.25">
      <c r="AC131" s="84"/>
      <c r="AD131" s="84"/>
      <c r="AE131" s="84"/>
      <c r="AF131" s="84"/>
    </row>
    <row r="132" spans="29:32" ht="11.25">
      <c r="AC132" s="84"/>
      <c r="AD132" s="84"/>
      <c r="AE132" s="84"/>
      <c r="AF132" s="84"/>
    </row>
    <row r="133" spans="29:32" ht="11.25">
      <c r="AC133" s="84"/>
      <c r="AD133" s="84"/>
      <c r="AE133" s="84"/>
      <c r="AF133" s="84"/>
    </row>
    <row r="134" spans="29:32" ht="11.25">
      <c r="AC134" s="84"/>
      <c r="AD134" s="84"/>
      <c r="AE134" s="84"/>
      <c r="AF134" s="84"/>
    </row>
    <row r="135" spans="29:32" ht="11.25">
      <c r="AC135" s="84"/>
      <c r="AD135" s="84"/>
      <c r="AE135" s="84"/>
      <c r="AF135" s="84"/>
    </row>
    <row r="136" spans="29:32" ht="11.25">
      <c r="AC136" s="84"/>
      <c r="AD136" s="84"/>
      <c r="AE136" s="84"/>
      <c r="AF136" s="84"/>
    </row>
    <row r="137" spans="29:32" ht="11.25">
      <c r="AC137" s="84"/>
      <c r="AD137" s="84"/>
      <c r="AE137" s="84"/>
      <c r="AF137" s="84"/>
    </row>
    <row r="138" spans="29:32" ht="11.25">
      <c r="AC138" s="84"/>
      <c r="AD138" s="84"/>
      <c r="AE138" s="84"/>
      <c r="AF138" s="84"/>
    </row>
    <row r="139" spans="29:32" ht="11.25">
      <c r="AC139" s="84"/>
      <c r="AD139" s="84"/>
      <c r="AE139" s="84"/>
      <c r="AF139" s="84"/>
    </row>
    <row r="140" spans="29:32" ht="11.25">
      <c r="AC140" s="84"/>
      <c r="AD140" s="84"/>
      <c r="AE140" s="84"/>
      <c r="AF140" s="84"/>
    </row>
    <row r="141" spans="29:32" ht="11.25">
      <c r="AC141" s="84"/>
      <c r="AD141" s="84"/>
      <c r="AE141" s="84"/>
      <c r="AF141" s="84"/>
    </row>
    <row r="142" spans="29:32" ht="11.25">
      <c r="AC142" s="84"/>
      <c r="AD142" s="84"/>
      <c r="AE142" s="84"/>
      <c r="AF142" s="84"/>
    </row>
    <row r="143" spans="29:32" ht="11.25">
      <c r="AC143" s="84"/>
      <c r="AD143" s="84"/>
      <c r="AE143" s="84"/>
      <c r="AF143" s="84"/>
    </row>
    <row r="144" spans="29:32" ht="11.25">
      <c r="AC144" s="84"/>
      <c r="AD144" s="84"/>
      <c r="AE144" s="84"/>
      <c r="AF144" s="84"/>
    </row>
    <row r="145" spans="29:32" ht="11.25">
      <c r="AC145" s="84"/>
      <c r="AD145" s="84"/>
      <c r="AE145" s="84"/>
      <c r="AF145" s="84"/>
    </row>
    <row r="146" spans="29:32" ht="11.25">
      <c r="AC146" s="84"/>
      <c r="AD146" s="84"/>
      <c r="AE146" s="84"/>
      <c r="AF146" s="84"/>
    </row>
    <row r="147" spans="29:32" ht="11.25">
      <c r="AC147" s="84"/>
      <c r="AD147" s="84"/>
      <c r="AE147" s="84"/>
      <c r="AF147" s="84"/>
    </row>
    <row r="148" spans="29:32" ht="11.25">
      <c r="AC148" s="84"/>
      <c r="AD148" s="84"/>
      <c r="AE148" s="84"/>
      <c r="AF148" s="84"/>
    </row>
    <row r="149" spans="29:32" ht="11.25">
      <c r="AC149" s="84"/>
      <c r="AD149" s="84"/>
      <c r="AE149" s="84"/>
      <c r="AF149" s="84"/>
    </row>
    <row r="150" spans="29:32" ht="11.25">
      <c r="AC150" s="84"/>
      <c r="AD150" s="84"/>
      <c r="AE150" s="84"/>
      <c r="AF150" s="84"/>
    </row>
    <row r="151" spans="29:32" ht="11.25">
      <c r="AC151" s="84"/>
      <c r="AD151" s="84"/>
      <c r="AE151" s="84"/>
      <c r="AF151" s="84"/>
    </row>
    <row r="152" spans="29:32" ht="11.25">
      <c r="AC152" s="84"/>
      <c r="AD152" s="84"/>
      <c r="AE152" s="84"/>
      <c r="AF152" s="84"/>
    </row>
    <row r="153" spans="29:32" ht="11.25">
      <c r="AC153" s="84"/>
      <c r="AD153" s="84"/>
      <c r="AE153" s="84"/>
      <c r="AF153" s="84"/>
    </row>
    <row r="154" spans="29:32" ht="11.25">
      <c r="AC154" s="84"/>
      <c r="AD154" s="84"/>
      <c r="AE154" s="84"/>
      <c r="AF154" s="84"/>
    </row>
    <row r="155" spans="29:32" ht="11.25">
      <c r="AC155" s="84"/>
      <c r="AD155" s="84"/>
      <c r="AE155" s="84"/>
      <c r="AF155" s="84"/>
    </row>
    <row r="156" spans="29:32" ht="11.25">
      <c r="AC156" s="84"/>
      <c r="AD156" s="84"/>
      <c r="AE156" s="84"/>
      <c r="AF156" s="84"/>
    </row>
    <row r="157" spans="29:32" ht="11.25">
      <c r="AC157" s="84"/>
      <c r="AD157" s="84"/>
      <c r="AE157" s="84"/>
      <c r="AF157" s="84"/>
    </row>
    <row r="158" spans="29:32" ht="11.25">
      <c r="AC158" s="84"/>
      <c r="AD158" s="84"/>
      <c r="AE158" s="84"/>
      <c r="AF158" s="84"/>
    </row>
    <row r="159" spans="29:32" ht="11.25">
      <c r="AC159" s="84"/>
      <c r="AD159" s="84"/>
      <c r="AE159" s="84"/>
      <c r="AF159" s="84"/>
    </row>
    <row r="160" spans="29:32" ht="11.25">
      <c r="AC160" s="84"/>
      <c r="AD160" s="84"/>
      <c r="AE160" s="84"/>
      <c r="AF160" s="84"/>
    </row>
    <row r="161" spans="29:32" ht="11.25">
      <c r="AC161" s="84"/>
      <c r="AD161" s="84"/>
      <c r="AE161" s="84"/>
      <c r="AF161" s="84"/>
    </row>
    <row r="162" spans="29:32" ht="11.25">
      <c r="AC162" s="84"/>
      <c r="AD162" s="84"/>
      <c r="AE162" s="84"/>
      <c r="AF162" s="84"/>
    </row>
    <row r="163" spans="29:32" ht="11.25">
      <c r="AC163" s="84"/>
      <c r="AD163" s="84"/>
      <c r="AE163" s="84"/>
      <c r="AF163" s="84"/>
    </row>
    <row r="164" spans="29:32" ht="11.25">
      <c r="AC164" s="84"/>
      <c r="AD164" s="84"/>
      <c r="AE164" s="84"/>
      <c r="AF164" s="84"/>
    </row>
    <row r="165" spans="29:32" ht="11.25">
      <c r="AC165" s="84"/>
      <c r="AD165" s="84"/>
      <c r="AE165" s="84"/>
      <c r="AF165" s="84"/>
    </row>
    <row r="166" spans="29:32" ht="11.25">
      <c r="AC166" s="84"/>
      <c r="AD166" s="84"/>
      <c r="AE166" s="84"/>
      <c r="AF166" s="84"/>
    </row>
    <row r="167" spans="29:32" ht="11.25">
      <c r="AC167" s="84"/>
      <c r="AD167" s="84"/>
      <c r="AE167" s="84"/>
      <c r="AF167" s="84"/>
    </row>
    <row r="168" spans="29:32" ht="11.25">
      <c r="AC168" s="84"/>
      <c r="AD168" s="84"/>
      <c r="AE168" s="84"/>
      <c r="AF168" s="84"/>
    </row>
    <row r="169" spans="29:32" ht="11.25">
      <c r="AC169" s="84"/>
      <c r="AD169" s="84"/>
      <c r="AE169" s="84"/>
      <c r="AF169" s="84"/>
    </row>
    <row r="170" spans="29:32" ht="11.25">
      <c r="AC170" s="84"/>
      <c r="AD170" s="84"/>
      <c r="AE170" s="84"/>
      <c r="AF170" s="84"/>
    </row>
    <row r="171" spans="29:32" ht="11.25">
      <c r="AC171" s="84"/>
      <c r="AD171" s="84"/>
      <c r="AE171" s="84"/>
      <c r="AF171" s="84"/>
    </row>
    <row r="172" spans="29:32" ht="11.25">
      <c r="AC172" s="84"/>
      <c r="AD172" s="84"/>
      <c r="AE172" s="84"/>
      <c r="AF172" s="84"/>
    </row>
    <row r="173" spans="29:32" ht="11.25">
      <c r="AC173" s="84"/>
      <c r="AD173" s="84"/>
      <c r="AE173" s="84"/>
      <c r="AF173" s="84"/>
    </row>
  </sheetData>
  <mergeCells count="20">
    <mergeCell ref="A28:M28"/>
    <mergeCell ref="A23:B23"/>
    <mergeCell ref="A24:B24"/>
    <mergeCell ref="A25:B25"/>
    <mergeCell ref="A26:B26"/>
    <mergeCell ref="A19:B19"/>
    <mergeCell ref="A20:B20"/>
    <mergeCell ref="A21:B21"/>
    <mergeCell ref="A22:B22"/>
    <mergeCell ref="A11:A12"/>
    <mergeCell ref="A13:A14"/>
    <mergeCell ref="A15:A16"/>
    <mergeCell ref="A17:A18"/>
    <mergeCell ref="A1:M1"/>
    <mergeCell ref="M3:M10"/>
    <mergeCell ref="A5:B5"/>
    <mergeCell ref="A6:B6"/>
    <mergeCell ref="A7:B8"/>
    <mergeCell ref="A9:B9"/>
    <mergeCell ref="A10:B1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F173"/>
  <sheetViews>
    <sheetView zoomScale="90" zoomScaleNormal="90" workbookViewId="0" topLeftCell="A1">
      <selection activeCell="D17" sqref="D17"/>
    </sheetView>
  </sheetViews>
  <sheetFormatPr defaultColWidth="9.140625" defaultRowHeight="12.75"/>
  <cols>
    <col min="1" max="2" width="9.7109375" style="53" customWidth="1"/>
    <col min="3" max="20" width="13.57421875" style="53" customWidth="1"/>
    <col min="21" max="21" width="14.421875" style="53" customWidth="1"/>
    <col min="22" max="28" width="17.421875" style="53" customWidth="1"/>
    <col min="29" max="29" width="17.421875" style="54" customWidth="1"/>
    <col min="30" max="16384" width="17.421875" style="53" customWidth="1"/>
  </cols>
  <sheetData>
    <row r="1" spans="1:29" ht="90" customHeight="1" thickBot="1">
      <c r="A1" s="632" t="s">
        <v>140</v>
      </c>
      <c r="B1" s="633"/>
      <c r="C1" s="633"/>
      <c r="D1" s="633"/>
      <c r="E1" s="633"/>
      <c r="F1" s="633"/>
      <c r="G1" s="633"/>
      <c r="H1" s="633"/>
      <c r="I1" s="633"/>
      <c r="J1" s="633"/>
      <c r="K1" s="633"/>
      <c r="L1" s="633"/>
      <c r="M1" s="634"/>
      <c r="U1" s="54"/>
      <c r="AC1" s="53"/>
    </row>
    <row r="2" spans="1:21" ht="9" customHeight="1" thickBot="1">
      <c r="A2" s="55"/>
      <c r="B2" s="55"/>
      <c r="C2" s="55"/>
      <c r="D2" s="55"/>
      <c r="E2" s="55"/>
      <c r="F2" s="55"/>
      <c r="G2" s="55"/>
      <c r="H2" s="55"/>
      <c r="I2" s="55"/>
      <c r="J2" s="55"/>
      <c r="K2" s="55"/>
      <c r="L2" s="55"/>
      <c r="M2" s="55"/>
      <c r="N2" s="55"/>
      <c r="O2" s="55"/>
      <c r="P2" s="55"/>
      <c r="Q2" s="55"/>
      <c r="R2" s="55"/>
      <c r="S2" s="55"/>
      <c r="T2" s="55"/>
      <c r="U2" s="55"/>
    </row>
    <row r="3" spans="1:29" ht="18" customHeight="1">
      <c r="A3" s="56"/>
      <c r="B3" s="57"/>
      <c r="C3" s="123">
        <f aca="true" t="shared" si="0" ref="C3:L3">COLUMN()-2</f>
        <v>1</v>
      </c>
      <c r="D3" s="123">
        <f t="shared" si="0"/>
        <v>2</v>
      </c>
      <c r="E3" s="123">
        <f t="shared" si="0"/>
        <v>3</v>
      </c>
      <c r="F3" s="123">
        <f t="shared" si="0"/>
        <v>4</v>
      </c>
      <c r="G3" s="123">
        <f t="shared" si="0"/>
        <v>5</v>
      </c>
      <c r="H3" s="123">
        <f t="shared" si="0"/>
        <v>6</v>
      </c>
      <c r="I3" s="123">
        <f t="shared" si="0"/>
        <v>7</v>
      </c>
      <c r="J3" s="123">
        <f t="shared" si="0"/>
        <v>8</v>
      </c>
      <c r="K3" s="123">
        <f t="shared" si="0"/>
        <v>9</v>
      </c>
      <c r="L3" s="123">
        <f t="shared" si="0"/>
        <v>10</v>
      </c>
      <c r="M3" s="635" t="s">
        <v>128</v>
      </c>
      <c r="AC3" s="53"/>
    </row>
    <row r="4" spans="1:29" ht="45" customHeight="1" thickBot="1">
      <c r="A4" s="59"/>
      <c r="B4" s="60"/>
      <c r="C4" s="86" t="s">
        <v>65</v>
      </c>
      <c r="D4" s="86" t="s">
        <v>129</v>
      </c>
      <c r="E4" s="86" t="s">
        <v>67</v>
      </c>
      <c r="F4" s="86" t="s">
        <v>68</v>
      </c>
      <c r="G4" s="86" t="s">
        <v>136</v>
      </c>
      <c r="H4" s="86" t="s">
        <v>138</v>
      </c>
      <c r="I4" s="86" t="s">
        <v>82</v>
      </c>
      <c r="J4" s="86" t="s">
        <v>137</v>
      </c>
      <c r="K4" s="86" t="s">
        <v>141</v>
      </c>
      <c r="L4" s="86" t="s">
        <v>142</v>
      </c>
      <c r="M4" s="627"/>
      <c r="AC4" s="53"/>
    </row>
    <row r="5" spans="1:29" ht="19.5" customHeight="1">
      <c r="A5" s="629" t="s">
        <v>84</v>
      </c>
      <c r="B5" s="630"/>
      <c r="C5" s="87">
        <v>38751</v>
      </c>
      <c r="D5" s="87">
        <v>38765</v>
      </c>
      <c r="E5" s="87">
        <v>38674</v>
      </c>
      <c r="F5" s="87">
        <v>38758</v>
      </c>
      <c r="G5" s="87">
        <v>38758</v>
      </c>
      <c r="H5" s="87">
        <v>38751</v>
      </c>
      <c r="I5" s="87">
        <v>38765</v>
      </c>
      <c r="J5" s="87">
        <v>38765</v>
      </c>
      <c r="K5" s="87">
        <v>38744</v>
      </c>
      <c r="L5" s="87">
        <v>38765</v>
      </c>
      <c r="M5" s="627"/>
      <c r="AC5" s="53"/>
    </row>
    <row r="6" spans="1:29" ht="19.5" customHeight="1">
      <c r="A6" s="631" t="s">
        <v>132</v>
      </c>
      <c r="B6" s="626"/>
      <c r="C6" s="88">
        <v>277</v>
      </c>
      <c r="D6" s="88">
        <v>164</v>
      </c>
      <c r="E6" s="88">
        <v>135</v>
      </c>
      <c r="F6" s="88">
        <v>80</v>
      </c>
      <c r="G6" s="88">
        <v>61</v>
      </c>
      <c r="H6" s="88">
        <v>51</v>
      </c>
      <c r="I6" s="88">
        <v>41</v>
      </c>
      <c r="J6" s="88">
        <v>23</v>
      </c>
      <c r="K6" s="88">
        <v>70</v>
      </c>
      <c r="L6" s="88">
        <v>30</v>
      </c>
      <c r="M6" s="627"/>
      <c r="AC6" s="53"/>
    </row>
    <row r="7" spans="1:13" s="66" customFormat="1" ht="15" customHeight="1">
      <c r="A7" s="625" t="s">
        <v>87</v>
      </c>
      <c r="B7" s="636"/>
      <c r="C7" s="89" t="s">
        <v>89</v>
      </c>
      <c r="D7" s="89" t="s">
        <v>89</v>
      </c>
      <c r="E7" s="89" t="s">
        <v>90</v>
      </c>
      <c r="F7" s="89" t="s">
        <v>90</v>
      </c>
      <c r="G7" s="89" t="s">
        <v>91</v>
      </c>
      <c r="H7" s="89" t="s">
        <v>92</v>
      </c>
      <c r="I7" s="89" t="s">
        <v>92</v>
      </c>
      <c r="J7" s="89" t="s">
        <v>91</v>
      </c>
      <c r="K7" s="89" t="s">
        <v>92</v>
      </c>
      <c r="L7" s="89" t="s">
        <v>90</v>
      </c>
      <c r="M7" s="627"/>
    </row>
    <row r="8" spans="1:13" s="66" customFormat="1" ht="15" customHeight="1">
      <c r="A8" s="637"/>
      <c r="B8" s="638"/>
      <c r="C8" s="90" t="s">
        <v>98</v>
      </c>
      <c r="D8" s="90" t="s">
        <v>99</v>
      </c>
      <c r="E8" s="90" t="s">
        <v>100</v>
      </c>
      <c r="F8" s="90" t="s">
        <v>101</v>
      </c>
      <c r="G8" s="90" t="s">
        <v>97</v>
      </c>
      <c r="H8" s="90" t="s">
        <v>105</v>
      </c>
      <c r="I8" s="90" t="s">
        <v>103</v>
      </c>
      <c r="J8" s="90" t="s">
        <v>107</v>
      </c>
      <c r="K8" s="90" t="s">
        <v>143</v>
      </c>
      <c r="L8" s="90" t="s">
        <v>144</v>
      </c>
      <c r="M8" s="627"/>
    </row>
    <row r="9" spans="1:29" ht="19.5" customHeight="1">
      <c r="A9" s="631" t="s">
        <v>113</v>
      </c>
      <c r="B9" s="626"/>
      <c r="C9" s="88">
        <v>3</v>
      </c>
      <c r="D9" s="88">
        <v>1</v>
      </c>
      <c r="E9" s="88">
        <v>14</v>
      </c>
      <c r="F9" s="88">
        <v>2</v>
      </c>
      <c r="G9" s="88">
        <v>2</v>
      </c>
      <c r="H9" s="88">
        <v>3</v>
      </c>
      <c r="I9" s="88">
        <v>1</v>
      </c>
      <c r="J9" s="88">
        <v>1</v>
      </c>
      <c r="K9" s="88">
        <v>4</v>
      </c>
      <c r="L9" s="88">
        <v>1</v>
      </c>
      <c r="M9" s="627"/>
      <c r="AC9" s="53"/>
    </row>
    <row r="10" spans="1:29" ht="19.5" customHeight="1" thickBot="1">
      <c r="A10" s="631" t="s">
        <v>114</v>
      </c>
      <c r="B10" s="626"/>
      <c r="C10" s="91">
        <v>366</v>
      </c>
      <c r="D10" s="91">
        <v>200</v>
      </c>
      <c r="E10" s="91">
        <v>135</v>
      </c>
      <c r="F10" s="91">
        <v>80</v>
      </c>
      <c r="G10" s="91">
        <v>62</v>
      </c>
      <c r="H10" s="91">
        <v>50</v>
      </c>
      <c r="I10" s="91">
        <v>42</v>
      </c>
      <c r="J10" s="91">
        <v>24</v>
      </c>
      <c r="K10" s="91">
        <v>63</v>
      </c>
      <c r="L10" s="91">
        <v>30</v>
      </c>
      <c r="M10" s="628"/>
      <c r="N10" s="69"/>
      <c r="O10" s="69"/>
      <c r="P10" s="69"/>
      <c r="Q10" s="69"/>
      <c r="R10" s="69"/>
      <c r="S10" s="69"/>
      <c r="T10" s="69"/>
      <c r="U10" s="69"/>
      <c r="AC10" s="53"/>
    </row>
    <row r="11" spans="1:29" ht="19.5" customHeight="1">
      <c r="A11" s="625" t="s">
        <v>115</v>
      </c>
      <c r="B11" s="92" t="s">
        <v>116</v>
      </c>
      <c r="C11" s="93">
        <v>520327.5</v>
      </c>
      <c r="D11" s="93">
        <v>244187.5</v>
      </c>
      <c r="E11" s="93">
        <v>98631</v>
      </c>
      <c r="F11" s="93">
        <v>111053</v>
      </c>
      <c r="G11" s="93">
        <v>57940.5</v>
      </c>
      <c r="H11" s="93">
        <v>30684</v>
      </c>
      <c r="I11" s="93">
        <v>27013</v>
      </c>
      <c r="J11" s="93">
        <v>34554</v>
      </c>
      <c r="K11" s="93">
        <v>12025</v>
      </c>
      <c r="L11" s="93">
        <v>6626.5</v>
      </c>
      <c r="M11" s="94">
        <f aca="true" t="shared" si="1" ref="M11:M18">SUM($C11:$L11)</f>
        <v>1143042</v>
      </c>
      <c r="AC11" s="53"/>
    </row>
    <row r="12" spans="1:29" ht="19.5" customHeight="1">
      <c r="A12" s="637"/>
      <c r="B12" s="95" t="s">
        <v>117</v>
      </c>
      <c r="C12" s="96">
        <v>83093</v>
      </c>
      <c r="D12" s="96">
        <v>33787</v>
      </c>
      <c r="E12" s="96">
        <v>20617</v>
      </c>
      <c r="F12" s="96">
        <v>16635</v>
      </c>
      <c r="G12" s="96">
        <v>6600</v>
      </c>
      <c r="H12" s="96">
        <v>3776</v>
      </c>
      <c r="I12" s="96">
        <v>3340</v>
      </c>
      <c r="J12" s="96">
        <v>3382</v>
      </c>
      <c r="K12" s="96">
        <v>1772</v>
      </c>
      <c r="L12" s="96">
        <v>885</v>
      </c>
      <c r="M12" s="97">
        <f t="shared" si="1"/>
        <v>173887</v>
      </c>
      <c r="AC12" s="53"/>
    </row>
    <row r="13" spans="1:29" ht="19.5" customHeight="1">
      <c r="A13" s="625" t="s">
        <v>118</v>
      </c>
      <c r="B13" s="92" t="s">
        <v>116</v>
      </c>
      <c r="C13" s="93">
        <v>963967</v>
      </c>
      <c r="D13" s="93">
        <v>437480</v>
      </c>
      <c r="E13" s="93">
        <v>166196.5</v>
      </c>
      <c r="F13" s="93">
        <v>200330</v>
      </c>
      <c r="G13" s="93">
        <v>95448.5</v>
      </c>
      <c r="H13" s="93">
        <v>53994</v>
      </c>
      <c r="I13" s="93">
        <v>49496</v>
      </c>
      <c r="J13" s="93">
        <v>60897</v>
      </c>
      <c r="K13" s="93">
        <v>22355</v>
      </c>
      <c r="L13" s="93">
        <v>15146</v>
      </c>
      <c r="M13" s="98">
        <f t="shared" si="1"/>
        <v>2065310</v>
      </c>
      <c r="AC13" s="53"/>
    </row>
    <row r="14" spans="1:29" ht="19.5" customHeight="1">
      <c r="A14" s="637"/>
      <c r="B14" s="95" t="s">
        <v>117</v>
      </c>
      <c r="C14" s="96">
        <v>145289</v>
      </c>
      <c r="D14" s="96">
        <v>59336</v>
      </c>
      <c r="E14" s="96">
        <v>32429</v>
      </c>
      <c r="F14" s="96">
        <v>28169</v>
      </c>
      <c r="G14" s="96">
        <v>10749</v>
      </c>
      <c r="H14" s="96">
        <v>6269</v>
      </c>
      <c r="I14" s="96">
        <v>5788</v>
      </c>
      <c r="J14" s="96">
        <v>5893</v>
      </c>
      <c r="K14" s="96">
        <v>3081</v>
      </c>
      <c r="L14" s="96">
        <v>1933</v>
      </c>
      <c r="M14" s="97">
        <f t="shared" si="1"/>
        <v>298936</v>
      </c>
      <c r="AC14" s="53"/>
    </row>
    <row r="15" spans="1:29" ht="19.5" customHeight="1">
      <c r="A15" s="625" t="s">
        <v>119</v>
      </c>
      <c r="B15" s="92" t="s">
        <v>116</v>
      </c>
      <c r="C15" s="93">
        <v>1025068</v>
      </c>
      <c r="D15" s="93">
        <v>476890.5</v>
      </c>
      <c r="E15" s="93">
        <v>186518.5</v>
      </c>
      <c r="F15" s="93">
        <v>209624</v>
      </c>
      <c r="G15" s="93">
        <v>98755</v>
      </c>
      <c r="H15" s="93">
        <v>56243</v>
      </c>
      <c r="I15" s="93">
        <v>54389</v>
      </c>
      <c r="J15" s="93">
        <v>63595.5</v>
      </c>
      <c r="K15" s="93">
        <v>24026</v>
      </c>
      <c r="L15" s="93">
        <v>19844.5</v>
      </c>
      <c r="M15" s="98">
        <f t="shared" si="1"/>
        <v>2214954</v>
      </c>
      <c r="AC15" s="53"/>
    </row>
    <row r="16" spans="1:29" ht="19.5" customHeight="1">
      <c r="A16" s="637"/>
      <c r="B16" s="95" t="s">
        <v>117</v>
      </c>
      <c r="C16" s="96">
        <v>151090</v>
      </c>
      <c r="D16" s="96">
        <v>64608</v>
      </c>
      <c r="E16" s="96">
        <v>34964</v>
      </c>
      <c r="F16" s="96">
        <v>29082</v>
      </c>
      <c r="G16" s="96">
        <v>11092</v>
      </c>
      <c r="H16" s="96">
        <v>6562</v>
      </c>
      <c r="I16" s="96">
        <v>6476</v>
      </c>
      <c r="J16" s="96">
        <v>6085</v>
      </c>
      <c r="K16" s="96">
        <v>3277</v>
      </c>
      <c r="L16" s="96">
        <v>2501</v>
      </c>
      <c r="M16" s="99">
        <f t="shared" si="1"/>
        <v>315737</v>
      </c>
      <c r="AC16" s="53"/>
    </row>
    <row r="17" spans="1:29" ht="19.5" customHeight="1">
      <c r="A17" s="639" t="s">
        <v>120</v>
      </c>
      <c r="B17" s="124" t="s">
        <v>116</v>
      </c>
      <c r="C17" s="125">
        <f aca="true" t="shared" si="2" ref="C17:L18">C11+C13+C15</f>
        <v>2509362.5</v>
      </c>
      <c r="D17" s="125">
        <f t="shared" si="2"/>
        <v>1158558</v>
      </c>
      <c r="E17" s="125">
        <f t="shared" si="2"/>
        <v>451346</v>
      </c>
      <c r="F17" s="125">
        <f t="shared" si="2"/>
        <v>521007</v>
      </c>
      <c r="G17" s="125">
        <f t="shared" si="2"/>
        <v>252144</v>
      </c>
      <c r="H17" s="125">
        <f t="shared" si="2"/>
        <v>140921</v>
      </c>
      <c r="I17" s="125">
        <f t="shared" si="2"/>
        <v>130898</v>
      </c>
      <c r="J17" s="125">
        <f t="shared" si="2"/>
        <v>159046.5</v>
      </c>
      <c r="K17" s="125">
        <f t="shared" si="2"/>
        <v>58406</v>
      </c>
      <c r="L17" s="125">
        <f t="shared" si="2"/>
        <v>41617</v>
      </c>
      <c r="M17" s="102">
        <f t="shared" si="1"/>
        <v>5423306</v>
      </c>
      <c r="AC17" s="53"/>
    </row>
    <row r="18" spans="1:29" ht="19.5" customHeight="1">
      <c r="A18" s="640"/>
      <c r="B18" s="126" t="s">
        <v>117</v>
      </c>
      <c r="C18" s="127">
        <f t="shared" si="2"/>
        <v>379472</v>
      </c>
      <c r="D18" s="127">
        <f t="shared" si="2"/>
        <v>157731</v>
      </c>
      <c r="E18" s="127">
        <f t="shared" si="2"/>
        <v>88010</v>
      </c>
      <c r="F18" s="127">
        <f t="shared" si="2"/>
        <v>73886</v>
      </c>
      <c r="G18" s="127">
        <f t="shared" si="2"/>
        <v>28441</v>
      </c>
      <c r="H18" s="127">
        <f t="shared" si="2"/>
        <v>16607</v>
      </c>
      <c r="I18" s="127">
        <f t="shared" si="2"/>
        <v>15604</v>
      </c>
      <c r="J18" s="127">
        <f t="shared" si="2"/>
        <v>15360</v>
      </c>
      <c r="K18" s="127">
        <f t="shared" si="2"/>
        <v>8130</v>
      </c>
      <c r="L18" s="127">
        <f t="shared" si="2"/>
        <v>5319</v>
      </c>
      <c r="M18" s="105">
        <f t="shared" si="1"/>
        <v>788560</v>
      </c>
      <c r="AC18" s="53"/>
    </row>
    <row r="19" spans="1:13" s="108" customFormat="1" ht="19.5" customHeight="1">
      <c r="A19" s="641" t="s">
        <v>133</v>
      </c>
      <c r="B19" s="642"/>
      <c r="C19" s="106">
        <f aca="true" t="shared" si="3" ref="C19:L19">IF(C18&lt;&gt;0,C18/$M$18*100,"")</f>
        <v>48.12214669777823</v>
      </c>
      <c r="D19" s="106">
        <f t="shared" si="3"/>
        <v>20.002409455209495</v>
      </c>
      <c r="E19" s="106">
        <f t="shared" si="3"/>
        <v>11.160850157248655</v>
      </c>
      <c r="F19" s="106">
        <f t="shared" si="3"/>
        <v>9.369737242568734</v>
      </c>
      <c r="G19" s="106">
        <f t="shared" si="3"/>
        <v>3.6067008217510397</v>
      </c>
      <c r="H19" s="106">
        <f t="shared" si="3"/>
        <v>2.105990666531399</v>
      </c>
      <c r="I19" s="106">
        <f t="shared" si="3"/>
        <v>1.978796794156437</v>
      </c>
      <c r="J19" s="106">
        <f t="shared" si="3"/>
        <v>1.9478543167292277</v>
      </c>
      <c r="K19" s="106">
        <f t="shared" si="3"/>
        <v>1.0309932028000406</v>
      </c>
      <c r="L19" s="106">
        <f t="shared" si="3"/>
        <v>0.6745206452267424</v>
      </c>
      <c r="M19" s="107"/>
    </row>
    <row r="20" spans="1:29" ht="19.5" customHeight="1">
      <c r="A20" s="643" t="s">
        <v>121</v>
      </c>
      <c r="B20" s="644"/>
      <c r="C20" s="109">
        <v>727781</v>
      </c>
      <c r="D20" s="109"/>
      <c r="E20" s="109">
        <v>79136</v>
      </c>
      <c r="F20" s="109">
        <v>85008</v>
      </c>
      <c r="G20" s="109">
        <v>36001</v>
      </c>
      <c r="H20" s="109">
        <v>25777</v>
      </c>
      <c r="I20" s="109"/>
      <c r="J20" s="109"/>
      <c r="K20" s="109">
        <v>19895</v>
      </c>
      <c r="L20" s="109"/>
      <c r="M20" s="110">
        <f>SUM($C20:$L20)</f>
        <v>973598</v>
      </c>
      <c r="AC20" s="53"/>
    </row>
    <row r="21" spans="1:29" ht="19.5" customHeight="1">
      <c r="A21" s="645" t="s">
        <v>122</v>
      </c>
      <c r="B21" s="646"/>
      <c r="C21" s="111">
        <f aca="true" t="shared" si="4" ref="C21:L21">IF(C20&lt;&gt;0,(+C18-C20)/C20*100," ")</f>
        <v>-47.85904001341063</v>
      </c>
      <c r="D21" s="111" t="str">
        <f t="shared" si="4"/>
        <v> </v>
      </c>
      <c r="E21" s="111">
        <f t="shared" si="4"/>
        <v>11.213606955115244</v>
      </c>
      <c r="F21" s="111">
        <f t="shared" si="4"/>
        <v>-13.083474496517974</v>
      </c>
      <c r="G21" s="111">
        <f t="shared" si="4"/>
        <v>-20.99941668286992</v>
      </c>
      <c r="H21" s="111">
        <f t="shared" si="4"/>
        <v>-35.57434922605424</v>
      </c>
      <c r="I21" s="111" t="str">
        <f t="shared" si="4"/>
        <v> </v>
      </c>
      <c r="J21" s="111" t="str">
        <f t="shared" si="4"/>
        <v> </v>
      </c>
      <c r="K21" s="111">
        <f t="shared" si="4"/>
        <v>-59.13546117114853</v>
      </c>
      <c r="L21" s="111" t="str">
        <f t="shared" si="4"/>
        <v> </v>
      </c>
      <c r="M21" s="112">
        <f>(+M18-M20)/M20*100</f>
        <v>-19.005585467513285</v>
      </c>
      <c r="AC21" s="53"/>
    </row>
    <row r="22" spans="1:29" ht="19.5" customHeight="1">
      <c r="A22" s="643" t="s">
        <v>123</v>
      </c>
      <c r="B22" s="644"/>
      <c r="C22" s="113">
        <f aca="true" t="shared" si="5" ref="C22:L22">IF(C18&lt;&gt;0,+C18/C10," ")</f>
        <v>1036.808743169399</v>
      </c>
      <c r="D22" s="113">
        <f t="shared" si="5"/>
        <v>788.655</v>
      </c>
      <c r="E22" s="113">
        <f t="shared" si="5"/>
        <v>651.925925925926</v>
      </c>
      <c r="F22" s="113">
        <f t="shared" si="5"/>
        <v>923.575</v>
      </c>
      <c r="G22" s="113">
        <f t="shared" si="5"/>
        <v>458.7258064516129</v>
      </c>
      <c r="H22" s="113">
        <f t="shared" si="5"/>
        <v>332.14</v>
      </c>
      <c r="I22" s="113">
        <f t="shared" si="5"/>
        <v>371.5238095238095</v>
      </c>
      <c r="J22" s="113">
        <f t="shared" si="5"/>
        <v>640</v>
      </c>
      <c r="K22" s="113">
        <f t="shared" si="5"/>
        <v>129.04761904761904</v>
      </c>
      <c r="L22" s="113">
        <f t="shared" si="5"/>
        <v>177.3</v>
      </c>
      <c r="M22" s="114">
        <f>M18/(SUM(C10:L10))</f>
        <v>749.5817490494296</v>
      </c>
      <c r="AC22" s="53"/>
    </row>
    <row r="23" spans="1:29" ht="19.5" customHeight="1">
      <c r="A23" s="648" t="s">
        <v>124</v>
      </c>
      <c r="B23" s="649"/>
      <c r="C23" s="115">
        <f aca="true" t="shared" si="6" ref="C23:L23">IF(C17&lt;&gt;0,+C17/C18," ")</f>
        <v>6.6127738014926</v>
      </c>
      <c r="D23" s="115">
        <f t="shared" si="6"/>
        <v>7.345150921505601</v>
      </c>
      <c r="E23" s="115">
        <f t="shared" si="6"/>
        <v>5.128349051244177</v>
      </c>
      <c r="F23" s="115">
        <f t="shared" si="6"/>
        <v>7.051498254067076</v>
      </c>
      <c r="G23" s="115">
        <f t="shared" si="6"/>
        <v>8.865511057979678</v>
      </c>
      <c r="H23" s="115">
        <f t="shared" si="6"/>
        <v>8.485638586138375</v>
      </c>
      <c r="I23" s="115">
        <f t="shared" si="6"/>
        <v>8.388746475262753</v>
      </c>
      <c r="J23" s="115">
        <f t="shared" si="6"/>
        <v>10.35458984375</v>
      </c>
      <c r="K23" s="115">
        <f t="shared" si="6"/>
        <v>7.184009840098401</v>
      </c>
      <c r="L23" s="115">
        <f t="shared" si="6"/>
        <v>7.824215078022185</v>
      </c>
      <c r="M23" s="116">
        <f>M17/M18</f>
        <v>6.87748047073146</v>
      </c>
      <c r="AC23" s="53"/>
    </row>
    <row r="24" spans="1:29" ht="19.5" customHeight="1">
      <c r="A24" s="643" t="s">
        <v>125</v>
      </c>
      <c r="B24" s="644"/>
      <c r="C24" s="128">
        <v>22862145.5</v>
      </c>
      <c r="D24" s="128">
        <v>1158558</v>
      </c>
      <c r="E24" s="128">
        <v>22566362.5</v>
      </c>
      <c r="F24" s="128">
        <v>1567151.5</v>
      </c>
      <c r="G24" s="128">
        <v>785887</v>
      </c>
      <c r="H24" s="128">
        <v>997809</v>
      </c>
      <c r="I24" s="128">
        <v>130898</v>
      </c>
      <c r="J24" s="128">
        <v>159046.5</v>
      </c>
      <c r="K24" s="128">
        <v>1749661</v>
      </c>
      <c r="L24" s="128">
        <v>41617</v>
      </c>
      <c r="M24" s="118">
        <f>SUM($C24:$L24)</f>
        <v>52019136</v>
      </c>
      <c r="AC24" s="53"/>
    </row>
    <row r="25" spans="1:29" ht="19.5" customHeight="1">
      <c r="A25" s="650" t="s">
        <v>126</v>
      </c>
      <c r="B25" s="651"/>
      <c r="C25" s="129">
        <v>3433705</v>
      </c>
      <c r="D25" s="129">
        <v>157731</v>
      </c>
      <c r="E25" s="129">
        <v>3215693</v>
      </c>
      <c r="F25" s="129">
        <v>227446</v>
      </c>
      <c r="G25" s="129">
        <v>90497</v>
      </c>
      <c r="H25" s="129">
        <v>118538</v>
      </c>
      <c r="I25" s="129">
        <v>15604</v>
      </c>
      <c r="J25" s="129">
        <v>15360</v>
      </c>
      <c r="K25" s="129">
        <v>210748</v>
      </c>
      <c r="L25" s="129">
        <v>5319</v>
      </c>
      <c r="M25" s="120">
        <f>SUM($C25:$L25)</f>
        <v>7490641</v>
      </c>
      <c r="AC25" s="53"/>
    </row>
    <row r="26" spans="1:29" ht="19.5" customHeight="1" thickBot="1">
      <c r="A26" s="652" t="s">
        <v>124</v>
      </c>
      <c r="B26" s="653"/>
      <c r="C26" s="121">
        <f aca="true" t="shared" si="7" ref="C26:L26">IF(C24&lt;&gt;0,+C24/C25," ")</f>
        <v>6.658156568487974</v>
      </c>
      <c r="D26" s="121">
        <f t="shared" si="7"/>
        <v>7.345150921505601</v>
      </c>
      <c r="E26" s="121">
        <f t="shared" si="7"/>
        <v>7.017573661416062</v>
      </c>
      <c r="F26" s="121">
        <f t="shared" si="7"/>
        <v>6.890213501226665</v>
      </c>
      <c r="G26" s="121">
        <f t="shared" si="7"/>
        <v>8.684122125595323</v>
      </c>
      <c r="H26" s="121">
        <f t="shared" si="7"/>
        <v>8.417629789603334</v>
      </c>
      <c r="I26" s="121">
        <f t="shared" si="7"/>
        <v>8.388746475262753</v>
      </c>
      <c r="J26" s="121">
        <f t="shared" si="7"/>
        <v>10.35458984375</v>
      </c>
      <c r="K26" s="121">
        <f t="shared" si="7"/>
        <v>8.302147588589216</v>
      </c>
      <c r="L26" s="121">
        <f t="shared" si="7"/>
        <v>7.824215078022185</v>
      </c>
      <c r="M26" s="122">
        <f>M24/M25</f>
        <v>6.9445506733001885</v>
      </c>
      <c r="AC26" s="53"/>
    </row>
    <row r="27" spans="21:30" ht="9.75" customHeight="1">
      <c r="U27" s="130"/>
      <c r="V27" s="130"/>
      <c r="W27" s="131"/>
      <c r="X27" s="131"/>
      <c r="Y27" s="131"/>
      <c r="Z27" s="131"/>
      <c r="AC27" s="84"/>
      <c r="AD27" s="84"/>
    </row>
    <row r="28" spans="1:32" s="134" customFormat="1" ht="12" customHeight="1">
      <c r="A28" s="647" t="s">
        <v>139</v>
      </c>
      <c r="B28" s="647"/>
      <c r="C28" s="647"/>
      <c r="D28" s="647"/>
      <c r="E28" s="647"/>
      <c r="F28" s="647"/>
      <c r="G28" s="647"/>
      <c r="H28" s="647"/>
      <c r="I28" s="647"/>
      <c r="J28" s="647"/>
      <c r="K28" s="647"/>
      <c r="L28" s="647"/>
      <c r="M28" s="647"/>
      <c r="N28" s="133"/>
      <c r="O28" s="133"/>
      <c r="P28" s="132"/>
      <c r="Q28" s="132"/>
      <c r="R28" s="132"/>
      <c r="AC28" s="135"/>
      <c r="AD28" s="135"/>
      <c r="AE28" s="135"/>
      <c r="AF28" s="135"/>
    </row>
    <row r="29" spans="29:32" ht="11.25">
      <c r="AC29" s="84"/>
      <c r="AD29" s="84"/>
      <c r="AE29" s="84"/>
      <c r="AF29" s="84"/>
    </row>
    <row r="30" spans="29:32" ht="11.25">
      <c r="AC30" s="84"/>
      <c r="AD30" s="84"/>
      <c r="AE30" s="84"/>
      <c r="AF30" s="84"/>
    </row>
    <row r="31" spans="29:32" ht="11.25">
      <c r="AC31" s="84"/>
      <c r="AD31" s="84"/>
      <c r="AE31" s="84"/>
      <c r="AF31" s="84"/>
    </row>
    <row r="32" spans="29:32" ht="11.25">
      <c r="AC32" s="84"/>
      <c r="AD32" s="84"/>
      <c r="AE32" s="84"/>
      <c r="AF32" s="84"/>
    </row>
    <row r="33" spans="29:32" ht="11.25">
      <c r="AC33" s="84"/>
      <c r="AD33" s="84"/>
      <c r="AE33" s="84"/>
      <c r="AF33" s="84"/>
    </row>
    <row r="34" spans="29:32" ht="11.25">
      <c r="AC34" s="84"/>
      <c r="AD34" s="84"/>
      <c r="AE34" s="84"/>
      <c r="AF34" s="84"/>
    </row>
    <row r="35" spans="29:32" ht="11.25">
      <c r="AC35" s="84"/>
      <c r="AD35" s="84"/>
      <c r="AE35" s="84"/>
      <c r="AF35" s="84"/>
    </row>
    <row r="36" spans="29:32" ht="11.25">
      <c r="AC36" s="84"/>
      <c r="AD36" s="84"/>
      <c r="AE36" s="84"/>
      <c r="AF36" s="84"/>
    </row>
    <row r="37" spans="29:32" ht="11.25">
      <c r="AC37" s="84"/>
      <c r="AD37" s="84"/>
      <c r="AE37" s="84"/>
      <c r="AF37" s="84"/>
    </row>
    <row r="38" spans="29:32" ht="11.25">
      <c r="AC38" s="84"/>
      <c r="AD38" s="84"/>
      <c r="AE38" s="84"/>
      <c r="AF38" s="84"/>
    </row>
    <row r="39" spans="29:32" ht="11.25">
      <c r="AC39" s="84"/>
      <c r="AD39" s="84"/>
      <c r="AE39" s="84"/>
      <c r="AF39" s="84"/>
    </row>
    <row r="40" spans="29:32" ht="11.25">
      <c r="AC40" s="84"/>
      <c r="AD40" s="84"/>
      <c r="AE40" s="84"/>
      <c r="AF40" s="84"/>
    </row>
    <row r="41" spans="29:32" ht="11.25">
      <c r="AC41" s="84"/>
      <c r="AD41" s="84"/>
      <c r="AE41" s="84"/>
      <c r="AF41" s="84"/>
    </row>
    <row r="42" spans="29:32" ht="11.25">
      <c r="AC42" s="84"/>
      <c r="AD42" s="84"/>
      <c r="AE42" s="84"/>
      <c r="AF42" s="84"/>
    </row>
    <row r="43" spans="29:32" ht="11.25">
      <c r="AC43" s="84"/>
      <c r="AD43" s="84"/>
      <c r="AE43" s="84"/>
      <c r="AF43" s="84"/>
    </row>
    <row r="44" spans="29:32" ht="11.25">
      <c r="AC44" s="84"/>
      <c r="AD44" s="84"/>
      <c r="AE44" s="84"/>
      <c r="AF44" s="84"/>
    </row>
    <row r="45" spans="29:32" ht="11.25">
      <c r="AC45" s="84"/>
      <c r="AD45" s="84"/>
      <c r="AE45" s="84"/>
      <c r="AF45" s="84"/>
    </row>
    <row r="46" spans="29:32" ht="11.25">
      <c r="AC46" s="84"/>
      <c r="AD46" s="84"/>
      <c r="AE46" s="84"/>
      <c r="AF46" s="84"/>
    </row>
    <row r="47" spans="29:32" ht="11.25">
      <c r="AC47" s="84"/>
      <c r="AD47" s="84"/>
      <c r="AE47" s="84"/>
      <c r="AF47" s="84"/>
    </row>
    <row r="48" spans="29:32" ht="11.25">
      <c r="AC48" s="84"/>
      <c r="AD48" s="84"/>
      <c r="AE48" s="84"/>
      <c r="AF48" s="84"/>
    </row>
    <row r="49" spans="29:32" ht="11.25">
      <c r="AC49" s="84"/>
      <c r="AD49" s="84"/>
      <c r="AE49" s="84"/>
      <c r="AF49" s="84"/>
    </row>
    <row r="50" spans="29:32" ht="11.25">
      <c r="AC50" s="84"/>
      <c r="AD50" s="84"/>
      <c r="AE50" s="84"/>
      <c r="AF50" s="84"/>
    </row>
    <row r="51" spans="29:32" ht="11.25">
      <c r="AC51" s="84"/>
      <c r="AD51" s="84"/>
      <c r="AE51" s="84"/>
      <c r="AF51" s="84"/>
    </row>
    <row r="52" spans="29:32" ht="11.25">
      <c r="AC52" s="84"/>
      <c r="AD52" s="84"/>
      <c r="AE52" s="84"/>
      <c r="AF52" s="84"/>
    </row>
    <row r="53" spans="29:32" ht="11.25">
      <c r="AC53" s="84"/>
      <c r="AD53" s="84"/>
      <c r="AE53" s="84"/>
      <c r="AF53" s="84"/>
    </row>
    <row r="54" spans="29:32" ht="11.25">
      <c r="AC54" s="84"/>
      <c r="AD54" s="84"/>
      <c r="AE54" s="84"/>
      <c r="AF54" s="84"/>
    </row>
    <row r="55" spans="29:32" ht="11.25">
      <c r="AC55" s="84"/>
      <c r="AD55" s="84"/>
      <c r="AE55" s="84"/>
      <c r="AF55" s="84"/>
    </row>
    <row r="56" spans="29:32" ht="11.25">
      <c r="AC56" s="84"/>
      <c r="AD56" s="84"/>
      <c r="AE56" s="84"/>
      <c r="AF56" s="84"/>
    </row>
    <row r="57" spans="29:32" ht="11.25">
      <c r="AC57" s="84"/>
      <c r="AD57" s="84"/>
      <c r="AE57" s="84"/>
      <c r="AF57" s="84"/>
    </row>
    <row r="58" spans="29:32" ht="11.25">
      <c r="AC58" s="84"/>
      <c r="AD58" s="84"/>
      <c r="AE58" s="84"/>
      <c r="AF58" s="84"/>
    </row>
    <row r="59" spans="29:32" ht="11.25">
      <c r="AC59" s="84"/>
      <c r="AD59" s="84"/>
      <c r="AE59" s="84"/>
      <c r="AF59" s="84"/>
    </row>
    <row r="60" spans="29:32" ht="11.25">
      <c r="AC60" s="84"/>
      <c r="AD60" s="84"/>
      <c r="AE60" s="84"/>
      <c r="AF60" s="84"/>
    </row>
    <row r="61" spans="29:32" ht="11.25">
      <c r="AC61" s="84"/>
      <c r="AD61" s="84"/>
      <c r="AE61" s="84"/>
      <c r="AF61" s="84"/>
    </row>
    <row r="62" spans="29:32" ht="11.25">
      <c r="AC62" s="84"/>
      <c r="AD62" s="84"/>
      <c r="AE62" s="84"/>
      <c r="AF62" s="84"/>
    </row>
    <row r="63" spans="29:32" ht="11.25">
      <c r="AC63" s="84"/>
      <c r="AD63" s="84"/>
      <c r="AE63" s="84"/>
      <c r="AF63" s="84"/>
    </row>
    <row r="64" spans="29:32" ht="11.25">
      <c r="AC64" s="84"/>
      <c r="AD64" s="84"/>
      <c r="AE64" s="84"/>
      <c r="AF64" s="84"/>
    </row>
    <row r="65" spans="29:32" ht="11.25">
      <c r="AC65" s="84"/>
      <c r="AD65" s="84"/>
      <c r="AE65" s="84"/>
      <c r="AF65" s="84"/>
    </row>
    <row r="66" spans="29:32" ht="11.25">
      <c r="AC66" s="84"/>
      <c r="AD66" s="84"/>
      <c r="AE66" s="84"/>
      <c r="AF66" s="84"/>
    </row>
    <row r="67" spans="29:32" ht="11.25">
      <c r="AC67" s="84"/>
      <c r="AD67" s="84"/>
      <c r="AE67" s="84"/>
      <c r="AF67" s="84"/>
    </row>
    <row r="68" spans="29:32" ht="11.25">
      <c r="AC68" s="84"/>
      <c r="AD68" s="84"/>
      <c r="AE68" s="84"/>
      <c r="AF68" s="84"/>
    </row>
    <row r="69" spans="29:32" ht="11.25">
      <c r="AC69" s="84"/>
      <c r="AD69" s="84"/>
      <c r="AE69" s="84"/>
      <c r="AF69" s="84"/>
    </row>
    <row r="70" spans="29:32" ht="11.25">
      <c r="AC70" s="84"/>
      <c r="AD70" s="84"/>
      <c r="AE70" s="84"/>
      <c r="AF70" s="84"/>
    </row>
    <row r="71" spans="29:32" ht="11.25">
      <c r="AC71" s="84"/>
      <c r="AD71" s="84"/>
      <c r="AE71" s="84"/>
      <c r="AF71" s="84"/>
    </row>
    <row r="72" spans="29:32" ht="11.25">
      <c r="AC72" s="84"/>
      <c r="AD72" s="84"/>
      <c r="AE72" s="84"/>
      <c r="AF72" s="84"/>
    </row>
    <row r="73" spans="29:32" ht="11.25">
      <c r="AC73" s="84"/>
      <c r="AD73" s="84"/>
      <c r="AE73" s="84"/>
      <c r="AF73" s="84"/>
    </row>
    <row r="74" spans="29:32" ht="11.25">
      <c r="AC74" s="84"/>
      <c r="AD74" s="84"/>
      <c r="AE74" s="84"/>
      <c r="AF74" s="84"/>
    </row>
    <row r="75" spans="29:32" ht="11.25">
      <c r="AC75" s="84"/>
      <c r="AD75" s="84"/>
      <c r="AE75" s="84"/>
      <c r="AF75" s="84"/>
    </row>
    <row r="76" spans="29:32" ht="11.25">
      <c r="AC76" s="84"/>
      <c r="AD76" s="84"/>
      <c r="AE76" s="84"/>
      <c r="AF76" s="84"/>
    </row>
    <row r="77" spans="29:32" ht="11.25">
      <c r="AC77" s="84"/>
      <c r="AD77" s="84"/>
      <c r="AE77" s="84"/>
      <c r="AF77" s="84"/>
    </row>
    <row r="78" spans="29:32" ht="11.25">
      <c r="AC78" s="84"/>
      <c r="AD78" s="84"/>
      <c r="AE78" s="84"/>
      <c r="AF78" s="84"/>
    </row>
    <row r="79" spans="29:32" ht="11.25">
      <c r="AC79" s="84"/>
      <c r="AD79" s="84"/>
      <c r="AE79" s="84"/>
      <c r="AF79" s="84"/>
    </row>
    <row r="80" spans="29:32" ht="11.25">
      <c r="AC80" s="84"/>
      <c r="AD80" s="84"/>
      <c r="AE80" s="84"/>
      <c r="AF80" s="84"/>
    </row>
    <row r="81" spans="29:32" ht="11.25">
      <c r="AC81" s="84"/>
      <c r="AD81" s="84"/>
      <c r="AE81" s="84"/>
      <c r="AF81" s="84"/>
    </row>
    <row r="82" spans="29:32" ht="11.25">
      <c r="AC82" s="84"/>
      <c r="AD82" s="84"/>
      <c r="AE82" s="84"/>
      <c r="AF82" s="84"/>
    </row>
    <row r="83" spans="29:32" ht="11.25">
      <c r="AC83" s="84"/>
      <c r="AD83" s="84"/>
      <c r="AE83" s="84"/>
      <c r="AF83" s="84"/>
    </row>
    <row r="84" spans="29:32" ht="11.25">
      <c r="AC84" s="84"/>
      <c r="AD84" s="84"/>
      <c r="AE84" s="84"/>
      <c r="AF84" s="84"/>
    </row>
    <row r="85" spans="29:32" ht="11.25">
      <c r="AC85" s="84"/>
      <c r="AD85" s="84"/>
      <c r="AE85" s="84"/>
      <c r="AF85" s="84"/>
    </row>
    <row r="86" spans="29:32" ht="11.25">
      <c r="AC86" s="84"/>
      <c r="AD86" s="84"/>
      <c r="AE86" s="84"/>
      <c r="AF86" s="84"/>
    </row>
    <row r="87" spans="29:32" ht="11.25">
      <c r="AC87" s="84"/>
      <c r="AD87" s="84"/>
      <c r="AE87" s="84"/>
      <c r="AF87" s="84"/>
    </row>
    <row r="88" spans="29:32" ht="11.25">
      <c r="AC88" s="84"/>
      <c r="AD88" s="84"/>
      <c r="AE88" s="84"/>
      <c r="AF88" s="84"/>
    </row>
    <row r="89" spans="29:32" ht="11.25">
      <c r="AC89" s="84"/>
      <c r="AD89" s="84"/>
      <c r="AE89" s="84"/>
      <c r="AF89" s="84"/>
    </row>
    <row r="90" spans="29:32" ht="11.25">
      <c r="AC90" s="84"/>
      <c r="AD90" s="84"/>
      <c r="AE90" s="84"/>
      <c r="AF90" s="84"/>
    </row>
    <row r="91" spans="29:32" ht="11.25">
      <c r="AC91" s="84"/>
      <c r="AD91" s="84"/>
      <c r="AE91" s="84"/>
      <c r="AF91" s="84"/>
    </row>
    <row r="92" spans="29:32" ht="11.25">
      <c r="AC92" s="84"/>
      <c r="AD92" s="84"/>
      <c r="AE92" s="84"/>
      <c r="AF92" s="84"/>
    </row>
    <row r="93" spans="29:32" ht="11.25">
      <c r="AC93" s="84"/>
      <c r="AD93" s="84"/>
      <c r="AE93" s="84"/>
      <c r="AF93" s="84"/>
    </row>
    <row r="94" spans="29:32" ht="11.25">
      <c r="AC94" s="84"/>
      <c r="AD94" s="84"/>
      <c r="AE94" s="84"/>
      <c r="AF94" s="84"/>
    </row>
    <row r="95" spans="29:32" ht="11.25">
      <c r="AC95" s="84"/>
      <c r="AD95" s="84"/>
      <c r="AE95" s="84"/>
      <c r="AF95" s="84"/>
    </row>
    <row r="96" spans="29:32" ht="11.25">
      <c r="AC96" s="84"/>
      <c r="AD96" s="84"/>
      <c r="AE96" s="84"/>
      <c r="AF96" s="84"/>
    </row>
    <row r="97" spans="29:32" ht="11.25">
      <c r="AC97" s="84"/>
      <c r="AD97" s="84"/>
      <c r="AE97" s="84"/>
      <c r="AF97" s="84"/>
    </row>
    <row r="98" spans="29:32" ht="11.25">
      <c r="AC98" s="84"/>
      <c r="AD98" s="84"/>
      <c r="AE98" s="84"/>
      <c r="AF98" s="84"/>
    </row>
    <row r="99" spans="29:32" ht="11.25">
      <c r="AC99" s="84"/>
      <c r="AD99" s="84"/>
      <c r="AE99" s="84"/>
      <c r="AF99" s="84"/>
    </row>
    <row r="100" spans="29:32" ht="11.25">
      <c r="AC100" s="84"/>
      <c r="AD100" s="84"/>
      <c r="AE100" s="84"/>
      <c r="AF100" s="84"/>
    </row>
    <row r="101" spans="29:32" ht="11.25">
      <c r="AC101" s="84"/>
      <c r="AD101" s="84"/>
      <c r="AE101" s="84"/>
      <c r="AF101" s="84"/>
    </row>
    <row r="102" spans="29:32" ht="11.25">
      <c r="AC102" s="84"/>
      <c r="AD102" s="84"/>
      <c r="AE102" s="84"/>
      <c r="AF102" s="84"/>
    </row>
    <row r="103" spans="29:32" ht="11.25">
      <c r="AC103" s="84"/>
      <c r="AD103" s="84"/>
      <c r="AE103" s="84"/>
      <c r="AF103" s="84"/>
    </row>
    <row r="104" spans="29:32" ht="11.25">
      <c r="AC104" s="84"/>
      <c r="AD104" s="84"/>
      <c r="AE104" s="84"/>
      <c r="AF104" s="84"/>
    </row>
    <row r="105" spans="29:32" ht="11.25">
      <c r="AC105" s="84"/>
      <c r="AD105" s="84"/>
      <c r="AE105" s="84"/>
      <c r="AF105" s="84"/>
    </row>
    <row r="106" spans="29:32" ht="11.25">
      <c r="AC106" s="84"/>
      <c r="AD106" s="84"/>
      <c r="AE106" s="84"/>
      <c r="AF106" s="84"/>
    </row>
    <row r="107" spans="29:32" ht="11.25">
      <c r="AC107" s="84"/>
      <c r="AD107" s="84"/>
      <c r="AE107" s="84"/>
      <c r="AF107" s="84"/>
    </row>
    <row r="108" spans="29:32" ht="11.25">
      <c r="AC108" s="84"/>
      <c r="AD108" s="84"/>
      <c r="AE108" s="84"/>
      <c r="AF108" s="84"/>
    </row>
    <row r="109" spans="29:32" ht="11.25">
      <c r="AC109" s="84"/>
      <c r="AD109" s="84"/>
      <c r="AE109" s="84"/>
      <c r="AF109" s="84"/>
    </row>
    <row r="110" spans="29:32" ht="11.25">
      <c r="AC110" s="84"/>
      <c r="AD110" s="84"/>
      <c r="AE110" s="84"/>
      <c r="AF110" s="84"/>
    </row>
    <row r="111" spans="29:32" ht="11.25">
      <c r="AC111" s="84"/>
      <c r="AD111" s="84"/>
      <c r="AE111" s="84"/>
      <c r="AF111" s="84"/>
    </row>
    <row r="112" spans="29:32" ht="11.25">
      <c r="AC112" s="84"/>
      <c r="AD112" s="84"/>
      <c r="AE112" s="84"/>
      <c r="AF112" s="84"/>
    </row>
    <row r="113" spans="29:32" ht="11.25">
      <c r="AC113" s="84"/>
      <c r="AD113" s="84"/>
      <c r="AE113" s="84"/>
      <c r="AF113" s="84"/>
    </row>
    <row r="114" spans="29:32" ht="11.25">
      <c r="AC114" s="84"/>
      <c r="AD114" s="84"/>
      <c r="AE114" s="84"/>
      <c r="AF114" s="84"/>
    </row>
    <row r="115" spans="29:32" ht="11.25">
      <c r="AC115" s="84"/>
      <c r="AD115" s="84"/>
      <c r="AE115" s="84"/>
      <c r="AF115" s="84"/>
    </row>
    <row r="116" spans="29:32" ht="11.25">
      <c r="AC116" s="84"/>
      <c r="AD116" s="84"/>
      <c r="AE116" s="84"/>
      <c r="AF116" s="84"/>
    </row>
    <row r="117" spans="29:32" ht="11.25">
      <c r="AC117" s="84"/>
      <c r="AD117" s="84"/>
      <c r="AE117" s="84"/>
      <c r="AF117" s="84"/>
    </row>
    <row r="118" spans="29:32" ht="11.25">
      <c r="AC118" s="84"/>
      <c r="AD118" s="84"/>
      <c r="AE118" s="84"/>
      <c r="AF118" s="84"/>
    </row>
    <row r="119" spans="29:32" ht="11.25">
      <c r="AC119" s="84"/>
      <c r="AD119" s="84"/>
      <c r="AE119" s="84"/>
      <c r="AF119" s="84"/>
    </row>
    <row r="120" spans="29:32" ht="11.25">
      <c r="AC120" s="84"/>
      <c r="AD120" s="84"/>
      <c r="AE120" s="84"/>
      <c r="AF120" s="84"/>
    </row>
    <row r="121" spans="29:32" ht="11.25">
      <c r="AC121" s="84"/>
      <c r="AD121" s="84"/>
      <c r="AE121" s="84"/>
      <c r="AF121" s="84"/>
    </row>
    <row r="122" spans="29:32" ht="11.25">
      <c r="AC122" s="84"/>
      <c r="AD122" s="84"/>
      <c r="AE122" s="84"/>
      <c r="AF122" s="84"/>
    </row>
    <row r="123" spans="29:32" ht="11.25">
      <c r="AC123" s="84"/>
      <c r="AD123" s="84"/>
      <c r="AE123" s="84"/>
      <c r="AF123" s="84"/>
    </row>
    <row r="124" spans="29:32" ht="11.25">
      <c r="AC124" s="84"/>
      <c r="AD124" s="84"/>
      <c r="AE124" s="84"/>
      <c r="AF124" s="84"/>
    </row>
    <row r="125" spans="29:32" ht="11.25">
      <c r="AC125" s="84"/>
      <c r="AD125" s="84"/>
      <c r="AE125" s="84"/>
      <c r="AF125" s="84"/>
    </row>
    <row r="126" spans="29:32" ht="11.25">
      <c r="AC126" s="84"/>
      <c r="AD126" s="84"/>
      <c r="AE126" s="84"/>
      <c r="AF126" s="84"/>
    </row>
    <row r="127" spans="29:32" ht="11.25">
      <c r="AC127" s="84"/>
      <c r="AD127" s="84"/>
      <c r="AE127" s="84"/>
      <c r="AF127" s="84"/>
    </row>
    <row r="128" spans="29:32" ht="11.25">
      <c r="AC128" s="84"/>
      <c r="AD128" s="84"/>
      <c r="AE128" s="84"/>
      <c r="AF128" s="84"/>
    </row>
    <row r="129" spans="29:32" ht="11.25">
      <c r="AC129" s="84"/>
      <c r="AD129" s="84"/>
      <c r="AE129" s="84"/>
      <c r="AF129" s="84"/>
    </row>
    <row r="130" spans="29:32" ht="11.25">
      <c r="AC130" s="84"/>
      <c r="AD130" s="84"/>
      <c r="AE130" s="84"/>
      <c r="AF130" s="84"/>
    </row>
    <row r="131" spans="29:32" ht="11.25">
      <c r="AC131" s="84"/>
      <c r="AD131" s="84"/>
      <c r="AE131" s="84"/>
      <c r="AF131" s="84"/>
    </row>
    <row r="132" spans="29:32" ht="11.25">
      <c r="AC132" s="84"/>
      <c r="AD132" s="84"/>
      <c r="AE132" s="84"/>
      <c r="AF132" s="84"/>
    </row>
    <row r="133" spans="29:32" ht="11.25">
      <c r="AC133" s="84"/>
      <c r="AD133" s="84"/>
      <c r="AE133" s="84"/>
      <c r="AF133" s="84"/>
    </row>
    <row r="134" spans="29:32" ht="11.25">
      <c r="AC134" s="84"/>
      <c r="AD134" s="84"/>
      <c r="AE134" s="84"/>
      <c r="AF134" s="84"/>
    </row>
    <row r="135" spans="29:32" ht="11.25">
      <c r="AC135" s="84"/>
      <c r="AD135" s="84"/>
      <c r="AE135" s="84"/>
      <c r="AF135" s="84"/>
    </row>
    <row r="136" spans="29:32" ht="11.25">
      <c r="AC136" s="84"/>
      <c r="AD136" s="84"/>
      <c r="AE136" s="84"/>
      <c r="AF136" s="84"/>
    </row>
    <row r="137" spans="29:32" ht="11.25">
      <c r="AC137" s="84"/>
      <c r="AD137" s="84"/>
      <c r="AE137" s="84"/>
      <c r="AF137" s="84"/>
    </row>
    <row r="138" spans="29:32" ht="11.25">
      <c r="AC138" s="84"/>
      <c r="AD138" s="84"/>
      <c r="AE138" s="84"/>
      <c r="AF138" s="84"/>
    </row>
    <row r="139" spans="29:32" ht="11.25">
      <c r="AC139" s="84"/>
      <c r="AD139" s="84"/>
      <c r="AE139" s="84"/>
      <c r="AF139" s="84"/>
    </row>
    <row r="140" spans="29:32" ht="11.25">
      <c r="AC140" s="84"/>
      <c r="AD140" s="84"/>
      <c r="AE140" s="84"/>
      <c r="AF140" s="84"/>
    </row>
    <row r="141" spans="29:32" ht="11.25">
      <c r="AC141" s="84"/>
      <c r="AD141" s="84"/>
      <c r="AE141" s="84"/>
      <c r="AF141" s="84"/>
    </row>
    <row r="142" spans="29:32" ht="11.25">
      <c r="AC142" s="84"/>
      <c r="AD142" s="84"/>
      <c r="AE142" s="84"/>
      <c r="AF142" s="84"/>
    </row>
    <row r="143" spans="29:32" ht="11.25">
      <c r="AC143" s="84"/>
      <c r="AD143" s="84"/>
      <c r="AE143" s="84"/>
      <c r="AF143" s="84"/>
    </row>
    <row r="144" spans="29:32" ht="11.25">
      <c r="AC144" s="84"/>
      <c r="AD144" s="84"/>
      <c r="AE144" s="84"/>
      <c r="AF144" s="84"/>
    </row>
    <row r="145" spans="29:32" ht="11.25">
      <c r="AC145" s="84"/>
      <c r="AD145" s="84"/>
      <c r="AE145" s="84"/>
      <c r="AF145" s="84"/>
    </row>
    <row r="146" spans="29:32" ht="11.25">
      <c r="AC146" s="84"/>
      <c r="AD146" s="84"/>
      <c r="AE146" s="84"/>
      <c r="AF146" s="84"/>
    </row>
    <row r="147" spans="29:32" ht="11.25">
      <c r="AC147" s="84"/>
      <c r="AD147" s="84"/>
      <c r="AE147" s="84"/>
      <c r="AF147" s="84"/>
    </row>
    <row r="148" spans="29:32" ht="11.25">
      <c r="AC148" s="84"/>
      <c r="AD148" s="84"/>
      <c r="AE148" s="84"/>
      <c r="AF148" s="84"/>
    </row>
    <row r="149" spans="29:32" ht="11.25">
      <c r="AC149" s="84"/>
      <c r="AD149" s="84"/>
      <c r="AE149" s="84"/>
      <c r="AF149" s="84"/>
    </row>
    <row r="150" spans="29:32" ht="11.25">
      <c r="AC150" s="84"/>
      <c r="AD150" s="84"/>
      <c r="AE150" s="84"/>
      <c r="AF150" s="84"/>
    </row>
    <row r="151" spans="29:32" ht="11.25">
      <c r="AC151" s="84"/>
      <c r="AD151" s="84"/>
      <c r="AE151" s="84"/>
      <c r="AF151" s="84"/>
    </row>
    <row r="152" spans="29:32" ht="11.25">
      <c r="AC152" s="84"/>
      <c r="AD152" s="84"/>
      <c r="AE152" s="84"/>
      <c r="AF152" s="84"/>
    </row>
    <row r="153" spans="29:32" ht="11.25">
      <c r="AC153" s="84"/>
      <c r="AD153" s="84"/>
      <c r="AE153" s="84"/>
      <c r="AF153" s="84"/>
    </row>
    <row r="154" spans="29:32" ht="11.25">
      <c r="AC154" s="84"/>
      <c r="AD154" s="84"/>
      <c r="AE154" s="84"/>
      <c r="AF154" s="84"/>
    </row>
    <row r="155" spans="29:32" ht="11.25">
      <c r="AC155" s="84"/>
      <c r="AD155" s="84"/>
      <c r="AE155" s="84"/>
      <c r="AF155" s="84"/>
    </row>
    <row r="156" spans="29:32" ht="11.25">
      <c r="AC156" s="84"/>
      <c r="AD156" s="84"/>
      <c r="AE156" s="84"/>
      <c r="AF156" s="84"/>
    </row>
    <row r="157" spans="29:32" ht="11.25">
      <c r="AC157" s="84"/>
      <c r="AD157" s="84"/>
      <c r="AE157" s="84"/>
      <c r="AF157" s="84"/>
    </row>
    <row r="158" spans="29:32" ht="11.25">
      <c r="AC158" s="84"/>
      <c r="AD158" s="84"/>
      <c r="AE158" s="84"/>
      <c r="AF158" s="84"/>
    </row>
    <row r="159" spans="29:32" ht="11.25">
      <c r="AC159" s="84"/>
      <c r="AD159" s="84"/>
      <c r="AE159" s="84"/>
      <c r="AF159" s="84"/>
    </row>
    <row r="160" spans="29:32" ht="11.25">
      <c r="AC160" s="84"/>
      <c r="AD160" s="84"/>
      <c r="AE160" s="84"/>
      <c r="AF160" s="84"/>
    </row>
    <row r="161" spans="29:32" ht="11.25">
      <c r="AC161" s="84"/>
      <c r="AD161" s="84"/>
      <c r="AE161" s="84"/>
      <c r="AF161" s="84"/>
    </row>
    <row r="162" spans="29:32" ht="11.25">
      <c r="AC162" s="84"/>
      <c r="AD162" s="84"/>
      <c r="AE162" s="84"/>
      <c r="AF162" s="84"/>
    </row>
    <row r="163" spans="29:32" ht="11.25">
      <c r="AC163" s="84"/>
      <c r="AD163" s="84"/>
      <c r="AE163" s="84"/>
      <c r="AF163" s="84"/>
    </row>
    <row r="164" spans="29:32" ht="11.25">
      <c r="AC164" s="84"/>
      <c r="AD164" s="84"/>
      <c r="AE164" s="84"/>
      <c r="AF164" s="84"/>
    </row>
    <row r="165" spans="29:32" ht="11.25">
      <c r="AC165" s="84"/>
      <c r="AD165" s="84"/>
      <c r="AE165" s="84"/>
      <c r="AF165" s="84"/>
    </row>
    <row r="166" spans="29:32" ht="11.25">
      <c r="AC166" s="84"/>
      <c r="AD166" s="84"/>
      <c r="AE166" s="84"/>
      <c r="AF166" s="84"/>
    </row>
    <row r="167" spans="29:32" ht="11.25">
      <c r="AC167" s="84"/>
      <c r="AD167" s="84"/>
      <c r="AE167" s="84"/>
      <c r="AF167" s="84"/>
    </row>
    <row r="168" spans="29:32" ht="11.25">
      <c r="AC168" s="84"/>
      <c r="AD168" s="84"/>
      <c r="AE168" s="84"/>
      <c r="AF168" s="84"/>
    </row>
    <row r="169" spans="29:32" ht="11.25">
      <c r="AC169" s="84"/>
      <c r="AD169" s="84"/>
      <c r="AE169" s="84"/>
      <c r="AF169" s="84"/>
    </row>
    <row r="170" spans="29:32" ht="11.25">
      <c r="AC170" s="84"/>
      <c r="AD170" s="84"/>
      <c r="AE170" s="84"/>
      <c r="AF170" s="84"/>
    </row>
    <row r="171" spans="29:32" ht="11.25">
      <c r="AC171" s="84"/>
      <c r="AD171" s="84"/>
      <c r="AE171" s="84"/>
      <c r="AF171" s="84"/>
    </row>
    <row r="172" spans="29:32" ht="11.25">
      <c r="AC172" s="84"/>
      <c r="AD172" s="84"/>
      <c r="AE172" s="84"/>
      <c r="AF172" s="84"/>
    </row>
    <row r="173" spans="29:32" ht="11.25">
      <c r="AC173" s="84"/>
      <c r="AD173" s="84"/>
      <c r="AE173" s="84"/>
      <c r="AF173" s="84"/>
    </row>
  </sheetData>
  <mergeCells count="20">
    <mergeCell ref="A28:M28"/>
    <mergeCell ref="A23:B23"/>
    <mergeCell ref="A24:B24"/>
    <mergeCell ref="A25:B25"/>
    <mergeCell ref="A26:B26"/>
    <mergeCell ref="A19:B19"/>
    <mergeCell ref="A20:B20"/>
    <mergeCell ref="A21:B21"/>
    <mergeCell ref="A22:B22"/>
    <mergeCell ref="A11:A12"/>
    <mergeCell ref="A13:A14"/>
    <mergeCell ref="A15:A16"/>
    <mergeCell ref="A17:A18"/>
    <mergeCell ref="A1:M1"/>
    <mergeCell ref="M3:M10"/>
    <mergeCell ref="A5:B5"/>
    <mergeCell ref="A6:B6"/>
    <mergeCell ref="A7:B8"/>
    <mergeCell ref="A9:B9"/>
    <mergeCell ref="A10:B10"/>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F173"/>
  <sheetViews>
    <sheetView zoomScale="90" zoomScaleNormal="90" workbookViewId="0" topLeftCell="A1">
      <selection activeCell="E14" sqref="E14"/>
    </sheetView>
  </sheetViews>
  <sheetFormatPr defaultColWidth="9.140625" defaultRowHeight="12.75"/>
  <cols>
    <col min="1" max="2" width="9.7109375" style="53" customWidth="1"/>
    <col min="3" max="20" width="13.57421875" style="53" customWidth="1"/>
    <col min="21" max="21" width="14.421875" style="53" customWidth="1"/>
    <col min="22" max="28" width="17.421875" style="53" customWidth="1"/>
    <col min="29" max="29" width="17.421875" style="54" customWidth="1"/>
    <col min="30" max="16384" width="17.421875" style="53" customWidth="1"/>
  </cols>
  <sheetData>
    <row r="1" spans="1:29" ht="90" customHeight="1" thickBot="1">
      <c r="A1" s="632" t="s">
        <v>134</v>
      </c>
      <c r="B1" s="633"/>
      <c r="C1" s="633"/>
      <c r="D1" s="633"/>
      <c r="E1" s="633"/>
      <c r="F1" s="633"/>
      <c r="G1" s="633"/>
      <c r="H1" s="633"/>
      <c r="I1" s="633"/>
      <c r="J1" s="633"/>
      <c r="K1" s="633"/>
      <c r="L1" s="633"/>
      <c r="M1" s="634"/>
      <c r="U1" s="54"/>
      <c r="AC1" s="53"/>
    </row>
    <row r="2" spans="1:21" ht="9" customHeight="1" thickBot="1">
      <c r="A2" s="55"/>
      <c r="B2" s="55"/>
      <c r="C2" s="55"/>
      <c r="D2" s="55"/>
      <c r="E2" s="55"/>
      <c r="F2" s="55"/>
      <c r="G2" s="55"/>
      <c r="H2" s="55"/>
      <c r="I2" s="55"/>
      <c r="J2" s="55"/>
      <c r="K2" s="55"/>
      <c r="L2" s="55"/>
      <c r="M2" s="55"/>
      <c r="N2" s="55"/>
      <c r="O2" s="55"/>
      <c r="P2" s="55"/>
      <c r="Q2" s="55"/>
      <c r="R2" s="55"/>
      <c r="S2" s="55"/>
      <c r="T2" s="55"/>
      <c r="U2" s="55"/>
    </row>
    <row r="3" spans="1:29" ht="18" customHeight="1">
      <c r="A3" s="56"/>
      <c r="B3" s="57"/>
      <c r="C3" s="123">
        <f aca="true" t="shared" si="0" ref="C3:L3">COLUMN()-2</f>
        <v>1</v>
      </c>
      <c r="D3" s="123">
        <f t="shared" si="0"/>
        <v>2</v>
      </c>
      <c r="E3" s="123">
        <f t="shared" si="0"/>
        <v>3</v>
      </c>
      <c r="F3" s="123">
        <f t="shared" si="0"/>
        <v>4</v>
      </c>
      <c r="G3" s="123">
        <f t="shared" si="0"/>
        <v>5</v>
      </c>
      <c r="H3" s="123">
        <f t="shared" si="0"/>
        <v>6</v>
      </c>
      <c r="I3" s="123">
        <f t="shared" si="0"/>
        <v>7</v>
      </c>
      <c r="J3" s="123">
        <f t="shared" si="0"/>
        <v>8</v>
      </c>
      <c r="K3" s="123">
        <f t="shared" si="0"/>
        <v>9</v>
      </c>
      <c r="L3" s="123">
        <f t="shared" si="0"/>
        <v>10</v>
      </c>
      <c r="M3" s="635" t="s">
        <v>128</v>
      </c>
      <c r="AC3" s="53"/>
    </row>
    <row r="4" spans="1:29" ht="45" customHeight="1" thickBot="1">
      <c r="A4" s="59"/>
      <c r="B4" s="60"/>
      <c r="C4" s="86" t="s">
        <v>65</v>
      </c>
      <c r="D4" s="86" t="s">
        <v>129</v>
      </c>
      <c r="E4" s="86" t="s">
        <v>67</v>
      </c>
      <c r="F4" s="86" t="s">
        <v>131</v>
      </c>
      <c r="G4" s="86" t="s">
        <v>68</v>
      </c>
      <c r="H4" s="86" t="s">
        <v>135</v>
      </c>
      <c r="I4" s="86" t="s">
        <v>136</v>
      </c>
      <c r="J4" s="86" t="s">
        <v>77</v>
      </c>
      <c r="K4" s="86" t="s">
        <v>137</v>
      </c>
      <c r="L4" s="86" t="s">
        <v>138</v>
      </c>
      <c r="M4" s="627"/>
      <c r="AC4" s="53"/>
    </row>
    <row r="5" spans="1:29" ht="19.5" customHeight="1">
      <c r="A5" s="629" t="s">
        <v>84</v>
      </c>
      <c r="B5" s="630"/>
      <c r="C5" s="87">
        <v>38751</v>
      </c>
      <c r="D5" s="87">
        <v>38765</v>
      </c>
      <c r="E5" s="87">
        <v>38674</v>
      </c>
      <c r="F5" s="87">
        <v>38772</v>
      </c>
      <c r="G5" s="87">
        <v>38758</v>
      </c>
      <c r="H5" s="87">
        <v>38772</v>
      </c>
      <c r="I5" s="87">
        <v>38758</v>
      </c>
      <c r="J5" s="87">
        <v>38772</v>
      </c>
      <c r="K5" s="87">
        <v>38765</v>
      </c>
      <c r="L5" s="87">
        <v>38751</v>
      </c>
      <c r="M5" s="627"/>
      <c r="AC5" s="53"/>
    </row>
    <row r="6" spans="1:29" ht="19.5" customHeight="1">
      <c r="A6" s="631" t="s">
        <v>132</v>
      </c>
      <c r="B6" s="626"/>
      <c r="C6" s="88">
        <v>277</v>
      </c>
      <c r="D6" s="88">
        <v>164</v>
      </c>
      <c r="E6" s="88">
        <v>135</v>
      </c>
      <c r="F6" s="88">
        <v>83</v>
      </c>
      <c r="G6" s="88">
        <v>80</v>
      </c>
      <c r="H6" s="88">
        <v>62</v>
      </c>
      <c r="I6" s="88">
        <v>61</v>
      </c>
      <c r="J6" s="88">
        <v>49</v>
      </c>
      <c r="K6" s="88">
        <v>23</v>
      </c>
      <c r="L6" s="88">
        <v>51</v>
      </c>
      <c r="M6" s="627"/>
      <c r="AC6" s="53"/>
    </row>
    <row r="7" spans="1:13" s="66" customFormat="1" ht="15" customHeight="1">
      <c r="A7" s="625" t="s">
        <v>87</v>
      </c>
      <c r="B7" s="636"/>
      <c r="C7" s="89" t="s">
        <v>89</v>
      </c>
      <c r="D7" s="89" t="s">
        <v>89</v>
      </c>
      <c r="E7" s="89" t="s">
        <v>90</v>
      </c>
      <c r="F7" s="89" t="s">
        <v>91</v>
      </c>
      <c r="G7" s="89" t="s">
        <v>90</v>
      </c>
      <c r="H7" s="89" t="s">
        <v>92</v>
      </c>
      <c r="I7" s="89" t="s">
        <v>91</v>
      </c>
      <c r="J7" s="89" t="s">
        <v>90</v>
      </c>
      <c r="K7" s="89" t="s">
        <v>91</v>
      </c>
      <c r="L7" s="89" t="s">
        <v>92</v>
      </c>
      <c r="M7" s="627"/>
    </row>
    <row r="8" spans="1:13" s="66" customFormat="1" ht="15" customHeight="1">
      <c r="A8" s="637"/>
      <c r="B8" s="638"/>
      <c r="C8" s="90" t="s">
        <v>98</v>
      </c>
      <c r="D8" s="90" t="s">
        <v>99</v>
      </c>
      <c r="E8" s="90" t="s">
        <v>100</v>
      </c>
      <c r="F8" s="90" t="s">
        <v>104</v>
      </c>
      <c r="G8" s="90" t="s">
        <v>101</v>
      </c>
      <c r="H8" s="90" t="s">
        <v>105</v>
      </c>
      <c r="I8" s="90" t="s">
        <v>97</v>
      </c>
      <c r="J8" s="90" t="s">
        <v>108</v>
      </c>
      <c r="K8" s="90" t="s">
        <v>107</v>
      </c>
      <c r="L8" s="90" t="s">
        <v>105</v>
      </c>
      <c r="M8" s="627"/>
    </row>
    <row r="9" spans="1:29" ht="19.5" customHeight="1">
      <c r="A9" s="631" t="s">
        <v>113</v>
      </c>
      <c r="B9" s="626"/>
      <c r="C9" s="88">
        <v>4</v>
      </c>
      <c r="D9" s="88">
        <v>2</v>
      </c>
      <c r="E9" s="88">
        <v>15</v>
      </c>
      <c r="F9" s="88">
        <v>1</v>
      </c>
      <c r="G9" s="88">
        <v>3</v>
      </c>
      <c r="H9" s="88">
        <v>1</v>
      </c>
      <c r="I9" s="88">
        <v>3</v>
      </c>
      <c r="J9" s="88">
        <v>1</v>
      </c>
      <c r="K9" s="88">
        <v>2</v>
      </c>
      <c r="L9" s="88">
        <v>4</v>
      </c>
      <c r="M9" s="627"/>
      <c r="AC9" s="53"/>
    </row>
    <row r="10" spans="1:29" ht="19.5" customHeight="1" thickBot="1">
      <c r="A10" s="631" t="s">
        <v>114</v>
      </c>
      <c r="B10" s="626"/>
      <c r="C10" s="91">
        <v>317</v>
      </c>
      <c r="D10" s="91">
        <v>178</v>
      </c>
      <c r="E10" s="91">
        <v>134</v>
      </c>
      <c r="F10" s="91">
        <v>84</v>
      </c>
      <c r="G10" s="91">
        <v>80</v>
      </c>
      <c r="H10" s="91">
        <v>63</v>
      </c>
      <c r="I10" s="91">
        <v>61</v>
      </c>
      <c r="J10" s="91">
        <v>49</v>
      </c>
      <c r="K10" s="91">
        <v>24</v>
      </c>
      <c r="L10" s="91">
        <v>35</v>
      </c>
      <c r="M10" s="628"/>
      <c r="N10" s="69"/>
      <c r="O10" s="69"/>
      <c r="P10" s="69"/>
      <c r="Q10" s="69"/>
      <c r="R10" s="69"/>
      <c r="S10" s="69"/>
      <c r="T10" s="69"/>
      <c r="U10" s="69"/>
      <c r="AC10" s="53"/>
    </row>
    <row r="11" spans="1:29" ht="19.5" customHeight="1">
      <c r="A11" s="625" t="s">
        <v>115</v>
      </c>
      <c r="B11" s="92" t="s">
        <v>116</v>
      </c>
      <c r="C11" s="93">
        <v>249875.5</v>
      </c>
      <c r="D11" s="93">
        <v>137949</v>
      </c>
      <c r="E11" s="93">
        <v>89899.5</v>
      </c>
      <c r="F11" s="93">
        <v>97201.5</v>
      </c>
      <c r="G11" s="93">
        <v>64565.5</v>
      </c>
      <c r="H11" s="93">
        <v>34739</v>
      </c>
      <c r="I11" s="93">
        <v>32533.5</v>
      </c>
      <c r="J11" s="93">
        <v>24850.5</v>
      </c>
      <c r="K11" s="93">
        <v>33264</v>
      </c>
      <c r="L11" s="93">
        <v>13533</v>
      </c>
      <c r="M11" s="94">
        <f aca="true" t="shared" si="1" ref="M11:M18">SUM($C11:$L11)</f>
        <v>778411</v>
      </c>
      <c r="AC11" s="53"/>
    </row>
    <row r="12" spans="1:29" ht="19.5" customHeight="1">
      <c r="A12" s="637"/>
      <c r="B12" s="95" t="s">
        <v>117</v>
      </c>
      <c r="C12" s="96">
        <v>40324</v>
      </c>
      <c r="D12" s="96">
        <v>19730</v>
      </c>
      <c r="E12" s="96">
        <v>19940</v>
      </c>
      <c r="F12" s="96">
        <v>11587</v>
      </c>
      <c r="G12" s="96">
        <v>9847</v>
      </c>
      <c r="H12" s="96">
        <v>4205</v>
      </c>
      <c r="I12" s="96">
        <v>3932</v>
      </c>
      <c r="J12" s="96">
        <v>3307</v>
      </c>
      <c r="K12" s="96">
        <v>3295</v>
      </c>
      <c r="L12" s="96">
        <v>1928</v>
      </c>
      <c r="M12" s="97">
        <f t="shared" si="1"/>
        <v>118095</v>
      </c>
      <c r="AC12" s="53"/>
    </row>
    <row r="13" spans="1:29" ht="19.5" customHeight="1">
      <c r="A13" s="625" t="s">
        <v>118</v>
      </c>
      <c r="B13" s="92" t="s">
        <v>116</v>
      </c>
      <c r="C13" s="93">
        <v>487530</v>
      </c>
      <c r="D13" s="93">
        <v>301224</v>
      </c>
      <c r="E13" s="93">
        <v>145789.5</v>
      </c>
      <c r="F13" s="93">
        <v>167081</v>
      </c>
      <c r="G13" s="93">
        <v>134298.5</v>
      </c>
      <c r="H13" s="93">
        <v>131715</v>
      </c>
      <c r="I13" s="93">
        <v>51075.5</v>
      </c>
      <c r="J13" s="93">
        <v>43085.5</v>
      </c>
      <c r="K13" s="93">
        <v>52561</v>
      </c>
      <c r="L13" s="93">
        <v>25379</v>
      </c>
      <c r="M13" s="98">
        <f t="shared" si="1"/>
        <v>1539739</v>
      </c>
      <c r="AC13" s="53"/>
    </row>
    <row r="14" spans="1:29" ht="19.5" customHeight="1">
      <c r="A14" s="637"/>
      <c r="B14" s="95" t="s">
        <v>117</v>
      </c>
      <c r="C14" s="96">
        <v>75617</v>
      </c>
      <c r="D14" s="96">
        <v>40982</v>
      </c>
      <c r="E14" s="96">
        <v>29693</v>
      </c>
      <c r="F14" s="96">
        <v>19468</v>
      </c>
      <c r="G14" s="96">
        <v>19196</v>
      </c>
      <c r="H14" s="96">
        <v>15577</v>
      </c>
      <c r="I14" s="96">
        <v>5877</v>
      </c>
      <c r="J14" s="96">
        <v>5494</v>
      </c>
      <c r="K14" s="96">
        <v>5075</v>
      </c>
      <c r="L14" s="96">
        <v>3436</v>
      </c>
      <c r="M14" s="97">
        <f t="shared" si="1"/>
        <v>220415</v>
      </c>
      <c r="AC14" s="53"/>
    </row>
    <row r="15" spans="1:29" ht="19.5" customHeight="1">
      <c r="A15" s="625" t="s">
        <v>119</v>
      </c>
      <c r="B15" s="92" t="s">
        <v>116</v>
      </c>
      <c r="C15" s="93">
        <v>497280.5</v>
      </c>
      <c r="D15" s="93">
        <v>290991.5</v>
      </c>
      <c r="E15" s="93">
        <v>149275.5</v>
      </c>
      <c r="F15" s="93">
        <v>155902.5</v>
      </c>
      <c r="G15" s="93">
        <v>133664.5</v>
      </c>
      <c r="H15" s="93">
        <v>142573</v>
      </c>
      <c r="I15" s="93">
        <v>49698</v>
      </c>
      <c r="J15" s="93">
        <v>41695</v>
      </c>
      <c r="K15" s="93">
        <v>51243.5</v>
      </c>
      <c r="L15" s="93">
        <v>24609</v>
      </c>
      <c r="M15" s="98">
        <f t="shared" si="1"/>
        <v>1536933</v>
      </c>
      <c r="AC15" s="53"/>
    </row>
    <row r="16" spans="1:29" ht="19.5" customHeight="1">
      <c r="A16" s="637"/>
      <c r="B16" s="95" t="s">
        <v>117</v>
      </c>
      <c r="C16" s="96">
        <v>75133</v>
      </c>
      <c r="D16" s="96">
        <v>39559</v>
      </c>
      <c r="E16" s="96">
        <v>29491</v>
      </c>
      <c r="F16" s="96">
        <v>18582</v>
      </c>
      <c r="G16" s="96">
        <v>18535</v>
      </c>
      <c r="H16" s="96">
        <v>16729</v>
      </c>
      <c r="I16" s="96">
        <v>5767</v>
      </c>
      <c r="J16" s="96">
        <v>5395</v>
      </c>
      <c r="K16" s="96">
        <v>4999</v>
      </c>
      <c r="L16" s="96">
        <v>3358</v>
      </c>
      <c r="M16" s="99">
        <f t="shared" si="1"/>
        <v>217548</v>
      </c>
      <c r="AC16" s="53"/>
    </row>
    <row r="17" spans="1:29" ht="19.5" customHeight="1">
      <c r="A17" s="639" t="s">
        <v>120</v>
      </c>
      <c r="B17" s="124" t="s">
        <v>116</v>
      </c>
      <c r="C17" s="125">
        <f aca="true" t="shared" si="2" ref="C17:L18">C11+C13+C15</f>
        <v>1234686</v>
      </c>
      <c r="D17" s="125">
        <f t="shared" si="2"/>
        <v>730164.5</v>
      </c>
      <c r="E17" s="125">
        <f t="shared" si="2"/>
        <v>384964.5</v>
      </c>
      <c r="F17" s="125">
        <f t="shared" si="2"/>
        <v>420185</v>
      </c>
      <c r="G17" s="125">
        <f t="shared" si="2"/>
        <v>332528.5</v>
      </c>
      <c r="H17" s="125">
        <f t="shared" si="2"/>
        <v>309027</v>
      </c>
      <c r="I17" s="125">
        <f t="shared" si="2"/>
        <v>133307</v>
      </c>
      <c r="J17" s="125">
        <f t="shared" si="2"/>
        <v>109631</v>
      </c>
      <c r="K17" s="125">
        <f t="shared" si="2"/>
        <v>137068.5</v>
      </c>
      <c r="L17" s="125">
        <f t="shared" si="2"/>
        <v>63521</v>
      </c>
      <c r="M17" s="102">
        <f t="shared" si="1"/>
        <v>3855083</v>
      </c>
      <c r="AC17" s="53"/>
    </row>
    <row r="18" spans="1:29" ht="19.5" customHeight="1">
      <c r="A18" s="640"/>
      <c r="B18" s="126" t="s">
        <v>117</v>
      </c>
      <c r="C18" s="127">
        <f t="shared" si="2"/>
        <v>191074</v>
      </c>
      <c r="D18" s="127">
        <f t="shared" si="2"/>
        <v>100271</v>
      </c>
      <c r="E18" s="127">
        <f t="shared" si="2"/>
        <v>79124</v>
      </c>
      <c r="F18" s="127">
        <f t="shared" si="2"/>
        <v>49637</v>
      </c>
      <c r="G18" s="127">
        <f t="shared" si="2"/>
        <v>47578</v>
      </c>
      <c r="H18" s="127">
        <f t="shared" si="2"/>
        <v>36511</v>
      </c>
      <c r="I18" s="127">
        <f t="shared" si="2"/>
        <v>15576</v>
      </c>
      <c r="J18" s="127">
        <f t="shared" si="2"/>
        <v>14196</v>
      </c>
      <c r="K18" s="127">
        <f t="shared" si="2"/>
        <v>13369</v>
      </c>
      <c r="L18" s="127">
        <f t="shared" si="2"/>
        <v>8722</v>
      </c>
      <c r="M18" s="105">
        <f t="shared" si="1"/>
        <v>556058</v>
      </c>
      <c r="AC18" s="53"/>
    </row>
    <row r="19" spans="1:13" s="108" customFormat="1" ht="19.5" customHeight="1">
      <c r="A19" s="641" t="s">
        <v>133</v>
      </c>
      <c r="B19" s="642"/>
      <c r="C19" s="106">
        <f aca="true" t="shared" si="3" ref="C19:L19">IF(C18&lt;&gt;0,C18/$M$18*100,"")</f>
        <v>34.362242787622876</v>
      </c>
      <c r="D19" s="106">
        <f t="shared" si="3"/>
        <v>18.032471432836143</v>
      </c>
      <c r="E19" s="106">
        <f t="shared" si="3"/>
        <v>14.229450884619949</v>
      </c>
      <c r="F19" s="106">
        <f t="shared" si="3"/>
        <v>8.92658679490269</v>
      </c>
      <c r="G19" s="106">
        <f t="shared" si="3"/>
        <v>8.55630168075992</v>
      </c>
      <c r="H19" s="106">
        <f t="shared" si="3"/>
        <v>6.566041671911922</v>
      </c>
      <c r="I19" s="106">
        <f t="shared" si="3"/>
        <v>2.8011466429760925</v>
      </c>
      <c r="J19" s="106">
        <f t="shared" si="3"/>
        <v>2.5529710929435416</v>
      </c>
      <c r="K19" s="106">
        <f t="shared" si="3"/>
        <v>2.4042456002791077</v>
      </c>
      <c r="L19" s="106">
        <f t="shared" si="3"/>
        <v>1.5685414111477578</v>
      </c>
      <c r="M19" s="107"/>
    </row>
    <row r="20" spans="1:29" ht="19.5" customHeight="1">
      <c r="A20" s="643" t="s">
        <v>121</v>
      </c>
      <c r="B20" s="644"/>
      <c r="C20" s="109">
        <v>379472</v>
      </c>
      <c r="D20" s="109">
        <v>157731</v>
      </c>
      <c r="E20" s="109">
        <v>88010</v>
      </c>
      <c r="F20" s="109"/>
      <c r="G20" s="109">
        <v>73886</v>
      </c>
      <c r="H20" s="109"/>
      <c r="I20" s="109">
        <v>28441</v>
      </c>
      <c r="J20" s="109"/>
      <c r="K20" s="109">
        <v>15360</v>
      </c>
      <c r="L20" s="109">
        <v>16607</v>
      </c>
      <c r="M20" s="110">
        <f>SUM($C20:$L20)</f>
        <v>759507</v>
      </c>
      <c r="AC20" s="53"/>
    </row>
    <row r="21" spans="1:29" ht="19.5" customHeight="1">
      <c r="A21" s="645" t="s">
        <v>122</v>
      </c>
      <c r="B21" s="646"/>
      <c r="C21" s="111">
        <f aca="true" t="shared" si="4" ref="C21:L21">IF(C20&lt;&gt;0,(+C18-C20)/C20*100," ")</f>
        <v>-49.64740481511152</v>
      </c>
      <c r="D21" s="111">
        <f t="shared" si="4"/>
        <v>-36.42911032073594</v>
      </c>
      <c r="E21" s="111">
        <f t="shared" si="4"/>
        <v>-10.096579934098399</v>
      </c>
      <c r="F21" s="111" t="str">
        <f t="shared" si="4"/>
        <v> </v>
      </c>
      <c r="G21" s="111">
        <f t="shared" si="4"/>
        <v>-35.6062041523428</v>
      </c>
      <c r="H21" s="111" t="str">
        <f t="shared" si="4"/>
        <v> </v>
      </c>
      <c r="I21" s="111">
        <f t="shared" si="4"/>
        <v>-45.2339931788615</v>
      </c>
      <c r="J21" s="111" t="str">
        <f t="shared" si="4"/>
        <v> </v>
      </c>
      <c r="K21" s="111">
        <f t="shared" si="4"/>
        <v>-12.962239583333332</v>
      </c>
      <c r="L21" s="111">
        <f t="shared" si="4"/>
        <v>-47.479978322394174</v>
      </c>
      <c r="M21" s="112">
        <f>(+M18-M20)/M20*100</f>
        <v>-26.786981555140375</v>
      </c>
      <c r="AC21" s="53"/>
    </row>
    <row r="22" spans="1:29" ht="19.5" customHeight="1">
      <c r="A22" s="643" t="s">
        <v>123</v>
      </c>
      <c r="B22" s="644"/>
      <c r="C22" s="113">
        <f aca="true" t="shared" si="5" ref="C22:L22">IF(C18&lt;&gt;0,+C18/C10," ")</f>
        <v>602.7570977917981</v>
      </c>
      <c r="D22" s="113">
        <f t="shared" si="5"/>
        <v>563.3202247191011</v>
      </c>
      <c r="E22" s="113">
        <f t="shared" si="5"/>
        <v>590.4776119402985</v>
      </c>
      <c r="F22" s="113">
        <f t="shared" si="5"/>
        <v>590.9166666666666</v>
      </c>
      <c r="G22" s="113">
        <f t="shared" si="5"/>
        <v>594.725</v>
      </c>
      <c r="H22" s="113">
        <f t="shared" si="5"/>
        <v>579.5396825396825</v>
      </c>
      <c r="I22" s="113">
        <f t="shared" si="5"/>
        <v>255.34426229508196</v>
      </c>
      <c r="J22" s="113">
        <f t="shared" si="5"/>
        <v>289.7142857142857</v>
      </c>
      <c r="K22" s="113">
        <f t="shared" si="5"/>
        <v>557.0416666666666</v>
      </c>
      <c r="L22" s="113">
        <f t="shared" si="5"/>
        <v>249.2</v>
      </c>
      <c r="M22" s="114">
        <f>M18/(SUM(C10:L10))</f>
        <v>542.4956097560976</v>
      </c>
      <c r="AC22" s="53"/>
    </row>
    <row r="23" spans="1:29" ht="19.5" customHeight="1">
      <c r="A23" s="648" t="s">
        <v>124</v>
      </c>
      <c r="B23" s="649"/>
      <c r="C23" s="115">
        <f aca="true" t="shared" si="6" ref="C23:L23">IF(C17&lt;&gt;0,+C17/C18," ")</f>
        <v>6.461821074557501</v>
      </c>
      <c r="D23" s="115">
        <f t="shared" si="6"/>
        <v>7.28191102113273</v>
      </c>
      <c r="E23" s="115">
        <f t="shared" si="6"/>
        <v>4.865331631363429</v>
      </c>
      <c r="F23" s="115">
        <f t="shared" si="6"/>
        <v>8.465157040111208</v>
      </c>
      <c r="G23" s="115">
        <f t="shared" si="6"/>
        <v>6.989123124133003</v>
      </c>
      <c r="H23" s="115">
        <f t="shared" si="6"/>
        <v>8.463942373531264</v>
      </c>
      <c r="I23" s="115">
        <f t="shared" si="6"/>
        <v>8.558487416538265</v>
      </c>
      <c r="J23" s="115">
        <f t="shared" si="6"/>
        <v>7.722668357283742</v>
      </c>
      <c r="K23" s="115">
        <f t="shared" si="6"/>
        <v>10.252711496746205</v>
      </c>
      <c r="L23" s="115">
        <f t="shared" si="6"/>
        <v>7.282847970648934</v>
      </c>
      <c r="M23" s="116">
        <f>M17/M18</f>
        <v>6.932879303957501</v>
      </c>
      <c r="AC23" s="53"/>
    </row>
    <row r="24" spans="1:29" ht="19.5" customHeight="1">
      <c r="A24" s="643" t="s">
        <v>125</v>
      </c>
      <c r="B24" s="644"/>
      <c r="C24" s="128">
        <v>25153970</v>
      </c>
      <c r="D24" s="128">
        <v>2348940</v>
      </c>
      <c r="E24" s="128">
        <v>23277107</v>
      </c>
      <c r="F24" s="128">
        <v>420185</v>
      </c>
      <c r="G24" s="128">
        <v>2154820</v>
      </c>
      <c r="H24" s="128">
        <v>309027</v>
      </c>
      <c r="I24" s="128">
        <v>1042428.5</v>
      </c>
      <c r="J24" s="128">
        <v>109631</v>
      </c>
      <c r="K24" s="128">
        <v>370924</v>
      </c>
      <c r="L24" s="128">
        <v>1135941</v>
      </c>
      <c r="M24" s="118">
        <f>SUM($C24:$L24)</f>
        <v>56322973.5</v>
      </c>
      <c r="AC24" s="53"/>
    </row>
    <row r="25" spans="1:29" ht="19.5" customHeight="1">
      <c r="A25" s="650" t="s">
        <v>126</v>
      </c>
      <c r="B25" s="651"/>
      <c r="C25" s="129">
        <v>3809525</v>
      </c>
      <c r="D25" s="129">
        <v>332832</v>
      </c>
      <c r="E25" s="129">
        <v>3362731</v>
      </c>
      <c r="F25" s="129">
        <v>49637</v>
      </c>
      <c r="G25" s="129">
        <v>316722</v>
      </c>
      <c r="H25" s="129">
        <v>36511</v>
      </c>
      <c r="I25" s="129">
        <v>122561</v>
      </c>
      <c r="J25" s="129">
        <v>14196</v>
      </c>
      <c r="K25" s="129">
        <v>37338</v>
      </c>
      <c r="L25" s="129">
        <v>137503</v>
      </c>
      <c r="M25" s="120">
        <f>SUM($C25:$L25)</f>
        <v>8219556</v>
      </c>
      <c r="AC25" s="53"/>
    </row>
    <row r="26" spans="1:29" ht="19.5" customHeight="1" thickBot="1">
      <c r="A26" s="652" t="s">
        <v>124</v>
      </c>
      <c r="B26" s="653"/>
      <c r="C26" s="121">
        <f aca="true" t="shared" si="7" ref="C26:L26">IF(C24&lt;&gt;0,+C24/C25," ")</f>
        <v>6.6029150615890435</v>
      </c>
      <c r="D26" s="121">
        <f t="shared" si="7"/>
        <v>7.0574343813094895</v>
      </c>
      <c r="E26" s="121">
        <f t="shared" si="7"/>
        <v>6.92208416314002</v>
      </c>
      <c r="F26" s="121">
        <f t="shared" si="7"/>
        <v>8.465157040111208</v>
      </c>
      <c r="G26" s="121">
        <f t="shared" si="7"/>
        <v>6.8035059137035</v>
      </c>
      <c r="H26" s="121">
        <f t="shared" si="7"/>
        <v>8.463942373531264</v>
      </c>
      <c r="I26" s="121">
        <f t="shared" si="7"/>
        <v>8.505385073555209</v>
      </c>
      <c r="J26" s="121">
        <f t="shared" si="7"/>
        <v>7.722668357283742</v>
      </c>
      <c r="K26" s="121">
        <f t="shared" si="7"/>
        <v>9.934222507900799</v>
      </c>
      <c r="L26" s="121">
        <f t="shared" si="7"/>
        <v>8.261208846352444</v>
      </c>
      <c r="M26" s="122">
        <f>M24/M25</f>
        <v>6.8523133731311034</v>
      </c>
      <c r="AC26" s="53"/>
    </row>
    <row r="27" spans="21:30" ht="9.75" customHeight="1">
      <c r="U27" s="130"/>
      <c r="V27" s="130"/>
      <c r="W27" s="131"/>
      <c r="X27" s="131"/>
      <c r="Y27" s="131"/>
      <c r="Z27" s="131"/>
      <c r="AC27" s="84"/>
      <c r="AD27" s="84"/>
    </row>
    <row r="28" spans="1:32" s="134" customFormat="1" ht="12" customHeight="1">
      <c r="A28" s="647" t="s">
        <v>139</v>
      </c>
      <c r="B28" s="647"/>
      <c r="C28" s="647"/>
      <c r="D28" s="647"/>
      <c r="E28" s="647"/>
      <c r="F28" s="647"/>
      <c r="G28" s="647"/>
      <c r="H28" s="647"/>
      <c r="I28" s="647"/>
      <c r="J28" s="647"/>
      <c r="K28" s="647"/>
      <c r="L28" s="647"/>
      <c r="M28" s="647"/>
      <c r="N28" s="133"/>
      <c r="O28" s="133"/>
      <c r="P28" s="132"/>
      <c r="Q28" s="132"/>
      <c r="R28" s="132"/>
      <c r="AC28" s="135"/>
      <c r="AD28" s="135"/>
      <c r="AE28" s="135"/>
      <c r="AF28" s="135"/>
    </row>
    <row r="29" spans="29:32" ht="11.25">
      <c r="AC29" s="84"/>
      <c r="AD29" s="84"/>
      <c r="AE29" s="84"/>
      <c r="AF29" s="84"/>
    </row>
    <row r="30" spans="29:32" ht="11.25">
      <c r="AC30" s="84"/>
      <c r="AD30" s="84"/>
      <c r="AE30" s="84"/>
      <c r="AF30" s="84"/>
    </row>
    <row r="31" spans="29:32" ht="11.25">
      <c r="AC31" s="84"/>
      <c r="AD31" s="84"/>
      <c r="AE31" s="84"/>
      <c r="AF31" s="84"/>
    </row>
    <row r="32" spans="29:32" ht="11.25">
      <c r="AC32" s="84"/>
      <c r="AD32" s="84"/>
      <c r="AE32" s="84"/>
      <c r="AF32" s="84"/>
    </row>
    <row r="33" spans="29:32" ht="11.25">
      <c r="AC33" s="84"/>
      <c r="AD33" s="84"/>
      <c r="AE33" s="84"/>
      <c r="AF33" s="84"/>
    </row>
    <row r="34" spans="29:32" ht="11.25">
      <c r="AC34" s="84"/>
      <c r="AD34" s="84"/>
      <c r="AE34" s="84"/>
      <c r="AF34" s="84"/>
    </row>
    <row r="35" spans="29:32" ht="11.25">
      <c r="AC35" s="84"/>
      <c r="AD35" s="84"/>
      <c r="AE35" s="84"/>
      <c r="AF35" s="84"/>
    </row>
    <row r="36" spans="29:32" ht="11.25">
      <c r="AC36" s="84"/>
      <c r="AD36" s="84"/>
      <c r="AE36" s="84"/>
      <c r="AF36" s="84"/>
    </row>
    <row r="37" spans="29:32" ht="11.25">
      <c r="AC37" s="84"/>
      <c r="AD37" s="84"/>
      <c r="AE37" s="84"/>
      <c r="AF37" s="84"/>
    </row>
    <row r="38" spans="29:32" ht="11.25">
      <c r="AC38" s="84"/>
      <c r="AD38" s="84"/>
      <c r="AE38" s="84"/>
      <c r="AF38" s="84"/>
    </row>
    <row r="39" spans="29:32" ht="11.25">
      <c r="AC39" s="84"/>
      <c r="AD39" s="84"/>
      <c r="AE39" s="84"/>
      <c r="AF39" s="84"/>
    </row>
    <row r="40" spans="29:32" ht="11.25">
      <c r="AC40" s="84"/>
      <c r="AD40" s="84"/>
      <c r="AE40" s="84"/>
      <c r="AF40" s="84"/>
    </row>
    <row r="41" spans="29:32" ht="11.25">
      <c r="AC41" s="84"/>
      <c r="AD41" s="84"/>
      <c r="AE41" s="84"/>
      <c r="AF41" s="84"/>
    </row>
    <row r="42" spans="29:32" ht="11.25">
      <c r="AC42" s="84"/>
      <c r="AD42" s="84"/>
      <c r="AE42" s="84"/>
      <c r="AF42" s="84"/>
    </row>
    <row r="43" spans="29:32" ht="11.25">
      <c r="AC43" s="84"/>
      <c r="AD43" s="84"/>
      <c r="AE43" s="84"/>
      <c r="AF43" s="84"/>
    </row>
    <row r="44" spans="29:32" ht="11.25">
      <c r="AC44" s="84"/>
      <c r="AD44" s="84"/>
      <c r="AE44" s="84"/>
      <c r="AF44" s="84"/>
    </row>
    <row r="45" spans="29:32" ht="11.25">
      <c r="AC45" s="84"/>
      <c r="AD45" s="84"/>
      <c r="AE45" s="84"/>
      <c r="AF45" s="84"/>
    </row>
    <row r="46" spans="29:32" ht="11.25">
      <c r="AC46" s="84"/>
      <c r="AD46" s="84"/>
      <c r="AE46" s="84"/>
      <c r="AF46" s="84"/>
    </row>
    <row r="47" spans="29:32" ht="11.25">
      <c r="AC47" s="84"/>
      <c r="AD47" s="84"/>
      <c r="AE47" s="84"/>
      <c r="AF47" s="84"/>
    </row>
    <row r="48" spans="29:32" ht="11.25">
      <c r="AC48" s="84"/>
      <c r="AD48" s="84"/>
      <c r="AE48" s="84"/>
      <c r="AF48" s="84"/>
    </row>
    <row r="49" spans="29:32" ht="11.25">
      <c r="AC49" s="84"/>
      <c r="AD49" s="84"/>
      <c r="AE49" s="84"/>
      <c r="AF49" s="84"/>
    </row>
    <row r="50" spans="29:32" ht="11.25">
      <c r="AC50" s="84"/>
      <c r="AD50" s="84"/>
      <c r="AE50" s="84"/>
      <c r="AF50" s="84"/>
    </row>
    <row r="51" spans="29:32" ht="11.25">
      <c r="AC51" s="84"/>
      <c r="AD51" s="84"/>
      <c r="AE51" s="84"/>
      <c r="AF51" s="84"/>
    </row>
    <row r="52" spans="29:32" ht="11.25">
      <c r="AC52" s="84"/>
      <c r="AD52" s="84"/>
      <c r="AE52" s="84"/>
      <c r="AF52" s="84"/>
    </row>
    <row r="53" spans="29:32" ht="11.25">
      <c r="AC53" s="84"/>
      <c r="AD53" s="84"/>
      <c r="AE53" s="84"/>
      <c r="AF53" s="84"/>
    </row>
    <row r="54" spans="29:32" ht="11.25">
      <c r="AC54" s="84"/>
      <c r="AD54" s="84"/>
      <c r="AE54" s="84"/>
      <c r="AF54" s="84"/>
    </row>
    <row r="55" spans="29:32" ht="11.25">
      <c r="AC55" s="84"/>
      <c r="AD55" s="84"/>
      <c r="AE55" s="84"/>
      <c r="AF55" s="84"/>
    </row>
    <row r="56" spans="29:32" ht="11.25">
      <c r="AC56" s="84"/>
      <c r="AD56" s="84"/>
      <c r="AE56" s="84"/>
      <c r="AF56" s="84"/>
    </row>
    <row r="57" spans="29:32" ht="11.25">
      <c r="AC57" s="84"/>
      <c r="AD57" s="84"/>
      <c r="AE57" s="84"/>
      <c r="AF57" s="84"/>
    </row>
    <row r="58" spans="29:32" ht="11.25">
      <c r="AC58" s="84"/>
      <c r="AD58" s="84"/>
      <c r="AE58" s="84"/>
      <c r="AF58" s="84"/>
    </row>
    <row r="59" spans="29:32" ht="11.25">
      <c r="AC59" s="84"/>
      <c r="AD59" s="84"/>
      <c r="AE59" s="84"/>
      <c r="AF59" s="84"/>
    </row>
    <row r="60" spans="29:32" ht="11.25">
      <c r="AC60" s="84"/>
      <c r="AD60" s="84"/>
      <c r="AE60" s="84"/>
      <c r="AF60" s="84"/>
    </row>
    <row r="61" spans="29:32" ht="11.25">
      <c r="AC61" s="84"/>
      <c r="AD61" s="84"/>
      <c r="AE61" s="84"/>
      <c r="AF61" s="84"/>
    </row>
    <row r="62" spans="29:32" ht="11.25">
      <c r="AC62" s="84"/>
      <c r="AD62" s="84"/>
      <c r="AE62" s="84"/>
      <c r="AF62" s="84"/>
    </row>
    <row r="63" spans="29:32" ht="11.25">
      <c r="AC63" s="84"/>
      <c r="AD63" s="84"/>
      <c r="AE63" s="84"/>
      <c r="AF63" s="84"/>
    </row>
    <row r="64" spans="29:32" ht="11.25">
      <c r="AC64" s="84"/>
      <c r="AD64" s="84"/>
      <c r="AE64" s="84"/>
      <c r="AF64" s="84"/>
    </row>
    <row r="65" spans="29:32" ht="11.25">
      <c r="AC65" s="84"/>
      <c r="AD65" s="84"/>
      <c r="AE65" s="84"/>
      <c r="AF65" s="84"/>
    </row>
    <row r="66" spans="29:32" ht="11.25">
      <c r="AC66" s="84"/>
      <c r="AD66" s="84"/>
      <c r="AE66" s="84"/>
      <c r="AF66" s="84"/>
    </row>
    <row r="67" spans="29:32" ht="11.25">
      <c r="AC67" s="84"/>
      <c r="AD67" s="84"/>
      <c r="AE67" s="84"/>
      <c r="AF67" s="84"/>
    </row>
    <row r="68" spans="29:32" ht="11.25">
      <c r="AC68" s="84"/>
      <c r="AD68" s="84"/>
      <c r="AE68" s="84"/>
      <c r="AF68" s="84"/>
    </row>
    <row r="69" spans="29:32" ht="11.25">
      <c r="AC69" s="84"/>
      <c r="AD69" s="84"/>
      <c r="AE69" s="84"/>
      <c r="AF69" s="84"/>
    </row>
    <row r="70" spans="29:32" ht="11.25">
      <c r="AC70" s="84"/>
      <c r="AD70" s="84"/>
      <c r="AE70" s="84"/>
      <c r="AF70" s="84"/>
    </row>
    <row r="71" spans="29:32" ht="11.25">
      <c r="AC71" s="84"/>
      <c r="AD71" s="84"/>
      <c r="AE71" s="84"/>
      <c r="AF71" s="84"/>
    </row>
    <row r="72" spans="29:32" ht="11.25">
      <c r="AC72" s="84"/>
      <c r="AD72" s="84"/>
      <c r="AE72" s="84"/>
      <c r="AF72" s="84"/>
    </row>
    <row r="73" spans="29:32" ht="11.25">
      <c r="AC73" s="84"/>
      <c r="AD73" s="84"/>
      <c r="AE73" s="84"/>
      <c r="AF73" s="84"/>
    </row>
    <row r="74" spans="29:32" ht="11.25">
      <c r="AC74" s="84"/>
      <c r="AD74" s="84"/>
      <c r="AE74" s="84"/>
      <c r="AF74" s="84"/>
    </row>
    <row r="75" spans="29:32" ht="11.25">
      <c r="AC75" s="84"/>
      <c r="AD75" s="84"/>
      <c r="AE75" s="84"/>
      <c r="AF75" s="84"/>
    </row>
    <row r="76" spans="29:32" ht="11.25">
      <c r="AC76" s="84"/>
      <c r="AD76" s="84"/>
      <c r="AE76" s="84"/>
      <c r="AF76" s="84"/>
    </row>
    <row r="77" spans="29:32" ht="11.25">
      <c r="AC77" s="84"/>
      <c r="AD77" s="84"/>
      <c r="AE77" s="84"/>
      <c r="AF77" s="84"/>
    </row>
    <row r="78" spans="29:32" ht="11.25">
      <c r="AC78" s="84"/>
      <c r="AD78" s="84"/>
      <c r="AE78" s="84"/>
      <c r="AF78" s="84"/>
    </row>
    <row r="79" spans="29:32" ht="11.25">
      <c r="AC79" s="84"/>
      <c r="AD79" s="84"/>
      <c r="AE79" s="84"/>
      <c r="AF79" s="84"/>
    </row>
    <row r="80" spans="29:32" ht="11.25">
      <c r="AC80" s="84"/>
      <c r="AD80" s="84"/>
      <c r="AE80" s="84"/>
      <c r="AF80" s="84"/>
    </row>
    <row r="81" spans="29:32" ht="11.25">
      <c r="AC81" s="84"/>
      <c r="AD81" s="84"/>
      <c r="AE81" s="84"/>
      <c r="AF81" s="84"/>
    </row>
    <row r="82" spans="29:32" ht="11.25">
      <c r="AC82" s="84"/>
      <c r="AD82" s="84"/>
      <c r="AE82" s="84"/>
      <c r="AF82" s="84"/>
    </row>
    <row r="83" spans="29:32" ht="11.25">
      <c r="AC83" s="84"/>
      <c r="AD83" s="84"/>
      <c r="AE83" s="84"/>
      <c r="AF83" s="84"/>
    </row>
    <row r="84" spans="29:32" ht="11.25">
      <c r="AC84" s="84"/>
      <c r="AD84" s="84"/>
      <c r="AE84" s="84"/>
      <c r="AF84" s="84"/>
    </row>
    <row r="85" spans="29:32" ht="11.25">
      <c r="AC85" s="84"/>
      <c r="AD85" s="84"/>
      <c r="AE85" s="84"/>
      <c r="AF85" s="84"/>
    </row>
    <row r="86" spans="29:32" ht="11.25">
      <c r="AC86" s="84"/>
      <c r="AD86" s="84"/>
      <c r="AE86" s="84"/>
      <c r="AF86" s="84"/>
    </row>
    <row r="87" spans="29:32" ht="11.25">
      <c r="AC87" s="84"/>
      <c r="AD87" s="84"/>
      <c r="AE87" s="84"/>
      <c r="AF87" s="84"/>
    </row>
    <row r="88" spans="29:32" ht="11.25">
      <c r="AC88" s="84"/>
      <c r="AD88" s="84"/>
      <c r="AE88" s="84"/>
      <c r="AF88" s="84"/>
    </row>
    <row r="89" spans="29:32" ht="11.25">
      <c r="AC89" s="84"/>
      <c r="AD89" s="84"/>
      <c r="AE89" s="84"/>
      <c r="AF89" s="84"/>
    </row>
    <row r="90" spans="29:32" ht="11.25">
      <c r="AC90" s="84"/>
      <c r="AD90" s="84"/>
      <c r="AE90" s="84"/>
      <c r="AF90" s="84"/>
    </row>
    <row r="91" spans="29:32" ht="11.25">
      <c r="AC91" s="84"/>
      <c r="AD91" s="84"/>
      <c r="AE91" s="84"/>
      <c r="AF91" s="84"/>
    </row>
    <row r="92" spans="29:32" ht="11.25">
      <c r="AC92" s="84"/>
      <c r="AD92" s="84"/>
      <c r="AE92" s="84"/>
      <c r="AF92" s="84"/>
    </row>
    <row r="93" spans="29:32" ht="11.25">
      <c r="AC93" s="84"/>
      <c r="AD93" s="84"/>
      <c r="AE93" s="84"/>
      <c r="AF93" s="84"/>
    </row>
    <row r="94" spans="29:32" ht="11.25">
      <c r="AC94" s="84"/>
      <c r="AD94" s="84"/>
      <c r="AE94" s="84"/>
      <c r="AF94" s="84"/>
    </row>
    <row r="95" spans="29:32" ht="11.25">
      <c r="AC95" s="84"/>
      <c r="AD95" s="84"/>
      <c r="AE95" s="84"/>
      <c r="AF95" s="84"/>
    </row>
    <row r="96" spans="29:32" ht="11.25">
      <c r="AC96" s="84"/>
      <c r="AD96" s="84"/>
      <c r="AE96" s="84"/>
      <c r="AF96" s="84"/>
    </row>
    <row r="97" spans="29:32" ht="11.25">
      <c r="AC97" s="84"/>
      <c r="AD97" s="84"/>
      <c r="AE97" s="84"/>
      <c r="AF97" s="84"/>
    </row>
    <row r="98" spans="29:32" ht="11.25">
      <c r="AC98" s="84"/>
      <c r="AD98" s="84"/>
      <c r="AE98" s="84"/>
      <c r="AF98" s="84"/>
    </row>
    <row r="99" spans="29:32" ht="11.25">
      <c r="AC99" s="84"/>
      <c r="AD99" s="84"/>
      <c r="AE99" s="84"/>
      <c r="AF99" s="84"/>
    </row>
    <row r="100" spans="29:32" ht="11.25">
      <c r="AC100" s="84"/>
      <c r="AD100" s="84"/>
      <c r="AE100" s="84"/>
      <c r="AF100" s="84"/>
    </row>
    <row r="101" spans="29:32" ht="11.25">
      <c r="AC101" s="84"/>
      <c r="AD101" s="84"/>
      <c r="AE101" s="84"/>
      <c r="AF101" s="84"/>
    </row>
    <row r="102" spans="29:32" ht="11.25">
      <c r="AC102" s="84"/>
      <c r="AD102" s="84"/>
      <c r="AE102" s="84"/>
      <c r="AF102" s="84"/>
    </row>
    <row r="103" spans="29:32" ht="11.25">
      <c r="AC103" s="84"/>
      <c r="AD103" s="84"/>
      <c r="AE103" s="84"/>
      <c r="AF103" s="84"/>
    </row>
    <row r="104" spans="29:32" ht="11.25">
      <c r="AC104" s="84"/>
      <c r="AD104" s="84"/>
      <c r="AE104" s="84"/>
      <c r="AF104" s="84"/>
    </row>
    <row r="105" spans="29:32" ht="11.25">
      <c r="AC105" s="84"/>
      <c r="AD105" s="84"/>
      <c r="AE105" s="84"/>
      <c r="AF105" s="84"/>
    </row>
    <row r="106" spans="29:32" ht="11.25">
      <c r="AC106" s="84"/>
      <c r="AD106" s="84"/>
      <c r="AE106" s="84"/>
      <c r="AF106" s="84"/>
    </row>
    <row r="107" spans="29:32" ht="11.25">
      <c r="AC107" s="84"/>
      <c r="AD107" s="84"/>
      <c r="AE107" s="84"/>
      <c r="AF107" s="84"/>
    </row>
    <row r="108" spans="29:32" ht="11.25">
      <c r="AC108" s="84"/>
      <c r="AD108" s="84"/>
      <c r="AE108" s="84"/>
      <c r="AF108" s="84"/>
    </row>
    <row r="109" spans="29:32" ht="11.25">
      <c r="AC109" s="84"/>
      <c r="AD109" s="84"/>
      <c r="AE109" s="84"/>
      <c r="AF109" s="84"/>
    </row>
    <row r="110" spans="29:32" ht="11.25">
      <c r="AC110" s="84"/>
      <c r="AD110" s="84"/>
      <c r="AE110" s="84"/>
      <c r="AF110" s="84"/>
    </row>
    <row r="111" spans="29:32" ht="11.25">
      <c r="AC111" s="84"/>
      <c r="AD111" s="84"/>
      <c r="AE111" s="84"/>
      <c r="AF111" s="84"/>
    </row>
    <row r="112" spans="29:32" ht="11.25">
      <c r="AC112" s="84"/>
      <c r="AD112" s="84"/>
      <c r="AE112" s="84"/>
      <c r="AF112" s="84"/>
    </row>
    <row r="113" spans="29:32" ht="11.25">
      <c r="AC113" s="84"/>
      <c r="AD113" s="84"/>
      <c r="AE113" s="84"/>
      <c r="AF113" s="84"/>
    </row>
    <row r="114" spans="29:32" ht="11.25">
      <c r="AC114" s="84"/>
      <c r="AD114" s="84"/>
      <c r="AE114" s="84"/>
      <c r="AF114" s="84"/>
    </row>
    <row r="115" spans="29:32" ht="11.25">
      <c r="AC115" s="84"/>
      <c r="AD115" s="84"/>
      <c r="AE115" s="84"/>
      <c r="AF115" s="84"/>
    </row>
    <row r="116" spans="29:32" ht="11.25">
      <c r="AC116" s="84"/>
      <c r="AD116" s="84"/>
      <c r="AE116" s="84"/>
      <c r="AF116" s="84"/>
    </row>
    <row r="117" spans="29:32" ht="11.25">
      <c r="AC117" s="84"/>
      <c r="AD117" s="84"/>
      <c r="AE117" s="84"/>
      <c r="AF117" s="84"/>
    </row>
    <row r="118" spans="29:32" ht="11.25">
      <c r="AC118" s="84"/>
      <c r="AD118" s="84"/>
      <c r="AE118" s="84"/>
      <c r="AF118" s="84"/>
    </row>
    <row r="119" spans="29:32" ht="11.25">
      <c r="AC119" s="84"/>
      <c r="AD119" s="84"/>
      <c r="AE119" s="84"/>
      <c r="AF119" s="84"/>
    </row>
    <row r="120" spans="29:32" ht="11.25">
      <c r="AC120" s="84"/>
      <c r="AD120" s="84"/>
      <c r="AE120" s="84"/>
      <c r="AF120" s="84"/>
    </row>
    <row r="121" spans="29:32" ht="11.25">
      <c r="AC121" s="84"/>
      <c r="AD121" s="84"/>
      <c r="AE121" s="84"/>
      <c r="AF121" s="84"/>
    </row>
    <row r="122" spans="29:32" ht="11.25">
      <c r="AC122" s="84"/>
      <c r="AD122" s="84"/>
      <c r="AE122" s="84"/>
      <c r="AF122" s="84"/>
    </row>
    <row r="123" spans="29:32" ht="11.25">
      <c r="AC123" s="84"/>
      <c r="AD123" s="84"/>
      <c r="AE123" s="84"/>
      <c r="AF123" s="84"/>
    </row>
    <row r="124" spans="29:32" ht="11.25">
      <c r="AC124" s="84"/>
      <c r="AD124" s="84"/>
      <c r="AE124" s="84"/>
      <c r="AF124" s="84"/>
    </row>
    <row r="125" spans="29:32" ht="11.25">
      <c r="AC125" s="84"/>
      <c r="AD125" s="84"/>
      <c r="AE125" s="84"/>
      <c r="AF125" s="84"/>
    </row>
    <row r="126" spans="29:32" ht="11.25">
      <c r="AC126" s="84"/>
      <c r="AD126" s="84"/>
      <c r="AE126" s="84"/>
      <c r="AF126" s="84"/>
    </row>
    <row r="127" spans="29:32" ht="11.25">
      <c r="AC127" s="84"/>
      <c r="AD127" s="84"/>
      <c r="AE127" s="84"/>
      <c r="AF127" s="84"/>
    </row>
    <row r="128" spans="29:32" ht="11.25">
      <c r="AC128" s="84"/>
      <c r="AD128" s="84"/>
      <c r="AE128" s="84"/>
      <c r="AF128" s="84"/>
    </row>
    <row r="129" spans="29:32" ht="11.25">
      <c r="AC129" s="84"/>
      <c r="AD129" s="84"/>
      <c r="AE129" s="84"/>
      <c r="AF129" s="84"/>
    </row>
    <row r="130" spans="29:32" ht="11.25">
      <c r="AC130" s="84"/>
      <c r="AD130" s="84"/>
      <c r="AE130" s="84"/>
      <c r="AF130" s="84"/>
    </row>
    <row r="131" spans="29:32" ht="11.25">
      <c r="AC131" s="84"/>
      <c r="AD131" s="84"/>
      <c r="AE131" s="84"/>
      <c r="AF131" s="84"/>
    </row>
    <row r="132" spans="29:32" ht="11.25">
      <c r="AC132" s="84"/>
      <c r="AD132" s="84"/>
      <c r="AE132" s="84"/>
      <c r="AF132" s="84"/>
    </row>
    <row r="133" spans="29:32" ht="11.25">
      <c r="AC133" s="84"/>
      <c r="AD133" s="84"/>
      <c r="AE133" s="84"/>
      <c r="AF133" s="84"/>
    </row>
    <row r="134" spans="29:32" ht="11.25">
      <c r="AC134" s="84"/>
      <c r="AD134" s="84"/>
      <c r="AE134" s="84"/>
      <c r="AF134" s="84"/>
    </row>
    <row r="135" spans="29:32" ht="11.25">
      <c r="AC135" s="84"/>
      <c r="AD135" s="84"/>
      <c r="AE135" s="84"/>
      <c r="AF135" s="84"/>
    </row>
    <row r="136" spans="29:32" ht="11.25">
      <c r="AC136" s="84"/>
      <c r="AD136" s="84"/>
      <c r="AE136" s="84"/>
      <c r="AF136" s="84"/>
    </row>
    <row r="137" spans="29:32" ht="11.25">
      <c r="AC137" s="84"/>
      <c r="AD137" s="84"/>
      <c r="AE137" s="84"/>
      <c r="AF137" s="84"/>
    </row>
    <row r="138" spans="29:32" ht="11.25">
      <c r="AC138" s="84"/>
      <c r="AD138" s="84"/>
      <c r="AE138" s="84"/>
      <c r="AF138" s="84"/>
    </row>
    <row r="139" spans="29:32" ht="11.25">
      <c r="AC139" s="84"/>
      <c r="AD139" s="84"/>
      <c r="AE139" s="84"/>
      <c r="AF139" s="84"/>
    </row>
    <row r="140" spans="29:32" ht="11.25">
      <c r="AC140" s="84"/>
      <c r="AD140" s="84"/>
      <c r="AE140" s="84"/>
      <c r="AF140" s="84"/>
    </row>
    <row r="141" spans="29:32" ht="11.25">
      <c r="AC141" s="84"/>
      <c r="AD141" s="84"/>
      <c r="AE141" s="84"/>
      <c r="AF141" s="84"/>
    </row>
    <row r="142" spans="29:32" ht="11.25">
      <c r="AC142" s="84"/>
      <c r="AD142" s="84"/>
      <c r="AE142" s="84"/>
      <c r="AF142" s="84"/>
    </row>
    <row r="143" spans="29:32" ht="11.25">
      <c r="AC143" s="84"/>
      <c r="AD143" s="84"/>
      <c r="AE143" s="84"/>
      <c r="AF143" s="84"/>
    </row>
    <row r="144" spans="29:32" ht="11.25">
      <c r="AC144" s="84"/>
      <c r="AD144" s="84"/>
      <c r="AE144" s="84"/>
      <c r="AF144" s="84"/>
    </row>
    <row r="145" spans="29:32" ht="11.25">
      <c r="AC145" s="84"/>
      <c r="AD145" s="84"/>
      <c r="AE145" s="84"/>
      <c r="AF145" s="84"/>
    </row>
    <row r="146" spans="29:32" ht="11.25">
      <c r="AC146" s="84"/>
      <c r="AD146" s="84"/>
      <c r="AE146" s="84"/>
      <c r="AF146" s="84"/>
    </row>
    <row r="147" spans="29:32" ht="11.25">
      <c r="AC147" s="84"/>
      <c r="AD147" s="84"/>
      <c r="AE147" s="84"/>
      <c r="AF147" s="84"/>
    </row>
    <row r="148" spans="29:32" ht="11.25">
      <c r="AC148" s="84"/>
      <c r="AD148" s="84"/>
      <c r="AE148" s="84"/>
      <c r="AF148" s="84"/>
    </row>
    <row r="149" spans="29:32" ht="11.25">
      <c r="AC149" s="84"/>
      <c r="AD149" s="84"/>
      <c r="AE149" s="84"/>
      <c r="AF149" s="84"/>
    </row>
    <row r="150" spans="29:32" ht="11.25">
      <c r="AC150" s="84"/>
      <c r="AD150" s="84"/>
      <c r="AE150" s="84"/>
      <c r="AF150" s="84"/>
    </row>
    <row r="151" spans="29:32" ht="11.25">
      <c r="AC151" s="84"/>
      <c r="AD151" s="84"/>
      <c r="AE151" s="84"/>
      <c r="AF151" s="84"/>
    </row>
    <row r="152" spans="29:32" ht="11.25">
      <c r="AC152" s="84"/>
      <c r="AD152" s="84"/>
      <c r="AE152" s="84"/>
      <c r="AF152" s="84"/>
    </row>
    <row r="153" spans="29:32" ht="11.25">
      <c r="AC153" s="84"/>
      <c r="AD153" s="84"/>
      <c r="AE153" s="84"/>
      <c r="AF153" s="84"/>
    </row>
    <row r="154" spans="29:32" ht="11.25">
      <c r="AC154" s="84"/>
      <c r="AD154" s="84"/>
      <c r="AE154" s="84"/>
      <c r="AF154" s="84"/>
    </row>
    <row r="155" spans="29:32" ht="11.25">
      <c r="AC155" s="84"/>
      <c r="AD155" s="84"/>
      <c r="AE155" s="84"/>
      <c r="AF155" s="84"/>
    </row>
    <row r="156" spans="29:32" ht="11.25">
      <c r="AC156" s="84"/>
      <c r="AD156" s="84"/>
      <c r="AE156" s="84"/>
      <c r="AF156" s="84"/>
    </row>
    <row r="157" spans="29:32" ht="11.25">
      <c r="AC157" s="84"/>
      <c r="AD157" s="84"/>
      <c r="AE157" s="84"/>
      <c r="AF157" s="84"/>
    </row>
    <row r="158" spans="29:32" ht="11.25">
      <c r="AC158" s="84"/>
      <c r="AD158" s="84"/>
      <c r="AE158" s="84"/>
      <c r="AF158" s="84"/>
    </row>
    <row r="159" spans="29:32" ht="11.25">
      <c r="AC159" s="84"/>
      <c r="AD159" s="84"/>
      <c r="AE159" s="84"/>
      <c r="AF159" s="84"/>
    </row>
    <row r="160" spans="29:32" ht="11.25">
      <c r="AC160" s="84"/>
      <c r="AD160" s="84"/>
      <c r="AE160" s="84"/>
      <c r="AF160" s="84"/>
    </row>
    <row r="161" spans="29:32" ht="11.25">
      <c r="AC161" s="84"/>
      <c r="AD161" s="84"/>
      <c r="AE161" s="84"/>
      <c r="AF161" s="84"/>
    </row>
    <row r="162" spans="29:32" ht="11.25">
      <c r="AC162" s="84"/>
      <c r="AD162" s="84"/>
      <c r="AE162" s="84"/>
      <c r="AF162" s="84"/>
    </row>
    <row r="163" spans="29:32" ht="11.25">
      <c r="AC163" s="84"/>
      <c r="AD163" s="84"/>
      <c r="AE163" s="84"/>
      <c r="AF163" s="84"/>
    </row>
    <row r="164" spans="29:32" ht="11.25">
      <c r="AC164" s="84"/>
      <c r="AD164" s="84"/>
      <c r="AE164" s="84"/>
      <c r="AF164" s="84"/>
    </row>
    <row r="165" spans="29:32" ht="11.25">
      <c r="AC165" s="84"/>
      <c r="AD165" s="84"/>
      <c r="AE165" s="84"/>
      <c r="AF165" s="84"/>
    </row>
    <row r="166" spans="29:32" ht="11.25">
      <c r="AC166" s="84"/>
      <c r="AD166" s="84"/>
      <c r="AE166" s="84"/>
      <c r="AF166" s="84"/>
    </row>
    <row r="167" spans="29:32" ht="11.25">
      <c r="AC167" s="84"/>
      <c r="AD167" s="84"/>
      <c r="AE167" s="84"/>
      <c r="AF167" s="84"/>
    </row>
    <row r="168" spans="29:32" ht="11.25">
      <c r="AC168" s="84"/>
      <c r="AD168" s="84"/>
      <c r="AE168" s="84"/>
      <c r="AF168" s="84"/>
    </row>
    <row r="169" spans="29:32" ht="11.25">
      <c r="AC169" s="84"/>
      <c r="AD169" s="84"/>
      <c r="AE169" s="84"/>
      <c r="AF169" s="84"/>
    </row>
    <row r="170" spans="29:32" ht="11.25">
      <c r="AC170" s="84"/>
      <c r="AD170" s="84"/>
      <c r="AE170" s="84"/>
      <c r="AF170" s="84"/>
    </row>
    <row r="171" spans="29:32" ht="11.25">
      <c r="AC171" s="84"/>
      <c r="AD171" s="84"/>
      <c r="AE171" s="84"/>
      <c r="AF171" s="84"/>
    </row>
    <row r="172" spans="29:32" ht="11.25">
      <c r="AC172" s="84"/>
      <c r="AD172" s="84"/>
      <c r="AE172" s="84"/>
      <c r="AF172" s="84"/>
    </row>
    <row r="173" spans="29:32" ht="11.25">
      <c r="AC173" s="84"/>
      <c r="AD173" s="84"/>
      <c r="AE173" s="84"/>
      <c r="AF173" s="84"/>
    </row>
  </sheetData>
  <mergeCells count="20">
    <mergeCell ref="A28:M28"/>
    <mergeCell ref="A23:B23"/>
    <mergeCell ref="A24:B24"/>
    <mergeCell ref="A25:B25"/>
    <mergeCell ref="A26:B26"/>
    <mergeCell ref="A19:B19"/>
    <mergeCell ref="A20:B20"/>
    <mergeCell ref="A21:B21"/>
    <mergeCell ref="A22:B22"/>
    <mergeCell ref="A11:A12"/>
    <mergeCell ref="A13:A14"/>
    <mergeCell ref="A15:A16"/>
    <mergeCell ref="A17:A18"/>
    <mergeCell ref="A1:M1"/>
    <mergeCell ref="M3:M10"/>
    <mergeCell ref="A5:B5"/>
    <mergeCell ref="A6:B6"/>
    <mergeCell ref="A7:B8"/>
    <mergeCell ref="A9:B9"/>
    <mergeCell ref="A10:B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cp:lastModifiedBy>
  <cp:lastPrinted>2006-04-24T18:59:36Z</cp:lastPrinted>
  <dcterms:created xsi:type="dcterms:W3CDTF">2006-03-15T09:07:04Z</dcterms:created>
  <dcterms:modified xsi:type="dcterms:W3CDTF">2006-04-24T18:59:53Z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