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8565" windowHeight="11640" tabRatio="385" activeTab="0"/>
  </bookViews>
  <sheets>
    <sheet name="21 - 27 Apr(WK 17)" sheetId="1" r:id="rId1"/>
    <sheet name="30 Dec - 27 Apr (Annual)" sheetId="2" r:id="rId2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'21 - 27 Apr(WK 17)'!$A$1:$P$117</definedName>
    <definedName name="_xlnm.Print_Area" localSheetId="1">'30 Dec - 27 Apr (Annual)'!$A$1:$K$85</definedName>
  </definedNames>
  <calcPr fullCalcOnLoad="1"/>
</workbook>
</file>

<file path=xl/sharedStrings.xml><?xml version="1.0" encoding="utf-8"?>
<sst xmlns="http://schemas.openxmlformats.org/spreadsheetml/2006/main" count="555" uniqueCount="223">
  <si>
    <t>SAINT ANGE</t>
  </si>
  <si>
    <t>CACHE</t>
  </si>
  <si>
    <t>CRASH</t>
  </si>
  <si>
    <t>HACIVAT KARAGOZ NEDEN OLDURULDU?</t>
  </si>
  <si>
    <t>KURTLAR VADISI IRAK</t>
  </si>
  <si>
    <t>KELOGLAN KARA PRENS'E KARSI</t>
  </si>
  <si>
    <t>ORGANIZE ISLER</t>
  </si>
  <si>
    <t>This Week's Total</t>
  </si>
  <si>
    <t>Films</t>
  </si>
  <si>
    <t>Admission</t>
  </si>
  <si>
    <t>EXCHANGE RATES</t>
  </si>
  <si>
    <t>Buying</t>
  </si>
  <si>
    <t>Selling</t>
  </si>
  <si>
    <t>Avg. Ticket</t>
  </si>
  <si>
    <t>USD</t>
  </si>
  <si>
    <t>EUR</t>
  </si>
  <si>
    <t>GBP</t>
  </si>
  <si>
    <t>CHF</t>
  </si>
  <si>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</si>
  <si>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</si>
  <si>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</si>
  <si>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</si>
  <si>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</si>
  <si>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</si>
  <si>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</si>
  <si>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</si>
  <si>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</si>
  <si>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HOSTEL</t>
  </si>
  <si>
    <t>FUN WITH DICK &amp; JANE</t>
  </si>
  <si>
    <t>NEW WORLD, THE</t>
  </si>
  <si>
    <t>MEMOIRS OF A GEISHA</t>
  </si>
  <si>
    <t>FOG, THE</t>
  </si>
  <si>
    <t>RUMOR HAS IT</t>
  </si>
  <si>
    <t>TIM BURTON'S CORPSE BRIDE</t>
  </si>
  <si>
    <t>SIN CITY</t>
  </si>
  <si>
    <t>DABBE</t>
  </si>
  <si>
    <t>WALK THE LINE</t>
  </si>
  <si>
    <t>SAW 2</t>
  </si>
  <si>
    <t>ZATHURA</t>
  </si>
  <si>
    <t>JARHEAD</t>
  </si>
  <si>
    <t>G.B.O. YTL</t>
  </si>
  <si>
    <t>Week in Release</t>
  </si>
  <si>
    <t>Avg. Ticket Price</t>
  </si>
  <si>
    <t>Release Date</t>
  </si>
  <si>
    <t>LES TEMPS QUI CHANGENT</t>
  </si>
  <si>
    <t>TIGER AND THE SNOW, THE</t>
  </si>
  <si>
    <t>HABABAM SINIFI UCBUCUK</t>
  </si>
  <si>
    <t># of
Screen</t>
  </si>
  <si>
    <t>Weeks in      Release</t>
  </si>
  <si>
    <t># of Last Weeks New Releases</t>
  </si>
  <si>
    <t>Total Admission of New Releases</t>
  </si>
  <si>
    <t>WARNER BROS.</t>
  </si>
  <si>
    <t>OZEN FILM</t>
  </si>
  <si>
    <t>U.I.P.</t>
  </si>
  <si>
    <t>KENDA</t>
  </si>
  <si>
    <t>UMUT SANAT</t>
  </si>
  <si>
    <t>35 MM.</t>
  </si>
  <si>
    <t>BARBAR FILM</t>
  </si>
  <si>
    <t>CHANTIER FILMS</t>
  </si>
  <si>
    <t>AEON FLUX</t>
  </si>
  <si>
    <t>PROOF</t>
  </si>
  <si>
    <t>MUNICH</t>
  </si>
  <si>
    <t>DREAMER</t>
  </si>
  <si>
    <t>CHICKEN LITTLE</t>
  </si>
  <si>
    <t>FATELESS</t>
  </si>
  <si>
    <t>LE GRAND VOYAGE</t>
  </si>
  <si>
    <t>DANDELION</t>
  </si>
  <si>
    <t>STOLEN EYES</t>
  </si>
  <si>
    <t>RED SHOES</t>
  </si>
  <si>
    <t>BAMBI 2</t>
  </si>
  <si>
    <t>BIR FILM</t>
  </si>
  <si>
    <t>OYUN</t>
  </si>
  <si>
    <t>*Sorted according to Week Total G.B.O. - Haftalık toplam hasılat sütununa göre sıralanmıştır.</t>
  </si>
  <si>
    <t>KORKUYORUM ANNE</t>
  </si>
  <si>
    <t>SYRIANA</t>
  </si>
  <si>
    <t>BEYZA'NIN KADINLARI</t>
  </si>
  <si>
    <t>MEDYAVIZYON</t>
  </si>
  <si>
    <t>LAST WEEK</t>
  </si>
  <si>
    <t>TOTAL</t>
  </si>
  <si>
    <t>DISTRIBUTORS CHART</t>
  </si>
  <si>
    <t>THIS WEEKS</t>
  </si>
  <si>
    <t>CONEJO EN LA LUNA</t>
  </si>
  <si>
    <t>LOCAL FILMS</t>
  </si>
  <si>
    <t>FOREIGN FILMS</t>
  </si>
  <si>
    <t># of Total
Prints</t>
  </si>
  <si>
    <t># of Films</t>
  </si>
  <si>
    <t>BROKEBACK MOUNTAIN</t>
  </si>
  <si>
    <t>CAPOTE</t>
  </si>
  <si>
    <t>HOODWINKED</t>
  </si>
  <si>
    <t>CRY_WOLF</t>
  </si>
  <si>
    <t>LADIES IN LAVENDER</t>
  </si>
  <si>
    <t>16 BLOCKS</t>
  </si>
  <si>
    <t>PINK PANTHER</t>
  </si>
  <si>
    <t>DARK HORSE</t>
  </si>
  <si>
    <t>MATCH POINT</t>
  </si>
  <si>
    <t>Screen Avg.
(Adm.)</t>
  </si>
  <si>
    <t>Company</t>
  </si>
  <si>
    <t>Distributor</t>
  </si>
  <si>
    <t>BASIC INSTINCT 2</t>
  </si>
  <si>
    <t>UNP</t>
  </si>
  <si>
    <t>C2 PICTURES</t>
  </si>
  <si>
    <t>V FOR VENDETTA</t>
  </si>
  <si>
    <t>WB</t>
  </si>
  <si>
    <t>UIP</t>
  </si>
  <si>
    <t>ALTIOKLAR</t>
  </si>
  <si>
    <t>OZEN</t>
  </si>
  <si>
    <t>FOX</t>
  </si>
  <si>
    <t>CASANOVA</t>
  </si>
  <si>
    <t>BUENA VISTA</t>
  </si>
  <si>
    <t>BEE SEASON</t>
  </si>
  <si>
    <t>COLUMBIA</t>
  </si>
  <si>
    <t>SINETEL</t>
  </si>
  <si>
    <t>J PLAN</t>
  </si>
  <si>
    <t>PANA</t>
  </si>
  <si>
    <t>FRANCE</t>
  </si>
  <si>
    <t>FOCUS</t>
  </si>
  <si>
    <t>ATLANTIK</t>
  </si>
  <si>
    <t>UNIVERSAL</t>
  </si>
  <si>
    <t>CHANTIER</t>
  </si>
  <si>
    <t>PRA</t>
  </si>
  <si>
    <t>WHAT THE BLEEP DO WE KNOW</t>
  </si>
  <si>
    <t>35 MM</t>
  </si>
  <si>
    <t>PI FILMCILIK</t>
  </si>
  <si>
    <t>PARAMOUNT</t>
  </si>
  <si>
    <t>NANNY MCPHEE</t>
  </si>
  <si>
    <t>ENERGY</t>
  </si>
  <si>
    <t>YAKA FILM</t>
  </si>
  <si>
    <t>SINE FILM</t>
  </si>
  <si>
    <t>DUN GECE BIR RUYA GORDUM</t>
  </si>
  <si>
    <t>TRAVMA</t>
  </si>
  <si>
    <t>CERTI BAMBINI</t>
  </si>
  <si>
    <t>BELGE FILM</t>
  </si>
  <si>
    <t>LAKESHORE</t>
  </si>
  <si>
    <t>OZEN - UMUT</t>
  </si>
  <si>
    <t>DREAMWORKS</t>
  </si>
  <si>
    <t>WILD BUNCH</t>
  </si>
  <si>
    <t>CELLULOID</t>
  </si>
  <si>
    <t>BKM</t>
  </si>
  <si>
    <t>ARZU - FIDA</t>
  </si>
  <si>
    <t>GOOD NIGHT &amp; GOOD LUCK</t>
  </si>
  <si>
    <t>AVSAR</t>
  </si>
  <si>
    <t>FAMILY STONE,THE</t>
  </si>
  <si>
    <t>78 FILMS SHOWN</t>
  </si>
  <si>
    <t>SAME PERIOD LAST YEAR</t>
  </si>
  <si>
    <t>58 FILMS SHOWN</t>
  </si>
  <si>
    <t>U.N.P.</t>
  </si>
  <si>
    <t>METRO</t>
  </si>
  <si>
    <t>R FILM</t>
  </si>
  <si>
    <t>H20</t>
  </si>
  <si>
    <t>UNICEF</t>
  </si>
  <si>
    <t>GEN</t>
  </si>
  <si>
    <t>TIGLON</t>
  </si>
  <si>
    <t>WOLF CREEK</t>
  </si>
  <si>
    <t>WEINSTEIN CO.</t>
  </si>
  <si>
    <t>FILMPOP</t>
  </si>
  <si>
    <t>JOYEUX NOEL</t>
  </si>
  <si>
    <t>FILMS DIST.</t>
  </si>
  <si>
    <t>IFR</t>
  </si>
  <si>
    <t>BIG MOMMA'S HOUSE 2</t>
  </si>
  <si>
    <t>PRIDE &amp; PRIDJUDICE</t>
  </si>
  <si>
    <t>BELGE</t>
  </si>
  <si>
    <t>FIDA</t>
  </si>
  <si>
    <t>SQUID AND THE WHALE, THE</t>
  </si>
  <si>
    <t>BARBAR</t>
  </si>
  <si>
    <t>ICE AGE 2: THE MELTDOWN</t>
  </si>
  <si>
    <t>WILD, THE</t>
  </si>
  <si>
    <t>ASK THE DUST</t>
  </si>
  <si>
    <t>PHANTOM OF THE OPERA, THE</t>
  </si>
  <si>
    <t>BABAM VE OGLUM</t>
  </si>
  <si>
    <t>ZOZO</t>
  </si>
  <si>
    <t>SEX &amp; PHILOSOPHY</t>
  </si>
  <si>
    <t>NARNIA</t>
  </si>
  <si>
    <t>TOGETHER</t>
  </si>
  <si>
    <t>MOONSTONE</t>
  </si>
  <si>
    <t>ENEL MUNDO E CADA RATO</t>
  </si>
  <si>
    <t>MADAGASCAR</t>
  </si>
  <si>
    <t>MASKELI BESLER INTIKAM PESINDE</t>
  </si>
  <si>
    <t>Weekly Movie Magazine Antrakt Presents - Haftalık Antrakt Sinema Gazetesi Sunar</t>
  </si>
  <si>
    <t>5</t>
  </si>
  <si>
    <t>SUGARWORKZ</t>
  </si>
  <si>
    <t>27.04.2006 - 15.30</t>
  </si>
  <si>
    <t>LUCKY NUMBER SLEVIN</t>
  </si>
  <si>
    <t>DESCENT, THE</t>
  </si>
  <si>
    <t>EIGHT BELOW</t>
  </si>
  <si>
    <t>WHEN A STRANGER CALLS</t>
  </si>
  <si>
    <t>SLITHER</t>
  </si>
  <si>
    <t>ODSSEY</t>
  </si>
  <si>
    <t>JE NE SUIS PAS LA POUR ETRE AIME</t>
  </si>
  <si>
    <t>REZZO</t>
  </si>
  <si>
    <t>MON ANGE</t>
  </si>
  <si>
    <t>MK2</t>
  </si>
  <si>
    <t>PYRAMIDE</t>
  </si>
  <si>
    <t>ITALIAN FOR BEGINNERS</t>
  </si>
  <si>
    <t>TRUST FILMS</t>
  </si>
  <si>
    <t>UMUT</t>
  </si>
  <si>
    <t>CHARLIE &amp; THE CHOCOLATE FACTORY</t>
  </si>
  <si>
    <t>WEATHERMAN, THE</t>
  </si>
  <si>
    <t>HAYALEVI</t>
  </si>
  <si>
    <t>EXORCISM OF EMILY ROSE</t>
  </si>
  <si>
    <t>CINECLICK ASIA</t>
  </si>
  <si>
    <t>UPSIDE OF ANGER, THE</t>
  </si>
  <si>
    <t>MEDIA 8</t>
  </si>
  <si>
    <t>AND NOW… LADIES AND GENTLEMEN</t>
  </si>
  <si>
    <t>LES FILM 26</t>
  </si>
  <si>
    <t>ME AND YOU AND EVERYBODY WE KNOW</t>
  </si>
  <si>
    <t>SEPTEMBER 11</t>
  </si>
  <si>
    <t>SUPER SIZE ME</t>
  </si>
  <si>
    <t>BIR - ERMAN</t>
  </si>
  <si>
    <t>SEARCHING FOR DEBRA WINGER</t>
  </si>
  <si>
    <t>LIMELIGHT</t>
  </si>
  <si>
    <t>MUST LOVE DOGS</t>
  </si>
  <si>
    <t>OLIVER TWIST</t>
  </si>
  <si>
    <t>HYPNOS</t>
  </si>
  <si>
    <t>FILMAX</t>
  </si>
  <si>
    <t>DOWNFALL</t>
  </si>
  <si>
    <t>SONY PICTURES</t>
  </si>
  <si>
    <t>RABBIT ON THE MOON</t>
  </si>
  <si>
    <t>CAPITOL</t>
  </si>
  <si>
    <t>SINEMA BIR MUCIZEDIR</t>
  </si>
  <si>
    <t>UGUR - MINE</t>
  </si>
  <si>
    <t>WALLACE &amp; GROMITE</t>
  </si>
  <si>
    <t>85 FILMS SHOWN</t>
  </si>
  <si>
    <t>2006 Turkey Annual Box Office Report / 30 Dec' - 21  Apr '06</t>
  </si>
</sst>
</file>

<file path=xl/styles.xml><?xml version="1.0" encoding="utf-8"?>
<styleSheet xmlns="http://schemas.openxmlformats.org/spreadsheetml/2006/main">
  <numFmts count="4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</numFmts>
  <fonts count="3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b/>
      <sz val="8"/>
      <name val="Trebuchet MS"/>
      <family val="0"/>
    </font>
    <font>
      <sz val="8"/>
      <name val="Trebuchet MS"/>
      <family val="0"/>
    </font>
    <font>
      <b/>
      <sz val="10"/>
      <name val="Arial"/>
      <family val="2"/>
    </font>
    <font>
      <b/>
      <sz val="14"/>
      <name val="Impact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b/>
      <sz val="14"/>
      <name val="Arial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sz val="20"/>
      <color indexed="44"/>
      <name val="GoudyLight"/>
      <family val="0"/>
    </font>
    <font>
      <sz val="8"/>
      <name val="Verdana"/>
      <family val="0"/>
    </font>
    <font>
      <b/>
      <sz val="8"/>
      <name val="Albertus Extra Bold"/>
      <family val="0"/>
    </font>
    <font>
      <sz val="8"/>
      <name val="Arial"/>
      <family val="2"/>
    </font>
    <font>
      <sz val="25"/>
      <color indexed="9"/>
      <name val="Impact"/>
      <family val="0"/>
    </font>
    <font>
      <i/>
      <sz val="9"/>
      <name val="Arial"/>
      <family val="2"/>
    </font>
    <font>
      <b/>
      <sz val="10"/>
      <color indexed="9"/>
      <name val="Century Gothic"/>
      <family val="2"/>
    </font>
    <font>
      <b/>
      <sz val="10"/>
      <color indexed="9"/>
      <name val="Trebuchet MS"/>
      <family val="2"/>
    </font>
    <font>
      <b/>
      <sz val="10"/>
      <color indexed="10"/>
      <name val="Trebuchet MS"/>
      <family val="2"/>
    </font>
    <font>
      <b/>
      <sz val="12"/>
      <name val="Arial Tur"/>
      <family val="0"/>
    </font>
    <font>
      <sz val="10.25"/>
      <name val="Arial Tur"/>
      <family val="0"/>
    </font>
    <font>
      <sz val="10.25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43" fontId="3" fillId="0" borderId="0" xfId="15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92" fontId="13" fillId="0" borderId="0" xfId="15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right" vertical="center"/>
      <protection locked="0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right" vertical="center"/>
      <protection locked="0"/>
    </xf>
    <xf numFmtId="0" fontId="13" fillId="0" borderId="8" xfId="0" applyFont="1" applyFill="1" applyBorder="1" applyAlignment="1" applyProtection="1">
      <alignment horizontal="right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right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right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0" fontId="13" fillId="0" borderId="3" xfId="0" applyFont="1" applyFill="1" applyBorder="1" applyAlignment="1" applyProtection="1">
      <alignment horizontal="left" vertical="center" indent="1"/>
      <protection locked="0"/>
    </xf>
    <xf numFmtId="0" fontId="13" fillId="0" borderId="9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/>
    </xf>
    <xf numFmtId="0" fontId="21" fillId="0" borderId="14" xfId="0" applyFont="1" applyFill="1" applyBorder="1" applyAlignment="1" applyProtection="1">
      <alignment vertical="center"/>
      <protection locked="0"/>
    </xf>
    <xf numFmtId="3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21" fillId="0" borderId="15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13" fillId="0" borderId="0" xfId="0" applyNumberFormat="1" applyFont="1" applyFill="1" applyBorder="1" applyAlignment="1" applyProtection="1">
      <alignment horizontal="center" vertical="center"/>
      <protection locked="0"/>
    </xf>
    <xf numFmtId="184" fontId="12" fillId="0" borderId="9" xfId="0" applyNumberFormat="1" applyFont="1" applyFill="1" applyBorder="1" applyAlignment="1" applyProtection="1">
      <alignment horizontal="center" vertical="center"/>
      <protection locked="0"/>
    </xf>
    <xf numFmtId="18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horizontal="right" vertical="center"/>
    </xf>
    <xf numFmtId="0" fontId="5" fillId="0" borderId="16" xfId="0" applyNumberFormat="1" applyFont="1" applyFill="1" applyBorder="1" applyAlignment="1">
      <alignment vertical="center" wrapText="1"/>
    </xf>
    <xf numFmtId="0" fontId="29" fillId="2" borderId="17" xfId="0" applyFont="1" applyFill="1" applyBorder="1" applyAlignment="1">
      <alignment horizontal="center" vertical="center"/>
    </xf>
    <xf numFmtId="3" fontId="29" fillId="2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9" fillId="2" borderId="23" xfId="0" applyFont="1" applyFill="1" applyBorder="1" applyAlignment="1">
      <alignment vertical="center"/>
    </xf>
    <xf numFmtId="0" fontId="29" fillId="2" borderId="17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0" fillId="2" borderId="24" xfId="0" applyFont="1" applyFill="1" applyBorder="1" applyAlignment="1" applyProtection="1">
      <alignment vertical="center"/>
      <protection locked="0"/>
    </xf>
    <xf numFmtId="0" fontId="29" fillId="2" borderId="25" xfId="0" applyFont="1" applyFill="1" applyBorder="1" applyAlignment="1">
      <alignment horizontal="center" vertical="center"/>
    </xf>
    <xf numFmtId="3" fontId="29" fillId="2" borderId="25" xfId="0" applyNumberFormat="1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vertical="center"/>
    </xf>
    <xf numFmtId="192" fontId="13" fillId="0" borderId="12" xfId="0" applyNumberFormat="1" applyFont="1" applyFill="1" applyBorder="1" applyAlignment="1" applyProtection="1">
      <alignment horizontal="center" vertical="center"/>
      <protection locked="0"/>
    </xf>
    <xf numFmtId="192" fontId="13" fillId="0" borderId="4" xfId="0" applyNumberFormat="1" applyFont="1" applyFill="1" applyBorder="1" applyAlignment="1" applyProtection="1">
      <alignment horizontal="center" vertical="center"/>
      <protection locked="0"/>
    </xf>
    <xf numFmtId="184" fontId="21" fillId="0" borderId="15" xfId="0" applyNumberFormat="1" applyFont="1" applyFill="1" applyBorder="1" applyAlignment="1">
      <alignment horizontal="center" vertical="center"/>
    </xf>
    <xf numFmtId="184" fontId="29" fillId="2" borderId="25" xfId="0" applyNumberFormat="1" applyFont="1" applyFill="1" applyBorder="1" applyAlignment="1">
      <alignment horizontal="center" vertical="center"/>
    </xf>
    <xf numFmtId="184" fontId="13" fillId="0" borderId="3" xfId="0" applyNumberFormat="1" applyFont="1" applyFill="1" applyBorder="1" applyAlignment="1" applyProtection="1">
      <alignment horizontal="center" vertical="center"/>
      <protection locked="0"/>
    </xf>
    <xf numFmtId="184" fontId="13" fillId="0" borderId="9" xfId="0" applyNumberFormat="1" applyFont="1" applyFill="1" applyBorder="1" applyAlignment="1" applyProtection="1">
      <alignment horizontal="center" vertical="center"/>
      <protection locked="0"/>
    </xf>
    <xf numFmtId="187" fontId="29" fillId="2" borderId="25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right" vertical="center"/>
      <protection locked="0"/>
    </xf>
    <xf numFmtId="187" fontId="7" fillId="0" borderId="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Border="1" applyAlignment="1" applyProtection="1">
      <alignment vertical="center"/>
      <protection/>
    </xf>
    <xf numFmtId="193" fontId="29" fillId="2" borderId="25" xfId="0" applyNumberFormat="1" applyFont="1" applyFill="1" applyBorder="1" applyAlignment="1">
      <alignment vertical="center"/>
    </xf>
    <xf numFmtId="193" fontId="13" fillId="0" borderId="0" xfId="0" applyNumberFormat="1" applyFont="1" applyFill="1" applyBorder="1" applyAlignment="1" applyProtection="1">
      <alignment vertical="center"/>
      <protection locked="0"/>
    </xf>
    <xf numFmtId="193" fontId="7" fillId="0" borderId="0" xfId="0" applyNumberFormat="1" applyFont="1" applyFill="1" applyBorder="1" applyAlignment="1" applyProtection="1">
      <alignment vertical="center"/>
      <protection locked="0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192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/>
    </xf>
    <xf numFmtId="187" fontId="1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>
      <alignment horizontal="center" wrapText="1"/>
    </xf>
    <xf numFmtId="0" fontId="30" fillId="2" borderId="19" xfId="0" applyFont="1" applyFill="1" applyBorder="1" applyAlignment="1" applyProtection="1">
      <alignment vertical="center"/>
      <protection locked="0"/>
    </xf>
    <xf numFmtId="0" fontId="30" fillId="2" borderId="20" xfId="0" applyFont="1" applyFill="1" applyBorder="1" applyAlignment="1">
      <alignment vertical="center"/>
    </xf>
    <xf numFmtId="184" fontId="30" fillId="2" borderId="20" xfId="0" applyNumberFormat="1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3" fontId="30" fillId="2" borderId="20" xfId="0" applyNumberFormat="1" applyFont="1" applyFill="1" applyBorder="1" applyAlignment="1">
      <alignment horizontal="center" vertical="center"/>
    </xf>
    <xf numFmtId="187" fontId="30" fillId="2" borderId="20" xfId="0" applyNumberFormat="1" applyFont="1" applyFill="1" applyBorder="1" applyAlignment="1">
      <alignment vertical="center"/>
    </xf>
    <xf numFmtId="193" fontId="30" fillId="2" borderId="20" xfId="0" applyNumberFormat="1" applyFont="1" applyFill="1" applyBorder="1" applyAlignment="1">
      <alignment vertical="center"/>
    </xf>
    <xf numFmtId="0" fontId="29" fillId="2" borderId="15" xfId="0" applyFont="1" applyFill="1" applyBorder="1" applyAlignment="1">
      <alignment vertical="center"/>
    </xf>
    <xf numFmtId="184" fontId="29" fillId="2" borderId="15" xfId="0" applyNumberFormat="1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29" fillId="2" borderId="15" xfId="0" applyNumberFormat="1" applyFont="1" applyFill="1" applyBorder="1" applyAlignment="1">
      <alignment horizontal="center" vertical="center"/>
    </xf>
    <xf numFmtId="187" fontId="29" fillId="2" borderId="15" xfId="0" applyNumberFormat="1" applyFont="1" applyFill="1" applyBorder="1" applyAlignment="1">
      <alignment vertical="center"/>
    </xf>
    <xf numFmtId="193" fontId="29" fillId="2" borderId="15" xfId="0" applyNumberFormat="1" applyFont="1" applyFill="1" applyBorder="1" applyAlignment="1">
      <alignment vertical="center"/>
    </xf>
    <xf numFmtId="0" fontId="20" fillId="2" borderId="14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vertical="center" wrapText="1"/>
      <protection locked="0"/>
    </xf>
    <xf numFmtId="0" fontId="5" fillId="0" borderId="28" xfId="0" applyFont="1" applyFill="1" applyBorder="1" applyAlignment="1" applyProtection="1">
      <alignment horizontal="center" vertical="center"/>
      <protection/>
    </xf>
    <xf numFmtId="187" fontId="5" fillId="0" borderId="9" xfId="0" applyNumberFormat="1" applyFont="1" applyFill="1" applyBorder="1" applyAlignment="1" applyProtection="1">
      <alignment horizontal="center" vertical="center"/>
      <protection/>
    </xf>
    <xf numFmtId="193" fontId="5" fillId="0" borderId="9" xfId="0" applyNumberFormat="1" applyFont="1" applyFill="1" applyBorder="1" applyAlignment="1" applyProtection="1">
      <alignment horizontal="center" vertical="center"/>
      <protection/>
    </xf>
    <xf numFmtId="193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vertical="center"/>
      <protection locked="0"/>
    </xf>
    <xf numFmtId="0" fontId="21" fillId="0" borderId="29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1" fillId="0" borderId="30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184" fontId="21" fillId="0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vertical="center"/>
      <protection locked="0"/>
    </xf>
    <xf numFmtId="187" fontId="34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 locked="0"/>
    </xf>
    <xf numFmtId="187" fontId="35" fillId="0" borderId="0" xfId="0" applyNumberFormat="1" applyFont="1" applyFill="1" applyBorder="1" applyAlignment="1" applyProtection="1">
      <alignment horizontal="right" vertical="center"/>
      <protection locked="0"/>
    </xf>
    <xf numFmtId="193" fontId="35" fillId="0" borderId="0" xfId="0" applyNumberFormat="1" applyFont="1" applyFill="1" applyBorder="1" applyAlignment="1" applyProtection="1">
      <alignment vertical="center"/>
      <protection locked="0"/>
    </xf>
    <xf numFmtId="187" fontId="36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25" xfId="0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" fontId="12" fillId="0" borderId="11" xfId="0" applyNumberFormat="1" applyFont="1" applyFill="1" applyBorder="1" applyAlignment="1" applyProtection="1">
      <alignment horizontal="right" vertical="center" indent="1"/>
      <protection locked="0"/>
    </xf>
    <xf numFmtId="193" fontId="13" fillId="0" borderId="11" xfId="0" applyNumberFormat="1" applyFont="1" applyFill="1" applyBorder="1" applyAlignment="1" applyProtection="1">
      <alignment horizontal="right" vertical="center" indent="1"/>
      <protection locked="0"/>
    </xf>
    <xf numFmtId="4" fontId="12" fillId="0" borderId="3" xfId="0" applyNumberFormat="1" applyFont="1" applyFill="1" applyBorder="1" applyAlignment="1" applyProtection="1">
      <alignment horizontal="right" vertical="center" indent="1"/>
      <protection locked="0"/>
    </xf>
    <xf numFmtId="193" fontId="13" fillId="0" borderId="3" xfId="0" applyNumberFormat="1" applyFont="1" applyFill="1" applyBorder="1" applyAlignment="1" applyProtection="1">
      <alignment horizontal="right" vertical="center" indent="1"/>
      <protection locked="0"/>
    </xf>
    <xf numFmtId="0" fontId="13" fillId="0" borderId="19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 applyProtection="1">
      <alignment vertical="center"/>
      <protection/>
    </xf>
    <xf numFmtId="0" fontId="5" fillId="0" borderId="28" xfId="0" applyNumberFormat="1" applyFont="1" applyFill="1" applyBorder="1" applyAlignment="1">
      <alignment vertical="center" wrapText="1"/>
    </xf>
    <xf numFmtId="184" fontId="21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184" fontId="12" fillId="0" borderId="26" xfId="0" applyNumberFormat="1" applyFont="1" applyFill="1" applyBorder="1" applyAlignment="1" applyProtection="1">
      <alignment horizontal="center" vertical="center"/>
      <protection locked="0"/>
    </xf>
    <xf numFmtId="197" fontId="21" fillId="0" borderId="15" xfId="0" applyNumberFormat="1" applyFont="1" applyFill="1" applyBorder="1" applyAlignment="1">
      <alignment horizontal="left" vertical="center"/>
    </xf>
    <xf numFmtId="187" fontId="21" fillId="0" borderId="33" xfId="0" applyNumberFormat="1" applyFont="1" applyFill="1" applyBorder="1" applyAlignment="1">
      <alignment vertical="center"/>
    </xf>
    <xf numFmtId="187" fontId="21" fillId="0" borderId="34" xfId="0" applyNumberFormat="1" applyFont="1" applyFill="1" applyBorder="1" applyAlignment="1">
      <alignment vertical="center"/>
    </xf>
    <xf numFmtId="187" fontId="21" fillId="0" borderId="34" xfId="15" applyNumberFormat="1" applyFont="1" applyFill="1" applyBorder="1" applyAlignment="1" applyProtection="1">
      <alignment vertical="center"/>
      <protection locked="0"/>
    </xf>
    <xf numFmtId="187" fontId="21" fillId="0" borderId="34" xfId="15" applyNumberFormat="1" applyFont="1" applyFill="1" applyBorder="1" applyAlignment="1" applyProtection="1">
      <alignment vertical="center"/>
      <protection/>
    </xf>
    <xf numFmtId="187" fontId="37" fillId="0" borderId="34" xfId="0" applyNumberFormat="1" applyFont="1" applyFill="1" applyBorder="1" applyAlignment="1">
      <alignment vertical="center"/>
    </xf>
    <xf numFmtId="187" fontId="37" fillId="0" borderId="34" xfId="15" applyNumberFormat="1" applyFont="1" applyFill="1" applyBorder="1" applyAlignment="1">
      <alignment vertical="center"/>
    </xf>
    <xf numFmtId="187" fontId="20" fillId="0" borderId="33" xfId="0" applyNumberFormat="1" applyFont="1" applyFill="1" applyBorder="1" applyAlignment="1">
      <alignment vertical="center"/>
    </xf>
    <xf numFmtId="187" fontId="20" fillId="0" borderId="34" xfId="0" applyNumberFormat="1" applyFont="1" applyFill="1" applyBorder="1" applyAlignment="1">
      <alignment vertical="center"/>
    </xf>
    <xf numFmtId="187" fontId="20" fillId="0" borderId="34" xfId="15" applyNumberFormat="1" applyFont="1" applyFill="1" applyBorder="1" applyAlignment="1" applyProtection="1">
      <alignment vertical="center"/>
      <protection locked="0"/>
    </xf>
    <xf numFmtId="187" fontId="20" fillId="0" borderId="34" xfId="15" applyNumberFormat="1" applyFont="1" applyFill="1" applyBorder="1" applyAlignment="1" applyProtection="1">
      <alignment vertical="center"/>
      <protection/>
    </xf>
    <xf numFmtId="187" fontId="38" fillId="0" borderId="34" xfId="0" applyNumberFormat="1" applyFont="1" applyFill="1" applyBorder="1" applyAlignment="1">
      <alignment vertical="center"/>
    </xf>
    <xf numFmtId="187" fontId="38" fillId="0" borderId="34" xfId="15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30" fillId="2" borderId="23" xfId="0" applyFont="1" applyFill="1" applyBorder="1" applyAlignment="1">
      <alignment vertical="center"/>
    </xf>
    <xf numFmtId="0" fontId="30" fillId="2" borderId="17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vertical="center"/>
    </xf>
    <xf numFmtId="3" fontId="30" fillId="2" borderId="17" xfId="0" applyNumberFormat="1" applyFont="1" applyFill="1" applyBorder="1" applyAlignment="1">
      <alignment horizontal="center" vertical="center"/>
    </xf>
    <xf numFmtId="187" fontId="5" fillId="0" borderId="9" xfId="0" applyNumberFormat="1" applyFont="1" applyFill="1" applyBorder="1" applyAlignment="1" applyProtection="1">
      <alignment horizontal="center" vertical="center" wrapText="1"/>
      <protection/>
    </xf>
    <xf numFmtId="187" fontId="30" fillId="2" borderId="17" xfId="0" applyNumberFormat="1" applyFont="1" applyFill="1" applyBorder="1" applyAlignment="1">
      <alignment vertical="center"/>
    </xf>
    <xf numFmtId="187" fontId="14" fillId="0" borderId="0" xfId="0" applyNumberFormat="1" applyFont="1" applyFill="1" applyAlignment="1">
      <alignment vertical="center"/>
    </xf>
    <xf numFmtId="187" fontId="5" fillId="0" borderId="27" xfId="0" applyNumberFormat="1" applyFont="1" applyFill="1" applyBorder="1" applyAlignment="1" applyProtection="1">
      <alignment horizontal="center" vertical="center" wrapText="1"/>
      <protection/>
    </xf>
    <xf numFmtId="187" fontId="20" fillId="0" borderId="20" xfId="0" applyNumberFormat="1" applyFont="1" applyBorder="1" applyAlignment="1">
      <alignment vertical="center"/>
    </xf>
    <xf numFmtId="187" fontId="20" fillId="0" borderId="22" xfId="0" applyNumberFormat="1" applyFont="1" applyBorder="1" applyAlignment="1">
      <alignment vertical="center"/>
    </xf>
    <xf numFmtId="187" fontId="29" fillId="2" borderId="17" xfId="0" applyNumberFormat="1" applyFont="1" applyFill="1" applyBorder="1" applyAlignment="1">
      <alignment vertical="center"/>
    </xf>
    <xf numFmtId="187" fontId="14" fillId="0" borderId="0" xfId="0" applyNumberFormat="1" applyFont="1" applyAlignment="1">
      <alignment vertical="center"/>
    </xf>
    <xf numFmtId="2" fontId="21" fillId="0" borderId="35" xfId="0" applyNumberFormat="1" applyFont="1" applyBorder="1" applyAlignment="1">
      <alignment horizontal="right" vertical="center" indent="1"/>
    </xf>
    <xf numFmtId="2" fontId="21" fillId="0" borderId="36" xfId="0" applyNumberFormat="1" applyFont="1" applyBorder="1" applyAlignment="1">
      <alignment horizontal="right" vertical="center" indent="1"/>
    </xf>
    <xf numFmtId="2" fontId="29" fillId="2" borderId="37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3" fontId="5" fillId="0" borderId="9" xfId="0" applyNumberFormat="1" applyFont="1" applyFill="1" applyBorder="1" applyAlignment="1" applyProtection="1">
      <alignment horizontal="right" vertical="center" wrapText="1" indent="1"/>
      <protection/>
    </xf>
    <xf numFmtId="3" fontId="30" fillId="2" borderId="17" xfId="0" applyNumberFormat="1" applyFont="1" applyFill="1" applyBorder="1" applyAlignment="1">
      <alignment horizontal="right" vertical="center" indent="1"/>
    </xf>
    <xf numFmtId="3" fontId="14" fillId="0" borderId="0" xfId="0" applyNumberFormat="1" applyFont="1" applyFill="1" applyAlignment="1">
      <alignment horizontal="right" vertical="center" indent="1"/>
    </xf>
    <xf numFmtId="3" fontId="5" fillId="0" borderId="27" xfId="0" applyNumberFormat="1" applyFont="1" applyFill="1" applyBorder="1" applyAlignment="1" applyProtection="1">
      <alignment horizontal="right" vertical="center" wrapText="1" indent="1"/>
      <protection/>
    </xf>
    <xf numFmtId="3" fontId="21" fillId="0" borderId="20" xfId="0" applyNumberFormat="1" applyFont="1" applyBorder="1" applyAlignment="1">
      <alignment horizontal="right" vertical="center" indent="1"/>
    </xf>
    <xf numFmtId="3" fontId="21" fillId="0" borderId="22" xfId="0" applyNumberFormat="1" applyFont="1" applyBorder="1" applyAlignment="1">
      <alignment horizontal="right" vertical="center" indent="1"/>
    </xf>
    <xf numFmtId="3" fontId="29" fillId="2" borderId="17" xfId="0" applyNumberFormat="1" applyFont="1" applyFill="1" applyBorder="1" applyAlignment="1">
      <alignment horizontal="right" vertical="center" indent="1"/>
    </xf>
    <xf numFmtId="3" fontId="14" fillId="0" borderId="0" xfId="0" applyNumberFormat="1" applyFont="1" applyAlignment="1">
      <alignment horizontal="right" vertical="center" indent="1"/>
    </xf>
    <xf numFmtId="192" fontId="3" fillId="0" borderId="0" xfId="0" applyNumberFormat="1" applyFont="1" applyFill="1" applyBorder="1" applyAlignment="1" applyProtection="1">
      <alignment horizontal="right" vertical="center" indent="1"/>
      <protection/>
    </xf>
    <xf numFmtId="192" fontId="5" fillId="0" borderId="5" xfId="0" applyNumberFormat="1" applyFont="1" applyFill="1" applyBorder="1" applyAlignment="1" applyProtection="1">
      <alignment horizontal="right" vertical="center" wrapText="1" indent="1"/>
      <protection/>
    </xf>
    <xf numFmtId="192" fontId="30" fillId="2" borderId="35" xfId="0" applyNumberFormat="1" applyFont="1" applyFill="1" applyBorder="1" applyAlignment="1">
      <alignment horizontal="right" vertical="center" indent="1"/>
    </xf>
    <xf numFmtId="192" fontId="29" fillId="2" borderId="38" xfId="0" applyNumberFormat="1" applyFont="1" applyFill="1" applyBorder="1" applyAlignment="1">
      <alignment horizontal="right" vertical="center" indent="1"/>
    </xf>
    <xf numFmtId="192" fontId="29" fillId="2" borderId="39" xfId="0" applyNumberFormat="1" applyFont="1" applyFill="1" applyBorder="1" applyAlignment="1">
      <alignment horizontal="right" vertical="center" indent="1"/>
    </xf>
    <xf numFmtId="193" fontId="13" fillId="0" borderId="0" xfId="0" applyNumberFormat="1" applyFont="1" applyFill="1" applyBorder="1" applyAlignment="1" applyProtection="1">
      <alignment horizontal="right" vertical="center" indent="1"/>
      <protection locked="0"/>
    </xf>
    <xf numFmtId="0" fontId="27" fillId="0" borderId="0" xfId="0" applyFont="1" applyBorder="1" applyAlignment="1" applyProtection="1">
      <alignment horizontal="right" vertical="center" wrapText="1" indent="1"/>
      <protection locked="0"/>
    </xf>
    <xf numFmtId="192" fontId="13" fillId="0" borderId="0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Border="1" applyAlignment="1" applyProtection="1">
      <alignment horizontal="right" vertical="center" indent="1"/>
      <protection locked="0"/>
    </xf>
    <xf numFmtId="192" fontId="7" fillId="0" borderId="0" xfId="0" applyNumberFormat="1" applyFont="1" applyFill="1" applyBorder="1" applyAlignment="1" applyProtection="1">
      <alignment horizontal="right" vertical="center" indent="1"/>
      <protection locked="0"/>
    </xf>
    <xf numFmtId="0" fontId="21" fillId="0" borderId="20" xfId="0" applyFont="1" applyFill="1" applyBorder="1" applyAlignment="1">
      <alignment horizontal="left" vertical="center"/>
    </xf>
    <xf numFmtId="184" fontId="21" fillId="0" borderId="2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15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184" fontId="21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right" vertical="center" indent="1"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/>
    </xf>
    <xf numFmtId="4" fontId="5" fillId="0" borderId="26" xfId="0" applyNumberFormat="1" applyFont="1" applyFill="1" applyBorder="1" applyAlignment="1" applyProtection="1">
      <alignment horizontal="center" vertical="center"/>
      <protection/>
    </xf>
    <xf numFmtId="184" fontId="5" fillId="0" borderId="26" xfId="0" applyNumberFormat="1" applyFont="1" applyFill="1" applyBorder="1" applyAlignment="1" applyProtection="1">
      <alignment horizontal="center" vertical="center" wrapText="1"/>
      <protection/>
    </xf>
    <xf numFmtId="184" fontId="0" fillId="0" borderId="9" xfId="0" applyNumberFormat="1" applyBorder="1" applyAlignment="1">
      <alignment horizontal="center"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22" fillId="2" borderId="0" xfId="0" applyFont="1" applyFill="1" applyBorder="1" applyAlignment="1" applyProtection="1">
      <alignment horizontal="center" vertical="center"/>
      <protection/>
    </xf>
    <xf numFmtId="0" fontId="22" fillId="2" borderId="0" xfId="0" applyFont="1" applyFill="1" applyAlignment="1">
      <alignment horizontal="center" vertical="center"/>
    </xf>
    <xf numFmtId="184" fontId="12" fillId="0" borderId="16" xfId="0" applyNumberFormat="1" applyFont="1" applyFill="1" applyBorder="1" applyAlignment="1" applyProtection="1">
      <alignment horizontal="center" vertical="center"/>
      <protection locked="0"/>
    </xf>
    <xf numFmtId="184" fontId="0" fillId="0" borderId="40" xfId="0" applyNumberFormat="1" applyBorder="1" applyAlignment="1">
      <alignment horizontal="center" vertical="center"/>
    </xf>
    <xf numFmtId="184" fontId="0" fillId="0" borderId="28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0" fontId="27" fillId="0" borderId="0" xfId="0" applyFont="1" applyBorder="1" applyAlignment="1" applyProtection="1">
      <alignment vertical="center" wrapText="1"/>
      <protection locked="0"/>
    </xf>
    <xf numFmtId="181" fontId="5" fillId="0" borderId="26" xfId="0" applyNumberFormat="1" applyFont="1" applyFill="1" applyBorder="1" applyAlignment="1" applyProtection="1">
      <alignment horizontal="center" vertical="center"/>
      <protection/>
    </xf>
    <xf numFmtId="181" fontId="5" fillId="0" borderId="32" xfId="0" applyNumberFormat="1" applyFont="1" applyFill="1" applyBorder="1" applyAlignment="1" applyProtection="1">
      <alignment horizontal="center" vertical="center"/>
      <protection/>
    </xf>
    <xf numFmtId="43" fontId="5" fillId="0" borderId="26" xfId="15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32" xfId="0" applyNumberFormat="1" applyFont="1" applyFill="1" applyBorder="1" applyAlignment="1" applyProtection="1">
      <alignment horizontal="right" vertical="center" wrapText="1" indent="1"/>
      <protection/>
    </xf>
    <xf numFmtId="2" fontId="5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wrapText="1"/>
    </xf>
    <xf numFmtId="0" fontId="26" fillId="3" borderId="16" xfId="0" applyFont="1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2" fontId="5" fillId="0" borderId="5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9" xfId="0" applyNumberFormat="1" applyFont="1" applyFill="1" applyBorder="1" applyAlignment="1">
      <alignment horizontal="center" wrapText="1"/>
    </xf>
    <xf numFmtId="0" fontId="21" fillId="0" borderId="15" xfId="0" applyFont="1" applyFill="1" applyBorder="1" applyAlignment="1">
      <alignment vertical="center"/>
    </xf>
    <xf numFmtId="204" fontId="21" fillId="0" borderId="15" xfId="0" applyNumberFormat="1" applyFont="1" applyFill="1" applyBorder="1" applyAlignment="1">
      <alignment vertical="center"/>
    </xf>
    <xf numFmtId="193" fontId="21" fillId="0" borderId="15" xfId="0" applyNumberFormat="1" applyFont="1" applyFill="1" applyBorder="1" applyAlignment="1">
      <alignment vertical="center"/>
    </xf>
    <xf numFmtId="193" fontId="21" fillId="0" borderId="15" xfId="15" applyNumberFormat="1" applyFont="1" applyFill="1" applyBorder="1" applyAlignment="1" applyProtection="1">
      <alignment vertical="center"/>
      <protection/>
    </xf>
    <xf numFmtId="184" fontId="21" fillId="0" borderId="15" xfId="0" applyNumberFormat="1" applyFont="1" applyFill="1" applyBorder="1" applyAlignment="1" applyProtection="1">
      <alignment vertical="center"/>
      <protection locked="0"/>
    </xf>
    <xf numFmtId="193" fontId="21" fillId="0" borderId="15" xfId="15" applyNumberFormat="1" applyFont="1" applyFill="1" applyBorder="1" applyAlignment="1" applyProtection="1">
      <alignment vertical="center"/>
      <protection locked="0"/>
    </xf>
    <xf numFmtId="193" fontId="37" fillId="0" borderId="15" xfId="0" applyNumberFormat="1" applyFont="1" applyFill="1" applyBorder="1" applyAlignment="1">
      <alignment vertical="center"/>
    </xf>
    <xf numFmtId="197" fontId="21" fillId="0" borderId="15" xfId="0" applyNumberFormat="1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192" fontId="21" fillId="0" borderId="45" xfId="15" applyNumberFormat="1" applyFont="1" applyFill="1" applyBorder="1" applyAlignment="1" applyProtection="1">
      <alignment vertical="center"/>
      <protection/>
    </xf>
    <xf numFmtId="192" fontId="21" fillId="0" borderId="30" xfId="15" applyNumberFormat="1" applyFont="1" applyFill="1" applyBorder="1" applyAlignment="1" applyProtection="1">
      <alignment vertical="center"/>
      <protection/>
    </xf>
    <xf numFmtId="192" fontId="21" fillId="0" borderId="31" xfId="15" applyNumberFormat="1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>
      <alignment vertical="center"/>
    </xf>
    <xf numFmtId="204" fontId="21" fillId="0" borderId="20" xfId="0" applyNumberFormat="1" applyFont="1" applyFill="1" applyBorder="1" applyAlignment="1">
      <alignment vertical="center"/>
    </xf>
    <xf numFmtId="193" fontId="21" fillId="0" borderId="20" xfId="0" applyNumberFormat="1" applyFont="1" applyFill="1" applyBorder="1" applyAlignment="1">
      <alignment vertical="center"/>
    </xf>
    <xf numFmtId="193" fontId="21" fillId="0" borderId="20" xfId="15" applyNumberFormat="1" applyFont="1" applyFill="1" applyBorder="1" applyAlignment="1" applyProtection="1">
      <alignment vertical="center"/>
      <protection/>
    </xf>
    <xf numFmtId="192" fontId="21" fillId="0" borderId="35" xfId="15" applyNumberFormat="1" applyFont="1" applyFill="1" applyBorder="1" applyAlignment="1" applyProtection="1">
      <alignment vertical="center"/>
      <protection/>
    </xf>
    <xf numFmtId="192" fontId="21" fillId="0" borderId="38" xfId="15" applyNumberFormat="1" applyFont="1" applyFill="1" applyBorder="1" applyAlignment="1" applyProtection="1">
      <alignment vertical="center"/>
      <protection/>
    </xf>
    <xf numFmtId="0" fontId="21" fillId="0" borderId="25" xfId="0" applyFont="1" applyFill="1" applyBorder="1" applyAlignment="1" applyProtection="1">
      <alignment vertical="center"/>
      <protection locked="0"/>
    </xf>
    <xf numFmtId="187" fontId="37" fillId="0" borderId="46" xfId="15" applyNumberFormat="1" applyFont="1" applyFill="1" applyBorder="1" applyAlignment="1">
      <alignment vertical="center"/>
    </xf>
    <xf numFmtId="193" fontId="37" fillId="0" borderId="25" xfId="0" applyNumberFormat="1" applyFont="1" applyFill="1" applyBorder="1" applyAlignment="1">
      <alignment vertical="center"/>
    </xf>
    <xf numFmtId="193" fontId="21" fillId="0" borderId="25" xfId="15" applyNumberFormat="1" applyFont="1" applyFill="1" applyBorder="1" applyAlignment="1" applyProtection="1">
      <alignment vertical="center"/>
      <protection/>
    </xf>
    <xf numFmtId="192" fontId="21" fillId="0" borderId="39" xfId="15" applyNumberFormat="1" applyFont="1" applyFill="1" applyBorder="1" applyAlignment="1" applyProtection="1">
      <alignment vertical="center"/>
      <protection/>
    </xf>
    <xf numFmtId="187" fontId="38" fillId="0" borderId="46" xfId="15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 applyProtection="1">
      <alignment vertical="center"/>
      <protection/>
    </xf>
    <xf numFmtId="192" fontId="5" fillId="0" borderId="9" xfId="0" applyNumberFormat="1" applyFont="1" applyFill="1" applyBorder="1" applyAlignment="1" applyProtection="1">
      <alignment vertical="center" wrapText="1"/>
      <protection/>
    </xf>
    <xf numFmtId="192" fontId="30" fillId="2" borderId="20" xfId="0" applyNumberFormat="1" applyFont="1" applyFill="1" applyBorder="1" applyAlignment="1">
      <alignment vertical="center"/>
    </xf>
    <xf numFmtId="192" fontId="29" fillId="2" borderId="15" xfId="0" applyNumberFormat="1" applyFont="1" applyFill="1" applyBorder="1" applyAlignment="1">
      <alignment vertical="center"/>
    </xf>
    <xf numFmtId="192" fontId="29" fillId="2" borderId="25" xfId="0" applyNumberFormat="1" applyFont="1" applyFill="1" applyBorder="1" applyAlignment="1">
      <alignment vertical="center"/>
    </xf>
    <xf numFmtId="187" fontId="13" fillId="0" borderId="0" xfId="0" applyNumberFormat="1" applyFont="1" applyFill="1" applyBorder="1" applyAlignment="1" applyProtection="1">
      <alignment vertical="center"/>
      <protection locked="0"/>
    </xf>
    <xf numFmtId="192" fontId="7" fillId="0" borderId="0" xfId="0" applyNumberFormat="1" applyFont="1" applyFill="1" applyBorder="1" applyAlignment="1" applyProtection="1">
      <alignment vertical="center"/>
      <protection locked="0"/>
    </xf>
    <xf numFmtId="187" fontId="21" fillId="0" borderId="15" xfId="15" applyNumberFormat="1" applyFont="1" applyFill="1" applyBorder="1" applyAlignment="1" applyProtection="1">
      <alignment horizontal="right" vertical="center"/>
      <protection locked="0"/>
    </xf>
    <xf numFmtId="193" fontId="21" fillId="0" borderId="15" xfId="15" applyNumberFormat="1" applyFont="1" applyFill="1" applyBorder="1" applyAlignment="1" applyProtection="1">
      <alignment horizontal="right" vertical="center"/>
      <protection locked="0"/>
    </xf>
    <xf numFmtId="204" fontId="21" fillId="0" borderId="15" xfId="0" applyNumberFormat="1" applyFont="1" applyFill="1" applyBorder="1" applyAlignment="1">
      <alignment horizontal="left" vertical="center"/>
    </xf>
    <xf numFmtId="187" fontId="21" fillId="0" borderId="15" xfId="0" applyNumberFormat="1" applyFont="1" applyFill="1" applyBorder="1" applyAlignment="1">
      <alignment horizontal="right" vertical="center"/>
    </xf>
    <xf numFmtId="193" fontId="21" fillId="0" borderId="15" xfId="0" applyNumberFormat="1" applyFont="1" applyFill="1" applyBorder="1" applyAlignment="1">
      <alignment horizontal="right" vertical="center"/>
    </xf>
    <xf numFmtId="187" fontId="37" fillId="0" borderId="15" xfId="15" applyNumberFormat="1" applyFont="1" applyFill="1" applyBorder="1" applyAlignment="1">
      <alignment horizontal="right" vertical="center"/>
    </xf>
    <xf numFmtId="193" fontId="37" fillId="0" borderId="15" xfId="0" applyNumberFormat="1" applyFont="1" applyFill="1" applyBorder="1" applyAlignment="1">
      <alignment horizontal="right" vertical="center"/>
    </xf>
    <xf numFmtId="0" fontId="21" fillId="0" borderId="15" xfId="0" applyNumberFormat="1" applyFont="1" applyFill="1" applyBorder="1" applyAlignment="1">
      <alignment horizontal="left" vertical="center"/>
    </xf>
    <xf numFmtId="187" fontId="21" fillId="0" borderId="15" xfId="15" applyNumberFormat="1" applyFont="1" applyFill="1" applyBorder="1" applyAlignment="1">
      <alignment horizontal="right" vertical="center"/>
    </xf>
    <xf numFmtId="193" fontId="21" fillId="0" borderId="15" xfId="15" applyNumberFormat="1" applyFont="1" applyFill="1" applyBorder="1" applyAlignment="1">
      <alignment horizontal="right" vertical="center"/>
    </xf>
    <xf numFmtId="187" fontId="21" fillId="0" borderId="15" xfId="15" applyNumberFormat="1" applyFont="1" applyFill="1" applyBorder="1" applyAlignment="1" applyProtection="1">
      <alignment horizontal="right" vertical="center"/>
      <protection/>
    </xf>
    <xf numFmtId="187" fontId="21" fillId="0" borderId="15" xfId="0" applyNumberFormat="1" applyFont="1" applyFill="1" applyBorder="1" applyAlignment="1" applyProtection="1">
      <alignment horizontal="right" vertical="center"/>
      <protection locked="0"/>
    </xf>
    <xf numFmtId="193" fontId="21" fillId="0" borderId="15" xfId="0" applyNumberFormat="1" applyFont="1" applyFill="1" applyBorder="1" applyAlignment="1" applyProtection="1">
      <alignment horizontal="right" vertical="center"/>
      <protection locked="0"/>
    </xf>
    <xf numFmtId="49" fontId="21" fillId="0" borderId="15" xfId="0" applyNumberFormat="1" applyFont="1" applyFill="1" applyBorder="1" applyAlignment="1">
      <alignment horizontal="left" vertical="center"/>
    </xf>
    <xf numFmtId="187" fontId="21" fillId="0" borderId="20" xfId="15" applyNumberFormat="1" applyFont="1" applyFill="1" applyBorder="1" applyAlignment="1" applyProtection="1">
      <alignment horizontal="right" vertical="center"/>
      <protection locked="0"/>
    </xf>
    <xf numFmtId="193" fontId="21" fillId="0" borderId="20" xfId="15" applyNumberFormat="1" applyFont="1" applyFill="1" applyBorder="1" applyAlignment="1" applyProtection="1">
      <alignment horizontal="right" vertical="center"/>
      <protection locked="0"/>
    </xf>
    <xf numFmtId="192" fontId="21" fillId="0" borderId="35" xfId="15" applyNumberFormat="1" applyFont="1" applyFill="1" applyBorder="1" applyAlignment="1" applyProtection="1">
      <alignment horizontal="right" vertical="center"/>
      <protection/>
    </xf>
    <xf numFmtId="192" fontId="21" fillId="0" borderId="38" xfId="15" applyNumberFormat="1" applyFont="1" applyFill="1" applyBorder="1" applyAlignment="1" applyProtection="1">
      <alignment horizontal="right" vertical="center"/>
      <protection/>
    </xf>
    <xf numFmtId="192" fontId="21" fillId="0" borderId="38" xfId="0" applyNumberFormat="1" applyFont="1" applyFill="1" applyBorder="1" applyAlignment="1">
      <alignment horizontal="right" vertical="center"/>
    </xf>
    <xf numFmtId="192" fontId="21" fillId="0" borderId="38" xfId="21" applyNumberFormat="1" applyFont="1" applyFill="1" applyBorder="1" applyAlignment="1" applyProtection="1">
      <alignment horizontal="right" vertical="center"/>
      <protection/>
    </xf>
    <xf numFmtId="187" fontId="21" fillId="0" borderId="25" xfId="15" applyNumberFormat="1" applyFont="1" applyFill="1" applyBorder="1" applyAlignment="1">
      <alignment horizontal="right" vertical="center"/>
    </xf>
    <xf numFmtId="193" fontId="21" fillId="0" borderId="25" xfId="15" applyNumberFormat="1" applyFont="1" applyFill="1" applyBorder="1" applyAlignment="1">
      <alignment horizontal="right" vertical="center"/>
    </xf>
    <xf numFmtId="192" fontId="21" fillId="0" borderId="39" xfId="0" applyNumberFormat="1" applyFont="1" applyFill="1" applyBorder="1" applyAlignment="1">
      <alignment horizontal="right" vertical="center"/>
    </xf>
    <xf numFmtId="2" fontId="30" fillId="2" borderId="37" xfId="0" applyNumberFormat="1" applyFont="1" applyFill="1" applyBorder="1" applyAlignment="1">
      <alignment horizontal="right" vertical="center" inden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Haftalık G.B.O. Dağılımı</a:t>
            </a:r>
          </a:p>
        </c:rich>
      </c:tx>
      <c:layout>
        <c:manualLayout>
          <c:xMode val="factor"/>
          <c:yMode val="factor"/>
          <c:x val="-0.3265"/>
          <c:y val="-0.00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5"/>
          <c:y val="0.3385"/>
          <c:w val="0.63425"/>
          <c:h val="0.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'21 - 27 Apr(WK 17)'!$E$104:$E$115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0015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TURKEY'S WEEKLY MARKET DATAS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12</xdr:col>
      <xdr:colOff>447675</xdr:colOff>
      <xdr:row>0</xdr:row>
      <xdr:rowOff>466725</xdr:rowOff>
    </xdr:from>
    <xdr:to>
      <xdr:col>15</xdr:col>
      <xdr:colOff>447675</xdr:colOff>
      <xdr:row>0</xdr:row>
      <xdr:rowOff>1076325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791700" y="466725"/>
          <a:ext cx="2124075" cy="6096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17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21 - 27 APR 2006</a:t>
          </a:r>
        </a:p>
      </xdr:txBody>
    </xdr:sp>
    <xdr:clientData/>
  </xdr:twoCellAnchor>
  <xdr:twoCellAnchor>
    <xdr:from>
      <xdr:col>8</xdr:col>
      <xdr:colOff>142875</xdr:colOff>
      <xdr:row>101</xdr:row>
      <xdr:rowOff>28575</xdr:rowOff>
    </xdr:from>
    <xdr:to>
      <xdr:col>15</xdr:col>
      <xdr:colOff>323850</xdr:colOff>
      <xdr:row>116</xdr:row>
      <xdr:rowOff>0</xdr:rowOff>
    </xdr:to>
    <xdr:graphicFrame>
      <xdr:nvGraphicFramePr>
        <xdr:cNvPr id="3" name="Chart 7"/>
        <xdr:cNvGraphicFramePr/>
      </xdr:nvGraphicFramePr>
      <xdr:xfrm>
        <a:off x="6829425" y="21040725"/>
        <a:ext cx="49625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showGridLines="0" tabSelected="1" zoomScale="70" zoomScaleNormal="70" workbookViewId="0" topLeftCell="A1">
      <pane xSplit="3" ySplit="4" topLeftCell="D5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:C4"/>
    </sheetView>
  </sheetViews>
  <sheetFormatPr defaultColWidth="9.140625" defaultRowHeight="12.75"/>
  <cols>
    <col min="1" max="1" width="3.421875" style="34" bestFit="1" customWidth="1"/>
    <col min="2" max="2" width="1.28515625" style="6" customWidth="1"/>
    <col min="3" max="3" width="38.7109375" style="5" bestFit="1" customWidth="1"/>
    <col min="4" max="4" width="8.7109375" style="51" bestFit="1" customWidth="1"/>
    <col min="5" max="5" width="16.8515625" style="83" bestFit="1" customWidth="1"/>
    <col min="6" max="6" width="14.421875" style="83" bestFit="1" customWidth="1"/>
    <col min="7" max="7" width="9.140625" style="8" bestFit="1" customWidth="1"/>
    <col min="8" max="8" width="7.7109375" style="8" bestFit="1" customWidth="1"/>
    <col min="9" max="9" width="8.140625" style="8" customWidth="1"/>
    <col min="10" max="10" width="14.8515625" style="144" bestFit="1" customWidth="1"/>
    <col min="11" max="11" width="9.140625" style="101" bestFit="1" customWidth="1"/>
    <col min="12" max="12" width="7.7109375" style="101" bestFit="1" customWidth="1"/>
    <col min="13" max="13" width="6.7109375" style="284" bestFit="1" customWidth="1"/>
    <col min="14" max="14" width="14.8515625" style="97" bestFit="1" customWidth="1"/>
    <col min="15" max="15" width="10.28125" style="101" bestFit="1" customWidth="1"/>
    <col min="16" max="16" width="8.28125" style="206" bestFit="1" customWidth="1"/>
    <col min="17" max="16384" width="9.140625" style="5" customWidth="1"/>
  </cols>
  <sheetData>
    <row r="1" spans="1:16" s="3" customFormat="1" ht="104.25" customHeight="1">
      <c r="A1" s="31"/>
      <c r="B1" s="1"/>
      <c r="C1" s="2"/>
      <c r="D1" s="48"/>
      <c r="E1" s="79"/>
      <c r="F1" s="79"/>
      <c r="G1" s="7"/>
      <c r="H1" s="7"/>
      <c r="I1" s="7"/>
      <c r="J1" s="140"/>
      <c r="K1" s="98"/>
      <c r="L1" s="98"/>
      <c r="M1" s="278"/>
      <c r="N1" s="95"/>
      <c r="O1" s="102"/>
      <c r="P1" s="197"/>
    </row>
    <row r="2" spans="1:16" s="38" customFormat="1" ht="39.75" customHeight="1" thickBot="1">
      <c r="A2" s="230" t="s">
        <v>177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s="4" customFormat="1" ht="14.25">
      <c r="A3" s="32"/>
      <c r="B3" s="52"/>
      <c r="C3" s="239" t="s">
        <v>18</v>
      </c>
      <c r="D3" s="222" t="s">
        <v>19</v>
      </c>
      <c r="E3" s="224" t="s">
        <v>97</v>
      </c>
      <c r="F3" s="224" t="s">
        <v>96</v>
      </c>
      <c r="G3" s="219" t="s">
        <v>20</v>
      </c>
      <c r="H3" s="219" t="s">
        <v>47</v>
      </c>
      <c r="I3" s="219" t="s">
        <v>48</v>
      </c>
      <c r="J3" s="221" t="s">
        <v>21</v>
      </c>
      <c r="K3" s="221"/>
      <c r="L3" s="221"/>
      <c r="M3" s="221"/>
      <c r="N3" s="237" t="s">
        <v>22</v>
      </c>
      <c r="O3" s="237"/>
      <c r="P3" s="238"/>
    </row>
    <row r="4" spans="1:16" s="4" customFormat="1" ht="50.25" customHeight="1" thickBot="1">
      <c r="A4" s="33"/>
      <c r="B4" s="124"/>
      <c r="C4" s="220"/>
      <c r="D4" s="223"/>
      <c r="E4" s="225"/>
      <c r="F4" s="225"/>
      <c r="G4" s="220"/>
      <c r="H4" s="220"/>
      <c r="I4" s="220"/>
      <c r="J4" s="125" t="s">
        <v>23</v>
      </c>
      <c r="K4" s="126" t="s">
        <v>24</v>
      </c>
      <c r="L4" s="127" t="s">
        <v>95</v>
      </c>
      <c r="M4" s="279" t="s">
        <v>25</v>
      </c>
      <c r="N4" s="125" t="s">
        <v>23</v>
      </c>
      <c r="O4" s="126" t="s">
        <v>24</v>
      </c>
      <c r="P4" s="198" t="s">
        <v>26</v>
      </c>
    </row>
    <row r="5" spans="1:16" s="4" customFormat="1" ht="15">
      <c r="A5" s="39">
        <v>1</v>
      </c>
      <c r="B5" s="104"/>
      <c r="C5" s="266" t="s">
        <v>164</v>
      </c>
      <c r="D5" s="208">
        <v>38821</v>
      </c>
      <c r="E5" s="267" t="s">
        <v>52</v>
      </c>
      <c r="F5" s="266" t="s">
        <v>106</v>
      </c>
      <c r="G5" s="209">
        <v>118</v>
      </c>
      <c r="H5" s="209">
        <v>118</v>
      </c>
      <c r="I5" s="262">
        <v>2</v>
      </c>
      <c r="J5" s="166">
        <v>1583540</v>
      </c>
      <c r="K5" s="268">
        <v>226672</v>
      </c>
      <c r="L5" s="269">
        <f>K5/H5</f>
        <v>1920.949152542373</v>
      </c>
      <c r="M5" s="263">
        <f>J5/K5</f>
        <v>6.986041504905767</v>
      </c>
      <c r="N5" s="160">
        <f>1908861+1583540</f>
        <v>3492401</v>
      </c>
      <c r="O5" s="268">
        <f>267837+226672</f>
        <v>494509</v>
      </c>
      <c r="P5" s="270">
        <f>+N5/O5</f>
        <v>7.062360846819775</v>
      </c>
    </row>
    <row r="6" spans="1:16" s="4" customFormat="1" ht="15">
      <c r="A6" s="39">
        <v>2</v>
      </c>
      <c r="B6" s="75"/>
      <c r="C6" s="139" t="s">
        <v>181</v>
      </c>
      <c r="D6" s="47">
        <v>38828</v>
      </c>
      <c r="E6" s="257" t="s">
        <v>102</v>
      </c>
      <c r="F6" s="139" t="s">
        <v>119</v>
      </c>
      <c r="G6" s="132">
        <v>59</v>
      </c>
      <c r="H6" s="132">
        <v>61</v>
      </c>
      <c r="I6" s="131">
        <v>1</v>
      </c>
      <c r="J6" s="168">
        <v>365673.5</v>
      </c>
      <c r="K6" s="258">
        <v>45213</v>
      </c>
      <c r="L6" s="256">
        <f>K6/H6</f>
        <v>741.1967213114754</v>
      </c>
      <c r="M6" s="264">
        <f>J6/K6</f>
        <v>8.087795545528941</v>
      </c>
      <c r="N6" s="162">
        <v>365673.5</v>
      </c>
      <c r="O6" s="258">
        <v>45213</v>
      </c>
      <c r="P6" s="271">
        <f>+N6/O6</f>
        <v>8.087795545528941</v>
      </c>
    </row>
    <row r="7" spans="1:16" s="4" customFormat="1" ht="15">
      <c r="A7" s="39">
        <v>3</v>
      </c>
      <c r="B7" s="75"/>
      <c r="C7" s="139" t="s">
        <v>165</v>
      </c>
      <c r="D7" s="47">
        <v>38821</v>
      </c>
      <c r="E7" s="139" t="s">
        <v>103</v>
      </c>
      <c r="F7" s="139" t="s">
        <v>108</v>
      </c>
      <c r="G7" s="132">
        <v>94</v>
      </c>
      <c r="H7" s="132">
        <v>96</v>
      </c>
      <c r="I7" s="131">
        <v>2</v>
      </c>
      <c r="J7" s="167">
        <v>263104</v>
      </c>
      <c r="K7" s="259">
        <v>37372</v>
      </c>
      <c r="L7" s="256">
        <f>K7/H7</f>
        <v>389.2916666666667</v>
      </c>
      <c r="M7" s="264">
        <f>J7/K7</f>
        <v>7.040137000963288</v>
      </c>
      <c r="N7" s="161">
        <v>691991</v>
      </c>
      <c r="O7" s="259">
        <v>95574</v>
      </c>
      <c r="P7" s="271">
        <f>+N7/O7</f>
        <v>7.240368719526231</v>
      </c>
    </row>
    <row r="8" spans="1:16" s="4" customFormat="1" ht="15">
      <c r="A8" s="39">
        <v>4</v>
      </c>
      <c r="B8" s="75"/>
      <c r="C8" s="253" t="s">
        <v>182</v>
      </c>
      <c r="D8" s="90">
        <v>38828</v>
      </c>
      <c r="E8" s="254" t="s">
        <v>52</v>
      </c>
      <c r="F8" s="253" t="s">
        <v>133</v>
      </c>
      <c r="G8" s="138">
        <v>43</v>
      </c>
      <c r="H8" s="138">
        <v>43</v>
      </c>
      <c r="I8" s="137">
        <v>1</v>
      </c>
      <c r="J8" s="167">
        <v>221837.5</v>
      </c>
      <c r="K8" s="255">
        <v>31465</v>
      </c>
      <c r="L8" s="256">
        <f>K8/H8</f>
        <v>731.7441860465116</v>
      </c>
      <c r="M8" s="264">
        <f>J8/K8</f>
        <v>7.0502939774352456</v>
      </c>
      <c r="N8" s="161">
        <f>221837.5</f>
        <v>221837.5</v>
      </c>
      <c r="O8" s="255">
        <f>31465</f>
        <v>31465</v>
      </c>
      <c r="P8" s="271">
        <f>+N8/O8</f>
        <v>7.0502939774352456</v>
      </c>
    </row>
    <row r="9" spans="1:16" s="10" customFormat="1" ht="15">
      <c r="A9" s="39">
        <v>5</v>
      </c>
      <c r="B9" s="40"/>
      <c r="C9" s="139" t="s">
        <v>150</v>
      </c>
      <c r="D9" s="47">
        <v>38814</v>
      </c>
      <c r="E9" s="257" t="s">
        <v>102</v>
      </c>
      <c r="F9" s="139" t="s">
        <v>151</v>
      </c>
      <c r="G9" s="132">
        <v>124</v>
      </c>
      <c r="H9" s="132">
        <v>109</v>
      </c>
      <c r="I9" s="131">
        <v>3</v>
      </c>
      <c r="J9" s="168">
        <f>192421+64.5</f>
        <v>192485.5</v>
      </c>
      <c r="K9" s="258">
        <f>32259+2</f>
        <v>32261</v>
      </c>
      <c r="L9" s="256">
        <f>K9/H9</f>
        <v>295.9724770642202</v>
      </c>
      <c r="M9" s="264">
        <f>J9/K9</f>
        <v>5.966507547813149</v>
      </c>
      <c r="N9" s="162">
        <f>439414+274192+192421+64.5</f>
        <v>906091.5</v>
      </c>
      <c r="O9" s="258">
        <f>65914+42392+32259+2</f>
        <v>140567</v>
      </c>
      <c r="P9" s="271">
        <f>+N9/O9</f>
        <v>6.445975940298932</v>
      </c>
    </row>
    <row r="10" spans="1:16" s="10" customFormat="1" ht="15">
      <c r="A10" s="39">
        <v>6</v>
      </c>
      <c r="B10" s="40"/>
      <c r="C10" s="139" t="s">
        <v>98</v>
      </c>
      <c r="D10" s="47">
        <v>38807</v>
      </c>
      <c r="E10" s="139" t="s">
        <v>99</v>
      </c>
      <c r="F10" s="139" t="s">
        <v>100</v>
      </c>
      <c r="G10" s="132">
        <v>115</v>
      </c>
      <c r="H10" s="132">
        <v>115</v>
      </c>
      <c r="I10" s="131">
        <v>4</v>
      </c>
      <c r="J10" s="168">
        <v>149880.5</v>
      </c>
      <c r="K10" s="258">
        <v>23651</v>
      </c>
      <c r="L10" s="256">
        <f>K10/H10</f>
        <v>205.66086956521738</v>
      </c>
      <c r="M10" s="264">
        <f>J10/K10</f>
        <v>6.337173903851846</v>
      </c>
      <c r="N10" s="162">
        <v>1954364.6</v>
      </c>
      <c r="O10" s="258">
        <v>263977</v>
      </c>
      <c r="P10" s="271">
        <f>+N10/O10</f>
        <v>7.4035412176060795</v>
      </c>
    </row>
    <row r="11" spans="1:16" s="10" customFormat="1" ht="15">
      <c r="A11" s="39">
        <v>7</v>
      </c>
      <c r="B11" s="40"/>
      <c r="C11" s="139" t="s">
        <v>183</v>
      </c>
      <c r="D11" s="47">
        <v>38828</v>
      </c>
      <c r="E11" s="139" t="s">
        <v>103</v>
      </c>
      <c r="F11" s="139" t="s">
        <v>108</v>
      </c>
      <c r="G11" s="132">
        <v>46</v>
      </c>
      <c r="H11" s="132">
        <v>48</v>
      </c>
      <c r="I11" s="131">
        <v>1</v>
      </c>
      <c r="J11" s="167">
        <v>141023</v>
      </c>
      <c r="K11" s="259">
        <v>16239</v>
      </c>
      <c r="L11" s="256">
        <f>K11/H11</f>
        <v>338.3125</v>
      </c>
      <c r="M11" s="264">
        <f>J11/K11</f>
        <v>8.68421700843648</v>
      </c>
      <c r="N11" s="161">
        <v>141023</v>
      </c>
      <c r="O11" s="259">
        <v>16239</v>
      </c>
      <c r="P11" s="271">
        <f>+N11/O11</f>
        <v>8.68421700843648</v>
      </c>
    </row>
    <row r="12" spans="1:16" s="10" customFormat="1" ht="15">
      <c r="A12" s="39">
        <v>8</v>
      </c>
      <c r="B12" s="40"/>
      <c r="C12" s="139" t="s">
        <v>166</v>
      </c>
      <c r="D12" s="47">
        <v>38821</v>
      </c>
      <c r="E12" s="257" t="s">
        <v>102</v>
      </c>
      <c r="F12" s="139" t="s">
        <v>161</v>
      </c>
      <c r="G12" s="132">
        <v>32</v>
      </c>
      <c r="H12" s="132">
        <v>32</v>
      </c>
      <c r="I12" s="131">
        <v>2</v>
      </c>
      <c r="J12" s="168">
        <f>88335.5+16</f>
        <v>88351.5</v>
      </c>
      <c r="K12" s="258">
        <f>9562-3</f>
        <v>9559</v>
      </c>
      <c r="L12" s="256">
        <f>K12/H12</f>
        <v>298.71875</v>
      </c>
      <c r="M12" s="264">
        <f>J12/K12</f>
        <v>9.242755518359662</v>
      </c>
      <c r="N12" s="162">
        <f>122911+88335.5+16</f>
        <v>211262.5</v>
      </c>
      <c r="O12" s="258">
        <f>13093+9562-3</f>
        <v>22652</v>
      </c>
      <c r="P12" s="271">
        <f>+N12/O12</f>
        <v>9.326439166519513</v>
      </c>
    </row>
    <row r="13" spans="1:16" s="10" customFormat="1" ht="15">
      <c r="A13" s="39">
        <v>9</v>
      </c>
      <c r="B13" s="40"/>
      <c r="C13" s="139" t="s">
        <v>184</v>
      </c>
      <c r="D13" s="47">
        <v>38821</v>
      </c>
      <c r="E13" s="257" t="s">
        <v>102</v>
      </c>
      <c r="F13" s="139" t="s">
        <v>110</v>
      </c>
      <c r="G13" s="132">
        <v>54</v>
      </c>
      <c r="H13" s="132">
        <v>54</v>
      </c>
      <c r="I13" s="131">
        <v>2</v>
      </c>
      <c r="J13" s="168">
        <f>86253.5+51</f>
        <v>86304.5</v>
      </c>
      <c r="K13" s="258">
        <v>11912</v>
      </c>
      <c r="L13" s="256">
        <f>K13/H13</f>
        <v>220.59259259259258</v>
      </c>
      <c r="M13" s="264">
        <f>J13/K13</f>
        <v>7.245172934855608</v>
      </c>
      <c r="N13" s="162">
        <f>155465+86253.5+51</f>
        <v>241769.5</v>
      </c>
      <c r="O13" s="258">
        <f>21109+11912</f>
        <v>33021</v>
      </c>
      <c r="P13" s="271">
        <f>+N13/O13</f>
        <v>7.321689228066988</v>
      </c>
    </row>
    <row r="14" spans="1:16" s="10" customFormat="1" ht="15">
      <c r="A14" s="39">
        <v>10</v>
      </c>
      <c r="B14" s="40"/>
      <c r="C14" s="139" t="s">
        <v>185</v>
      </c>
      <c r="D14" s="47">
        <v>38828</v>
      </c>
      <c r="E14" s="139" t="s">
        <v>99</v>
      </c>
      <c r="F14" s="139" t="s">
        <v>117</v>
      </c>
      <c r="G14" s="132">
        <v>46</v>
      </c>
      <c r="H14" s="132">
        <v>46</v>
      </c>
      <c r="I14" s="131">
        <v>1</v>
      </c>
      <c r="J14" s="168">
        <v>78126</v>
      </c>
      <c r="K14" s="258">
        <v>10272</v>
      </c>
      <c r="L14" s="256">
        <f>K14/H14</f>
        <v>223.30434782608697</v>
      </c>
      <c r="M14" s="264">
        <f>J14/K14</f>
        <v>7.605724299065421</v>
      </c>
      <c r="N14" s="162">
        <v>78126</v>
      </c>
      <c r="O14" s="258">
        <v>10272</v>
      </c>
      <c r="P14" s="271">
        <f>+N14/O14</f>
        <v>7.605724299065421</v>
      </c>
    </row>
    <row r="15" spans="1:16" s="10" customFormat="1" ht="15">
      <c r="A15" s="39">
        <v>11</v>
      </c>
      <c r="B15" s="129"/>
      <c r="C15" s="253" t="s">
        <v>167</v>
      </c>
      <c r="D15" s="90">
        <v>38814</v>
      </c>
      <c r="E15" s="254" t="s">
        <v>52</v>
      </c>
      <c r="F15" s="253" t="s">
        <v>186</v>
      </c>
      <c r="G15" s="138">
        <v>50</v>
      </c>
      <c r="H15" s="138">
        <v>46</v>
      </c>
      <c r="I15" s="137">
        <v>3</v>
      </c>
      <c r="J15" s="167">
        <v>55112</v>
      </c>
      <c r="K15" s="255">
        <v>7175</v>
      </c>
      <c r="L15" s="256">
        <f>K15/H15</f>
        <v>155.97826086956522</v>
      </c>
      <c r="M15" s="264">
        <f>J15/K15</f>
        <v>7.681114982578397</v>
      </c>
      <c r="N15" s="161">
        <f>159204+117003.5+55112</f>
        <v>331319.5</v>
      </c>
      <c r="O15" s="255">
        <f>19860+13877+7175</f>
        <v>40912</v>
      </c>
      <c r="P15" s="271">
        <f>+N15/O15</f>
        <v>8.098345228783732</v>
      </c>
    </row>
    <row r="16" spans="1:16" s="10" customFormat="1" ht="15">
      <c r="A16" s="39">
        <v>12</v>
      </c>
      <c r="B16" s="40"/>
      <c r="C16" s="139" t="s">
        <v>101</v>
      </c>
      <c r="D16" s="47">
        <v>38807</v>
      </c>
      <c r="E16" s="257" t="s">
        <v>102</v>
      </c>
      <c r="F16" s="139" t="s">
        <v>51</v>
      </c>
      <c r="G16" s="132">
        <v>77</v>
      </c>
      <c r="H16" s="132">
        <v>35</v>
      </c>
      <c r="I16" s="131">
        <v>4</v>
      </c>
      <c r="J16" s="168">
        <f>41732+5</f>
        <v>41737</v>
      </c>
      <c r="K16" s="258">
        <v>6638</v>
      </c>
      <c r="L16" s="256">
        <f>K16/H16</f>
        <v>189.65714285714284</v>
      </c>
      <c r="M16" s="264">
        <f>J16/K16</f>
        <v>6.28758662247665</v>
      </c>
      <c r="N16" s="162">
        <f>360631+281662+146898.5-10+41732+5</f>
        <v>830918.5</v>
      </c>
      <c r="O16" s="258">
        <f>47208+36381+19166-5+6638</f>
        <v>109388</v>
      </c>
      <c r="P16" s="271">
        <f>+N16/O16</f>
        <v>7.596066296120233</v>
      </c>
    </row>
    <row r="17" spans="1:16" s="10" customFormat="1" ht="15">
      <c r="A17" s="39">
        <v>13</v>
      </c>
      <c r="B17" s="40"/>
      <c r="C17" s="253" t="s">
        <v>92</v>
      </c>
      <c r="D17" s="90">
        <v>38800</v>
      </c>
      <c r="E17" s="254" t="s">
        <v>52</v>
      </c>
      <c r="F17" s="253" t="s">
        <v>106</v>
      </c>
      <c r="G17" s="138">
        <v>92</v>
      </c>
      <c r="H17" s="138">
        <v>54</v>
      </c>
      <c r="I17" s="137">
        <v>5</v>
      </c>
      <c r="J17" s="167">
        <v>38471.5</v>
      </c>
      <c r="K17" s="255">
        <v>9142</v>
      </c>
      <c r="L17" s="256">
        <f>K17/H17</f>
        <v>169.2962962962963</v>
      </c>
      <c r="M17" s="264">
        <f>J17/K17</f>
        <v>4.20821483264056</v>
      </c>
      <c r="N17" s="161">
        <f>481751.5+308419.5+242119.5+52953+38471.5</f>
        <v>1123715</v>
      </c>
      <c r="O17" s="255">
        <f>67910+40806+32344+8727+9142</f>
        <v>158929</v>
      </c>
      <c r="P17" s="271">
        <f>+N17/O17</f>
        <v>7.070547225490628</v>
      </c>
    </row>
    <row r="18" spans="1:16" s="10" customFormat="1" ht="15">
      <c r="A18" s="39">
        <v>14</v>
      </c>
      <c r="B18" s="40"/>
      <c r="C18" s="139" t="s">
        <v>88</v>
      </c>
      <c r="D18" s="47">
        <v>38800</v>
      </c>
      <c r="E18" s="139" t="s">
        <v>76</v>
      </c>
      <c r="F18" s="139" t="s">
        <v>153</v>
      </c>
      <c r="G18" s="132">
        <v>58</v>
      </c>
      <c r="H18" s="132">
        <v>58</v>
      </c>
      <c r="I18" s="131">
        <v>5</v>
      </c>
      <c r="J18" s="169">
        <v>38142.5</v>
      </c>
      <c r="K18" s="256">
        <v>8608</v>
      </c>
      <c r="L18" s="256">
        <f>K18/H18</f>
        <v>148.41379310344828</v>
      </c>
      <c r="M18" s="264">
        <f>J18/K18</f>
        <v>4.43105250929368</v>
      </c>
      <c r="N18" s="163">
        <f>350945.5+222517.5+139156.5+40897.5+38142.5</f>
        <v>791659.5</v>
      </c>
      <c r="O18" s="255">
        <f>46256+31606+20219+8293+8608</f>
        <v>114982</v>
      </c>
      <c r="P18" s="271">
        <f>+N18/O18</f>
        <v>6.885073315823346</v>
      </c>
    </row>
    <row r="19" spans="1:16" s="10" customFormat="1" ht="15">
      <c r="A19" s="39">
        <v>15</v>
      </c>
      <c r="B19" s="40"/>
      <c r="C19" s="139" t="s">
        <v>152</v>
      </c>
      <c r="D19" s="47">
        <v>38814</v>
      </c>
      <c r="E19" s="139" t="s">
        <v>76</v>
      </c>
      <c r="F19" s="139" t="s">
        <v>153</v>
      </c>
      <c r="G19" s="132">
        <v>56</v>
      </c>
      <c r="H19" s="132">
        <v>40</v>
      </c>
      <c r="I19" s="131">
        <v>3</v>
      </c>
      <c r="J19" s="169">
        <v>33463</v>
      </c>
      <c r="K19" s="256">
        <v>5812</v>
      </c>
      <c r="L19" s="256">
        <f>K19/H19</f>
        <v>145.3</v>
      </c>
      <c r="M19" s="264">
        <f>J19/K19</f>
        <v>5.757570543702684</v>
      </c>
      <c r="N19" s="163">
        <f>217941.5+99459+33463</f>
        <v>350863.5</v>
      </c>
      <c r="O19" s="255">
        <f>30137+15034+5812</f>
        <v>50983</v>
      </c>
      <c r="P19" s="271">
        <f>+N19/O19</f>
        <v>6.881970460741816</v>
      </c>
    </row>
    <row r="20" spans="1:16" s="10" customFormat="1" ht="15">
      <c r="A20" s="39">
        <v>16</v>
      </c>
      <c r="B20" s="40"/>
      <c r="C20" s="139" t="s">
        <v>75</v>
      </c>
      <c r="D20" s="47">
        <v>38793</v>
      </c>
      <c r="E20" s="139" t="s">
        <v>103</v>
      </c>
      <c r="F20" s="139" t="s">
        <v>104</v>
      </c>
      <c r="G20" s="132">
        <v>129</v>
      </c>
      <c r="H20" s="132">
        <v>47</v>
      </c>
      <c r="I20" s="131">
        <v>6</v>
      </c>
      <c r="J20" s="167">
        <v>31270</v>
      </c>
      <c r="K20" s="259">
        <v>7097</v>
      </c>
      <c r="L20" s="256">
        <f>K20/H20</f>
        <v>151</v>
      </c>
      <c r="M20" s="264">
        <f>J20/K20</f>
        <v>4.406087079047484</v>
      </c>
      <c r="N20" s="161">
        <v>1767856</v>
      </c>
      <c r="O20" s="259">
        <v>267575</v>
      </c>
      <c r="P20" s="271">
        <f>+N20/O20</f>
        <v>6.60695505932916</v>
      </c>
    </row>
    <row r="21" spans="1:16" s="10" customFormat="1" ht="15">
      <c r="A21" s="39">
        <v>17</v>
      </c>
      <c r="B21" s="40"/>
      <c r="C21" s="139" t="s">
        <v>107</v>
      </c>
      <c r="D21" s="47">
        <v>38807</v>
      </c>
      <c r="E21" s="139" t="s">
        <v>103</v>
      </c>
      <c r="F21" s="139" t="s">
        <v>108</v>
      </c>
      <c r="G21" s="132">
        <v>62</v>
      </c>
      <c r="H21" s="132">
        <v>28</v>
      </c>
      <c r="I21" s="131">
        <v>4</v>
      </c>
      <c r="J21" s="167">
        <v>18376</v>
      </c>
      <c r="K21" s="259">
        <v>3273</v>
      </c>
      <c r="L21" s="256">
        <f>K21/H21</f>
        <v>116.89285714285714</v>
      </c>
      <c r="M21" s="264">
        <f>J21/K21</f>
        <v>5.614421020470516</v>
      </c>
      <c r="N21" s="161">
        <v>524127</v>
      </c>
      <c r="O21" s="259">
        <v>66503</v>
      </c>
      <c r="P21" s="271">
        <f>+N21/O21</f>
        <v>7.881253477286739</v>
      </c>
    </row>
    <row r="22" spans="1:16" s="10" customFormat="1" ht="15">
      <c r="A22" s="39">
        <v>18</v>
      </c>
      <c r="B22" s="40"/>
      <c r="C22" s="253" t="s">
        <v>187</v>
      </c>
      <c r="D22" s="47">
        <v>38828</v>
      </c>
      <c r="E22" s="253" t="s">
        <v>118</v>
      </c>
      <c r="F22" s="253" t="s">
        <v>188</v>
      </c>
      <c r="G22" s="138">
        <v>5</v>
      </c>
      <c r="H22" s="138">
        <v>5</v>
      </c>
      <c r="I22" s="137">
        <v>1</v>
      </c>
      <c r="J22" s="168">
        <v>18037</v>
      </c>
      <c r="K22" s="258">
        <v>2579</v>
      </c>
      <c r="L22" s="256">
        <f>K22/H22</f>
        <v>515.8</v>
      </c>
      <c r="M22" s="264">
        <f>J22/K22</f>
        <v>6.993796044978674</v>
      </c>
      <c r="N22" s="162">
        <v>18037</v>
      </c>
      <c r="O22" s="258">
        <v>2579</v>
      </c>
      <c r="P22" s="271">
        <f>+N22/O22</f>
        <v>6.993796044978674</v>
      </c>
    </row>
    <row r="23" spans="1:16" s="10" customFormat="1" ht="15">
      <c r="A23" s="39">
        <v>19</v>
      </c>
      <c r="B23" s="40"/>
      <c r="C23" s="253" t="s">
        <v>35</v>
      </c>
      <c r="D23" s="90">
        <v>38758</v>
      </c>
      <c r="E23" s="254" t="s">
        <v>52</v>
      </c>
      <c r="F23" s="253" t="s">
        <v>112</v>
      </c>
      <c r="G23" s="138">
        <v>58</v>
      </c>
      <c r="H23" s="138">
        <v>8</v>
      </c>
      <c r="I23" s="137">
        <v>11</v>
      </c>
      <c r="J23" s="167">
        <v>14506</v>
      </c>
      <c r="K23" s="255">
        <v>3661</v>
      </c>
      <c r="L23" s="256">
        <f>K23/H23</f>
        <v>457.625</v>
      </c>
      <c r="M23" s="264">
        <f>J23/K23</f>
        <v>3.9623053810434308</v>
      </c>
      <c r="N23" s="161">
        <f>1046144.5+776147+471268+342390+240709.5+167344+96416.5+41350+35967.5+31795.5+14506</f>
        <v>3264038.5</v>
      </c>
      <c r="O23" s="255">
        <f>153560+115584+70079+59336+46681+34549+19625+8318+8035+8705+3661</f>
        <v>528133</v>
      </c>
      <c r="P23" s="271">
        <f>+N23/O23</f>
        <v>6.180334309728799</v>
      </c>
    </row>
    <row r="24" spans="1:16" s="10" customFormat="1" ht="15">
      <c r="A24" s="39">
        <v>20</v>
      </c>
      <c r="B24" s="40"/>
      <c r="C24" s="139" t="s">
        <v>69</v>
      </c>
      <c r="D24" s="47">
        <v>38779</v>
      </c>
      <c r="E24" s="139" t="s">
        <v>103</v>
      </c>
      <c r="F24" s="139" t="s">
        <v>108</v>
      </c>
      <c r="G24" s="132">
        <v>72</v>
      </c>
      <c r="H24" s="132">
        <v>22</v>
      </c>
      <c r="I24" s="131">
        <v>8</v>
      </c>
      <c r="J24" s="167">
        <v>13082</v>
      </c>
      <c r="K24" s="259">
        <v>3065</v>
      </c>
      <c r="L24" s="256">
        <f>K24/H24</f>
        <v>139.3181818181818</v>
      </c>
      <c r="M24" s="264">
        <f>J24/K24</f>
        <v>4.268189233278956</v>
      </c>
      <c r="N24" s="161">
        <v>951373</v>
      </c>
      <c r="O24" s="259">
        <v>139037</v>
      </c>
      <c r="P24" s="271">
        <f>+N24/O24</f>
        <v>6.842588663449297</v>
      </c>
    </row>
    <row r="25" spans="1:16" s="10" customFormat="1" ht="15">
      <c r="A25" s="39">
        <v>21</v>
      </c>
      <c r="B25" s="40"/>
      <c r="C25" s="253" t="s">
        <v>66</v>
      </c>
      <c r="D25" s="90">
        <v>38744</v>
      </c>
      <c r="E25" s="260" t="s">
        <v>70</v>
      </c>
      <c r="F25" s="253" t="s">
        <v>179</v>
      </c>
      <c r="G25" s="138">
        <v>7</v>
      </c>
      <c r="H25" s="138">
        <v>7</v>
      </c>
      <c r="I25" s="137">
        <v>11</v>
      </c>
      <c r="J25" s="167">
        <v>11360</v>
      </c>
      <c r="K25" s="255">
        <v>1582</v>
      </c>
      <c r="L25" s="256">
        <f>K25/H25</f>
        <v>226</v>
      </c>
      <c r="M25" s="264">
        <f>J25/K25</f>
        <v>7.180783817951959</v>
      </c>
      <c r="N25" s="161">
        <f>23060.5+7183+3670+700+2376+2273+1430+3390+1771.5+3246+11360</f>
        <v>60460</v>
      </c>
      <c r="O25" s="255">
        <f>2772+1034+467+35+792+451+260+597+327+776+1582</f>
        <v>9093</v>
      </c>
      <c r="P25" s="271">
        <f>+N25/O25</f>
        <v>6.649070713735841</v>
      </c>
    </row>
    <row r="26" spans="1:16" s="10" customFormat="1" ht="15">
      <c r="A26" s="39">
        <v>22</v>
      </c>
      <c r="B26" s="40"/>
      <c r="C26" s="139" t="s">
        <v>74</v>
      </c>
      <c r="D26" s="47">
        <v>38793</v>
      </c>
      <c r="E26" s="257" t="s">
        <v>102</v>
      </c>
      <c r="F26" s="139" t="s">
        <v>51</v>
      </c>
      <c r="G26" s="132">
        <v>20</v>
      </c>
      <c r="H26" s="132">
        <v>12</v>
      </c>
      <c r="I26" s="131">
        <v>6</v>
      </c>
      <c r="J26" s="168">
        <v>10279</v>
      </c>
      <c r="K26" s="258">
        <v>2440</v>
      </c>
      <c r="L26" s="256">
        <f>K26/H26</f>
        <v>203.33333333333334</v>
      </c>
      <c r="M26" s="264">
        <f>J26/K26</f>
        <v>4.212704918032787</v>
      </c>
      <c r="N26" s="162">
        <f>382650.25+216772+80793+19622+15213+10279</f>
        <v>725329.25</v>
      </c>
      <c r="O26" s="258">
        <f>44423+25158+2+10694+4081+3731+2440</f>
        <v>90529</v>
      </c>
      <c r="P26" s="271">
        <f>+N26/O26</f>
        <v>8.012120425499011</v>
      </c>
    </row>
    <row r="27" spans="1:16" s="10" customFormat="1" ht="15">
      <c r="A27" s="39">
        <v>23</v>
      </c>
      <c r="B27" s="40"/>
      <c r="C27" s="253" t="s">
        <v>4</v>
      </c>
      <c r="D27" s="90">
        <v>38751</v>
      </c>
      <c r="E27" s="253" t="s">
        <v>54</v>
      </c>
      <c r="F27" s="253" t="s">
        <v>113</v>
      </c>
      <c r="G27" s="138">
        <v>277</v>
      </c>
      <c r="H27" s="138">
        <v>13</v>
      </c>
      <c r="I27" s="137">
        <v>12</v>
      </c>
      <c r="J27" s="168">
        <v>10238</v>
      </c>
      <c r="K27" s="258">
        <v>6364</v>
      </c>
      <c r="L27" s="256">
        <f>K27/H27</f>
        <v>489.53846153846155</v>
      </c>
      <c r="M27" s="264">
        <f>J27/K27</f>
        <v>1.6087366436203645</v>
      </c>
      <c r="N27" s="162">
        <v>27396636</v>
      </c>
      <c r="O27" s="258">
        <v>4234659</v>
      </c>
      <c r="P27" s="271">
        <f>+N27/O27</f>
        <v>6.469620340150175</v>
      </c>
    </row>
    <row r="28" spans="1:16" s="10" customFormat="1" ht="15">
      <c r="A28" s="39">
        <v>24</v>
      </c>
      <c r="B28" s="40"/>
      <c r="C28" s="253" t="s">
        <v>109</v>
      </c>
      <c r="D28" s="90">
        <v>38807</v>
      </c>
      <c r="E28" s="254" t="s">
        <v>52</v>
      </c>
      <c r="F28" s="253" t="s">
        <v>106</v>
      </c>
      <c r="G28" s="138">
        <v>20</v>
      </c>
      <c r="H28" s="138">
        <v>20</v>
      </c>
      <c r="I28" s="137">
        <v>4</v>
      </c>
      <c r="J28" s="167">
        <v>10101</v>
      </c>
      <c r="K28" s="255">
        <v>2030</v>
      </c>
      <c r="L28" s="256">
        <f>K28/H28</f>
        <v>101.5</v>
      </c>
      <c r="M28" s="264">
        <f>J28/K28</f>
        <v>4.975862068965517</v>
      </c>
      <c r="N28" s="161">
        <f>79858.5+57561+16625.5+10101</f>
        <v>164146</v>
      </c>
      <c r="O28" s="255">
        <f>9494+7131+2064+2030</f>
        <v>20719</v>
      </c>
      <c r="P28" s="271">
        <f>+N28/O28</f>
        <v>7.922486606496452</v>
      </c>
    </row>
    <row r="29" spans="1:16" s="10" customFormat="1" ht="15">
      <c r="A29" s="39">
        <v>25</v>
      </c>
      <c r="B29" s="40"/>
      <c r="C29" s="253" t="s">
        <v>91</v>
      </c>
      <c r="D29" s="90">
        <v>38793</v>
      </c>
      <c r="E29" s="254" t="s">
        <v>52</v>
      </c>
      <c r="F29" s="253" t="s">
        <v>111</v>
      </c>
      <c r="G29" s="138">
        <v>50</v>
      </c>
      <c r="H29" s="138">
        <v>16</v>
      </c>
      <c r="I29" s="137">
        <v>6</v>
      </c>
      <c r="J29" s="167">
        <v>9931</v>
      </c>
      <c r="K29" s="255">
        <v>3333</v>
      </c>
      <c r="L29" s="256">
        <f>K29/H29</f>
        <v>208.3125</v>
      </c>
      <c r="M29" s="264">
        <f>J29/K29</f>
        <v>2.9795979597959796</v>
      </c>
      <c r="N29" s="161">
        <f>196913+123210+45760+23987+14825+9931</f>
        <v>414626</v>
      </c>
      <c r="O29" s="255">
        <f>26732+15006+5997+4114+3495+3333</f>
        <v>58677</v>
      </c>
      <c r="P29" s="271">
        <f>+N29/O29</f>
        <v>7.066244013838472</v>
      </c>
    </row>
    <row r="30" spans="1:16" s="10" customFormat="1" ht="15">
      <c r="A30" s="39">
        <v>26</v>
      </c>
      <c r="B30" s="40"/>
      <c r="C30" s="253" t="s">
        <v>168</v>
      </c>
      <c r="D30" s="90">
        <v>38674</v>
      </c>
      <c r="E30" s="254" t="s">
        <v>52</v>
      </c>
      <c r="F30" s="253" t="s">
        <v>140</v>
      </c>
      <c r="G30" s="138">
        <v>72</v>
      </c>
      <c r="H30" s="138">
        <v>9</v>
      </c>
      <c r="I30" s="137">
        <v>23</v>
      </c>
      <c r="J30" s="167">
        <v>9776.5</v>
      </c>
      <c r="K30" s="255">
        <v>2986</v>
      </c>
      <c r="L30" s="256">
        <f>K30/H30</f>
        <v>331.77777777777777</v>
      </c>
      <c r="M30" s="264">
        <f>J30/K30</f>
        <v>3.274112525117214</v>
      </c>
      <c r="N30" s="161">
        <f>574568+1404261+2751877+3258896.5+2619095+1721177.5+1470030+1888546+1731654+1414026+1497050.5+996634+787201+777126+643480+509219.5+398974.5+275448+165366.5+73833.5+34414.5+18373+9776.5</f>
        <v>25021028.5</v>
      </c>
      <c r="O30" s="255">
        <f>74406+182802+367017+453161+369242+239307+216443+244832+235512+212084+230729+167361+134787+155924+132040+97910+71996+60438+31787+16691+9973+5959+2986</f>
        <v>3713387</v>
      </c>
      <c r="P30" s="271">
        <f>+N30/O30</f>
        <v>6.738061101630398</v>
      </c>
    </row>
    <row r="31" spans="1:16" s="10" customFormat="1" ht="15">
      <c r="A31" s="39">
        <v>27</v>
      </c>
      <c r="B31" s="40"/>
      <c r="C31" s="253" t="s">
        <v>46</v>
      </c>
      <c r="D31" s="90">
        <v>38723</v>
      </c>
      <c r="E31" s="254" t="s">
        <v>52</v>
      </c>
      <c r="F31" s="253" t="s">
        <v>138</v>
      </c>
      <c r="G31" s="138">
        <v>280</v>
      </c>
      <c r="H31" s="138">
        <v>4</v>
      </c>
      <c r="I31" s="137">
        <v>14</v>
      </c>
      <c r="J31" s="167">
        <v>9584</v>
      </c>
      <c r="K31" s="255">
        <v>3188</v>
      </c>
      <c r="L31" s="256">
        <f>K31/H31</f>
        <v>797</v>
      </c>
      <c r="M31" s="264">
        <f>J31/K31</f>
        <v>3.0062735257214555</v>
      </c>
      <c r="N31" s="161">
        <f>5592380+3880622.5+1673082.62+1119075.5+434517.5+130151.5+6347.5+744.5+27+2593+460+255+1561+9584</f>
        <v>12851401.620000001</v>
      </c>
      <c r="O31" s="255">
        <f>871283+621889+270076+179456+67736+23058+1452+132+6+608+92+51+376+3188</f>
        <v>2039403</v>
      </c>
      <c r="P31" s="271">
        <f>+N31/O31</f>
        <v>6.30155080678022</v>
      </c>
    </row>
    <row r="32" spans="1:16" s="10" customFormat="1" ht="15">
      <c r="A32" s="39">
        <v>28</v>
      </c>
      <c r="B32" s="40"/>
      <c r="C32" s="253" t="s">
        <v>189</v>
      </c>
      <c r="D32" s="90">
        <v>38828</v>
      </c>
      <c r="E32" s="260" t="s">
        <v>70</v>
      </c>
      <c r="F32" s="253" t="s">
        <v>190</v>
      </c>
      <c r="G32" s="138">
        <v>6</v>
      </c>
      <c r="H32" s="138">
        <v>6</v>
      </c>
      <c r="I32" s="137">
        <v>1</v>
      </c>
      <c r="J32" s="167">
        <v>8964</v>
      </c>
      <c r="K32" s="255">
        <v>1055</v>
      </c>
      <c r="L32" s="256">
        <f>K32/H32</f>
        <v>175.83333333333334</v>
      </c>
      <c r="M32" s="264">
        <f>J32/K32</f>
        <v>8.496682464454976</v>
      </c>
      <c r="N32" s="161">
        <v>8964</v>
      </c>
      <c r="O32" s="255">
        <v>1055</v>
      </c>
      <c r="P32" s="271">
        <f>+N32/O32</f>
        <v>8.496682464454976</v>
      </c>
    </row>
    <row r="33" spans="1:16" s="10" customFormat="1" ht="15">
      <c r="A33" s="39">
        <v>29</v>
      </c>
      <c r="B33" s="40"/>
      <c r="C33" s="139" t="s">
        <v>124</v>
      </c>
      <c r="D33" s="47">
        <v>38772</v>
      </c>
      <c r="E33" s="139" t="s">
        <v>103</v>
      </c>
      <c r="F33" s="139" t="s">
        <v>117</v>
      </c>
      <c r="G33" s="132">
        <v>62</v>
      </c>
      <c r="H33" s="132">
        <v>6</v>
      </c>
      <c r="I33" s="131">
        <v>9</v>
      </c>
      <c r="J33" s="167">
        <v>8833</v>
      </c>
      <c r="K33" s="259">
        <v>2117</v>
      </c>
      <c r="L33" s="256">
        <f>K33/H33</f>
        <v>352.8333333333333</v>
      </c>
      <c r="M33" s="264">
        <f>J33/K33</f>
        <v>4.172413793103448</v>
      </c>
      <c r="N33" s="161">
        <v>816660</v>
      </c>
      <c r="O33" s="259">
        <v>107165</v>
      </c>
      <c r="P33" s="271">
        <f>+N33/O33</f>
        <v>7.620585079083656</v>
      </c>
    </row>
    <row r="34" spans="1:16" s="10" customFormat="1" ht="15">
      <c r="A34" s="39">
        <v>30</v>
      </c>
      <c r="B34" s="40"/>
      <c r="C34" s="139" t="s">
        <v>27</v>
      </c>
      <c r="D34" s="47">
        <v>38786</v>
      </c>
      <c r="E34" s="257" t="s">
        <v>102</v>
      </c>
      <c r="F34" s="139" t="s">
        <v>110</v>
      </c>
      <c r="G34" s="132">
        <v>36</v>
      </c>
      <c r="H34" s="132">
        <v>9</v>
      </c>
      <c r="I34" s="131">
        <v>7</v>
      </c>
      <c r="J34" s="168">
        <v>7671</v>
      </c>
      <c r="K34" s="258">
        <v>1770</v>
      </c>
      <c r="L34" s="256">
        <f>K34/H34</f>
        <v>196.66666666666666</v>
      </c>
      <c r="M34" s="264">
        <f>J34/K34</f>
        <v>4.3338983050847455</v>
      </c>
      <c r="N34" s="162">
        <f>766172.5+426876.5+722.5+265870+79562.5+40+30203.5+20801+7671</f>
        <v>1597919.5</v>
      </c>
      <c r="O34" s="258">
        <f>104283+58908+78+37818+14443+4+6768+4620+1770</f>
        <v>228692</v>
      </c>
      <c r="P34" s="271">
        <f>+N34/O34</f>
        <v>6.987212058139331</v>
      </c>
    </row>
    <row r="35" spans="1:16" s="10" customFormat="1" ht="15">
      <c r="A35" s="39">
        <v>31</v>
      </c>
      <c r="B35" s="40"/>
      <c r="C35" s="253" t="s">
        <v>73</v>
      </c>
      <c r="D35" s="90">
        <v>38793</v>
      </c>
      <c r="E35" s="253" t="s">
        <v>54</v>
      </c>
      <c r="F35" s="253" t="s">
        <v>116</v>
      </c>
      <c r="G35" s="138">
        <v>33</v>
      </c>
      <c r="H35" s="138">
        <v>18</v>
      </c>
      <c r="I35" s="137">
        <v>6</v>
      </c>
      <c r="J35" s="168">
        <v>6327</v>
      </c>
      <c r="K35" s="258">
        <v>1664</v>
      </c>
      <c r="L35" s="256">
        <f>K35/H35</f>
        <v>92.44444444444444</v>
      </c>
      <c r="M35" s="264">
        <f>J35/K35</f>
        <v>3.8022836538461537</v>
      </c>
      <c r="N35" s="162">
        <v>134931</v>
      </c>
      <c r="O35" s="258">
        <v>21017</v>
      </c>
      <c r="P35" s="271">
        <f>+N35/O35</f>
        <v>6.420088499785888</v>
      </c>
    </row>
    <row r="36" spans="1:16" s="10" customFormat="1" ht="15">
      <c r="A36" s="39">
        <v>32</v>
      </c>
      <c r="B36" s="40"/>
      <c r="C36" s="253" t="s">
        <v>155</v>
      </c>
      <c r="D36" s="90">
        <v>38814</v>
      </c>
      <c r="E36" s="260" t="s">
        <v>70</v>
      </c>
      <c r="F36" s="253" t="s">
        <v>156</v>
      </c>
      <c r="G36" s="138">
        <v>14</v>
      </c>
      <c r="H36" s="138">
        <v>10</v>
      </c>
      <c r="I36" s="137">
        <v>3</v>
      </c>
      <c r="J36" s="167">
        <v>6067.5</v>
      </c>
      <c r="K36" s="255">
        <v>1003</v>
      </c>
      <c r="L36" s="256">
        <f>K36/H36</f>
        <v>100.3</v>
      </c>
      <c r="M36" s="264">
        <f>J36/K36</f>
        <v>6.049351944167498</v>
      </c>
      <c r="N36" s="161">
        <f>43111+13278+6067.5</f>
        <v>62456.5</v>
      </c>
      <c r="O36" s="255">
        <f>4620+1821+1003</f>
        <v>7444</v>
      </c>
      <c r="P36" s="271">
        <f>+N36/O36</f>
        <v>8.39018001074691</v>
      </c>
    </row>
    <row r="37" spans="1:16" s="10" customFormat="1" ht="15">
      <c r="A37" s="39">
        <v>33</v>
      </c>
      <c r="B37" s="40"/>
      <c r="C37" s="253" t="s">
        <v>65</v>
      </c>
      <c r="D37" s="90">
        <v>38779</v>
      </c>
      <c r="E37" s="260" t="s">
        <v>70</v>
      </c>
      <c r="F37" s="253" t="s">
        <v>191</v>
      </c>
      <c r="G37" s="138">
        <v>10</v>
      </c>
      <c r="H37" s="138">
        <v>6</v>
      </c>
      <c r="I37" s="137">
        <v>8</v>
      </c>
      <c r="J37" s="167">
        <v>5995.5</v>
      </c>
      <c r="K37" s="255">
        <v>1491</v>
      </c>
      <c r="L37" s="256">
        <f>K37/H37</f>
        <v>248.5</v>
      </c>
      <c r="M37" s="264">
        <f>J37/K37</f>
        <v>4.02112676056338</v>
      </c>
      <c r="N37" s="161">
        <f>19635+7029.5+1939.5+1932.5+1425+2285+846+5995.5</f>
        <v>41088</v>
      </c>
      <c r="O37" s="255">
        <f>2548+994+309+438+475+587+190+1491</f>
        <v>7032</v>
      </c>
      <c r="P37" s="271">
        <f>+N37/O37</f>
        <v>5.843003412969283</v>
      </c>
    </row>
    <row r="38" spans="1:16" s="10" customFormat="1" ht="15">
      <c r="A38" s="39">
        <v>34</v>
      </c>
      <c r="B38" s="40"/>
      <c r="C38" s="253" t="s">
        <v>3</v>
      </c>
      <c r="D38" s="90">
        <v>38765</v>
      </c>
      <c r="E38" s="253" t="s">
        <v>54</v>
      </c>
      <c r="F38" s="253" t="s">
        <v>157</v>
      </c>
      <c r="G38" s="138">
        <v>164</v>
      </c>
      <c r="H38" s="138">
        <v>6</v>
      </c>
      <c r="I38" s="137">
        <v>10</v>
      </c>
      <c r="J38" s="168">
        <v>5903.5</v>
      </c>
      <c r="K38" s="258">
        <v>4059</v>
      </c>
      <c r="L38" s="256">
        <f>K38/H38</f>
        <v>676.5</v>
      </c>
      <c r="M38" s="264">
        <f>J38/K38</f>
        <v>1.4544222714954422</v>
      </c>
      <c r="N38" s="162">
        <v>4199463.5</v>
      </c>
      <c r="O38" s="258">
        <v>634515</v>
      </c>
      <c r="P38" s="271">
        <f>+N38/O38</f>
        <v>6.618383332151328</v>
      </c>
    </row>
    <row r="39" spans="1:16" s="10" customFormat="1" ht="15">
      <c r="A39" s="39">
        <v>35</v>
      </c>
      <c r="B39" s="40"/>
      <c r="C39" s="139" t="s">
        <v>30</v>
      </c>
      <c r="D39" s="47">
        <v>38758</v>
      </c>
      <c r="E39" s="257" t="s">
        <v>102</v>
      </c>
      <c r="F39" s="139" t="s">
        <v>110</v>
      </c>
      <c r="G39" s="132">
        <v>61</v>
      </c>
      <c r="H39" s="132">
        <v>1</v>
      </c>
      <c r="I39" s="131">
        <v>11</v>
      </c>
      <c r="J39" s="168">
        <v>5902</v>
      </c>
      <c r="K39" s="258">
        <v>1165</v>
      </c>
      <c r="L39" s="256">
        <f>K39/H39</f>
        <v>1165</v>
      </c>
      <c r="M39" s="264">
        <f>J39/K39</f>
        <v>5.066094420600859</v>
      </c>
      <c r="N39" s="162">
        <f>532455+375378.5+1288+209157.5+74302.5+38855.5+4630+21016.5+13072+2309+5106+4417+5902</f>
        <v>1287889.5</v>
      </c>
      <c r="O39" s="258">
        <f>61952+44929+104+25802+9625+5738+693+3941-2+1998+265+605+699+1165</f>
        <v>157514</v>
      </c>
      <c r="P39" s="271">
        <f>+N39/O39</f>
        <v>8.176349403862513</v>
      </c>
    </row>
    <row r="40" spans="1:16" s="10" customFormat="1" ht="15">
      <c r="A40" s="39">
        <v>36</v>
      </c>
      <c r="B40" s="40"/>
      <c r="C40" s="253" t="s">
        <v>192</v>
      </c>
      <c r="D40" s="90">
        <v>37582</v>
      </c>
      <c r="E40" s="260" t="s">
        <v>70</v>
      </c>
      <c r="F40" s="253" t="s">
        <v>193</v>
      </c>
      <c r="G40" s="138">
        <v>4</v>
      </c>
      <c r="H40" s="138">
        <v>1</v>
      </c>
      <c r="I40" s="137">
        <v>40</v>
      </c>
      <c r="J40" s="167">
        <v>4547.75</v>
      </c>
      <c r="K40" s="255">
        <v>1017</v>
      </c>
      <c r="L40" s="256">
        <f>K40/H40</f>
        <v>1017</v>
      </c>
      <c r="M40" s="264">
        <f>J40/K40</f>
        <v>4.47173058013766</v>
      </c>
      <c r="N40" s="161">
        <f>127672.25+58.5+4547.75</f>
        <v>132278.5</v>
      </c>
      <c r="O40" s="255">
        <f>24734+13+1017</f>
        <v>25764</v>
      </c>
      <c r="P40" s="271">
        <f>+N40/O40</f>
        <v>5.1342376960099365</v>
      </c>
    </row>
    <row r="41" spans="1:16" s="10" customFormat="1" ht="15">
      <c r="A41" s="39">
        <v>37</v>
      </c>
      <c r="B41" s="40"/>
      <c r="C41" s="253" t="s">
        <v>0</v>
      </c>
      <c r="D41" s="90">
        <v>38786</v>
      </c>
      <c r="E41" s="254" t="s">
        <v>52</v>
      </c>
      <c r="F41" s="253" t="s">
        <v>114</v>
      </c>
      <c r="G41" s="138">
        <v>30</v>
      </c>
      <c r="H41" s="138">
        <v>7</v>
      </c>
      <c r="I41" s="137">
        <v>7</v>
      </c>
      <c r="J41" s="167">
        <v>4525</v>
      </c>
      <c r="K41" s="255">
        <v>1047</v>
      </c>
      <c r="L41" s="256">
        <f>K41/H41</f>
        <v>149.57142857142858</v>
      </c>
      <c r="M41" s="264">
        <f>J41/K41</f>
        <v>4.321872015281757</v>
      </c>
      <c r="N41" s="161">
        <f>94630+42901+16809.5+16862+11072+2518+4525</f>
        <v>189317.5</v>
      </c>
      <c r="O41" s="255">
        <f>12856+5706+2789+3336+2239+567+1047</f>
        <v>28540</v>
      </c>
      <c r="P41" s="271">
        <f>+N41/O41</f>
        <v>6.633409250175193</v>
      </c>
    </row>
    <row r="42" spans="1:16" s="10" customFormat="1" ht="15">
      <c r="A42" s="39">
        <v>38</v>
      </c>
      <c r="B42" s="40"/>
      <c r="C42" s="253" t="s">
        <v>120</v>
      </c>
      <c r="D42" s="47">
        <v>38793</v>
      </c>
      <c r="E42" s="253" t="s">
        <v>121</v>
      </c>
      <c r="F42" s="253" t="s">
        <v>122</v>
      </c>
      <c r="G42" s="138">
        <v>4</v>
      </c>
      <c r="H42" s="138">
        <v>4</v>
      </c>
      <c r="I42" s="137">
        <v>6</v>
      </c>
      <c r="J42" s="168">
        <v>4093.5</v>
      </c>
      <c r="K42" s="258">
        <v>632</v>
      </c>
      <c r="L42" s="256">
        <f>K42/H42</f>
        <v>158</v>
      </c>
      <c r="M42" s="264">
        <f>J42/K42</f>
        <v>6.4770569620253164</v>
      </c>
      <c r="N42" s="162">
        <v>94440.5</v>
      </c>
      <c r="O42" s="258">
        <v>10854</v>
      </c>
      <c r="P42" s="271">
        <f>+N42/O42</f>
        <v>8.70098581168233</v>
      </c>
    </row>
    <row r="43" spans="1:16" s="10" customFormat="1" ht="15">
      <c r="A43" s="39">
        <v>39</v>
      </c>
      <c r="B43" s="40"/>
      <c r="C43" s="253" t="s">
        <v>71</v>
      </c>
      <c r="D43" s="90">
        <v>38786</v>
      </c>
      <c r="E43" s="253" t="s">
        <v>194</v>
      </c>
      <c r="F43" s="253" t="s">
        <v>127</v>
      </c>
      <c r="G43" s="138">
        <v>7</v>
      </c>
      <c r="H43" s="138">
        <v>3</v>
      </c>
      <c r="I43" s="137">
        <v>7</v>
      </c>
      <c r="J43" s="168">
        <v>3863</v>
      </c>
      <c r="K43" s="258">
        <v>910</v>
      </c>
      <c r="L43" s="256">
        <f>K43/H43</f>
        <v>303.3333333333333</v>
      </c>
      <c r="M43" s="264">
        <f>J43/K43</f>
        <v>4.245054945054945</v>
      </c>
      <c r="N43" s="162">
        <v>21105.5</v>
      </c>
      <c r="O43" s="258">
        <v>3543</v>
      </c>
      <c r="P43" s="271">
        <f>+N43/O43</f>
        <v>5.956957380750776</v>
      </c>
    </row>
    <row r="44" spans="1:16" s="10" customFormat="1" ht="15">
      <c r="A44" s="39">
        <v>40</v>
      </c>
      <c r="B44" s="40"/>
      <c r="C44" s="139" t="s">
        <v>89</v>
      </c>
      <c r="D44" s="47">
        <v>38793</v>
      </c>
      <c r="E44" s="139" t="s">
        <v>76</v>
      </c>
      <c r="F44" s="139" t="s">
        <v>115</v>
      </c>
      <c r="G44" s="132">
        <v>71</v>
      </c>
      <c r="H44" s="132">
        <v>7</v>
      </c>
      <c r="I44" s="131">
        <v>6</v>
      </c>
      <c r="J44" s="169">
        <v>3772</v>
      </c>
      <c r="K44" s="256">
        <v>739</v>
      </c>
      <c r="L44" s="256">
        <f>K44/H44</f>
        <v>105.57142857142857</v>
      </c>
      <c r="M44" s="264">
        <f>J44/K44</f>
        <v>5.104194857916103</v>
      </c>
      <c r="N44" s="163">
        <f>139188.5+65126.5+15320+6439+3617+3772</f>
        <v>233463</v>
      </c>
      <c r="O44" s="255">
        <f>20151+10232+2945+1343+1021+739</f>
        <v>36431</v>
      </c>
      <c r="P44" s="271">
        <f>+N44/O44</f>
        <v>6.408361011226702</v>
      </c>
    </row>
    <row r="45" spans="1:16" s="10" customFormat="1" ht="15">
      <c r="A45" s="39">
        <v>41</v>
      </c>
      <c r="B45" s="40"/>
      <c r="C45" s="139" t="s">
        <v>87</v>
      </c>
      <c r="D45" s="47">
        <v>38800</v>
      </c>
      <c r="E45" s="257" t="s">
        <v>102</v>
      </c>
      <c r="F45" s="139" t="s">
        <v>110</v>
      </c>
      <c r="G45" s="132">
        <v>12</v>
      </c>
      <c r="H45" s="132">
        <v>7</v>
      </c>
      <c r="I45" s="131">
        <v>5</v>
      </c>
      <c r="J45" s="168">
        <v>3304</v>
      </c>
      <c r="K45" s="258">
        <v>701</v>
      </c>
      <c r="L45" s="256">
        <f>K45/H45</f>
        <v>100.14285714285714</v>
      </c>
      <c r="M45" s="264">
        <f>J45/K45</f>
        <v>4.713266761768901</v>
      </c>
      <c r="N45" s="162">
        <f>82365.5+56251.5+17508+5415.5+3304</f>
        <v>164844.5</v>
      </c>
      <c r="O45" s="258">
        <f>8878+5706+2045+866+701</f>
        <v>18196</v>
      </c>
      <c r="P45" s="271">
        <f>+N45/O45</f>
        <v>9.059381182677512</v>
      </c>
    </row>
    <row r="46" spans="1:16" s="10" customFormat="1" ht="15">
      <c r="A46" s="39">
        <v>42</v>
      </c>
      <c r="B46" s="40"/>
      <c r="C46" s="139" t="s">
        <v>86</v>
      </c>
      <c r="D46" s="47">
        <v>38800</v>
      </c>
      <c r="E46" s="257" t="s">
        <v>102</v>
      </c>
      <c r="F46" s="139" t="s">
        <v>154</v>
      </c>
      <c r="G46" s="132">
        <v>36</v>
      </c>
      <c r="H46" s="132">
        <v>6</v>
      </c>
      <c r="I46" s="131">
        <v>5</v>
      </c>
      <c r="J46" s="168">
        <v>3180.5</v>
      </c>
      <c r="K46" s="258">
        <v>573</v>
      </c>
      <c r="L46" s="256">
        <f>K46/H46</f>
        <v>95.5</v>
      </c>
      <c r="M46" s="264">
        <f>J46/K46</f>
        <v>5.550610820244328</v>
      </c>
      <c r="N46" s="162">
        <f>288395.5+117307+73357+9936.5+3180.5</f>
        <v>492176.5</v>
      </c>
      <c r="O46" s="258">
        <f>32591+13752+9420+1407+573</f>
        <v>57743</v>
      </c>
      <c r="P46" s="271">
        <f>+N46/O46</f>
        <v>8.523569956531528</v>
      </c>
    </row>
    <row r="47" spans="1:16" s="10" customFormat="1" ht="15">
      <c r="A47" s="39">
        <v>43</v>
      </c>
      <c r="B47" s="40"/>
      <c r="C47" s="139" t="s">
        <v>159</v>
      </c>
      <c r="D47" s="47">
        <v>38751</v>
      </c>
      <c r="E47" s="139" t="s">
        <v>103</v>
      </c>
      <c r="F47" s="139" t="s">
        <v>117</v>
      </c>
      <c r="G47" s="132">
        <v>51</v>
      </c>
      <c r="H47" s="132">
        <v>2</v>
      </c>
      <c r="I47" s="131">
        <v>11</v>
      </c>
      <c r="J47" s="167">
        <v>2689</v>
      </c>
      <c r="K47" s="259">
        <v>440</v>
      </c>
      <c r="L47" s="256">
        <f>K47/H47</f>
        <v>220</v>
      </c>
      <c r="M47" s="264">
        <f>J47/K47</f>
        <v>6.111363636363636</v>
      </c>
      <c r="N47" s="161">
        <v>1313211</v>
      </c>
      <c r="O47" s="259">
        <v>170117</v>
      </c>
      <c r="P47" s="271">
        <f>+N47/O47</f>
        <v>7.71945778493625</v>
      </c>
    </row>
    <row r="48" spans="1:16" s="10" customFormat="1" ht="15">
      <c r="A48" s="39">
        <v>44</v>
      </c>
      <c r="B48" s="40"/>
      <c r="C48" s="253" t="s">
        <v>170</v>
      </c>
      <c r="D48" s="90">
        <v>38751</v>
      </c>
      <c r="E48" s="260" t="s">
        <v>70</v>
      </c>
      <c r="F48" s="253" t="s">
        <v>135</v>
      </c>
      <c r="G48" s="138">
        <v>1</v>
      </c>
      <c r="H48" s="138">
        <v>1</v>
      </c>
      <c r="I48" s="137">
        <v>8</v>
      </c>
      <c r="J48" s="167">
        <v>2430</v>
      </c>
      <c r="K48" s="255">
        <v>364</v>
      </c>
      <c r="L48" s="256">
        <f>K48/H48</f>
        <v>364</v>
      </c>
      <c r="M48" s="264">
        <f>J48/K48</f>
        <v>6.675824175824176</v>
      </c>
      <c r="N48" s="161">
        <f>6339+5656+3753+2609+448+675+1816+2430</f>
        <v>23726</v>
      </c>
      <c r="O48" s="255">
        <f>796+708+467+329+60+87+264+364</f>
        <v>3075</v>
      </c>
      <c r="P48" s="271">
        <f>+N48/O48</f>
        <v>7.715772357723577</v>
      </c>
    </row>
    <row r="49" spans="1:16" s="10" customFormat="1" ht="15">
      <c r="A49" s="39">
        <v>45</v>
      </c>
      <c r="B49" s="40"/>
      <c r="C49" s="253" t="s">
        <v>67</v>
      </c>
      <c r="D49" s="90">
        <v>38758</v>
      </c>
      <c r="E49" s="260" t="s">
        <v>70</v>
      </c>
      <c r="F49" s="253" t="s">
        <v>126</v>
      </c>
      <c r="G49" s="138">
        <v>4</v>
      </c>
      <c r="H49" s="138">
        <v>4</v>
      </c>
      <c r="I49" s="137">
        <v>11</v>
      </c>
      <c r="J49" s="167">
        <v>2425</v>
      </c>
      <c r="K49" s="255">
        <v>443</v>
      </c>
      <c r="L49" s="256">
        <f>K49/H49</f>
        <v>110.75</v>
      </c>
      <c r="M49" s="264">
        <f>J49/K49</f>
        <v>5.474040632054176</v>
      </c>
      <c r="N49" s="161">
        <f>12456+7990+4147+1031+2942.5+1687.5+5526.5+3841.5+1352.5+925+2425</f>
        <v>44324.5</v>
      </c>
      <c r="O49" s="255">
        <f>1552+1090+669+166+430+252+1516+804+308+163+443</f>
        <v>7393</v>
      </c>
      <c r="P49" s="271">
        <f>+N49/O49</f>
        <v>5.995468686595428</v>
      </c>
    </row>
    <row r="50" spans="1:16" s="10" customFormat="1" ht="15">
      <c r="A50" s="39">
        <v>46</v>
      </c>
      <c r="B50" s="40"/>
      <c r="C50" s="139" t="s">
        <v>171</v>
      </c>
      <c r="D50" s="47">
        <v>38730</v>
      </c>
      <c r="E50" s="139" t="s">
        <v>103</v>
      </c>
      <c r="F50" s="139" t="s">
        <v>108</v>
      </c>
      <c r="G50" s="132">
        <v>116</v>
      </c>
      <c r="H50" s="132">
        <v>3</v>
      </c>
      <c r="I50" s="131">
        <v>15</v>
      </c>
      <c r="J50" s="171">
        <v>2391</v>
      </c>
      <c r="K50" s="259">
        <v>586</v>
      </c>
      <c r="L50" s="256">
        <f>K50/H50</f>
        <v>195.33333333333334</v>
      </c>
      <c r="M50" s="264">
        <f>J50/K50</f>
        <v>4.080204778156997</v>
      </c>
      <c r="N50" s="165">
        <v>3273134</v>
      </c>
      <c r="O50" s="259">
        <v>465823</v>
      </c>
      <c r="P50" s="271">
        <f>+N50/O50</f>
        <v>7.026561590990569</v>
      </c>
    </row>
    <row r="51" spans="1:16" s="10" customFormat="1" ht="15">
      <c r="A51" s="39">
        <v>47</v>
      </c>
      <c r="B51" s="40"/>
      <c r="C51" s="139" t="s">
        <v>195</v>
      </c>
      <c r="D51" s="47">
        <v>38576</v>
      </c>
      <c r="E51" s="257" t="s">
        <v>102</v>
      </c>
      <c r="F51" s="139" t="s">
        <v>51</v>
      </c>
      <c r="G51" s="132">
        <v>79</v>
      </c>
      <c r="H51" s="132">
        <v>1</v>
      </c>
      <c r="I51" s="131">
        <v>20</v>
      </c>
      <c r="J51" s="168">
        <v>2376</v>
      </c>
      <c r="K51" s="258">
        <v>474</v>
      </c>
      <c r="L51" s="256">
        <f>K51/H51</f>
        <v>474</v>
      </c>
      <c r="M51" s="264">
        <f>J51/K51</f>
        <v>5.012658227848101</v>
      </c>
      <c r="N51" s="162">
        <f>1201365.75+2376</f>
        <v>1203741.75</v>
      </c>
      <c r="O51" s="258">
        <f>169972+474</f>
        <v>170446</v>
      </c>
      <c r="P51" s="271">
        <f>+N51/O51</f>
        <v>7.0623056569236</v>
      </c>
    </row>
    <row r="52" spans="1:16" s="10" customFormat="1" ht="15">
      <c r="A52" s="39">
        <v>48</v>
      </c>
      <c r="B52" s="40"/>
      <c r="C52" s="139" t="s">
        <v>196</v>
      </c>
      <c r="D52" s="47">
        <v>38786</v>
      </c>
      <c r="E52" s="139" t="s">
        <v>103</v>
      </c>
      <c r="F52" s="139" t="s">
        <v>123</v>
      </c>
      <c r="G52" s="132">
        <v>63</v>
      </c>
      <c r="H52" s="132">
        <v>7</v>
      </c>
      <c r="I52" s="131">
        <v>7</v>
      </c>
      <c r="J52" s="167">
        <v>2372</v>
      </c>
      <c r="K52" s="259">
        <v>527</v>
      </c>
      <c r="L52" s="256">
        <f>K52/H52</f>
        <v>75.28571428571429</v>
      </c>
      <c r="M52" s="264">
        <f>J52/K52</f>
        <v>4.500948766603416</v>
      </c>
      <c r="N52" s="161">
        <v>502303</v>
      </c>
      <c r="O52" s="259">
        <v>62674</v>
      </c>
      <c r="P52" s="271">
        <f>+N52/O52</f>
        <v>8.014535533075916</v>
      </c>
    </row>
    <row r="53" spans="1:16" s="10" customFormat="1" ht="15">
      <c r="A53" s="39">
        <v>49</v>
      </c>
      <c r="B53" s="40"/>
      <c r="C53" s="139" t="s">
        <v>60</v>
      </c>
      <c r="D53" s="47">
        <v>38751</v>
      </c>
      <c r="E53" s="139" t="s">
        <v>103</v>
      </c>
      <c r="F53" s="139" t="s">
        <v>99</v>
      </c>
      <c r="G53" s="132">
        <v>27</v>
      </c>
      <c r="H53" s="132">
        <v>4</v>
      </c>
      <c r="I53" s="131">
        <v>12</v>
      </c>
      <c r="J53" s="167">
        <v>2357</v>
      </c>
      <c r="K53" s="259">
        <v>414</v>
      </c>
      <c r="L53" s="256">
        <f>K53/H53</f>
        <v>103.5</v>
      </c>
      <c r="M53" s="264">
        <f>J53/K53</f>
        <v>5.693236714975845</v>
      </c>
      <c r="N53" s="161">
        <v>477228</v>
      </c>
      <c r="O53" s="259">
        <v>55322</v>
      </c>
      <c r="P53" s="271">
        <f>+N53/O53</f>
        <v>8.62636925635371</v>
      </c>
    </row>
    <row r="54" spans="1:16" s="10" customFormat="1" ht="15">
      <c r="A54" s="39">
        <v>50</v>
      </c>
      <c r="B54" s="40"/>
      <c r="C54" s="139" t="s">
        <v>33</v>
      </c>
      <c r="D54" s="47">
        <v>38667</v>
      </c>
      <c r="E54" s="257" t="s">
        <v>102</v>
      </c>
      <c r="F54" s="139" t="s">
        <v>51</v>
      </c>
      <c r="G54" s="132">
        <v>1</v>
      </c>
      <c r="H54" s="132">
        <v>1</v>
      </c>
      <c r="I54" s="131">
        <v>15</v>
      </c>
      <c r="J54" s="168">
        <v>2020</v>
      </c>
      <c r="K54" s="258">
        <v>404</v>
      </c>
      <c r="L54" s="256">
        <f>K54/H54</f>
        <v>404</v>
      </c>
      <c r="M54" s="264">
        <f>J54/K54</f>
        <v>5</v>
      </c>
      <c r="N54" s="162">
        <f>5376+5780+1660+1145+1139+275+183+183+2020+2020+2020+2020+2020+2020+2020</f>
        <v>29881</v>
      </c>
      <c r="O54" s="258">
        <f>810+893+178+166+140+32+21+21+502+404+404+404+404+404+404</f>
        <v>5187</v>
      </c>
      <c r="P54" s="271">
        <f>+N54/O54</f>
        <v>5.760748023905919</v>
      </c>
    </row>
    <row r="55" spans="1:16" s="10" customFormat="1" ht="15">
      <c r="A55" s="39">
        <v>51</v>
      </c>
      <c r="B55" s="40"/>
      <c r="C55" s="253" t="s">
        <v>158</v>
      </c>
      <c r="D55" s="90">
        <v>38772</v>
      </c>
      <c r="E55" s="254" t="s">
        <v>52</v>
      </c>
      <c r="F55" s="253" t="s">
        <v>106</v>
      </c>
      <c r="G55" s="138">
        <v>49</v>
      </c>
      <c r="H55" s="138">
        <v>3</v>
      </c>
      <c r="I55" s="137">
        <v>9</v>
      </c>
      <c r="J55" s="167">
        <v>1863</v>
      </c>
      <c r="K55" s="255">
        <v>713</v>
      </c>
      <c r="L55" s="256">
        <f>K55/H55</f>
        <v>237.66666666666666</v>
      </c>
      <c r="M55" s="264">
        <f>J55/K55</f>
        <v>2.6129032258064515</v>
      </c>
      <c r="N55" s="161">
        <f>151711.5+80204.5+40498+22773.5+10013.5+8954+2475+789.5+1863</f>
        <v>319282.5</v>
      </c>
      <c r="O55" s="255">
        <f>20342+10373+5841+6919+2082+2313+566+196+713</f>
        <v>49345</v>
      </c>
      <c r="P55" s="271">
        <f>+N55/O55</f>
        <v>6.470412402472388</v>
      </c>
    </row>
    <row r="56" spans="1:16" s="10" customFormat="1" ht="15">
      <c r="A56" s="39">
        <v>52</v>
      </c>
      <c r="B56" s="40"/>
      <c r="C56" s="139" t="s">
        <v>38</v>
      </c>
      <c r="D56" s="47">
        <v>38716</v>
      </c>
      <c r="E56" s="257" t="s">
        <v>102</v>
      </c>
      <c r="F56" s="139" t="s">
        <v>110</v>
      </c>
      <c r="G56" s="132">
        <v>60</v>
      </c>
      <c r="H56" s="132">
        <v>2</v>
      </c>
      <c r="I56" s="131">
        <v>13</v>
      </c>
      <c r="J56" s="168">
        <v>1780</v>
      </c>
      <c r="K56" s="258">
        <v>369</v>
      </c>
      <c r="L56" s="256">
        <f>K56/H56</f>
        <v>184.5</v>
      </c>
      <c r="M56" s="264">
        <f>J56/K56</f>
        <v>4.823848238482385</v>
      </c>
      <c r="N56" s="162">
        <f>585119+1780</f>
        <v>586899</v>
      </c>
      <c r="O56" s="258">
        <f>83689+369</f>
        <v>84058</v>
      </c>
      <c r="P56" s="271">
        <f>+N56/O56</f>
        <v>6.982071902733827</v>
      </c>
    </row>
    <row r="57" spans="1:16" s="10" customFormat="1" ht="15">
      <c r="A57" s="39">
        <v>53</v>
      </c>
      <c r="B57" s="40"/>
      <c r="C57" s="253" t="s">
        <v>5</v>
      </c>
      <c r="D57" s="90">
        <v>38723</v>
      </c>
      <c r="E57" s="253" t="s">
        <v>54</v>
      </c>
      <c r="F57" s="253" t="s">
        <v>125</v>
      </c>
      <c r="G57" s="138">
        <v>199</v>
      </c>
      <c r="H57" s="138">
        <v>2</v>
      </c>
      <c r="I57" s="137">
        <v>16</v>
      </c>
      <c r="J57" s="168">
        <v>1545</v>
      </c>
      <c r="K57" s="258">
        <v>362</v>
      </c>
      <c r="L57" s="256">
        <f>K57/H57</f>
        <v>181</v>
      </c>
      <c r="M57" s="264">
        <f>J57/K57</f>
        <v>4.267955801104972</v>
      </c>
      <c r="N57" s="162">
        <v>6506004.1</v>
      </c>
      <c r="O57" s="258">
        <v>994245</v>
      </c>
      <c r="P57" s="271">
        <f>+N57/O57</f>
        <v>6.543662879873673</v>
      </c>
    </row>
    <row r="58" spans="1:16" s="10" customFormat="1" ht="15">
      <c r="A58" s="39">
        <v>54</v>
      </c>
      <c r="B58" s="40"/>
      <c r="C58" s="253" t="s">
        <v>169</v>
      </c>
      <c r="D58" s="47">
        <v>38821</v>
      </c>
      <c r="E58" s="253" t="s">
        <v>121</v>
      </c>
      <c r="F58" s="253" t="s">
        <v>197</v>
      </c>
      <c r="G58" s="138">
        <v>5</v>
      </c>
      <c r="H58" s="138">
        <v>5</v>
      </c>
      <c r="I58" s="137">
        <v>2</v>
      </c>
      <c r="J58" s="168">
        <v>1472</v>
      </c>
      <c r="K58" s="258">
        <v>197</v>
      </c>
      <c r="L58" s="256">
        <f>K58/H58</f>
        <v>39.4</v>
      </c>
      <c r="M58" s="264">
        <f>J58/K58</f>
        <v>7.472081218274112</v>
      </c>
      <c r="N58" s="162">
        <v>4809.5</v>
      </c>
      <c r="O58" s="258">
        <v>561</v>
      </c>
      <c r="P58" s="271">
        <f>+N58/O58</f>
        <v>8.573083778966131</v>
      </c>
    </row>
    <row r="59" spans="1:16" s="10" customFormat="1" ht="15">
      <c r="A59" s="39">
        <v>55</v>
      </c>
      <c r="B59" s="40"/>
      <c r="C59" s="139" t="s">
        <v>90</v>
      </c>
      <c r="D59" s="47">
        <v>38793</v>
      </c>
      <c r="E59" s="139" t="s">
        <v>76</v>
      </c>
      <c r="F59" s="139" t="s">
        <v>132</v>
      </c>
      <c r="G59" s="132">
        <v>2</v>
      </c>
      <c r="H59" s="132">
        <v>2</v>
      </c>
      <c r="I59" s="131">
        <v>5</v>
      </c>
      <c r="J59" s="169">
        <v>1453</v>
      </c>
      <c r="K59" s="256">
        <v>248</v>
      </c>
      <c r="L59" s="256">
        <f>K59/H59</f>
        <v>124</v>
      </c>
      <c r="M59" s="264">
        <f>J59/K59</f>
        <v>5.858870967741935</v>
      </c>
      <c r="N59" s="163">
        <f>21147.5+3690+1708+783+1453</f>
        <v>28781.5</v>
      </c>
      <c r="O59" s="255">
        <f>2248+452+253+99+248</f>
        <v>3300</v>
      </c>
      <c r="P59" s="271">
        <f>+N59/O59</f>
        <v>8.721666666666666</v>
      </c>
    </row>
    <row r="60" spans="1:16" s="10" customFormat="1" ht="15">
      <c r="A60" s="39">
        <v>56</v>
      </c>
      <c r="B60" s="40"/>
      <c r="C60" s="139" t="s">
        <v>37</v>
      </c>
      <c r="D60" s="47">
        <v>38667</v>
      </c>
      <c r="E60" s="257" t="s">
        <v>102</v>
      </c>
      <c r="F60" s="139" t="s">
        <v>161</v>
      </c>
      <c r="G60" s="132">
        <v>76</v>
      </c>
      <c r="H60" s="132">
        <v>1</v>
      </c>
      <c r="I60" s="131">
        <v>16</v>
      </c>
      <c r="J60" s="168">
        <v>1425</v>
      </c>
      <c r="K60" s="258">
        <v>285</v>
      </c>
      <c r="L60" s="256">
        <f>K60/H60</f>
        <v>285</v>
      </c>
      <c r="M60" s="264">
        <f>J60/K60</f>
        <v>5</v>
      </c>
      <c r="N60" s="162">
        <f>828966.5+670135+430453.5+252524+172010+102242.5+19433.5-1641+9995.5+1245+1425+1425+1425+1425+1425+1425+1425</f>
        <v>2495339.5</v>
      </c>
      <c r="O60" s="258">
        <f>115867+95362-1+63392+42671+33929+21004+4863-421+2356-1+644+363+285+285+285+285+285+285</f>
        <v>381738</v>
      </c>
      <c r="P60" s="271">
        <f>+N60/O60</f>
        <v>6.536785701187726</v>
      </c>
    </row>
    <row r="61" spans="1:16" s="10" customFormat="1" ht="15">
      <c r="A61" s="39">
        <v>57</v>
      </c>
      <c r="B61" s="40"/>
      <c r="C61" s="139" t="s">
        <v>34</v>
      </c>
      <c r="D61" s="47">
        <v>38667</v>
      </c>
      <c r="E61" s="257" t="s">
        <v>102</v>
      </c>
      <c r="F61" s="139" t="s">
        <v>154</v>
      </c>
      <c r="G61" s="132">
        <v>51</v>
      </c>
      <c r="H61" s="132">
        <v>1</v>
      </c>
      <c r="I61" s="131">
        <v>22</v>
      </c>
      <c r="J61" s="168">
        <v>1425</v>
      </c>
      <c r="K61" s="258">
        <v>285</v>
      </c>
      <c r="L61" s="256">
        <f>K61/H61</f>
        <v>285</v>
      </c>
      <c r="M61" s="264">
        <f>J61/K61</f>
        <v>5</v>
      </c>
      <c r="N61" s="162">
        <f>332075+188023.5-2+143161+121106.5+91937.5-34+56069+33205+14312+6611+58.5+118.5+1152.5+336.5+1782+832+1425+1425+1425+1425+1425+1425+1425</f>
        <v>1000719.5</v>
      </c>
      <c r="O61" s="258">
        <f>43514+24394+10+18688+16371+14194+9945+6554+2879+1218+13+36+358+100+509+295+363+285+285+285+285+285+285</f>
        <v>141151</v>
      </c>
      <c r="P61" s="271">
        <f>+N61/O61</f>
        <v>7.089708893312835</v>
      </c>
    </row>
    <row r="62" spans="1:16" s="10" customFormat="1" ht="15">
      <c r="A62" s="39">
        <v>58</v>
      </c>
      <c r="B62" s="40"/>
      <c r="C62" s="139" t="s">
        <v>2</v>
      </c>
      <c r="D62" s="47">
        <v>38527</v>
      </c>
      <c r="E62" s="257" t="s">
        <v>102</v>
      </c>
      <c r="F62" s="139" t="s">
        <v>119</v>
      </c>
      <c r="G62" s="132">
        <v>43</v>
      </c>
      <c r="H62" s="132">
        <v>1</v>
      </c>
      <c r="I62" s="131">
        <v>27</v>
      </c>
      <c r="J62" s="168">
        <v>1425</v>
      </c>
      <c r="K62" s="258">
        <v>285</v>
      </c>
      <c r="L62" s="256">
        <f>K62/H62</f>
        <v>285</v>
      </c>
      <c r="M62" s="264">
        <f>J62/K62</f>
        <v>5</v>
      </c>
      <c r="N62" s="162">
        <f>169533+81079.5+71823.5+35609+28575+20856+14021.5+7517.5+2985+2572+296+269+250+205+213+107+57+30.5+97+173+455+133+178537+84464+721.5+33840.5+2862+3207+1425+1425</f>
        <v>743339.5</v>
      </c>
      <c r="O62" s="258">
        <f>21038+10132+8736+5328+4899+3682+3105+1506+822+755+49+43+40+29+31+14+8+2+14+26+65+19+19409+9014+66+4108+429+1+879+285+285</f>
        <v>94819</v>
      </c>
      <c r="P62" s="271">
        <f>+N62/O62</f>
        <v>7.839562745863171</v>
      </c>
    </row>
    <row r="63" spans="1:16" s="10" customFormat="1" ht="15">
      <c r="A63" s="39">
        <v>59</v>
      </c>
      <c r="B63" s="40"/>
      <c r="C63" s="139" t="s">
        <v>198</v>
      </c>
      <c r="D63" s="47">
        <v>38688</v>
      </c>
      <c r="E63" s="257" t="s">
        <v>102</v>
      </c>
      <c r="F63" s="139" t="s">
        <v>110</v>
      </c>
      <c r="G63" s="132">
        <v>63</v>
      </c>
      <c r="H63" s="132">
        <v>1</v>
      </c>
      <c r="I63" s="131">
        <v>18</v>
      </c>
      <c r="J63" s="168">
        <v>1266</v>
      </c>
      <c r="K63" s="258">
        <v>298</v>
      </c>
      <c r="L63" s="256">
        <f>K63/H63</f>
        <v>298</v>
      </c>
      <c r="M63" s="264">
        <f>J63/K63</f>
        <v>4.248322147651007</v>
      </c>
      <c r="N63" s="162">
        <f>727628.5+502907+313031-90+73433.5+264+90561.5+8172.5-95+7743+5385+5051+781+4413+1284+1732+1529+2222+1475+518+1266</f>
        <v>1749212</v>
      </c>
      <c r="O63" s="258">
        <f>102522+72530+44629-3+14478+18414+1884-28+2207+1109+676+94+516+138+251+322+526+287+104+298</f>
        <v>260954</v>
      </c>
      <c r="P63" s="271">
        <f>+N63/O63</f>
        <v>6.703143082688903</v>
      </c>
    </row>
    <row r="64" spans="1:16" s="10" customFormat="1" ht="15">
      <c r="A64" s="39">
        <v>60</v>
      </c>
      <c r="B64" s="40"/>
      <c r="C64" s="253" t="s">
        <v>68</v>
      </c>
      <c r="D64" s="90">
        <v>38716</v>
      </c>
      <c r="E64" s="260" t="s">
        <v>70</v>
      </c>
      <c r="F64" s="253" t="s">
        <v>199</v>
      </c>
      <c r="G64" s="138">
        <v>9</v>
      </c>
      <c r="H64" s="138">
        <v>4</v>
      </c>
      <c r="I64" s="137">
        <v>16</v>
      </c>
      <c r="J64" s="167">
        <v>1257</v>
      </c>
      <c r="K64" s="255">
        <v>254</v>
      </c>
      <c r="L64" s="256">
        <f>K64/H64</f>
        <v>63.5</v>
      </c>
      <c r="M64" s="264">
        <f>J64/K64</f>
        <v>4.948818897637795</v>
      </c>
      <c r="N64" s="161">
        <f>41335+22428+10569.5+2994.5+6995.5+477+1541+1030+1308+1168.5+974+1343+1399+1115+913+1257</f>
        <v>96848</v>
      </c>
      <c r="O64" s="255">
        <f>5101+2761+1545+448+1608+159+304+206+436+246+162+276+329+246+181+254</f>
        <v>14262</v>
      </c>
      <c r="P64" s="271">
        <f>+N64/O64</f>
        <v>6.790632449866779</v>
      </c>
    </row>
    <row r="65" spans="1:16" s="10" customFormat="1" ht="15">
      <c r="A65" s="39">
        <v>61</v>
      </c>
      <c r="B65" s="40"/>
      <c r="C65" s="253" t="s">
        <v>200</v>
      </c>
      <c r="D65" s="47">
        <v>38625</v>
      </c>
      <c r="E65" s="253" t="s">
        <v>118</v>
      </c>
      <c r="F65" s="253" t="s">
        <v>201</v>
      </c>
      <c r="G65" s="138">
        <v>29</v>
      </c>
      <c r="H65" s="138">
        <v>1</v>
      </c>
      <c r="I65" s="137">
        <v>18</v>
      </c>
      <c r="J65" s="168">
        <v>1188</v>
      </c>
      <c r="K65" s="258">
        <v>396</v>
      </c>
      <c r="L65" s="256">
        <f>K65/H65</f>
        <v>396</v>
      </c>
      <c r="M65" s="264">
        <f>J65/K65</f>
        <v>3</v>
      </c>
      <c r="N65" s="162">
        <v>285156</v>
      </c>
      <c r="O65" s="258">
        <v>35743</v>
      </c>
      <c r="P65" s="271">
        <f>+N65/O65</f>
        <v>7.9779537252049355</v>
      </c>
    </row>
    <row r="66" spans="1:16" s="10" customFormat="1" ht="15">
      <c r="A66" s="39">
        <v>62</v>
      </c>
      <c r="B66" s="40"/>
      <c r="C66" s="253" t="s">
        <v>202</v>
      </c>
      <c r="D66" s="90">
        <v>37533</v>
      </c>
      <c r="E66" s="253" t="s">
        <v>194</v>
      </c>
      <c r="F66" s="253" t="s">
        <v>203</v>
      </c>
      <c r="G66" s="138">
        <v>11</v>
      </c>
      <c r="H66" s="138">
        <v>1</v>
      </c>
      <c r="I66" s="137">
        <v>30</v>
      </c>
      <c r="J66" s="168">
        <v>1188</v>
      </c>
      <c r="K66" s="258">
        <v>396</v>
      </c>
      <c r="L66" s="256">
        <f>K66/H66</f>
        <v>396</v>
      </c>
      <c r="M66" s="264">
        <f>J66/K66</f>
        <v>3</v>
      </c>
      <c r="N66" s="162">
        <v>129803.5</v>
      </c>
      <c r="O66" s="258">
        <v>27280</v>
      </c>
      <c r="P66" s="271">
        <f>+N66/O66</f>
        <v>4.7581928152492665</v>
      </c>
    </row>
    <row r="67" spans="1:16" s="10" customFormat="1" ht="15">
      <c r="A67" s="39">
        <v>63</v>
      </c>
      <c r="B67" s="40"/>
      <c r="C67" s="253" t="s">
        <v>172</v>
      </c>
      <c r="D67" s="90">
        <v>37743</v>
      </c>
      <c r="E67" s="253" t="s">
        <v>194</v>
      </c>
      <c r="F67" s="253" t="s">
        <v>173</v>
      </c>
      <c r="G67" s="138">
        <v>7</v>
      </c>
      <c r="H67" s="138">
        <v>1</v>
      </c>
      <c r="I67" s="137">
        <v>27</v>
      </c>
      <c r="J67" s="168">
        <v>1188</v>
      </c>
      <c r="K67" s="258">
        <v>396</v>
      </c>
      <c r="L67" s="256">
        <f>K67/H67</f>
        <v>396</v>
      </c>
      <c r="M67" s="264">
        <f>J67/K67</f>
        <v>3</v>
      </c>
      <c r="N67" s="162">
        <v>46725</v>
      </c>
      <c r="O67" s="258">
        <v>9560</v>
      </c>
      <c r="P67" s="271">
        <f>+N67/O67</f>
        <v>4.88755230125523</v>
      </c>
    </row>
    <row r="68" spans="1:16" s="10" customFormat="1" ht="15">
      <c r="A68" s="39">
        <v>64</v>
      </c>
      <c r="B68" s="40"/>
      <c r="C68" s="253" t="s">
        <v>93</v>
      </c>
      <c r="D68" s="90">
        <v>38723</v>
      </c>
      <c r="E68" s="260" t="s">
        <v>70</v>
      </c>
      <c r="F68" s="253" t="s">
        <v>193</v>
      </c>
      <c r="G68" s="138">
        <v>3</v>
      </c>
      <c r="H68" s="138">
        <v>1</v>
      </c>
      <c r="I68" s="137">
        <v>12</v>
      </c>
      <c r="J68" s="167">
        <v>1068</v>
      </c>
      <c r="K68" s="255">
        <v>356</v>
      </c>
      <c r="L68" s="256">
        <f>K68/H68</f>
        <v>356</v>
      </c>
      <c r="M68" s="264">
        <f>J68/K68</f>
        <v>3</v>
      </c>
      <c r="N68" s="161">
        <f>22570+12751+6691+4543+3462+1141+1389+1484.5+48+38+1782+1068</f>
        <v>56967.5</v>
      </c>
      <c r="O68" s="255">
        <f>2787+1607+844+585+460+145+463+399+9+7+594+356</f>
        <v>8256</v>
      </c>
      <c r="P68" s="271">
        <f>+N68/O68</f>
        <v>6.900133236434108</v>
      </c>
    </row>
    <row r="69" spans="1:16" s="10" customFormat="1" ht="15">
      <c r="A69" s="39">
        <v>65</v>
      </c>
      <c r="B69" s="40"/>
      <c r="C69" s="253" t="s">
        <v>204</v>
      </c>
      <c r="D69" s="47">
        <v>38786</v>
      </c>
      <c r="E69" s="253" t="s">
        <v>118</v>
      </c>
      <c r="F69" s="253" t="s">
        <v>136</v>
      </c>
      <c r="G69" s="138">
        <v>4</v>
      </c>
      <c r="H69" s="138">
        <v>4</v>
      </c>
      <c r="I69" s="137">
        <v>7</v>
      </c>
      <c r="J69" s="168">
        <v>1022</v>
      </c>
      <c r="K69" s="258">
        <v>174</v>
      </c>
      <c r="L69" s="256">
        <f>K69/H69</f>
        <v>43.5</v>
      </c>
      <c r="M69" s="264">
        <f>J69/K69</f>
        <v>5.873563218390805</v>
      </c>
      <c r="N69" s="162">
        <v>48359</v>
      </c>
      <c r="O69" s="258">
        <v>5779</v>
      </c>
      <c r="P69" s="271">
        <f>+N69/O69</f>
        <v>8.368056757224434</v>
      </c>
    </row>
    <row r="70" spans="1:16" s="10" customFormat="1" ht="15">
      <c r="A70" s="39">
        <v>66</v>
      </c>
      <c r="B70" s="40"/>
      <c r="C70" s="253" t="s">
        <v>205</v>
      </c>
      <c r="D70" s="90">
        <v>37869</v>
      </c>
      <c r="E70" s="260" t="s">
        <v>70</v>
      </c>
      <c r="F70" s="253" t="s">
        <v>135</v>
      </c>
      <c r="G70" s="138">
        <v>8</v>
      </c>
      <c r="H70" s="138">
        <v>1</v>
      </c>
      <c r="I70" s="137">
        <v>24</v>
      </c>
      <c r="J70" s="167">
        <v>831</v>
      </c>
      <c r="K70" s="255">
        <v>277</v>
      </c>
      <c r="L70" s="256">
        <f>K70/H70</f>
        <v>277</v>
      </c>
      <c r="M70" s="264">
        <f>J70/K70</f>
        <v>3</v>
      </c>
      <c r="N70" s="161">
        <f>89641.3+831</f>
        <v>90472.3</v>
      </c>
      <c r="O70" s="255">
        <f>17019+277</f>
        <v>17296</v>
      </c>
      <c r="P70" s="271">
        <f>+N70/O70</f>
        <v>5.230822155411656</v>
      </c>
    </row>
    <row r="71" spans="1:16" s="10" customFormat="1" ht="15">
      <c r="A71" s="39">
        <v>67</v>
      </c>
      <c r="B71" s="40"/>
      <c r="C71" s="253" t="s">
        <v>206</v>
      </c>
      <c r="D71" s="90">
        <v>38282</v>
      </c>
      <c r="E71" s="260" t="s">
        <v>70</v>
      </c>
      <c r="F71" s="253" t="s">
        <v>207</v>
      </c>
      <c r="G71" s="138">
        <v>7</v>
      </c>
      <c r="H71" s="138">
        <v>1</v>
      </c>
      <c r="I71" s="137">
        <v>8</v>
      </c>
      <c r="J71" s="167">
        <v>831</v>
      </c>
      <c r="K71" s="255">
        <v>277</v>
      </c>
      <c r="L71" s="256">
        <f>K71/H71</f>
        <v>277</v>
      </c>
      <c r="M71" s="264">
        <f>J71/K71</f>
        <v>3</v>
      </c>
      <c r="N71" s="161">
        <f>14009.5+4096.5+18+22+396+474+1425+831</f>
        <v>21272</v>
      </c>
      <c r="O71" s="255">
        <f>1775+846+4+5+132+158+475+277</f>
        <v>3672</v>
      </c>
      <c r="P71" s="271">
        <f>+N71/O71</f>
        <v>5.793028322440088</v>
      </c>
    </row>
    <row r="72" spans="1:16" s="10" customFormat="1" ht="15">
      <c r="A72" s="39">
        <v>68</v>
      </c>
      <c r="B72" s="40"/>
      <c r="C72" s="253" t="s">
        <v>208</v>
      </c>
      <c r="D72" s="90">
        <v>38226</v>
      </c>
      <c r="E72" s="260" t="s">
        <v>70</v>
      </c>
      <c r="F72" s="253" t="s">
        <v>209</v>
      </c>
      <c r="G72" s="138">
        <v>4</v>
      </c>
      <c r="H72" s="138">
        <v>1</v>
      </c>
      <c r="I72" s="137">
        <v>10</v>
      </c>
      <c r="J72" s="167">
        <v>831</v>
      </c>
      <c r="K72" s="255">
        <v>277</v>
      </c>
      <c r="L72" s="256">
        <f>K72/H72</f>
        <v>277</v>
      </c>
      <c r="M72" s="264">
        <f>J72/K72</f>
        <v>3</v>
      </c>
      <c r="N72" s="161">
        <f>13174+181+1662+486+1307+26+1425+831</f>
        <v>19092</v>
      </c>
      <c r="O72" s="255">
        <f>1626+26+252+83+237+8+475+277</f>
        <v>2984</v>
      </c>
      <c r="P72" s="271">
        <f>+N72/O72</f>
        <v>6.398123324396783</v>
      </c>
    </row>
    <row r="73" spans="1:16" s="10" customFormat="1" ht="15">
      <c r="A73" s="39">
        <v>69</v>
      </c>
      <c r="B73" s="40"/>
      <c r="C73" s="139" t="s">
        <v>39</v>
      </c>
      <c r="D73" s="47">
        <v>38758</v>
      </c>
      <c r="E73" s="139" t="s">
        <v>103</v>
      </c>
      <c r="F73" s="139" t="s">
        <v>117</v>
      </c>
      <c r="G73" s="132">
        <v>46</v>
      </c>
      <c r="H73" s="132">
        <v>2</v>
      </c>
      <c r="I73" s="131">
        <v>11</v>
      </c>
      <c r="J73" s="167">
        <v>793</v>
      </c>
      <c r="K73" s="259">
        <v>180</v>
      </c>
      <c r="L73" s="256">
        <f>K73/H73</f>
        <v>90</v>
      </c>
      <c r="M73" s="264">
        <f>J73/K73</f>
        <v>4.405555555555556</v>
      </c>
      <c r="N73" s="161">
        <v>181241</v>
      </c>
      <c r="O73" s="259">
        <v>23969</v>
      </c>
      <c r="P73" s="271">
        <f>+N73/O73</f>
        <v>7.561475238850181</v>
      </c>
    </row>
    <row r="74" spans="1:16" s="10" customFormat="1" ht="15">
      <c r="A74" s="39">
        <v>70</v>
      </c>
      <c r="B74" s="40"/>
      <c r="C74" s="139" t="s">
        <v>61</v>
      </c>
      <c r="D74" s="47">
        <v>38744</v>
      </c>
      <c r="E74" s="139" t="s">
        <v>103</v>
      </c>
      <c r="F74" s="139" t="s">
        <v>134</v>
      </c>
      <c r="G74" s="132">
        <v>72</v>
      </c>
      <c r="H74" s="132">
        <v>1</v>
      </c>
      <c r="I74" s="131">
        <v>13</v>
      </c>
      <c r="J74" s="167">
        <v>781</v>
      </c>
      <c r="K74" s="259">
        <v>240</v>
      </c>
      <c r="L74" s="256">
        <f>K74/H74</f>
        <v>240</v>
      </c>
      <c r="M74" s="264">
        <f>J74/K74</f>
        <v>3.254166666666667</v>
      </c>
      <c r="N74" s="161">
        <v>1840548</v>
      </c>
      <c r="O74" s="259">
        <v>227911</v>
      </c>
      <c r="P74" s="271">
        <f>+N74/O74</f>
        <v>8.075731316171664</v>
      </c>
    </row>
    <row r="75" spans="1:16" s="10" customFormat="1" ht="15">
      <c r="A75" s="39">
        <v>71</v>
      </c>
      <c r="B75" s="40"/>
      <c r="C75" s="139" t="s">
        <v>210</v>
      </c>
      <c r="D75" s="47">
        <v>38632</v>
      </c>
      <c r="E75" s="257" t="s">
        <v>102</v>
      </c>
      <c r="F75" s="139" t="s">
        <v>51</v>
      </c>
      <c r="G75" s="132">
        <v>30</v>
      </c>
      <c r="H75" s="132">
        <v>1</v>
      </c>
      <c r="I75" s="131">
        <v>14</v>
      </c>
      <c r="J75" s="168">
        <v>630</v>
      </c>
      <c r="K75" s="258">
        <v>210</v>
      </c>
      <c r="L75" s="256">
        <f>K75/H75</f>
        <v>210</v>
      </c>
      <c r="M75" s="264">
        <f>J75/K75</f>
        <v>3</v>
      </c>
      <c r="N75" s="162">
        <f>351719+630</f>
        <v>352349</v>
      </c>
      <c r="O75" s="258">
        <f>43405+210</f>
        <v>43615</v>
      </c>
      <c r="P75" s="271">
        <f>+N75/O75</f>
        <v>8.078619740914823</v>
      </c>
    </row>
    <row r="76" spans="1:16" s="10" customFormat="1" ht="15">
      <c r="A76" s="39">
        <v>72</v>
      </c>
      <c r="B76" s="40"/>
      <c r="C76" s="139" t="s">
        <v>211</v>
      </c>
      <c r="D76" s="47">
        <v>38688</v>
      </c>
      <c r="E76" s="139" t="s">
        <v>103</v>
      </c>
      <c r="F76" s="139" t="s">
        <v>99</v>
      </c>
      <c r="G76" s="132">
        <v>20</v>
      </c>
      <c r="H76" s="132">
        <v>1</v>
      </c>
      <c r="I76" s="131">
        <v>21</v>
      </c>
      <c r="J76" s="171">
        <v>578</v>
      </c>
      <c r="K76" s="259">
        <v>133</v>
      </c>
      <c r="L76" s="256">
        <f>K76/H76</f>
        <v>133</v>
      </c>
      <c r="M76" s="264">
        <f>J76/K76</f>
        <v>4.345864661654136</v>
      </c>
      <c r="N76" s="165">
        <v>235748</v>
      </c>
      <c r="O76" s="259">
        <v>28718</v>
      </c>
      <c r="P76" s="271">
        <f>+N76/O76</f>
        <v>8.209067483808065</v>
      </c>
    </row>
    <row r="77" spans="1:16" s="10" customFormat="1" ht="15">
      <c r="A77" s="39">
        <v>73</v>
      </c>
      <c r="B77" s="40"/>
      <c r="C77" s="261" t="s">
        <v>212</v>
      </c>
      <c r="D77" s="90">
        <v>38527</v>
      </c>
      <c r="E77" s="260" t="s">
        <v>70</v>
      </c>
      <c r="F77" s="253" t="s">
        <v>213</v>
      </c>
      <c r="G77" s="138">
        <v>40</v>
      </c>
      <c r="H77" s="138">
        <v>1</v>
      </c>
      <c r="I77" s="137">
        <v>20</v>
      </c>
      <c r="J77" s="167">
        <v>493</v>
      </c>
      <c r="K77" s="255">
        <v>76</v>
      </c>
      <c r="L77" s="256">
        <f>K77/H77</f>
        <v>76</v>
      </c>
      <c r="M77" s="264">
        <f>J77/K77</f>
        <v>6.4868421052631575</v>
      </c>
      <c r="N77" s="161">
        <f>154087+69943.5+42582.5+46660.5+28605+26705.5+16050+12214+4188+1367.5+522.5+1501.5+1585+314+1412+504+1068+831+304+493</f>
        <v>410938.5</v>
      </c>
      <c r="O77" s="255">
        <f>22276+10695+6895+8027+5355+5096+3300+2445+1008+304+141+354+317+59+440+112+356+277+66+76</f>
        <v>67599</v>
      </c>
      <c r="P77" s="271">
        <f>+N77/O77</f>
        <v>6.07906182044113</v>
      </c>
    </row>
    <row r="78" spans="1:16" s="10" customFormat="1" ht="15">
      <c r="A78" s="39">
        <v>74</v>
      </c>
      <c r="B78" s="40"/>
      <c r="C78" s="139" t="s">
        <v>28</v>
      </c>
      <c r="D78" s="47">
        <v>38779</v>
      </c>
      <c r="E78" s="257" t="s">
        <v>102</v>
      </c>
      <c r="F78" s="139" t="s">
        <v>110</v>
      </c>
      <c r="G78" s="132">
        <v>97</v>
      </c>
      <c r="H78" s="132">
        <v>1</v>
      </c>
      <c r="I78" s="131">
        <v>8</v>
      </c>
      <c r="J78" s="168">
        <v>455</v>
      </c>
      <c r="K78" s="258">
        <v>156</v>
      </c>
      <c r="L78" s="256">
        <f>K78/H78</f>
        <v>156</v>
      </c>
      <c r="M78" s="264">
        <f>J78/K78</f>
        <v>2.9166666666666665</v>
      </c>
      <c r="N78" s="162">
        <f>548794+335797+701.5+148448.5+3571+32617.5+14092-3800+4657-453+614+455</f>
        <v>1085494.5</v>
      </c>
      <c r="O78" s="258">
        <f>69211+43223+82+20305+51+6206+3183-272+1252-105+122+156</f>
        <v>143414</v>
      </c>
      <c r="P78" s="271">
        <f>+N78/O78</f>
        <v>7.568957702874196</v>
      </c>
    </row>
    <row r="79" spans="1:16" s="10" customFormat="1" ht="15">
      <c r="A79" s="39">
        <v>75</v>
      </c>
      <c r="B79" s="40"/>
      <c r="C79" s="253" t="s">
        <v>214</v>
      </c>
      <c r="D79" s="90">
        <v>38436</v>
      </c>
      <c r="E79" s="254" t="s">
        <v>52</v>
      </c>
      <c r="F79" s="253" t="s">
        <v>133</v>
      </c>
      <c r="G79" s="138">
        <v>35</v>
      </c>
      <c r="H79" s="138">
        <v>1</v>
      </c>
      <c r="I79" s="137">
        <v>28</v>
      </c>
      <c r="J79" s="170">
        <v>408</v>
      </c>
      <c r="K79" s="259">
        <v>54</v>
      </c>
      <c r="L79" s="256">
        <f>K79/H79</f>
        <v>54</v>
      </c>
      <c r="M79" s="264">
        <f>J79/K79</f>
        <v>7.555555555555555</v>
      </c>
      <c r="N79" s="164">
        <f>596848+3938+4417+2392+2822+567+225+103+165+1511+2376+1511+408</f>
        <v>617283</v>
      </c>
      <c r="O79" s="259">
        <f>24360+20872+11689+9066+8279+7706+2114+1540+812+181+18+631+512+608+756+71+616+682+368+45+1339+82+33+33+756+1188+756+54</f>
        <v>95167</v>
      </c>
      <c r="P79" s="271">
        <f>+N79/O79</f>
        <v>6.4863135330524235</v>
      </c>
    </row>
    <row r="80" spans="1:16" s="10" customFormat="1" ht="15">
      <c r="A80" s="39">
        <v>76</v>
      </c>
      <c r="B80" s="40"/>
      <c r="C80" s="253" t="s">
        <v>6</v>
      </c>
      <c r="D80" s="90">
        <v>38709</v>
      </c>
      <c r="E80" s="253" t="s">
        <v>54</v>
      </c>
      <c r="F80" s="253" t="s">
        <v>137</v>
      </c>
      <c r="G80" s="138">
        <v>233</v>
      </c>
      <c r="H80" s="138">
        <v>2</v>
      </c>
      <c r="I80" s="137">
        <v>18</v>
      </c>
      <c r="J80" s="168">
        <v>322</v>
      </c>
      <c r="K80" s="258">
        <v>46</v>
      </c>
      <c r="L80" s="256">
        <f>K80/H80</f>
        <v>23</v>
      </c>
      <c r="M80" s="264">
        <f>J80/K80</f>
        <v>7</v>
      </c>
      <c r="N80" s="162">
        <v>17066106.5</v>
      </c>
      <c r="O80" s="258">
        <v>2571824</v>
      </c>
      <c r="P80" s="271">
        <f>+N80/O80</f>
        <v>6.635798756057957</v>
      </c>
    </row>
    <row r="81" spans="1:16" s="10" customFormat="1" ht="15">
      <c r="A81" s="39">
        <v>77</v>
      </c>
      <c r="B81" s="40"/>
      <c r="C81" s="253" t="s">
        <v>174</v>
      </c>
      <c r="D81" s="47">
        <v>38758</v>
      </c>
      <c r="E81" s="253" t="s">
        <v>147</v>
      </c>
      <c r="F81" s="253" t="s">
        <v>149</v>
      </c>
      <c r="G81" s="138">
        <v>4</v>
      </c>
      <c r="H81" s="138">
        <v>1</v>
      </c>
      <c r="I81" s="137">
        <v>10</v>
      </c>
      <c r="J81" s="168">
        <v>194</v>
      </c>
      <c r="K81" s="258">
        <v>37</v>
      </c>
      <c r="L81" s="256">
        <f>K81/H81</f>
        <v>37</v>
      </c>
      <c r="M81" s="264">
        <f>J81/K81</f>
        <v>5.243243243243243</v>
      </c>
      <c r="N81" s="162">
        <v>6143</v>
      </c>
      <c r="O81" s="258">
        <v>976</v>
      </c>
      <c r="P81" s="271">
        <f>+N81/O81</f>
        <v>6.29405737704918</v>
      </c>
    </row>
    <row r="82" spans="1:16" s="10" customFormat="1" ht="15">
      <c r="A82" s="39">
        <v>78</v>
      </c>
      <c r="B82" s="40"/>
      <c r="C82" s="139" t="s">
        <v>32</v>
      </c>
      <c r="D82" s="47">
        <v>38730</v>
      </c>
      <c r="E82" s="257" t="s">
        <v>102</v>
      </c>
      <c r="F82" s="139" t="s">
        <v>51</v>
      </c>
      <c r="G82" s="132">
        <v>62</v>
      </c>
      <c r="H82" s="132">
        <v>1</v>
      </c>
      <c r="I82" s="131">
        <v>14</v>
      </c>
      <c r="J82" s="168">
        <v>148</v>
      </c>
      <c r="K82" s="258">
        <v>21</v>
      </c>
      <c r="L82" s="256">
        <f>K82/H82</f>
        <v>21</v>
      </c>
      <c r="M82" s="264">
        <f>J82/K82</f>
        <v>7.0476190476190474</v>
      </c>
      <c r="N82" s="162">
        <f>620634.5+342052.5+188118+10733+4394+3499+5130.5+267+2707.5+1265.5+1567+387+1177+148</f>
        <v>1182080.5</v>
      </c>
      <c r="O82" s="258">
        <f>71532+39787+22209+1403+667+665+1174+78+545+187+307+74+286+21</f>
        <v>138935</v>
      </c>
      <c r="P82" s="271">
        <f>+N82/O82</f>
        <v>8.508154892575664</v>
      </c>
    </row>
    <row r="83" spans="1:16" s="10" customFormat="1" ht="15">
      <c r="A83" s="39">
        <v>79</v>
      </c>
      <c r="B83" s="40"/>
      <c r="C83" s="139" t="s">
        <v>162</v>
      </c>
      <c r="D83" s="47">
        <v>38779</v>
      </c>
      <c r="E83" s="253" t="s">
        <v>163</v>
      </c>
      <c r="F83" s="139" t="s">
        <v>215</v>
      </c>
      <c r="G83" s="132">
        <v>8</v>
      </c>
      <c r="H83" s="132">
        <v>1</v>
      </c>
      <c r="I83" s="131">
        <v>8</v>
      </c>
      <c r="J83" s="168">
        <v>140</v>
      </c>
      <c r="K83" s="258">
        <v>28</v>
      </c>
      <c r="L83" s="256">
        <f>K83/H83</f>
        <v>28</v>
      </c>
      <c r="M83" s="264">
        <f>J83/K83</f>
        <v>5</v>
      </c>
      <c r="N83" s="162">
        <v>81171.4</v>
      </c>
      <c r="O83" s="258">
        <v>9386</v>
      </c>
      <c r="P83" s="271">
        <f>+N83/O83</f>
        <v>8.648135520988706</v>
      </c>
    </row>
    <row r="84" spans="1:16" s="10" customFormat="1" ht="15">
      <c r="A84" s="39">
        <v>80</v>
      </c>
      <c r="B84" s="40"/>
      <c r="C84" s="139" t="s">
        <v>63</v>
      </c>
      <c r="D84" s="47">
        <v>38695</v>
      </c>
      <c r="E84" s="139" t="s">
        <v>103</v>
      </c>
      <c r="F84" s="139" t="s">
        <v>108</v>
      </c>
      <c r="G84" s="132">
        <v>77</v>
      </c>
      <c r="H84" s="132">
        <v>2</v>
      </c>
      <c r="I84" s="131">
        <v>20</v>
      </c>
      <c r="J84" s="171">
        <v>120</v>
      </c>
      <c r="K84" s="259">
        <v>23</v>
      </c>
      <c r="L84" s="256">
        <f>K84/H84</f>
        <v>11.5</v>
      </c>
      <c r="M84" s="264">
        <f>J84/K84</f>
        <v>5.217391304347826</v>
      </c>
      <c r="N84" s="165">
        <v>1921627</v>
      </c>
      <c r="O84" s="259">
        <v>280670</v>
      </c>
      <c r="P84" s="271">
        <f>+N84/O84</f>
        <v>6.846570705811095</v>
      </c>
    </row>
    <row r="85" spans="1:16" s="10" customFormat="1" ht="15">
      <c r="A85" s="39">
        <v>81</v>
      </c>
      <c r="B85" s="40"/>
      <c r="C85" s="253" t="s">
        <v>216</v>
      </c>
      <c r="D85" s="90">
        <v>38723</v>
      </c>
      <c r="E85" s="260" t="s">
        <v>70</v>
      </c>
      <c r="F85" s="253" t="s">
        <v>217</v>
      </c>
      <c r="G85" s="138">
        <v>5</v>
      </c>
      <c r="H85" s="138">
        <v>1</v>
      </c>
      <c r="I85" s="137">
        <v>7</v>
      </c>
      <c r="J85" s="167">
        <v>91</v>
      </c>
      <c r="K85" s="255">
        <v>25</v>
      </c>
      <c r="L85" s="256">
        <f>K85/H85</f>
        <v>25</v>
      </c>
      <c r="M85" s="264">
        <f>J85/K85</f>
        <v>3.64</v>
      </c>
      <c r="N85" s="161">
        <f>7149+2747+756+1338+270+74+91</f>
        <v>12425</v>
      </c>
      <c r="O85" s="255">
        <f>932+357+92+247+90+24+25</f>
        <v>1767</v>
      </c>
      <c r="P85" s="271">
        <f>+N85/O85</f>
        <v>7.031692133559706</v>
      </c>
    </row>
    <row r="86" spans="1:16" s="10" customFormat="1" ht="15">
      <c r="A86" s="39">
        <v>82</v>
      </c>
      <c r="B86" s="40"/>
      <c r="C86" s="253" t="s">
        <v>218</v>
      </c>
      <c r="D86" s="90">
        <v>38646</v>
      </c>
      <c r="E86" s="254" t="s">
        <v>52</v>
      </c>
      <c r="F86" s="253" t="s">
        <v>219</v>
      </c>
      <c r="G86" s="138">
        <v>105</v>
      </c>
      <c r="H86" s="138">
        <v>1</v>
      </c>
      <c r="I86" s="137">
        <v>12</v>
      </c>
      <c r="J86" s="167">
        <v>36</v>
      </c>
      <c r="K86" s="255">
        <v>9</v>
      </c>
      <c r="L86" s="256">
        <f>K86/H86</f>
        <v>9</v>
      </c>
      <c r="M86" s="264">
        <f>J86/K86</f>
        <v>4</v>
      </c>
      <c r="N86" s="161">
        <f>28824+8143+5952+6136+5326+1652+816+490.5+617+3564-6.5+2376+36</f>
        <v>63926</v>
      </c>
      <c r="O86" s="255">
        <f>4110+1233+1002+1679+1844+390+301+112+160+1782+1188+9</f>
        <v>13810</v>
      </c>
      <c r="P86" s="271">
        <f>+N86/O86</f>
        <v>4.628964518464881</v>
      </c>
    </row>
    <row r="87" spans="1:16" s="10" customFormat="1" ht="15">
      <c r="A87" s="39">
        <v>83</v>
      </c>
      <c r="B87" s="40"/>
      <c r="C87" s="139" t="s">
        <v>220</v>
      </c>
      <c r="D87" s="47">
        <v>38653</v>
      </c>
      <c r="E87" s="139" t="s">
        <v>103</v>
      </c>
      <c r="F87" s="139" t="s">
        <v>134</v>
      </c>
      <c r="G87" s="132">
        <v>92</v>
      </c>
      <c r="H87" s="132">
        <v>1</v>
      </c>
      <c r="I87" s="131">
        <v>26</v>
      </c>
      <c r="J87" s="171">
        <v>36</v>
      </c>
      <c r="K87" s="259">
        <v>6</v>
      </c>
      <c r="L87" s="256">
        <f>K87/H87</f>
        <v>6</v>
      </c>
      <c r="M87" s="264">
        <f>J87/K87</f>
        <v>6</v>
      </c>
      <c r="N87" s="165">
        <v>1039707</v>
      </c>
      <c r="O87" s="259">
        <v>151461</v>
      </c>
      <c r="P87" s="271">
        <f>+N87/O87</f>
        <v>6.864519579297641</v>
      </c>
    </row>
    <row r="88" spans="1:16" s="10" customFormat="1" ht="15">
      <c r="A88" s="39">
        <v>84</v>
      </c>
      <c r="B88" s="40"/>
      <c r="C88" s="253" t="s">
        <v>176</v>
      </c>
      <c r="D88" s="90">
        <v>38653</v>
      </c>
      <c r="E88" s="254" t="s">
        <v>52</v>
      </c>
      <c r="F88" s="253" t="s">
        <v>161</v>
      </c>
      <c r="G88" s="138">
        <v>180</v>
      </c>
      <c r="H88" s="138">
        <v>1</v>
      </c>
      <c r="I88" s="137">
        <v>16</v>
      </c>
      <c r="J88" s="167">
        <v>32</v>
      </c>
      <c r="K88" s="255">
        <v>8</v>
      </c>
      <c r="L88" s="256">
        <f>K88/H88</f>
        <v>8</v>
      </c>
      <c r="M88" s="264">
        <f>J88/K88</f>
        <v>4</v>
      </c>
      <c r="N88" s="161">
        <f>1350319+1981946+674687+495931+221393.5+106280+35943.5+15737+10017+3134+1274+2376+2951-5+5409+32+32</f>
        <v>4907457</v>
      </c>
      <c r="O88" s="255">
        <f>208954+300860+104860+82209+41215+22985+6363+3444+2831+685+270+1188+383+1986+8+8</f>
        <v>778249</v>
      </c>
      <c r="P88" s="271">
        <f>+N88/O88</f>
        <v>6.305767177342984</v>
      </c>
    </row>
    <row r="89" spans="1:16" s="10" customFormat="1" ht="15.75" thickBot="1">
      <c r="A89" s="39">
        <v>85</v>
      </c>
      <c r="B89" s="128"/>
      <c r="C89" s="272" t="s">
        <v>175</v>
      </c>
      <c r="D89" s="133">
        <v>38506</v>
      </c>
      <c r="E89" s="272" t="s">
        <v>103</v>
      </c>
      <c r="F89" s="272" t="s">
        <v>134</v>
      </c>
      <c r="G89" s="135">
        <v>106</v>
      </c>
      <c r="H89" s="135">
        <v>1</v>
      </c>
      <c r="I89" s="134">
        <v>47</v>
      </c>
      <c r="J89" s="277">
        <v>12</v>
      </c>
      <c r="K89" s="274">
        <v>2</v>
      </c>
      <c r="L89" s="275">
        <f>K89/H89</f>
        <v>2</v>
      </c>
      <c r="M89" s="265">
        <f>J89/K89</f>
        <v>6</v>
      </c>
      <c r="N89" s="273">
        <v>1514845</v>
      </c>
      <c r="O89" s="274">
        <v>235883</v>
      </c>
      <c r="P89" s="276">
        <f>+N89/O89</f>
        <v>6.422018543091278</v>
      </c>
    </row>
    <row r="90" spans="1:16" s="76" customFormat="1" ht="15">
      <c r="A90" s="58"/>
      <c r="B90" s="108"/>
      <c r="C90" s="109" t="s">
        <v>78</v>
      </c>
      <c r="D90" s="110"/>
      <c r="E90" s="109" t="s">
        <v>221</v>
      </c>
      <c r="F90" s="109"/>
      <c r="G90" s="111"/>
      <c r="H90" s="112">
        <f>SUM(H5:H89)</f>
        <v>1319</v>
      </c>
      <c r="I90" s="111"/>
      <c r="J90" s="113">
        <f>SUM(J5:J89)</f>
        <v>3674128.75</v>
      </c>
      <c r="K90" s="114">
        <f>SUM(K5:K89)</f>
        <v>554283</v>
      </c>
      <c r="L90" s="114">
        <f>K90/H90</f>
        <v>420.2297194844579</v>
      </c>
      <c r="M90" s="280">
        <f>J90/K90</f>
        <v>6.628615256105635</v>
      </c>
      <c r="N90" s="113"/>
      <c r="O90" s="114"/>
      <c r="P90" s="199"/>
    </row>
    <row r="91" spans="1:16" s="76" customFormat="1" ht="15">
      <c r="A91" s="58"/>
      <c r="B91" s="121"/>
      <c r="C91" s="115" t="s">
        <v>77</v>
      </c>
      <c r="D91" s="116"/>
      <c r="E91" s="115" t="s">
        <v>142</v>
      </c>
      <c r="F91" s="115"/>
      <c r="G91" s="117"/>
      <c r="H91" s="118">
        <v>1314</v>
      </c>
      <c r="I91" s="117"/>
      <c r="J91" s="119">
        <v>3956519.5</v>
      </c>
      <c r="K91" s="120">
        <v>591190</v>
      </c>
      <c r="L91" s="120">
        <v>450</v>
      </c>
      <c r="M91" s="281">
        <f>J91/K91</f>
        <v>6.69246688881747</v>
      </c>
      <c r="N91" s="119"/>
      <c r="O91" s="120"/>
      <c r="P91" s="200"/>
    </row>
    <row r="92" spans="1:16" s="76" customFormat="1" ht="15.75" thickBot="1">
      <c r="A92" s="58"/>
      <c r="B92" s="84"/>
      <c r="C92" s="87" t="s">
        <v>143</v>
      </c>
      <c r="D92" s="91"/>
      <c r="E92" s="87" t="s">
        <v>144</v>
      </c>
      <c r="F92" s="87"/>
      <c r="G92" s="85"/>
      <c r="H92" s="86">
        <v>1222</v>
      </c>
      <c r="I92" s="85"/>
      <c r="J92" s="94">
        <v>2643160.69</v>
      </c>
      <c r="K92" s="99">
        <v>419356</v>
      </c>
      <c r="L92" s="99">
        <f>K92/H92</f>
        <v>343.1718494271686</v>
      </c>
      <c r="M92" s="282">
        <f>J92/K92</f>
        <v>6.302904191188394</v>
      </c>
      <c r="N92" s="94"/>
      <c r="O92" s="99"/>
      <c r="P92" s="201"/>
    </row>
    <row r="93" spans="1:17" s="10" customFormat="1" ht="14.25" thickBot="1">
      <c r="A93" s="13"/>
      <c r="B93" s="9"/>
      <c r="D93" s="49"/>
      <c r="E93" s="80"/>
      <c r="F93" s="80"/>
      <c r="G93" s="11"/>
      <c r="H93" s="11"/>
      <c r="I93" s="11"/>
      <c r="J93" s="141"/>
      <c r="K93" s="105"/>
      <c r="L93" s="100"/>
      <c r="M93" s="100"/>
      <c r="N93" s="12"/>
      <c r="O93" s="96"/>
      <c r="P93" s="202"/>
      <c r="Q93" s="12"/>
    </row>
    <row r="94" spans="1:17" s="10" customFormat="1" ht="13.5">
      <c r="A94" s="13"/>
      <c r="B94" s="9"/>
      <c r="C94" s="232" t="s">
        <v>80</v>
      </c>
      <c r="D94" s="233"/>
      <c r="E94" s="226" t="s">
        <v>10</v>
      </c>
      <c r="F94" s="227"/>
      <c r="G94" s="157"/>
      <c r="H94" s="122"/>
      <c r="I94" s="11"/>
      <c r="J94" s="141"/>
      <c r="K94" s="105"/>
      <c r="L94" s="100"/>
      <c r="M94" s="123"/>
      <c r="N94" s="123"/>
      <c r="O94" s="123"/>
      <c r="P94" s="203"/>
      <c r="Q94" s="123"/>
    </row>
    <row r="95" spans="1:16" s="10" customFormat="1" ht="14.25" thickBot="1">
      <c r="A95" s="13"/>
      <c r="B95" s="9"/>
      <c r="C95" s="234"/>
      <c r="D95" s="235"/>
      <c r="E95" s="81" t="s">
        <v>180</v>
      </c>
      <c r="F95" s="29" t="s">
        <v>11</v>
      </c>
      <c r="G95" s="30" t="s">
        <v>12</v>
      </c>
      <c r="H95" s="11"/>
      <c r="I95" s="146"/>
      <c r="J95" s="142"/>
      <c r="K95" s="100"/>
      <c r="L95" s="123"/>
      <c r="M95" s="123"/>
      <c r="N95" s="123"/>
      <c r="O95" s="123"/>
      <c r="P95" s="203"/>
    </row>
    <row r="96" spans="1:16" s="10" customFormat="1" ht="13.5">
      <c r="A96" s="13"/>
      <c r="B96" s="9"/>
      <c r="C96" s="28" t="s">
        <v>49</v>
      </c>
      <c r="D96" s="77" t="s">
        <v>178</v>
      </c>
      <c r="E96" s="35" t="s">
        <v>14</v>
      </c>
      <c r="F96" s="24">
        <v>1.3195</v>
      </c>
      <c r="G96" s="25">
        <v>1.3259</v>
      </c>
      <c r="H96" s="11"/>
      <c r="I96" s="146"/>
      <c r="J96" s="142"/>
      <c r="K96" s="100"/>
      <c r="L96" s="123"/>
      <c r="M96" s="123"/>
      <c r="N96" s="123"/>
      <c r="O96" s="123"/>
      <c r="P96" s="203"/>
    </row>
    <row r="97" spans="1:16" s="10" customFormat="1" ht="13.5">
      <c r="A97" s="13"/>
      <c r="B97" s="9"/>
      <c r="C97" s="20" t="s">
        <v>50</v>
      </c>
      <c r="D97" s="41">
        <f>K6+K8+K11+K14+K22</f>
        <v>105768</v>
      </c>
      <c r="E97" s="36" t="s">
        <v>15</v>
      </c>
      <c r="F97" s="16">
        <v>1.6411</v>
      </c>
      <c r="G97" s="17">
        <v>1.6489</v>
      </c>
      <c r="H97" s="11"/>
      <c r="I97" s="146"/>
      <c r="J97" s="142"/>
      <c r="K97" s="100"/>
      <c r="L97" s="236" t="s">
        <v>72</v>
      </c>
      <c r="M97" s="236"/>
      <c r="N97" s="236"/>
      <c r="O97" s="236"/>
      <c r="P97" s="236"/>
    </row>
    <row r="98" spans="1:16" s="10" customFormat="1" ht="13.5">
      <c r="A98" s="13"/>
      <c r="B98" s="9"/>
      <c r="C98" s="20"/>
      <c r="D98" s="92"/>
      <c r="E98" s="36" t="s">
        <v>16</v>
      </c>
      <c r="F98" s="16">
        <v>2.3541</v>
      </c>
      <c r="G98" s="17">
        <v>2.3663</v>
      </c>
      <c r="H98" s="11"/>
      <c r="I98" s="146"/>
      <c r="J98" s="142"/>
      <c r="K98" s="100"/>
      <c r="L98" s="236"/>
      <c r="M98" s="236"/>
      <c r="N98" s="236"/>
      <c r="O98" s="236"/>
      <c r="P98" s="236"/>
    </row>
    <row r="99" spans="1:16" s="10" customFormat="1" ht="13.5">
      <c r="A99" s="13"/>
      <c r="B99" s="9"/>
      <c r="C99" s="20"/>
      <c r="D99" s="92"/>
      <c r="E99" s="36" t="s">
        <v>17</v>
      </c>
      <c r="F99" s="16">
        <v>1.0361</v>
      </c>
      <c r="G99" s="17">
        <v>1.0427</v>
      </c>
      <c r="H99" s="11"/>
      <c r="I99" s="146"/>
      <c r="J99" s="142"/>
      <c r="K99" s="100"/>
      <c r="L99" s="236"/>
      <c r="M99" s="236"/>
      <c r="N99" s="236"/>
      <c r="O99" s="236"/>
      <c r="P99" s="236"/>
    </row>
    <row r="100" spans="1:16" s="10" customFormat="1" ht="14.25" thickBot="1">
      <c r="A100" s="13"/>
      <c r="B100" s="9"/>
      <c r="C100" s="21"/>
      <c r="D100" s="93"/>
      <c r="E100" s="37"/>
      <c r="F100" s="22"/>
      <c r="G100" s="18"/>
      <c r="H100" s="11"/>
      <c r="I100" s="146"/>
      <c r="J100" s="142"/>
      <c r="K100" s="100"/>
      <c r="L100" s="100"/>
      <c r="M100" s="103"/>
      <c r="N100" s="96"/>
      <c r="O100" s="100"/>
      <c r="P100" s="204"/>
    </row>
    <row r="101" spans="1:16" s="10" customFormat="1" ht="14.25" thickBot="1">
      <c r="A101" s="13"/>
      <c r="B101" s="9"/>
      <c r="D101" s="49"/>
      <c r="E101" s="80"/>
      <c r="F101" s="80"/>
      <c r="G101" s="11"/>
      <c r="H101" s="11"/>
      <c r="I101" s="11"/>
      <c r="J101" s="142"/>
      <c r="K101" s="100"/>
      <c r="L101" s="100"/>
      <c r="M101" s="103"/>
      <c r="N101" s="96"/>
      <c r="O101" s="100"/>
      <c r="P101" s="204"/>
    </row>
    <row r="102" spans="1:16" s="10" customFormat="1" ht="13.5">
      <c r="A102" s="13"/>
      <c r="B102" s="9"/>
      <c r="C102" s="19" t="s">
        <v>79</v>
      </c>
      <c r="D102" s="158" t="s">
        <v>7</v>
      </c>
      <c r="E102" s="228"/>
      <c r="F102" s="228"/>
      <c r="G102" s="229"/>
      <c r="H102" s="147"/>
      <c r="I102" s="11"/>
      <c r="J102" s="142"/>
      <c r="K102" s="100"/>
      <c r="L102" s="100"/>
      <c r="M102" s="103"/>
      <c r="N102" s="96"/>
      <c r="O102" s="100"/>
      <c r="P102" s="204"/>
    </row>
    <row r="103" spans="1:16" s="10" customFormat="1" ht="14.25" thickBot="1">
      <c r="A103" s="13"/>
      <c r="B103" s="9"/>
      <c r="C103" s="26"/>
      <c r="D103" s="50" t="s">
        <v>8</v>
      </c>
      <c r="E103" s="27" t="s">
        <v>23</v>
      </c>
      <c r="F103" s="27" t="s">
        <v>9</v>
      </c>
      <c r="G103" s="18" t="s">
        <v>13</v>
      </c>
      <c r="H103" s="11"/>
      <c r="I103" s="146"/>
      <c r="J103" s="143"/>
      <c r="K103" s="100"/>
      <c r="L103" s="103"/>
      <c r="M103" s="283"/>
      <c r="N103" s="100"/>
      <c r="O103" s="103"/>
      <c r="P103" s="205"/>
    </row>
    <row r="104" spans="1:16" s="10" customFormat="1" ht="15">
      <c r="A104" s="39">
        <v>1</v>
      </c>
      <c r="B104" s="9"/>
      <c r="C104" s="23" t="s">
        <v>52</v>
      </c>
      <c r="D104" s="24">
        <v>14</v>
      </c>
      <c r="E104" s="148">
        <v>1959723.5</v>
      </c>
      <c r="F104" s="149">
        <v>291483</v>
      </c>
      <c r="G104" s="88">
        <f>E104/F104</f>
        <v>6.723285749083137</v>
      </c>
      <c r="H104" s="11"/>
      <c r="I104" s="146"/>
      <c r="J104" s="143"/>
      <c r="K104" s="100"/>
      <c r="L104" s="103"/>
      <c r="M104" s="283"/>
      <c r="N104" s="100"/>
      <c r="O104" s="103"/>
      <c r="P104" s="205"/>
    </row>
    <row r="105" spans="1:16" s="10" customFormat="1" ht="15">
      <c r="A105" s="39">
        <v>2</v>
      </c>
      <c r="B105" s="9"/>
      <c r="C105" s="14" t="s">
        <v>51</v>
      </c>
      <c r="D105" s="16">
        <v>20</v>
      </c>
      <c r="E105" s="150">
        <v>817838.5</v>
      </c>
      <c r="F105" s="151">
        <v>115019</v>
      </c>
      <c r="G105" s="89">
        <f>E105/F105</f>
        <v>7.110464358062581</v>
      </c>
      <c r="H105" s="11"/>
      <c r="I105" s="146"/>
      <c r="J105" s="143"/>
      <c r="K105" s="100"/>
      <c r="L105" s="103"/>
      <c r="M105" s="283"/>
      <c r="N105" s="100"/>
      <c r="O105" s="103"/>
      <c r="P105" s="205"/>
    </row>
    <row r="106" spans="1:16" s="10" customFormat="1" ht="15">
      <c r="A106" s="39">
        <v>3</v>
      </c>
      <c r="B106" s="9"/>
      <c r="C106" s="14" t="s">
        <v>53</v>
      </c>
      <c r="D106" s="16">
        <v>16</v>
      </c>
      <c r="E106" s="150">
        <v>487817</v>
      </c>
      <c r="F106" s="151">
        <v>71714</v>
      </c>
      <c r="G106" s="89">
        <f>E106/F106</f>
        <v>6.802256184287587</v>
      </c>
      <c r="H106" s="11"/>
      <c r="I106" s="146"/>
      <c r="J106" s="143"/>
      <c r="K106" s="100"/>
      <c r="L106" s="103"/>
      <c r="M106" s="283"/>
      <c r="N106" s="100"/>
      <c r="O106" s="103"/>
      <c r="P106" s="205"/>
    </row>
    <row r="107" spans="1:16" s="10" customFormat="1" ht="15">
      <c r="A107" s="39">
        <v>4</v>
      </c>
      <c r="B107" s="9"/>
      <c r="C107" s="14" t="s">
        <v>145</v>
      </c>
      <c r="D107" s="16">
        <v>2</v>
      </c>
      <c r="E107" s="150">
        <v>228006.5</v>
      </c>
      <c r="F107" s="151">
        <v>33923</v>
      </c>
      <c r="G107" s="89">
        <f>E107/F107</f>
        <v>6.721295286383869</v>
      </c>
      <c r="H107" s="11"/>
      <c r="I107" s="146"/>
      <c r="J107" s="143"/>
      <c r="K107" s="100"/>
      <c r="L107" s="103"/>
      <c r="M107" s="283"/>
      <c r="N107" s="100"/>
      <c r="O107" s="103"/>
      <c r="P107" s="205"/>
    </row>
    <row r="108" spans="1:16" s="10" customFormat="1" ht="15">
      <c r="A108" s="39">
        <v>5</v>
      </c>
      <c r="B108" s="9"/>
      <c r="C108" s="14" t="s">
        <v>76</v>
      </c>
      <c r="D108" s="16">
        <v>4</v>
      </c>
      <c r="E108" s="150">
        <v>76830.5</v>
      </c>
      <c r="F108" s="151">
        <v>15407</v>
      </c>
      <c r="G108" s="89">
        <f>E108/F108</f>
        <v>4.98672681248783</v>
      </c>
      <c r="H108" s="11"/>
      <c r="I108" s="146"/>
      <c r="J108" s="143"/>
      <c r="K108" s="100"/>
      <c r="L108" s="103"/>
      <c r="M108" s="283"/>
      <c r="N108" s="100"/>
      <c r="O108" s="103"/>
      <c r="P108" s="205"/>
    </row>
    <row r="109" spans="1:16" s="10" customFormat="1" ht="15">
      <c r="A109" s="39">
        <v>6</v>
      </c>
      <c r="B109" s="9"/>
      <c r="C109" s="14" t="s">
        <v>70</v>
      </c>
      <c r="D109" s="16">
        <v>14</v>
      </c>
      <c r="E109" s="150">
        <v>47191.75</v>
      </c>
      <c r="F109" s="151">
        <v>8497</v>
      </c>
      <c r="G109" s="89">
        <f>E109/F109</f>
        <v>5.553930799105567</v>
      </c>
      <c r="H109" s="11"/>
      <c r="I109" s="146"/>
      <c r="J109" s="143"/>
      <c r="K109" s="100"/>
      <c r="L109" s="103"/>
      <c r="M109" s="283"/>
      <c r="N109" s="100"/>
      <c r="O109" s="103"/>
      <c r="P109" s="205"/>
    </row>
    <row r="110" spans="1:16" s="10" customFormat="1" ht="15">
      <c r="A110" s="39">
        <v>7</v>
      </c>
      <c r="B110" s="9"/>
      <c r="C110" s="14" t="s">
        <v>54</v>
      </c>
      <c r="D110" s="16">
        <v>5</v>
      </c>
      <c r="E110" s="150">
        <v>24335.5</v>
      </c>
      <c r="F110" s="151">
        <v>12495</v>
      </c>
      <c r="G110" s="89">
        <f>E110/F110</f>
        <v>1.9476190476190476</v>
      </c>
      <c r="H110" s="11"/>
      <c r="I110" s="146"/>
      <c r="J110" s="143"/>
      <c r="K110" s="100"/>
      <c r="L110" s="103"/>
      <c r="M110" s="283"/>
      <c r="N110" s="100"/>
      <c r="O110" s="103"/>
      <c r="P110" s="205"/>
    </row>
    <row r="111" spans="1:16" s="10" customFormat="1" ht="15">
      <c r="A111" s="39">
        <v>8</v>
      </c>
      <c r="B111" s="9"/>
      <c r="C111" s="14" t="s">
        <v>58</v>
      </c>
      <c r="D111" s="16">
        <v>3</v>
      </c>
      <c r="E111" s="150">
        <v>20247</v>
      </c>
      <c r="F111" s="151">
        <v>3149</v>
      </c>
      <c r="G111" s="89">
        <f>E111/F111</f>
        <v>6.429660209590346</v>
      </c>
      <c r="H111" s="11"/>
      <c r="I111" s="146"/>
      <c r="J111" s="143"/>
      <c r="K111" s="100"/>
      <c r="L111" s="103"/>
      <c r="M111" s="283"/>
      <c r="N111" s="100"/>
      <c r="O111" s="103"/>
      <c r="P111" s="205"/>
    </row>
    <row r="112" spans="1:16" s="10" customFormat="1" ht="15">
      <c r="A112" s="39">
        <v>9</v>
      </c>
      <c r="B112" s="9"/>
      <c r="C112" s="14" t="s">
        <v>55</v>
      </c>
      <c r="D112" s="16">
        <v>3</v>
      </c>
      <c r="E112" s="150">
        <v>6239</v>
      </c>
      <c r="F112" s="151">
        <v>1702</v>
      </c>
      <c r="G112" s="89">
        <f>E112/F112</f>
        <v>3.6656874265569916</v>
      </c>
      <c r="H112" s="11"/>
      <c r="I112" s="146"/>
      <c r="J112" s="143"/>
      <c r="K112" s="100"/>
      <c r="L112" s="103"/>
      <c r="M112" s="283"/>
      <c r="N112" s="100"/>
      <c r="O112" s="103"/>
      <c r="P112" s="205"/>
    </row>
    <row r="113" spans="1:16" s="10" customFormat="1" ht="15">
      <c r="A113" s="39">
        <v>10</v>
      </c>
      <c r="B113" s="9"/>
      <c r="C113" s="14" t="s">
        <v>56</v>
      </c>
      <c r="D113" s="16">
        <v>2</v>
      </c>
      <c r="E113" s="150">
        <v>5565</v>
      </c>
      <c r="F113" s="151">
        <v>829</v>
      </c>
      <c r="G113" s="89">
        <f>E113/F113</f>
        <v>6.712907117008444</v>
      </c>
      <c r="H113" s="11"/>
      <c r="I113" s="146"/>
      <c r="J113" s="143"/>
      <c r="K113" s="100"/>
      <c r="L113" s="103"/>
      <c r="M113" s="283"/>
      <c r="N113" s="100"/>
      <c r="O113" s="103"/>
      <c r="P113" s="205"/>
    </row>
    <row r="114" spans="1:16" s="10" customFormat="1" ht="15">
      <c r="A114" s="39">
        <v>11</v>
      </c>
      <c r="B114" s="9"/>
      <c r="C114" s="14" t="s">
        <v>147</v>
      </c>
      <c r="D114" s="16">
        <v>1</v>
      </c>
      <c r="E114" s="150">
        <v>194</v>
      </c>
      <c r="F114" s="151">
        <v>37</v>
      </c>
      <c r="G114" s="89">
        <f>E114/F114</f>
        <v>5.243243243243243</v>
      </c>
      <c r="H114" s="11"/>
      <c r="I114" s="146"/>
      <c r="J114" s="143"/>
      <c r="K114" s="100"/>
      <c r="L114" s="103"/>
      <c r="M114" s="283"/>
      <c r="N114" s="100"/>
      <c r="O114" s="103"/>
      <c r="P114" s="205"/>
    </row>
    <row r="115" spans="1:16" s="10" customFormat="1" ht="15">
      <c r="A115" s="39">
        <v>12</v>
      </c>
      <c r="B115" s="9"/>
      <c r="C115" s="14" t="s">
        <v>57</v>
      </c>
      <c r="D115" s="16">
        <v>1</v>
      </c>
      <c r="E115" s="150">
        <v>140</v>
      </c>
      <c r="F115" s="151">
        <v>28</v>
      </c>
      <c r="G115" s="89">
        <f>E115/F115</f>
        <v>5</v>
      </c>
      <c r="H115" s="11"/>
      <c r="I115" s="146"/>
      <c r="J115" s="143"/>
      <c r="K115" s="100"/>
      <c r="L115" s="103"/>
      <c r="M115" s="283"/>
      <c r="N115" s="100"/>
      <c r="O115" s="103"/>
      <c r="P115" s="205"/>
    </row>
    <row r="116" spans="1:16" s="10" customFormat="1" ht="14.25" thickBot="1">
      <c r="A116" s="13"/>
      <c r="B116" s="9"/>
      <c r="C116" s="15"/>
      <c r="D116" s="78"/>
      <c r="E116" s="82"/>
      <c r="F116" s="22"/>
      <c r="G116" s="18"/>
      <c r="H116" s="11"/>
      <c r="I116" s="146"/>
      <c r="J116" s="143"/>
      <c r="K116" s="100"/>
      <c r="L116" s="103"/>
      <c r="M116" s="283"/>
      <c r="N116" s="100"/>
      <c r="O116" s="103"/>
      <c r="P116" s="205"/>
    </row>
    <row r="117" spans="1:16" s="10" customFormat="1" ht="13.5">
      <c r="A117" s="13"/>
      <c r="B117" s="9"/>
      <c r="D117" s="49"/>
      <c r="E117" s="80"/>
      <c r="F117" s="80"/>
      <c r="G117" s="11"/>
      <c r="H117" s="11"/>
      <c r="I117" s="11"/>
      <c r="J117" s="142"/>
      <c r="K117" s="100"/>
      <c r="L117" s="100"/>
      <c r="M117" s="103"/>
      <c r="N117" s="96"/>
      <c r="O117" s="100"/>
      <c r="P117" s="204"/>
    </row>
    <row r="118" spans="1:16" s="10" customFormat="1" ht="13.5">
      <c r="A118" s="13"/>
      <c r="B118" s="9"/>
      <c r="D118" s="49"/>
      <c r="E118" s="80"/>
      <c r="F118" s="80"/>
      <c r="G118" s="11"/>
      <c r="H118" s="11"/>
      <c r="I118" s="11"/>
      <c r="J118" s="142"/>
      <c r="K118" s="100"/>
      <c r="L118" s="100"/>
      <c r="M118" s="103"/>
      <c r="N118" s="96"/>
      <c r="O118" s="100"/>
      <c r="P118" s="204"/>
    </row>
    <row r="119" spans="1:16" s="10" customFormat="1" ht="13.5">
      <c r="A119" s="13"/>
      <c r="B119" s="9"/>
      <c r="D119" s="49"/>
      <c r="E119" s="80"/>
      <c r="F119" s="80"/>
      <c r="G119" s="11"/>
      <c r="H119" s="11"/>
      <c r="I119" s="11"/>
      <c r="J119" s="142"/>
      <c r="K119" s="100"/>
      <c r="L119" s="100"/>
      <c r="M119" s="103"/>
      <c r="N119" s="96"/>
      <c r="O119" s="100"/>
      <c r="P119" s="204"/>
    </row>
    <row r="120" spans="1:16" s="10" customFormat="1" ht="13.5">
      <c r="A120" s="13"/>
      <c r="B120" s="9"/>
      <c r="D120" s="49"/>
      <c r="E120" s="80"/>
      <c r="F120" s="80"/>
      <c r="G120" s="11"/>
      <c r="H120" s="11"/>
      <c r="I120" s="11"/>
      <c r="J120" s="142"/>
      <c r="K120" s="100"/>
      <c r="L120" s="100"/>
      <c r="M120" s="103"/>
      <c r="N120" s="96"/>
      <c r="O120" s="100"/>
      <c r="P120" s="204"/>
    </row>
    <row r="121" spans="1:16" s="10" customFormat="1" ht="13.5">
      <c r="A121" s="13"/>
      <c r="B121" s="9"/>
      <c r="D121" s="49"/>
      <c r="E121" s="80"/>
      <c r="F121" s="80"/>
      <c r="G121" s="11"/>
      <c r="H121" s="11"/>
      <c r="I121" s="11"/>
      <c r="J121" s="142"/>
      <c r="K121" s="100"/>
      <c r="L121" s="100"/>
      <c r="M121" s="103"/>
      <c r="N121" s="96"/>
      <c r="O121" s="100"/>
      <c r="P121" s="204"/>
    </row>
    <row r="122" spans="1:16" s="10" customFormat="1" ht="13.5">
      <c r="A122" s="13"/>
      <c r="B122" s="9"/>
      <c r="D122" s="49"/>
      <c r="E122" s="80"/>
      <c r="F122" s="80"/>
      <c r="G122" s="11"/>
      <c r="H122" s="11"/>
      <c r="I122" s="11"/>
      <c r="J122" s="142"/>
      <c r="K122" s="100"/>
      <c r="L122" s="100"/>
      <c r="M122" s="103"/>
      <c r="N122" s="96"/>
      <c r="O122" s="100"/>
      <c r="P122" s="204"/>
    </row>
    <row r="123" spans="1:16" s="10" customFormat="1" ht="13.5">
      <c r="A123" s="13"/>
      <c r="B123" s="9"/>
      <c r="D123" s="49"/>
      <c r="E123" s="80"/>
      <c r="F123" s="80"/>
      <c r="G123" s="11"/>
      <c r="H123" s="11"/>
      <c r="I123" s="11"/>
      <c r="J123" s="142"/>
      <c r="K123" s="100"/>
      <c r="L123" s="100"/>
      <c r="M123" s="103"/>
      <c r="N123" s="96"/>
      <c r="O123" s="100"/>
      <c r="P123" s="204"/>
    </row>
    <row r="124" spans="1:16" s="10" customFormat="1" ht="13.5">
      <c r="A124" s="13"/>
      <c r="B124" s="9"/>
      <c r="D124" s="49"/>
      <c r="E124" s="80"/>
      <c r="F124" s="80"/>
      <c r="G124" s="11"/>
      <c r="H124" s="11"/>
      <c r="I124" s="11"/>
      <c r="J124" s="142"/>
      <c r="K124" s="100"/>
      <c r="L124" s="100"/>
      <c r="M124" s="103"/>
      <c r="N124" s="96"/>
      <c r="O124" s="100"/>
      <c r="P124" s="204"/>
    </row>
    <row r="125" spans="1:16" s="10" customFormat="1" ht="13.5">
      <c r="A125" s="13"/>
      <c r="B125" s="9"/>
      <c r="D125" s="49"/>
      <c r="E125" s="80"/>
      <c r="F125" s="80"/>
      <c r="G125" s="11"/>
      <c r="H125" s="11"/>
      <c r="I125" s="11"/>
      <c r="J125" s="142"/>
      <c r="K125" s="100"/>
      <c r="L125" s="100"/>
      <c r="M125" s="103"/>
      <c r="N125" s="96"/>
      <c r="O125" s="100"/>
      <c r="P125" s="204"/>
    </row>
    <row r="126" spans="1:16" s="10" customFormat="1" ht="13.5">
      <c r="A126" s="13"/>
      <c r="B126" s="9"/>
      <c r="D126" s="49"/>
      <c r="E126" s="80"/>
      <c r="F126" s="80"/>
      <c r="G126" s="11"/>
      <c r="H126" s="11"/>
      <c r="I126" s="11"/>
      <c r="J126" s="142"/>
      <c r="K126" s="100"/>
      <c r="L126" s="100"/>
      <c r="M126" s="103"/>
      <c r="N126" s="96"/>
      <c r="O126" s="100"/>
      <c r="P126" s="204"/>
    </row>
    <row r="127" spans="1:16" s="10" customFormat="1" ht="13.5">
      <c r="A127" s="13"/>
      <c r="B127" s="9"/>
      <c r="D127" s="49"/>
      <c r="E127" s="80"/>
      <c r="F127" s="80"/>
      <c r="G127" s="11"/>
      <c r="H127" s="11"/>
      <c r="I127" s="11"/>
      <c r="J127" s="142"/>
      <c r="K127" s="100"/>
      <c r="L127" s="100"/>
      <c r="M127" s="103"/>
      <c r="N127" s="96"/>
      <c r="O127" s="100"/>
      <c r="P127" s="204"/>
    </row>
    <row r="128" spans="1:16" s="10" customFormat="1" ht="13.5">
      <c r="A128" s="13"/>
      <c r="B128" s="9"/>
      <c r="D128" s="49"/>
      <c r="E128" s="80"/>
      <c r="F128" s="80"/>
      <c r="G128" s="11"/>
      <c r="H128" s="11"/>
      <c r="I128" s="11"/>
      <c r="J128" s="142"/>
      <c r="K128" s="100"/>
      <c r="L128" s="100"/>
      <c r="M128" s="103"/>
      <c r="N128" s="96"/>
      <c r="O128" s="100"/>
      <c r="P128" s="204"/>
    </row>
    <row r="129" spans="1:16" s="10" customFormat="1" ht="13.5">
      <c r="A129" s="13"/>
      <c r="B129" s="9"/>
      <c r="D129" s="49"/>
      <c r="E129" s="80"/>
      <c r="F129" s="80"/>
      <c r="G129" s="11"/>
      <c r="H129" s="11"/>
      <c r="I129" s="11"/>
      <c r="J129" s="142"/>
      <c r="K129" s="100"/>
      <c r="L129" s="100"/>
      <c r="M129" s="103"/>
      <c r="N129" s="96"/>
      <c r="O129" s="100"/>
      <c r="P129" s="204"/>
    </row>
    <row r="130" spans="1:16" s="10" customFormat="1" ht="13.5">
      <c r="A130" s="13"/>
      <c r="B130" s="9"/>
      <c r="D130" s="49"/>
      <c r="E130" s="80"/>
      <c r="F130" s="80"/>
      <c r="G130" s="11"/>
      <c r="H130" s="11"/>
      <c r="I130" s="11"/>
      <c r="J130" s="142"/>
      <c r="K130" s="100"/>
      <c r="L130" s="100"/>
      <c r="M130" s="103"/>
      <c r="N130" s="96"/>
      <c r="O130" s="100"/>
      <c r="P130" s="204"/>
    </row>
    <row r="131" spans="1:16" s="10" customFormat="1" ht="13.5">
      <c r="A131" s="13"/>
      <c r="B131" s="9"/>
      <c r="D131" s="49"/>
      <c r="E131" s="80"/>
      <c r="F131" s="80"/>
      <c r="G131" s="11"/>
      <c r="H131" s="11"/>
      <c r="I131" s="11"/>
      <c r="J131" s="142"/>
      <c r="K131" s="100"/>
      <c r="L131" s="100"/>
      <c r="M131" s="103"/>
      <c r="N131" s="96"/>
      <c r="O131" s="100"/>
      <c r="P131" s="204"/>
    </row>
    <row r="132" spans="1:16" s="10" customFormat="1" ht="13.5">
      <c r="A132" s="13"/>
      <c r="B132" s="9"/>
      <c r="D132" s="49"/>
      <c r="E132" s="80"/>
      <c r="F132" s="80"/>
      <c r="G132" s="11"/>
      <c r="H132" s="11"/>
      <c r="I132" s="11"/>
      <c r="J132" s="142"/>
      <c r="K132" s="100"/>
      <c r="L132" s="100"/>
      <c r="M132" s="103"/>
      <c r="N132" s="96"/>
      <c r="O132" s="100"/>
      <c r="P132" s="204"/>
    </row>
    <row r="133" spans="1:16" s="10" customFormat="1" ht="13.5">
      <c r="A133" s="13"/>
      <c r="B133" s="9"/>
      <c r="D133" s="49"/>
      <c r="E133" s="80"/>
      <c r="F133" s="80"/>
      <c r="G133" s="11"/>
      <c r="H133" s="11"/>
      <c r="I133" s="11"/>
      <c r="J133" s="142"/>
      <c r="K133" s="100"/>
      <c r="L133" s="100"/>
      <c r="M133" s="103"/>
      <c r="N133" s="96"/>
      <c r="O133" s="100"/>
      <c r="P133" s="204"/>
    </row>
    <row r="134" spans="1:16" s="10" customFormat="1" ht="13.5">
      <c r="A134" s="13"/>
      <c r="B134" s="9"/>
      <c r="D134" s="49"/>
      <c r="E134" s="80"/>
      <c r="F134" s="80"/>
      <c r="G134" s="11"/>
      <c r="H134" s="11"/>
      <c r="I134" s="11"/>
      <c r="J134" s="142"/>
      <c r="K134" s="100"/>
      <c r="L134" s="100"/>
      <c r="M134" s="103"/>
      <c r="N134" s="96"/>
      <c r="O134" s="100"/>
      <c r="P134" s="204"/>
    </row>
    <row r="135" spans="1:16" s="10" customFormat="1" ht="13.5">
      <c r="A135" s="13"/>
      <c r="B135" s="9"/>
      <c r="D135" s="49"/>
      <c r="E135" s="80"/>
      <c r="F135" s="80"/>
      <c r="G135" s="11"/>
      <c r="H135" s="11"/>
      <c r="I135" s="11"/>
      <c r="J135" s="142"/>
      <c r="K135" s="100"/>
      <c r="L135" s="100"/>
      <c r="M135" s="103"/>
      <c r="N135" s="96"/>
      <c r="O135" s="100"/>
      <c r="P135" s="204"/>
    </row>
    <row r="136" spans="1:16" s="10" customFormat="1" ht="13.5">
      <c r="A136" s="13"/>
      <c r="B136" s="9"/>
      <c r="D136" s="49"/>
      <c r="E136" s="80"/>
      <c r="F136" s="80"/>
      <c r="G136" s="11"/>
      <c r="H136" s="11"/>
      <c r="I136" s="11"/>
      <c r="J136" s="142"/>
      <c r="K136" s="100"/>
      <c r="L136" s="100"/>
      <c r="M136" s="103"/>
      <c r="N136" s="96"/>
      <c r="O136" s="100"/>
      <c r="P136" s="204"/>
    </row>
    <row r="137" spans="1:16" s="10" customFormat="1" ht="13.5">
      <c r="A137" s="13"/>
      <c r="B137" s="9"/>
      <c r="D137" s="49"/>
      <c r="E137" s="80"/>
      <c r="F137" s="80"/>
      <c r="G137" s="11"/>
      <c r="H137" s="11"/>
      <c r="I137" s="11"/>
      <c r="J137" s="142"/>
      <c r="K137" s="100"/>
      <c r="L137" s="100"/>
      <c r="M137" s="103"/>
      <c r="N137" s="96"/>
      <c r="O137" s="100"/>
      <c r="P137" s="204"/>
    </row>
    <row r="138" spans="1:16" s="10" customFormat="1" ht="13.5">
      <c r="A138" s="13"/>
      <c r="B138" s="9"/>
      <c r="D138" s="49"/>
      <c r="E138" s="80"/>
      <c r="F138" s="80"/>
      <c r="G138" s="11"/>
      <c r="H138" s="11"/>
      <c r="I138" s="11"/>
      <c r="J138" s="142"/>
      <c r="K138" s="100"/>
      <c r="L138" s="100"/>
      <c r="M138" s="103"/>
      <c r="N138" s="96"/>
      <c r="O138" s="100"/>
      <c r="P138" s="204"/>
    </row>
    <row r="139" spans="1:16" s="10" customFormat="1" ht="13.5">
      <c r="A139" s="13"/>
      <c r="B139" s="9"/>
      <c r="D139" s="49"/>
      <c r="E139" s="80"/>
      <c r="F139" s="80"/>
      <c r="G139" s="11"/>
      <c r="H139" s="11"/>
      <c r="I139" s="11"/>
      <c r="J139" s="142"/>
      <c r="K139" s="100"/>
      <c r="L139" s="100"/>
      <c r="M139" s="103"/>
      <c r="N139" s="96"/>
      <c r="O139" s="100"/>
      <c r="P139" s="204"/>
    </row>
    <row r="140" spans="1:16" s="10" customFormat="1" ht="13.5">
      <c r="A140" s="13"/>
      <c r="B140" s="9"/>
      <c r="D140" s="49"/>
      <c r="E140" s="80"/>
      <c r="F140" s="80"/>
      <c r="G140" s="11"/>
      <c r="H140" s="11"/>
      <c r="I140" s="11"/>
      <c r="J140" s="142"/>
      <c r="K140" s="100"/>
      <c r="L140" s="100"/>
      <c r="M140" s="103"/>
      <c r="N140" s="96"/>
      <c r="O140" s="100"/>
      <c r="P140" s="204"/>
    </row>
    <row r="141" spans="1:16" s="10" customFormat="1" ht="13.5">
      <c r="A141" s="13"/>
      <c r="B141" s="9"/>
      <c r="D141" s="49"/>
      <c r="E141" s="80"/>
      <c r="F141" s="80"/>
      <c r="G141" s="11"/>
      <c r="H141" s="11"/>
      <c r="I141" s="11"/>
      <c r="J141" s="142"/>
      <c r="K141" s="100"/>
      <c r="L141" s="100"/>
      <c r="M141" s="103"/>
      <c r="N141" s="96"/>
      <c r="O141" s="100"/>
      <c r="P141" s="204"/>
    </row>
    <row r="142" spans="1:16" s="10" customFormat="1" ht="13.5">
      <c r="A142" s="13"/>
      <c r="B142" s="9"/>
      <c r="D142" s="49"/>
      <c r="E142" s="80"/>
      <c r="F142" s="80"/>
      <c r="G142" s="11"/>
      <c r="H142" s="11"/>
      <c r="I142" s="11"/>
      <c r="J142" s="142"/>
      <c r="K142" s="100"/>
      <c r="L142" s="100"/>
      <c r="M142" s="103"/>
      <c r="N142" s="96"/>
      <c r="O142" s="100"/>
      <c r="P142" s="204"/>
    </row>
    <row r="143" spans="1:16" s="10" customFormat="1" ht="13.5">
      <c r="A143" s="13"/>
      <c r="B143" s="9"/>
      <c r="D143" s="49"/>
      <c r="E143" s="80"/>
      <c r="F143" s="80"/>
      <c r="G143" s="11"/>
      <c r="H143" s="11"/>
      <c r="I143" s="11"/>
      <c r="J143" s="142"/>
      <c r="K143" s="100"/>
      <c r="L143" s="100"/>
      <c r="M143" s="103"/>
      <c r="N143" s="96"/>
      <c r="O143" s="100"/>
      <c r="P143" s="204"/>
    </row>
    <row r="144" spans="1:16" s="10" customFormat="1" ht="13.5">
      <c r="A144" s="13"/>
      <c r="B144" s="9"/>
      <c r="D144" s="49"/>
      <c r="E144" s="80"/>
      <c r="F144" s="80"/>
      <c r="G144" s="11"/>
      <c r="H144" s="11"/>
      <c r="I144" s="11"/>
      <c r="J144" s="142"/>
      <c r="K144" s="100"/>
      <c r="L144" s="100"/>
      <c r="M144" s="103"/>
      <c r="N144" s="96"/>
      <c r="O144" s="100"/>
      <c r="P144" s="204"/>
    </row>
    <row r="145" spans="1:16" s="10" customFormat="1" ht="13.5">
      <c r="A145" s="13"/>
      <c r="B145" s="9"/>
      <c r="D145" s="49"/>
      <c r="E145" s="80"/>
      <c r="F145" s="80"/>
      <c r="G145" s="11"/>
      <c r="H145" s="11"/>
      <c r="I145" s="11"/>
      <c r="J145" s="142"/>
      <c r="K145" s="100"/>
      <c r="L145" s="100"/>
      <c r="M145" s="103"/>
      <c r="N145" s="96"/>
      <c r="O145" s="100"/>
      <c r="P145" s="204"/>
    </row>
    <row r="146" spans="1:16" s="10" customFormat="1" ht="13.5">
      <c r="A146" s="13"/>
      <c r="B146" s="9"/>
      <c r="D146" s="49"/>
      <c r="E146" s="80"/>
      <c r="F146" s="80"/>
      <c r="G146" s="11"/>
      <c r="H146" s="11"/>
      <c r="I146" s="11"/>
      <c r="J146" s="142"/>
      <c r="K146" s="100"/>
      <c r="L146" s="100"/>
      <c r="M146" s="103"/>
      <c r="N146" s="96"/>
      <c r="O146" s="100"/>
      <c r="P146" s="204"/>
    </row>
    <row r="147" spans="1:16" s="10" customFormat="1" ht="13.5">
      <c r="A147" s="13"/>
      <c r="B147" s="9"/>
      <c r="D147" s="49"/>
      <c r="E147" s="80"/>
      <c r="F147" s="80"/>
      <c r="G147" s="11"/>
      <c r="H147" s="11"/>
      <c r="I147" s="11"/>
      <c r="J147" s="142"/>
      <c r="K147" s="100"/>
      <c r="L147" s="100"/>
      <c r="M147" s="103"/>
      <c r="N147" s="96"/>
      <c r="O147" s="100"/>
      <c r="P147" s="204"/>
    </row>
    <row r="148" spans="1:16" s="10" customFormat="1" ht="13.5">
      <c r="A148" s="13"/>
      <c r="B148" s="9"/>
      <c r="D148" s="49"/>
      <c r="E148" s="80"/>
      <c r="F148" s="80"/>
      <c r="G148" s="11"/>
      <c r="H148" s="11"/>
      <c r="I148" s="11"/>
      <c r="J148" s="142"/>
      <c r="K148" s="100"/>
      <c r="L148" s="100"/>
      <c r="M148" s="103"/>
      <c r="N148" s="96"/>
      <c r="O148" s="100"/>
      <c r="P148" s="204"/>
    </row>
    <row r="149" spans="1:16" s="10" customFormat="1" ht="13.5">
      <c r="A149" s="13"/>
      <c r="B149" s="9"/>
      <c r="D149" s="49"/>
      <c r="E149" s="80"/>
      <c r="F149" s="80"/>
      <c r="G149" s="11"/>
      <c r="H149" s="11"/>
      <c r="I149" s="11"/>
      <c r="J149" s="142"/>
      <c r="K149" s="100"/>
      <c r="L149" s="100"/>
      <c r="M149" s="103"/>
      <c r="N149" s="96"/>
      <c r="O149" s="100"/>
      <c r="P149" s="204"/>
    </row>
    <row r="150" spans="1:16" s="10" customFormat="1" ht="13.5">
      <c r="A150" s="13"/>
      <c r="B150" s="9"/>
      <c r="D150" s="49"/>
      <c r="E150" s="80"/>
      <c r="F150" s="80"/>
      <c r="G150" s="11"/>
      <c r="H150" s="11"/>
      <c r="I150" s="11"/>
      <c r="J150" s="142"/>
      <c r="K150" s="100"/>
      <c r="L150" s="100"/>
      <c r="M150" s="103"/>
      <c r="N150" s="96"/>
      <c r="O150" s="100"/>
      <c r="P150" s="204"/>
    </row>
    <row r="151" spans="1:16" s="10" customFormat="1" ht="13.5">
      <c r="A151" s="13"/>
      <c r="B151" s="9"/>
      <c r="D151" s="49"/>
      <c r="E151" s="80"/>
      <c r="F151" s="80"/>
      <c r="G151" s="11"/>
      <c r="H151" s="11"/>
      <c r="I151" s="11"/>
      <c r="J151" s="142"/>
      <c r="K151" s="100"/>
      <c r="L151" s="100"/>
      <c r="M151" s="103"/>
      <c r="N151" s="96"/>
      <c r="O151" s="100"/>
      <c r="P151" s="204"/>
    </row>
    <row r="152" spans="1:16" s="10" customFormat="1" ht="13.5">
      <c r="A152" s="13"/>
      <c r="B152" s="9"/>
      <c r="D152" s="49"/>
      <c r="E152" s="80"/>
      <c r="F152" s="80"/>
      <c r="G152" s="11"/>
      <c r="H152" s="11"/>
      <c r="I152" s="11"/>
      <c r="J152" s="142"/>
      <c r="K152" s="100"/>
      <c r="L152" s="100"/>
      <c r="M152" s="103"/>
      <c r="N152" s="96"/>
      <c r="O152" s="100"/>
      <c r="P152" s="204"/>
    </row>
    <row r="153" spans="1:16" s="10" customFormat="1" ht="13.5">
      <c r="A153" s="13"/>
      <c r="B153" s="9"/>
      <c r="D153" s="49"/>
      <c r="E153" s="80"/>
      <c r="F153" s="80"/>
      <c r="G153" s="11"/>
      <c r="H153" s="11"/>
      <c r="I153" s="11"/>
      <c r="J153" s="142"/>
      <c r="K153" s="100"/>
      <c r="L153" s="100"/>
      <c r="M153" s="103"/>
      <c r="N153" s="96"/>
      <c r="O153" s="100"/>
      <c r="P153" s="204"/>
    </row>
    <row r="154" spans="1:16" s="10" customFormat="1" ht="13.5">
      <c r="A154" s="13"/>
      <c r="B154" s="9"/>
      <c r="D154" s="49"/>
      <c r="E154" s="80"/>
      <c r="F154" s="80"/>
      <c r="G154" s="11"/>
      <c r="H154" s="11"/>
      <c r="I154" s="11"/>
      <c r="J154" s="142"/>
      <c r="K154" s="100"/>
      <c r="L154" s="100"/>
      <c r="M154" s="103"/>
      <c r="N154" s="96"/>
      <c r="O154" s="100"/>
      <c r="P154" s="204"/>
    </row>
    <row r="155" spans="1:16" s="10" customFormat="1" ht="13.5">
      <c r="A155" s="13"/>
      <c r="B155" s="9"/>
      <c r="D155" s="49"/>
      <c r="E155" s="80"/>
      <c r="F155" s="80"/>
      <c r="G155" s="11"/>
      <c r="H155" s="11"/>
      <c r="I155" s="11"/>
      <c r="J155" s="142"/>
      <c r="K155" s="100"/>
      <c r="L155" s="100"/>
      <c r="M155" s="103"/>
      <c r="N155" s="96"/>
      <c r="O155" s="100"/>
      <c r="P155" s="204"/>
    </row>
    <row r="156" spans="1:16" s="10" customFormat="1" ht="13.5">
      <c r="A156" s="13"/>
      <c r="B156" s="9"/>
      <c r="D156" s="49"/>
      <c r="E156" s="80"/>
      <c r="F156" s="80"/>
      <c r="G156" s="11"/>
      <c r="H156" s="11"/>
      <c r="I156" s="11"/>
      <c r="J156" s="142"/>
      <c r="K156" s="100"/>
      <c r="L156" s="100"/>
      <c r="M156" s="103"/>
      <c r="N156" s="96"/>
      <c r="O156" s="100"/>
      <c r="P156" s="204"/>
    </row>
    <row r="157" spans="1:16" s="10" customFormat="1" ht="13.5">
      <c r="A157" s="13"/>
      <c r="B157" s="9"/>
      <c r="D157" s="49"/>
      <c r="E157" s="80"/>
      <c r="F157" s="80"/>
      <c r="G157" s="11"/>
      <c r="H157" s="11"/>
      <c r="I157" s="11"/>
      <c r="J157" s="142"/>
      <c r="K157" s="100"/>
      <c r="L157" s="100"/>
      <c r="M157" s="103"/>
      <c r="N157" s="96"/>
      <c r="O157" s="100"/>
      <c r="P157" s="204"/>
    </row>
    <row r="158" spans="1:16" s="10" customFormat="1" ht="13.5">
      <c r="A158" s="13"/>
      <c r="B158" s="9"/>
      <c r="D158" s="49"/>
      <c r="E158" s="80"/>
      <c r="F158" s="80"/>
      <c r="G158" s="11"/>
      <c r="H158" s="11"/>
      <c r="I158" s="11"/>
      <c r="J158" s="142"/>
      <c r="K158" s="100"/>
      <c r="L158" s="100"/>
      <c r="M158" s="103"/>
      <c r="N158" s="96"/>
      <c r="O158" s="100"/>
      <c r="P158" s="204"/>
    </row>
    <row r="159" spans="1:16" s="10" customFormat="1" ht="13.5">
      <c r="A159" s="13"/>
      <c r="B159" s="9"/>
      <c r="D159" s="49"/>
      <c r="E159" s="80"/>
      <c r="F159" s="80"/>
      <c r="G159" s="11"/>
      <c r="H159" s="11"/>
      <c r="I159" s="11"/>
      <c r="J159" s="142"/>
      <c r="K159" s="100"/>
      <c r="L159" s="100"/>
      <c r="M159" s="103"/>
      <c r="N159" s="96"/>
      <c r="O159" s="100"/>
      <c r="P159" s="204"/>
    </row>
    <row r="160" spans="1:16" s="10" customFormat="1" ht="13.5">
      <c r="A160" s="13"/>
      <c r="B160" s="9"/>
      <c r="D160" s="49"/>
      <c r="E160" s="80"/>
      <c r="F160" s="80"/>
      <c r="G160" s="11"/>
      <c r="H160" s="11"/>
      <c r="I160" s="11"/>
      <c r="J160" s="142"/>
      <c r="K160" s="100"/>
      <c r="L160" s="100"/>
      <c r="M160" s="103"/>
      <c r="N160" s="96"/>
      <c r="O160" s="100"/>
      <c r="P160" s="204"/>
    </row>
    <row r="161" spans="1:16" s="10" customFormat="1" ht="13.5">
      <c r="A161" s="13"/>
      <c r="B161" s="9"/>
      <c r="D161" s="49"/>
      <c r="E161" s="80"/>
      <c r="F161" s="80"/>
      <c r="G161" s="11"/>
      <c r="H161" s="11"/>
      <c r="I161" s="11"/>
      <c r="J161" s="142"/>
      <c r="K161" s="100"/>
      <c r="L161" s="100"/>
      <c r="M161" s="103"/>
      <c r="N161" s="96"/>
      <c r="O161" s="100"/>
      <c r="P161" s="204"/>
    </row>
    <row r="162" spans="1:16" s="10" customFormat="1" ht="13.5">
      <c r="A162" s="13"/>
      <c r="B162" s="9"/>
      <c r="D162" s="49"/>
      <c r="E162" s="80"/>
      <c r="F162" s="80"/>
      <c r="G162" s="11"/>
      <c r="H162" s="11"/>
      <c r="I162" s="11"/>
      <c r="J162" s="142"/>
      <c r="K162" s="100"/>
      <c r="L162" s="100"/>
      <c r="M162" s="103"/>
      <c r="N162" s="96"/>
      <c r="O162" s="100"/>
      <c r="P162" s="204"/>
    </row>
    <row r="163" spans="1:16" s="10" customFormat="1" ht="13.5">
      <c r="A163" s="13"/>
      <c r="B163" s="9"/>
      <c r="D163" s="49"/>
      <c r="E163" s="80"/>
      <c r="F163" s="80"/>
      <c r="G163" s="11"/>
      <c r="H163" s="11"/>
      <c r="I163" s="11"/>
      <c r="J163" s="142"/>
      <c r="K163" s="100"/>
      <c r="L163" s="100"/>
      <c r="M163" s="103"/>
      <c r="N163" s="96"/>
      <c r="O163" s="100"/>
      <c r="P163" s="204"/>
    </row>
    <row r="164" spans="1:16" s="10" customFormat="1" ht="13.5">
      <c r="A164" s="13"/>
      <c r="B164" s="9"/>
      <c r="D164" s="49"/>
      <c r="E164" s="80"/>
      <c r="F164" s="80"/>
      <c r="G164" s="11"/>
      <c r="H164" s="11"/>
      <c r="I164" s="11"/>
      <c r="J164" s="142"/>
      <c r="K164" s="100"/>
      <c r="L164" s="100"/>
      <c r="M164" s="103"/>
      <c r="N164" s="96"/>
      <c r="O164" s="100"/>
      <c r="P164" s="204"/>
    </row>
    <row r="165" spans="1:16" s="10" customFormat="1" ht="13.5">
      <c r="A165" s="13"/>
      <c r="B165" s="9"/>
      <c r="D165" s="49"/>
      <c r="E165" s="80"/>
      <c r="F165" s="80"/>
      <c r="G165" s="11"/>
      <c r="H165" s="11"/>
      <c r="I165" s="11"/>
      <c r="J165" s="142"/>
      <c r="K165" s="100"/>
      <c r="L165" s="100"/>
      <c r="M165" s="103"/>
      <c r="N165" s="96"/>
      <c r="O165" s="100"/>
      <c r="P165" s="204"/>
    </row>
    <row r="166" spans="1:16" s="10" customFormat="1" ht="13.5">
      <c r="A166" s="13"/>
      <c r="B166" s="9"/>
      <c r="D166" s="49"/>
      <c r="E166" s="80"/>
      <c r="F166" s="80"/>
      <c r="G166" s="11"/>
      <c r="H166" s="11"/>
      <c r="I166" s="11"/>
      <c r="J166" s="142"/>
      <c r="K166" s="100"/>
      <c r="L166" s="100"/>
      <c r="M166" s="103"/>
      <c r="N166" s="96"/>
      <c r="O166" s="100"/>
      <c r="P166" s="204"/>
    </row>
    <row r="167" spans="1:16" s="10" customFormat="1" ht="13.5">
      <c r="A167" s="13"/>
      <c r="B167" s="9"/>
      <c r="D167" s="49"/>
      <c r="E167" s="80"/>
      <c r="F167" s="80"/>
      <c r="G167" s="11"/>
      <c r="H167" s="11"/>
      <c r="I167" s="11"/>
      <c r="J167" s="142"/>
      <c r="K167" s="100"/>
      <c r="L167" s="100"/>
      <c r="M167" s="103"/>
      <c r="N167" s="96"/>
      <c r="O167" s="100"/>
      <c r="P167" s="204"/>
    </row>
    <row r="168" spans="1:16" s="10" customFormat="1" ht="13.5">
      <c r="A168" s="13"/>
      <c r="B168" s="9"/>
      <c r="D168" s="49"/>
      <c r="E168" s="80"/>
      <c r="F168" s="80"/>
      <c r="G168" s="11"/>
      <c r="H168" s="11"/>
      <c r="I168" s="11"/>
      <c r="J168" s="142"/>
      <c r="K168" s="100"/>
      <c r="L168" s="100"/>
      <c r="M168" s="103"/>
      <c r="N168" s="96"/>
      <c r="O168" s="100"/>
      <c r="P168" s="204"/>
    </row>
    <row r="169" spans="1:16" s="10" customFormat="1" ht="13.5">
      <c r="A169" s="13"/>
      <c r="B169" s="9"/>
      <c r="D169" s="49"/>
      <c r="E169" s="80"/>
      <c r="F169" s="80"/>
      <c r="G169" s="11"/>
      <c r="H169" s="11"/>
      <c r="I169" s="11"/>
      <c r="J169" s="142"/>
      <c r="K169" s="100"/>
      <c r="L169" s="100"/>
      <c r="M169" s="103"/>
      <c r="N169" s="96"/>
      <c r="O169" s="100"/>
      <c r="P169" s="204"/>
    </row>
    <row r="170" spans="1:16" s="10" customFormat="1" ht="13.5">
      <c r="A170" s="13"/>
      <c r="B170" s="9"/>
      <c r="D170" s="49"/>
      <c r="E170" s="80"/>
      <c r="F170" s="80"/>
      <c r="G170" s="11"/>
      <c r="H170" s="11"/>
      <c r="I170" s="11"/>
      <c r="J170" s="142"/>
      <c r="K170" s="100"/>
      <c r="L170" s="100"/>
      <c r="M170" s="103"/>
      <c r="N170" s="96"/>
      <c r="O170" s="100"/>
      <c r="P170" s="204"/>
    </row>
    <row r="171" spans="1:16" s="10" customFormat="1" ht="13.5">
      <c r="A171" s="13"/>
      <c r="B171" s="9"/>
      <c r="D171" s="49"/>
      <c r="E171" s="80"/>
      <c r="F171" s="80"/>
      <c r="G171" s="11"/>
      <c r="H171" s="11"/>
      <c r="I171" s="11"/>
      <c r="J171" s="142"/>
      <c r="K171" s="100"/>
      <c r="L171" s="100"/>
      <c r="M171" s="103"/>
      <c r="N171" s="96"/>
      <c r="O171" s="100"/>
      <c r="P171" s="204"/>
    </row>
    <row r="172" spans="1:16" s="10" customFormat="1" ht="13.5">
      <c r="A172" s="13"/>
      <c r="B172" s="9"/>
      <c r="D172" s="49"/>
      <c r="E172" s="80"/>
      <c r="F172" s="80"/>
      <c r="G172" s="11"/>
      <c r="H172" s="11"/>
      <c r="I172" s="11"/>
      <c r="J172" s="142"/>
      <c r="K172" s="100"/>
      <c r="L172" s="100"/>
      <c r="M172" s="103"/>
      <c r="N172" s="96"/>
      <c r="O172" s="100"/>
      <c r="P172" s="204"/>
    </row>
    <row r="173" spans="1:16" s="10" customFormat="1" ht="13.5">
      <c r="A173" s="13"/>
      <c r="B173" s="9"/>
      <c r="D173" s="49"/>
      <c r="E173" s="80"/>
      <c r="F173" s="80"/>
      <c r="G173" s="11"/>
      <c r="H173" s="11"/>
      <c r="I173" s="11"/>
      <c r="J173" s="142"/>
      <c r="K173" s="100"/>
      <c r="L173" s="100"/>
      <c r="M173" s="103"/>
      <c r="N173" s="96"/>
      <c r="O173" s="100"/>
      <c r="P173" s="204"/>
    </row>
    <row r="174" spans="1:16" s="10" customFormat="1" ht="13.5">
      <c r="A174" s="13"/>
      <c r="B174" s="9"/>
      <c r="D174" s="49"/>
      <c r="E174" s="80"/>
      <c r="F174" s="80"/>
      <c r="G174" s="11"/>
      <c r="H174" s="11"/>
      <c r="I174" s="11"/>
      <c r="J174" s="142"/>
      <c r="K174" s="100"/>
      <c r="L174" s="100"/>
      <c r="M174" s="103"/>
      <c r="N174" s="96"/>
      <c r="O174" s="100"/>
      <c r="P174" s="204"/>
    </row>
  </sheetData>
  <sheetProtection insertRows="0" deleteRows="0" sort="0"/>
  <mergeCells count="14">
    <mergeCell ref="E94:G94"/>
    <mergeCell ref="D102:G102"/>
    <mergeCell ref="A2:P2"/>
    <mergeCell ref="C94:D95"/>
    <mergeCell ref="L97:P99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portrait" paperSize="9" scale="41" r:id="rId2"/>
  <ignoredErrors>
    <ignoredError sqref="G101 F100:G100 D98:D101 H101:H102 E97:E101 D103:G103 G104 J9:O8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zoomScale="70" zoomScaleNormal="70" workbookViewId="0" topLeftCell="A1">
      <selection activeCell="C2" sqref="C2:C3"/>
    </sheetView>
  </sheetViews>
  <sheetFormatPr defaultColWidth="9.140625" defaultRowHeight="14.25" customHeight="1"/>
  <cols>
    <col min="1" max="1" width="3.421875" style="42" bestFit="1" customWidth="1"/>
    <col min="2" max="2" width="1.7109375" style="45" customWidth="1"/>
    <col min="3" max="3" width="36.7109375" style="45" bestFit="1" customWidth="1"/>
    <col min="4" max="4" width="13.421875" style="46" bestFit="1" customWidth="1"/>
    <col min="5" max="5" width="13.140625" style="46" bestFit="1" customWidth="1"/>
    <col min="6" max="6" width="14.421875" style="46" bestFit="1" customWidth="1"/>
    <col min="7" max="7" width="9.7109375" style="46" bestFit="1" customWidth="1"/>
    <col min="8" max="8" width="8.57421875" style="46" customWidth="1"/>
    <col min="9" max="9" width="16.140625" style="184" bestFit="1" customWidth="1"/>
    <col min="10" max="10" width="13.57421875" style="196" customWidth="1"/>
    <col min="11" max="11" width="8.7109375" style="188" customWidth="1"/>
    <col min="12" max="16384" width="9.140625" style="45" customWidth="1"/>
  </cols>
  <sheetData>
    <row r="1" spans="1:11" s="43" customFormat="1" ht="42" customHeight="1" thickBot="1">
      <c r="A1" s="42"/>
      <c r="B1" s="246" t="s">
        <v>222</v>
      </c>
      <c r="C1" s="247"/>
      <c r="D1" s="247"/>
      <c r="E1" s="247"/>
      <c r="F1" s="247"/>
      <c r="G1" s="247"/>
      <c r="H1" s="247"/>
      <c r="I1" s="247"/>
      <c r="J1" s="247"/>
      <c r="K1" s="248"/>
    </row>
    <row r="2" spans="1:11" s="54" customFormat="1" ht="14.25" customHeight="1">
      <c r="A2" s="53"/>
      <c r="B2" s="60"/>
      <c r="C2" s="243" t="s">
        <v>18</v>
      </c>
      <c r="D2" s="243" t="s">
        <v>43</v>
      </c>
      <c r="E2" s="243" t="s">
        <v>97</v>
      </c>
      <c r="F2" s="243" t="s">
        <v>96</v>
      </c>
      <c r="G2" s="219" t="s">
        <v>20</v>
      </c>
      <c r="H2" s="219" t="s">
        <v>41</v>
      </c>
      <c r="I2" s="219" t="s">
        <v>22</v>
      </c>
      <c r="J2" s="219"/>
      <c r="K2" s="241" t="s">
        <v>42</v>
      </c>
    </row>
    <row r="3" spans="1:11" s="54" customFormat="1" ht="34.5" customHeight="1" thickBot="1">
      <c r="A3" s="55"/>
      <c r="B3" s="155"/>
      <c r="C3" s="249"/>
      <c r="D3" s="249"/>
      <c r="E3" s="249"/>
      <c r="F3" s="249"/>
      <c r="G3" s="252"/>
      <c r="H3" s="250"/>
      <c r="I3" s="177" t="s">
        <v>40</v>
      </c>
      <c r="J3" s="189" t="s">
        <v>9</v>
      </c>
      <c r="K3" s="251"/>
    </row>
    <row r="4" spans="1:11" s="56" customFormat="1" ht="14.25" customHeight="1">
      <c r="A4" s="58">
        <v>1</v>
      </c>
      <c r="B4" s="152"/>
      <c r="C4" s="207" t="s">
        <v>4</v>
      </c>
      <c r="D4" s="208">
        <v>38751</v>
      </c>
      <c r="E4" s="207" t="s">
        <v>54</v>
      </c>
      <c r="F4" s="207" t="s">
        <v>113</v>
      </c>
      <c r="G4" s="209">
        <v>277</v>
      </c>
      <c r="H4" s="209">
        <v>12</v>
      </c>
      <c r="I4" s="299">
        <v>27396636</v>
      </c>
      <c r="J4" s="300">
        <v>4234659</v>
      </c>
      <c r="K4" s="301">
        <f>+I4/J4</f>
        <v>6.469620340150175</v>
      </c>
    </row>
    <row r="5" spans="1:11" s="56" customFormat="1" ht="14.25" customHeight="1">
      <c r="A5" s="58">
        <v>2</v>
      </c>
      <c r="B5" s="153"/>
      <c r="C5" s="136" t="s">
        <v>46</v>
      </c>
      <c r="D5" s="90">
        <v>38723</v>
      </c>
      <c r="E5" s="287" t="s">
        <v>52</v>
      </c>
      <c r="F5" s="136" t="s">
        <v>138</v>
      </c>
      <c r="G5" s="138">
        <v>280</v>
      </c>
      <c r="H5" s="138">
        <v>14</v>
      </c>
      <c r="I5" s="288">
        <f>5592380+3880622.5+1673082.62+1119075.5+434517.5+130151.5+6347.5+744.5+27+2593+460+255+1561+9584</f>
        <v>12851401.620000001</v>
      </c>
      <c r="J5" s="289">
        <f>871283+621889+270076+179456+67736+23058+1452+132+6+608+92+51+376+3188</f>
        <v>2039403</v>
      </c>
      <c r="K5" s="302">
        <f>+I5/J5</f>
        <v>6.30155080678022</v>
      </c>
    </row>
    <row r="6" spans="1:11" s="44" customFormat="1" ht="14.25" customHeight="1">
      <c r="A6" s="58">
        <v>3</v>
      </c>
      <c r="B6" s="154"/>
      <c r="C6" s="136" t="s">
        <v>5</v>
      </c>
      <c r="D6" s="90">
        <v>38723</v>
      </c>
      <c r="E6" s="136" t="s">
        <v>54</v>
      </c>
      <c r="F6" s="136" t="s">
        <v>125</v>
      </c>
      <c r="G6" s="138">
        <v>199</v>
      </c>
      <c r="H6" s="138">
        <v>16</v>
      </c>
      <c r="I6" s="285">
        <v>6506004.1</v>
      </c>
      <c r="J6" s="286">
        <v>994245</v>
      </c>
      <c r="K6" s="302">
        <f>+I6/J6</f>
        <v>6.543662879873673</v>
      </c>
    </row>
    <row r="7" spans="1:11" s="44" customFormat="1" ht="14.25" customHeight="1">
      <c r="A7" s="58">
        <v>4</v>
      </c>
      <c r="B7" s="154"/>
      <c r="C7" s="136" t="s">
        <v>3</v>
      </c>
      <c r="D7" s="90">
        <v>38765</v>
      </c>
      <c r="E7" s="136" t="s">
        <v>54</v>
      </c>
      <c r="F7" s="136" t="s">
        <v>157</v>
      </c>
      <c r="G7" s="138">
        <v>164</v>
      </c>
      <c r="H7" s="138">
        <v>10</v>
      </c>
      <c r="I7" s="285">
        <v>4199463.5</v>
      </c>
      <c r="J7" s="286">
        <v>634515</v>
      </c>
      <c r="K7" s="302">
        <f>+I7/J7</f>
        <v>6.618383332151328</v>
      </c>
    </row>
    <row r="8" spans="1:11" s="44" customFormat="1" ht="14.25" customHeight="1">
      <c r="A8" s="58">
        <v>5</v>
      </c>
      <c r="B8" s="154"/>
      <c r="C8" s="136" t="s">
        <v>164</v>
      </c>
      <c r="D8" s="90">
        <v>38821</v>
      </c>
      <c r="E8" s="287" t="s">
        <v>52</v>
      </c>
      <c r="F8" s="136" t="s">
        <v>106</v>
      </c>
      <c r="G8" s="138">
        <v>118</v>
      </c>
      <c r="H8" s="138">
        <v>2</v>
      </c>
      <c r="I8" s="288">
        <f>1908861+1583540</f>
        <v>3492401</v>
      </c>
      <c r="J8" s="289">
        <f>267837+226672</f>
        <v>494509</v>
      </c>
      <c r="K8" s="302">
        <f>+I8/J8</f>
        <v>7.062360846819775</v>
      </c>
    </row>
    <row r="9" spans="1:11" s="44" customFormat="1" ht="14.25" customHeight="1">
      <c r="A9" s="58">
        <v>6</v>
      </c>
      <c r="B9" s="154"/>
      <c r="C9" s="130" t="s">
        <v>171</v>
      </c>
      <c r="D9" s="47">
        <v>38730</v>
      </c>
      <c r="E9" s="130" t="s">
        <v>103</v>
      </c>
      <c r="F9" s="130" t="s">
        <v>108</v>
      </c>
      <c r="G9" s="132">
        <v>116</v>
      </c>
      <c r="H9" s="132">
        <v>15</v>
      </c>
      <c r="I9" s="290">
        <v>3273134</v>
      </c>
      <c r="J9" s="291">
        <v>465823</v>
      </c>
      <c r="K9" s="302">
        <f>+I9/J9</f>
        <v>7.026561590990569</v>
      </c>
    </row>
    <row r="10" spans="1:11" s="44" customFormat="1" ht="14.25" customHeight="1">
      <c r="A10" s="58">
        <v>7</v>
      </c>
      <c r="B10" s="154"/>
      <c r="C10" s="136" t="s">
        <v>35</v>
      </c>
      <c r="D10" s="90">
        <v>38758</v>
      </c>
      <c r="E10" s="287" t="s">
        <v>52</v>
      </c>
      <c r="F10" s="136" t="s">
        <v>112</v>
      </c>
      <c r="G10" s="138">
        <v>58</v>
      </c>
      <c r="H10" s="138">
        <v>11</v>
      </c>
      <c r="I10" s="288">
        <f>1046144.5+776147+471268+342390+240709.5+167344+96416.5+41350+35967.5+31795.5+14506</f>
        <v>3264038.5</v>
      </c>
      <c r="J10" s="289">
        <f>153560+115584+70079+59336+46681+34549+19625+8318+8035+8705+3661</f>
        <v>528133</v>
      </c>
      <c r="K10" s="302">
        <f>+I10/J10</f>
        <v>6.180334309728799</v>
      </c>
    </row>
    <row r="11" spans="1:11" s="44" customFormat="1" ht="14.25" customHeight="1">
      <c r="A11" s="58">
        <v>8</v>
      </c>
      <c r="B11" s="154"/>
      <c r="C11" s="130" t="s">
        <v>98</v>
      </c>
      <c r="D11" s="47">
        <v>38807</v>
      </c>
      <c r="E11" s="130" t="s">
        <v>99</v>
      </c>
      <c r="F11" s="130" t="s">
        <v>100</v>
      </c>
      <c r="G11" s="132">
        <v>115</v>
      </c>
      <c r="H11" s="132">
        <v>4</v>
      </c>
      <c r="I11" s="285">
        <v>1954364.6</v>
      </c>
      <c r="J11" s="286">
        <v>263977</v>
      </c>
      <c r="K11" s="302">
        <f>+I11/J11</f>
        <v>7.4035412176060795</v>
      </c>
    </row>
    <row r="12" spans="1:11" s="44" customFormat="1" ht="14.25" customHeight="1">
      <c r="A12" s="58">
        <v>9</v>
      </c>
      <c r="B12" s="154"/>
      <c r="C12" s="130" t="s">
        <v>61</v>
      </c>
      <c r="D12" s="47">
        <v>38744</v>
      </c>
      <c r="E12" s="130" t="s">
        <v>103</v>
      </c>
      <c r="F12" s="130" t="s">
        <v>134</v>
      </c>
      <c r="G12" s="132">
        <v>72</v>
      </c>
      <c r="H12" s="132">
        <v>13</v>
      </c>
      <c r="I12" s="288">
        <v>1840548</v>
      </c>
      <c r="J12" s="291">
        <v>227911</v>
      </c>
      <c r="K12" s="302">
        <f>+I12/J12</f>
        <v>8.075731316171664</v>
      </c>
    </row>
    <row r="13" spans="1:11" s="44" customFormat="1" ht="14.25" customHeight="1">
      <c r="A13" s="58">
        <v>10</v>
      </c>
      <c r="B13" s="154"/>
      <c r="C13" s="130" t="s">
        <v>75</v>
      </c>
      <c r="D13" s="47">
        <v>38793</v>
      </c>
      <c r="E13" s="130" t="s">
        <v>103</v>
      </c>
      <c r="F13" s="130" t="s">
        <v>104</v>
      </c>
      <c r="G13" s="132">
        <v>129</v>
      </c>
      <c r="H13" s="132">
        <v>6</v>
      </c>
      <c r="I13" s="288">
        <v>1767856</v>
      </c>
      <c r="J13" s="291">
        <v>267575</v>
      </c>
      <c r="K13" s="302">
        <f>+I13/J13</f>
        <v>6.60695505932916</v>
      </c>
    </row>
    <row r="14" spans="1:11" s="44" customFormat="1" ht="14.25" customHeight="1">
      <c r="A14" s="58">
        <v>11</v>
      </c>
      <c r="B14" s="154"/>
      <c r="C14" s="130" t="s">
        <v>27</v>
      </c>
      <c r="D14" s="47">
        <v>38786</v>
      </c>
      <c r="E14" s="156" t="s">
        <v>102</v>
      </c>
      <c r="F14" s="130" t="s">
        <v>110</v>
      </c>
      <c r="G14" s="132">
        <v>36</v>
      </c>
      <c r="H14" s="132">
        <v>7</v>
      </c>
      <c r="I14" s="285">
        <f>766172.5+426876.5+722.5+265870+79562.5+40+30203.5+20801+7671</f>
        <v>1597919.5</v>
      </c>
      <c r="J14" s="286">
        <f>104283+58908+78+37818+14443+4+6768+4620+1770</f>
        <v>228692</v>
      </c>
      <c r="K14" s="302">
        <f>+I14/J14</f>
        <v>6.987212058139331</v>
      </c>
    </row>
    <row r="15" spans="1:11" s="44" customFormat="1" ht="14.25" customHeight="1">
      <c r="A15" s="58">
        <v>12</v>
      </c>
      <c r="B15" s="154"/>
      <c r="C15" s="130" t="s">
        <v>159</v>
      </c>
      <c r="D15" s="47">
        <v>38751</v>
      </c>
      <c r="E15" s="130" t="s">
        <v>103</v>
      </c>
      <c r="F15" s="130" t="s">
        <v>117</v>
      </c>
      <c r="G15" s="132">
        <v>51</v>
      </c>
      <c r="H15" s="132">
        <v>11</v>
      </c>
      <c r="I15" s="288">
        <v>1313211</v>
      </c>
      <c r="J15" s="291">
        <v>170117</v>
      </c>
      <c r="K15" s="302">
        <f>+I15/J15</f>
        <v>7.71945778493625</v>
      </c>
    </row>
    <row r="16" spans="1:13" s="44" customFormat="1" ht="14.25" customHeight="1">
      <c r="A16" s="58">
        <v>13</v>
      </c>
      <c r="B16" s="154"/>
      <c r="C16" s="130" t="s">
        <v>30</v>
      </c>
      <c r="D16" s="47">
        <v>38758</v>
      </c>
      <c r="E16" s="156" t="s">
        <v>102</v>
      </c>
      <c r="F16" s="130" t="s">
        <v>110</v>
      </c>
      <c r="G16" s="132">
        <v>61</v>
      </c>
      <c r="H16" s="132">
        <v>11</v>
      </c>
      <c r="I16" s="285">
        <f>532455+375378.5+1288+209157.5+74302.5+38855.5+4630+21016.5+13072+2309+5106+4417+5902</f>
        <v>1287889.5</v>
      </c>
      <c r="J16" s="286">
        <f>61952+44929+104+25802+9625+5738+693+3941-2+1998+265+605+699+1165</f>
        <v>157514</v>
      </c>
      <c r="K16" s="302">
        <f>+I16/J16</f>
        <v>8.176349403862513</v>
      </c>
      <c r="M16" s="72"/>
    </row>
    <row r="17" spans="1:11" s="44" customFormat="1" ht="14.25" customHeight="1">
      <c r="A17" s="58">
        <v>14</v>
      </c>
      <c r="B17" s="154"/>
      <c r="C17" s="130" t="s">
        <v>32</v>
      </c>
      <c r="D17" s="47">
        <v>38730</v>
      </c>
      <c r="E17" s="156" t="s">
        <v>102</v>
      </c>
      <c r="F17" s="130" t="s">
        <v>51</v>
      </c>
      <c r="G17" s="132">
        <v>62</v>
      </c>
      <c r="H17" s="132">
        <v>14</v>
      </c>
      <c r="I17" s="285">
        <f>620634.5+342052.5+188118+10733+4394+3499+5130.5+267+2707.5+1265.5+1567+387+1177+148</f>
        <v>1182080.5</v>
      </c>
      <c r="J17" s="286">
        <f>71532+39787+22209+1403+667+665+1174+78+545+187+307+74+286+21</f>
        <v>138935</v>
      </c>
      <c r="K17" s="302">
        <f>+I17/J17</f>
        <v>8.508154892575664</v>
      </c>
    </row>
    <row r="18" spans="1:11" s="44" customFormat="1" ht="14.25" customHeight="1">
      <c r="A18" s="58">
        <v>15</v>
      </c>
      <c r="B18" s="154"/>
      <c r="C18" s="130" t="s">
        <v>31</v>
      </c>
      <c r="D18" s="47">
        <v>38737</v>
      </c>
      <c r="E18" s="156" t="s">
        <v>102</v>
      </c>
      <c r="F18" s="130" t="s">
        <v>110</v>
      </c>
      <c r="G18" s="132">
        <v>59</v>
      </c>
      <c r="H18" s="132">
        <v>13</v>
      </c>
      <c r="I18" s="285">
        <f>608427+380282+114207+9532.5+267+10793+13396.5+5792+7887+5035.5+7591+2654+5417+339</f>
        <v>1171620.5</v>
      </c>
      <c r="J18" s="286">
        <f>84958+53848+16688+1589+36+2247+2850+1209+1697+1120+1428+513+1135+61</f>
        <v>169379</v>
      </c>
      <c r="K18" s="303">
        <f>I18/J18</f>
        <v>6.917153248041375</v>
      </c>
    </row>
    <row r="19" spans="1:11" s="44" customFormat="1" ht="14.25" customHeight="1">
      <c r="A19" s="58">
        <v>16</v>
      </c>
      <c r="B19" s="154"/>
      <c r="C19" s="136" t="s">
        <v>92</v>
      </c>
      <c r="D19" s="90">
        <v>38800</v>
      </c>
      <c r="E19" s="287" t="s">
        <v>52</v>
      </c>
      <c r="F19" s="136" t="s">
        <v>106</v>
      </c>
      <c r="G19" s="138">
        <v>92</v>
      </c>
      <c r="H19" s="138">
        <v>5</v>
      </c>
      <c r="I19" s="288">
        <f>481751.5+308419.5+242119.5+52953+38471.5</f>
        <v>1123715</v>
      </c>
      <c r="J19" s="289">
        <f>67910+40806+32344+8727+9142</f>
        <v>158929</v>
      </c>
      <c r="K19" s="302">
        <f>+I19/J19</f>
        <v>7.070547225490628</v>
      </c>
    </row>
    <row r="20" spans="1:11" s="44" customFormat="1" ht="14.25" customHeight="1">
      <c r="A20" s="58">
        <v>17</v>
      </c>
      <c r="B20" s="154"/>
      <c r="C20" s="130" t="s">
        <v>29</v>
      </c>
      <c r="D20" s="47">
        <v>38772</v>
      </c>
      <c r="E20" s="156" t="s">
        <v>102</v>
      </c>
      <c r="F20" s="130" t="s">
        <v>119</v>
      </c>
      <c r="G20" s="132">
        <v>85</v>
      </c>
      <c r="H20" s="132">
        <v>8</v>
      </c>
      <c r="I20" s="285">
        <f>567539+316479.5+147520.5+33631.5+20525+10752+2179+662</f>
        <v>1099288.5</v>
      </c>
      <c r="J20" s="286">
        <f>70751+40533+20089+5992+4309+2533+671+110</f>
        <v>144988</v>
      </c>
      <c r="K20" s="303">
        <f>I20/J20</f>
        <v>7.581927469859575</v>
      </c>
    </row>
    <row r="21" spans="1:11" s="44" customFormat="1" ht="14.25" customHeight="1">
      <c r="A21" s="58">
        <v>18</v>
      </c>
      <c r="B21" s="154"/>
      <c r="C21" s="130" t="s">
        <v>28</v>
      </c>
      <c r="D21" s="47">
        <v>38779</v>
      </c>
      <c r="E21" s="156" t="s">
        <v>102</v>
      </c>
      <c r="F21" s="130" t="s">
        <v>110</v>
      </c>
      <c r="G21" s="132">
        <v>97</v>
      </c>
      <c r="H21" s="132">
        <v>8</v>
      </c>
      <c r="I21" s="285">
        <f>548794+335797+701.5+148448.5+3571+32617.5+14092-3800+4657-453+614+455</f>
        <v>1085494.5</v>
      </c>
      <c r="J21" s="286">
        <f>69211+43223+82+20305+51+6206+3183-272+1252-105+122+156</f>
        <v>143414</v>
      </c>
      <c r="K21" s="302">
        <f>+I21/J21</f>
        <v>7.568957702874196</v>
      </c>
    </row>
    <row r="22" spans="1:11" s="44" customFormat="1" ht="14.25" customHeight="1">
      <c r="A22" s="58">
        <v>19</v>
      </c>
      <c r="B22" s="154"/>
      <c r="C22" s="130" t="s">
        <v>69</v>
      </c>
      <c r="D22" s="47">
        <v>38779</v>
      </c>
      <c r="E22" s="130" t="s">
        <v>103</v>
      </c>
      <c r="F22" s="130" t="s">
        <v>108</v>
      </c>
      <c r="G22" s="132">
        <v>72</v>
      </c>
      <c r="H22" s="132">
        <v>8</v>
      </c>
      <c r="I22" s="288">
        <v>951373</v>
      </c>
      <c r="J22" s="291">
        <v>139037</v>
      </c>
      <c r="K22" s="302">
        <f>+I22/J22</f>
        <v>6.842588663449297</v>
      </c>
    </row>
    <row r="23" spans="1:11" s="44" customFormat="1" ht="14.25" customHeight="1">
      <c r="A23" s="58">
        <v>20</v>
      </c>
      <c r="B23" s="154"/>
      <c r="C23" s="292" t="s">
        <v>45</v>
      </c>
      <c r="D23" s="90">
        <v>38737</v>
      </c>
      <c r="E23" s="292" t="s">
        <v>105</v>
      </c>
      <c r="F23" s="292" t="s">
        <v>133</v>
      </c>
      <c r="G23" s="213">
        <v>43</v>
      </c>
      <c r="H23" s="213">
        <v>11</v>
      </c>
      <c r="I23" s="293">
        <v>927385.5</v>
      </c>
      <c r="J23" s="294">
        <v>121178</v>
      </c>
      <c r="K23" s="304">
        <f>I23/J23</f>
        <v>7.653084718348215</v>
      </c>
    </row>
    <row r="24" spans="1:11" s="44" customFormat="1" ht="14.25" customHeight="1">
      <c r="A24" s="58">
        <v>21</v>
      </c>
      <c r="B24" s="154"/>
      <c r="C24" s="130" t="s">
        <v>150</v>
      </c>
      <c r="D24" s="47">
        <v>38814</v>
      </c>
      <c r="E24" s="156" t="s">
        <v>102</v>
      </c>
      <c r="F24" s="130" t="s">
        <v>151</v>
      </c>
      <c r="G24" s="132">
        <v>124</v>
      </c>
      <c r="H24" s="132">
        <v>3</v>
      </c>
      <c r="I24" s="285">
        <f>439414+274192+192421+64.5</f>
        <v>906091.5</v>
      </c>
      <c r="J24" s="286">
        <f>65914+42392+32259+2</f>
        <v>140567</v>
      </c>
      <c r="K24" s="302">
        <f>+I24/J24</f>
        <v>6.445975940298932</v>
      </c>
    </row>
    <row r="25" spans="1:11" s="44" customFormat="1" ht="14.25" customHeight="1">
      <c r="A25" s="58">
        <v>22</v>
      </c>
      <c r="B25" s="154"/>
      <c r="C25" s="130" t="s">
        <v>101</v>
      </c>
      <c r="D25" s="47">
        <v>38807</v>
      </c>
      <c r="E25" s="156" t="s">
        <v>102</v>
      </c>
      <c r="F25" s="130" t="s">
        <v>51</v>
      </c>
      <c r="G25" s="132">
        <v>77</v>
      </c>
      <c r="H25" s="132">
        <v>4</v>
      </c>
      <c r="I25" s="285">
        <f>360631+281662+146898.5-10+41732+5</f>
        <v>830918.5</v>
      </c>
      <c r="J25" s="286">
        <f>47208+36381+19166-5+6638</f>
        <v>109388</v>
      </c>
      <c r="K25" s="302">
        <f>+I25/J25</f>
        <v>7.596066296120233</v>
      </c>
    </row>
    <row r="26" spans="1:11" s="44" customFormat="1" ht="14.25" customHeight="1">
      <c r="A26" s="58">
        <v>23</v>
      </c>
      <c r="B26" s="154"/>
      <c r="C26" s="130" t="s">
        <v>124</v>
      </c>
      <c r="D26" s="47">
        <v>38772</v>
      </c>
      <c r="E26" s="130" t="s">
        <v>103</v>
      </c>
      <c r="F26" s="130" t="s">
        <v>117</v>
      </c>
      <c r="G26" s="132">
        <v>62</v>
      </c>
      <c r="H26" s="132">
        <v>9</v>
      </c>
      <c r="I26" s="288">
        <v>816660</v>
      </c>
      <c r="J26" s="291">
        <v>107165</v>
      </c>
      <c r="K26" s="302">
        <f>+I26/J26</f>
        <v>7.620585079083656</v>
      </c>
    </row>
    <row r="27" spans="1:11" s="44" customFormat="1" ht="14.25" customHeight="1">
      <c r="A27" s="58">
        <v>24</v>
      </c>
      <c r="B27" s="154"/>
      <c r="C27" s="130" t="s">
        <v>88</v>
      </c>
      <c r="D27" s="47">
        <v>38800</v>
      </c>
      <c r="E27" s="130" t="s">
        <v>76</v>
      </c>
      <c r="F27" s="130" t="s">
        <v>153</v>
      </c>
      <c r="G27" s="132">
        <v>58</v>
      </c>
      <c r="H27" s="132">
        <v>5</v>
      </c>
      <c r="I27" s="295">
        <f>350945.5+222517.5+139156.5+40897.5+38142.5</f>
        <v>791659.5</v>
      </c>
      <c r="J27" s="289">
        <f>46256+31606+20219+8293+8608</f>
        <v>114982</v>
      </c>
      <c r="K27" s="302">
        <f>+I27/J27</f>
        <v>6.885073315823346</v>
      </c>
    </row>
    <row r="28" spans="1:11" s="44" customFormat="1" ht="14.25" customHeight="1">
      <c r="A28" s="58">
        <v>25</v>
      </c>
      <c r="B28" s="154"/>
      <c r="C28" s="130" t="s">
        <v>74</v>
      </c>
      <c r="D28" s="47">
        <v>38793</v>
      </c>
      <c r="E28" s="156" t="s">
        <v>102</v>
      </c>
      <c r="F28" s="130" t="s">
        <v>51</v>
      </c>
      <c r="G28" s="132">
        <v>20</v>
      </c>
      <c r="H28" s="132">
        <v>6</v>
      </c>
      <c r="I28" s="285">
        <f>382650.25+216772+80793+19622+15213+10279</f>
        <v>725329.25</v>
      </c>
      <c r="J28" s="286">
        <f>44423+25158+2+10694+4081+3731+2440</f>
        <v>90529</v>
      </c>
      <c r="K28" s="302">
        <f>+I28/J28</f>
        <v>8.012120425499011</v>
      </c>
    </row>
    <row r="29" spans="1:11" s="44" customFormat="1" ht="14.25" customHeight="1">
      <c r="A29" s="58">
        <v>26</v>
      </c>
      <c r="B29" s="154"/>
      <c r="C29" s="210" t="s">
        <v>94</v>
      </c>
      <c r="D29" s="47">
        <v>38765</v>
      </c>
      <c r="E29" s="210" t="s">
        <v>102</v>
      </c>
      <c r="F29" s="210" t="s">
        <v>118</v>
      </c>
      <c r="G29" s="211">
        <v>12</v>
      </c>
      <c r="H29" s="211">
        <v>7</v>
      </c>
      <c r="I29" s="285">
        <v>710305</v>
      </c>
      <c r="J29" s="286">
        <v>80085</v>
      </c>
      <c r="K29" s="304">
        <f>I29/J29</f>
        <v>8.869388774427172</v>
      </c>
    </row>
    <row r="30" spans="1:11" s="44" customFormat="1" ht="14.25" customHeight="1">
      <c r="A30" s="58">
        <v>27</v>
      </c>
      <c r="B30" s="154"/>
      <c r="C30" s="130" t="s">
        <v>165</v>
      </c>
      <c r="D30" s="47">
        <v>38821</v>
      </c>
      <c r="E30" s="130" t="s">
        <v>103</v>
      </c>
      <c r="F30" s="130" t="s">
        <v>108</v>
      </c>
      <c r="G30" s="132">
        <v>94</v>
      </c>
      <c r="H30" s="132">
        <v>2</v>
      </c>
      <c r="I30" s="288">
        <v>691991</v>
      </c>
      <c r="J30" s="291">
        <v>95574</v>
      </c>
      <c r="K30" s="302">
        <f>+I30/J30</f>
        <v>7.240368719526231</v>
      </c>
    </row>
    <row r="31" spans="1:11" s="44" customFormat="1" ht="14.25" customHeight="1">
      <c r="A31" s="58">
        <v>28</v>
      </c>
      <c r="B31" s="154"/>
      <c r="C31" s="130" t="s">
        <v>38</v>
      </c>
      <c r="D31" s="47">
        <v>38716</v>
      </c>
      <c r="E31" s="156" t="s">
        <v>102</v>
      </c>
      <c r="F31" s="130" t="s">
        <v>110</v>
      </c>
      <c r="G31" s="132">
        <v>60</v>
      </c>
      <c r="H31" s="132">
        <v>13</v>
      </c>
      <c r="I31" s="285">
        <f>585119+1780</f>
        <v>586899</v>
      </c>
      <c r="J31" s="286">
        <f>83689+369</f>
        <v>84058</v>
      </c>
      <c r="K31" s="302">
        <f>+I31/J31</f>
        <v>6.982071902733827</v>
      </c>
    </row>
    <row r="32" spans="1:11" s="44" customFormat="1" ht="14.25" customHeight="1">
      <c r="A32" s="58">
        <v>29</v>
      </c>
      <c r="B32" s="154"/>
      <c r="C32" s="130" t="s">
        <v>107</v>
      </c>
      <c r="D32" s="47">
        <v>38807</v>
      </c>
      <c r="E32" s="130" t="s">
        <v>103</v>
      </c>
      <c r="F32" s="130" t="s">
        <v>108</v>
      </c>
      <c r="G32" s="132">
        <v>62</v>
      </c>
      <c r="H32" s="132">
        <v>4</v>
      </c>
      <c r="I32" s="288">
        <v>524127</v>
      </c>
      <c r="J32" s="291">
        <v>66503</v>
      </c>
      <c r="K32" s="302">
        <f>+I32/J32</f>
        <v>7.881253477286739</v>
      </c>
    </row>
    <row r="33" spans="1:11" s="44" customFormat="1" ht="14.25" customHeight="1">
      <c r="A33" s="58">
        <v>30</v>
      </c>
      <c r="B33" s="154"/>
      <c r="C33" s="130" t="s">
        <v>196</v>
      </c>
      <c r="D33" s="47">
        <v>38786</v>
      </c>
      <c r="E33" s="130" t="s">
        <v>103</v>
      </c>
      <c r="F33" s="130" t="s">
        <v>123</v>
      </c>
      <c r="G33" s="132">
        <v>63</v>
      </c>
      <c r="H33" s="132">
        <v>7</v>
      </c>
      <c r="I33" s="288">
        <v>502303</v>
      </c>
      <c r="J33" s="291">
        <v>62674</v>
      </c>
      <c r="K33" s="302">
        <f>+I33/J33</f>
        <v>8.014535533075916</v>
      </c>
    </row>
    <row r="34" spans="1:11" s="44" customFormat="1" ht="14.25" customHeight="1">
      <c r="A34" s="58">
        <v>31</v>
      </c>
      <c r="B34" s="154"/>
      <c r="C34" s="130" t="s">
        <v>86</v>
      </c>
      <c r="D34" s="47">
        <v>38800</v>
      </c>
      <c r="E34" s="156" t="s">
        <v>102</v>
      </c>
      <c r="F34" s="130" t="s">
        <v>154</v>
      </c>
      <c r="G34" s="132">
        <v>36</v>
      </c>
      <c r="H34" s="132">
        <v>5</v>
      </c>
      <c r="I34" s="285">
        <f>288395.5+117307+73357+9936.5+3180.5</f>
        <v>492176.5</v>
      </c>
      <c r="J34" s="286">
        <f>32591+13752+9420+1407+573</f>
        <v>57743</v>
      </c>
      <c r="K34" s="302">
        <f>+I34/J34</f>
        <v>8.523569956531528</v>
      </c>
    </row>
    <row r="35" spans="1:11" s="44" customFormat="1" ht="14.25" customHeight="1">
      <c r="A35" s="58">
        <v>32</v>
      </c>
      <c r="B35" s="154"/>
      <c r="C35" s="130" t="s">
        <v>60</v>
      </c>
      <c r="D35" s="47">
        <v>38751</v>
      </c>
      <c r="E35" s="130" t="s">
        <v>103</v>
      </c>
      <c r="F35" s="130" t="s">
        <v>99</v>
      </c>
      <c r="G35" s="132">
        <v>27</v>
      </c>
      <c r="H35" s="132">
        <v>12</v>
      </c>
      <c r="I35" s="288">
        <v>477228</v>
      </c>
      <c r="J35" s="291">
        <v>55322</v>
      </c>
      <c r="K35" s="302">
        <f>+I35/J35</f>
        <v>8.62636925635371</v>
      </c>
    </row>
    <row r="36" spans="1:11" s="44" customFormat="1" ht="14.25" customHeight="1">
      <c r="A36" s="58">
        <v>33</v>
      </c>
      <c r="B36" s="154"/>
      <c r="C36" s="136" t="s">
        <v>91</v>
      </c>
      <c r="D36" s="90">
        <v>38793</v>
      </c>
      <c r="E36" s="287" t="s">
        <v>52</v>
      </c>
      <c r="F36" s="136" t="s">
        <v>111</v>
      </c>
      <c r="G36" s="138">
        <v>50</v>
      </c>
      <c r="H36" s="138">
        <v>6</v>
      </c>
      <c r="I36" s="288">
        <f>196913+123210+45760+23987+14825+9931</f>
        <v>414626</v>
      </c>
      <c r="J36" s="289">
        <f>26732+15006+5997+4114+3495+3333</f>
        <v>58677</v>
      </c>
      <c r="K36" s="302">
        <f>+I36/J36</f>
        <v>7.066244013838472</v>
      </c>
    </row>
    <row r="37" spans="1:11" s="44" customFormat="1" ht="14.25" customHeight="1">
      <c r="A37" s="58">
        <v>34</v>
      </c>
      <c r="B37" s="154"/>
      <c r="C37" s="130" t="s">
        <v>181</v>
      </c>
      <c r="D37" s="47">
        <v>38828</v>
      </c>
      <c r="E37" s="156" t="s">
        <v>102</v>
      </c>
      <c r="F37" s="130" t="s">
        <v>119</v>
      </c>
      <c r="G37" s="132">
        <v>59</v>
      </c>
      <c r="H37" s="132">
        <v>1</v>
      </c>
      <c r="I37" s="285">
        <v>365673.5</v>
      </c>
      <c r="J37" s="286">
        <v>45213</v>
      </c>
      <c r="K37" s="302">
        <f>+I37/J37</f>
        <v>8.087795545528941</v>
      </c>
    </row>
    <row r="38" spans="1:11" s="44" customFormat="1" ht="14.25" customHeight="1">
      <c r="A38" s="58">
        <v>35</v>
      </c>
      <c r="B38" s="154"/>
      <c r="C38" s="130" t="s">
        <v>152</v>
      </c>
      <c r="D38" s="47">
        <v>38814</v>
      </c>
      <c r="E38" s="130" t="s">
        <v>76</v>
      </c>
      <c r="F38" s="130" t="s">
        <v>153</v>
      </c>
      <c r="G38" s="132">
        <v>56</v>
      </c>
      <c r="H38" s="132">
        <v>3</v>
      </c>
      <c r="I38" s="295">
        <f>217941.5+99459+33463</f>
        <v>350863.5</v>
      </c>
      <c r="J38" s="289">
        <f>30137+15034+5812</f>
        <v>50983</v>
      </c>
      <c r="K38" s="302">
        <f>+I38/J38</f>
        <v>6.881970460741816</v>
      </c>
    </row>
    <row r="39" spans="1:11" s="44" customFormat="1" ht="14.25" customHeight="1">
      <c r="A39" s="58">
        <v>36</v>
      </c>
      <c r="B39" s="154"/>
      <c r="C39" s="136" t="s">
        <v>167</v>
      </c>
      <c r="D39" s="90">
        <v>38814</v>
      </c>
      <c r="E39" s="287" t="s">
        <v>52</v>
      </c>
      <c r="F39" s="136" t="s">
        <v>186</v>
      </c>
      <c r="G39" s="138">
        <v>50</v>
      </c>
      <c r="H39" s="138">
        <v>3</v>
      </c>
      <c r="I39" s="288">
        <f>159204+117003.5+55112</f>
        <v>331319.5</v>
      </c>
      <c r="J39" s="289">
        <f>19860+13877+7175</f>
        <v>40912</v>
      </c>
      <c r="K39" s="302">
        <f>+I39/J39</f>
        <v>8.098345228783732</v>
      </c>
    </row>
    <row r="40" spans="1:11" s="44" customFormat="1" ht="14.25" customHeight="1">
      <c r="A40" s="58">
        <v>37</v>
      </c>
      <c r="B40" s="154"/>
      <c r="C40" s="130" t="s">
        <v>59</v>
      </c>
      <c r="D40" s="47">
        <v>38765</v>
      </c>
      <c r="E40" s="130" t="s">
        <v>103</v>
      </c>
      <c r="F40" s="130" t="s">
        <v>117</v>
      </c>
      <c r="G40" s="132">
        <v>41</v>
      </c>
      <c r="H40" s="132">
        <v>9</v>
      </c>
      <c r="I40" s="288">
        <v>331020</v>
      </c>
      <c r="J40" s="291">
        <v>44799</v>
      </c>
      <c r="K40" s="303">
        <f>I40/J40</f>
        <v>7.38900421884417</v>
      </c>
    </row>
    <row r="41" spans="1:11" s="44" customFormat="1" ht="14.25" customHeight="1">
      <c r="A41" s="58">
        <v>38</v>
      </c>
      <c r="B41" s="154"/>
      <c r="C41" s="136" t="s">
        <v>158</v>
      </c>
      <c r="D41" s="90">
        <v>38772</v>
      </c>
      <c r="E41" s="287" t="s">
        <v>52</v>
      </c>
      <c r="F41" s="136" t="s">
        <v>106</v>
      </c>
      <c r="G41" s="138">
        <v>49</v>
      </c>
      <c r="H41" s="138">
        <v>9</v>
      </c>
      <c r="I41" s="288">
        <f>151711.5+80204.5+40498+22773.5+10013.5+8954+2475+789.5+1863</f>
        <v>319282.5</v>
      </c>
      <c r="J41" s="289">
        <f>20342+10373+5841+6919+2082+2313+566+196+713</f>
        <v>49345</v>
      </c>
      <c r="K41" s="302">
        <f>+I41/J41</f>
        <v>6.470412402472388</v>
      </c>
    </row>
    <row r="42" spans="1:11" s="44" customFormat="1" ht="14.25" customHeight="1">
      <c r="A42" s="58">
        <v>39</v>
      </c>
      <c r="B42" s="154"/>
      <c r="C42" s="292" t="s">
        <v>141</v>
      </c>
      <c r="D42" s="90">
        <v>38751</v>
      </c>
      <c r="E42" s="292" t="s">
        <v>105</v>
      </c>
      <c r="F42" s="292" t="s">
        <v>106</v>
      </c>
      <c r="G42" s="213">
        <v>25</v>
      </c>
      <c r="H42" s="213">
        <v>9</v>
      </c>
      <c r="I42" s="293">
        <v>275432.5</v>
      </c>
      <c r="J42" s="294">
        <v>29916</v>
      </c>
      <c r="K42" s="304">
        <f>I42/J42</f>
        <v>9.206862548469047</v>
      </c>
    </row>
    <row r="43" spans="1:11" s="44" customFormat="1" ht="14.25" customHeight="1">
      <c r="A43" s="58">
        <v>40</v>
      </c>
      <c r="B43" s="154"/>
      <c r="C43" s="130" t="s">
        <v>62</v>
      </c>
      <c r="D43" s="47">
        <v>38737</v>
      </c>
      <c r="E43" s="130" t="s">
        <v>103</v>
      </c>
      <c r="F43" s="130" t="s">
        <v>146</v>
      </c>
      <c r="G43" s="132">
        <v>29</v>
      </c>
      <c r="H43" s="132">
        <v>18</v>
      </c>
      <c r="I43" s="288">
        <v>246111</v>
      </c>
      <c r="J43" s="291">
        <v>30310</v>
      </c>
      <c r="K43" s="303">
        <f>I43/J43</f>
        <v>8.11979544704718</v>
      </c>
    </row>
    <row r="44" spans="1:11" s="44" customFormat="1" ht="14.25" customHeight="1">
      <c r="A44" s="58">
        <v>41</v>
      </c>
      <c r="B44" s="154"/>
      <c r="C44" s="130" t="s">
        <v>184</v>
      </c>
      <c r="D44" s="47">
        <v>38821</v>
      </c>
      <c r="E44" s="156" t="s">
        <v>102</v>
      </c>
      <c r="F44" s="130" t="s">
        <v>110</v>
      </c>
      <c r="G44" s="132">
        <v>54</v>
      </c>
      <c r="H44" s="132">
        <v>2</v>
      </c>
      <c r="I44" s="285">
        <f>155465+86253.5+51</f>
        <v>241769.5</v>
      </c>
      <c r="J44" s="286">
        <f>21109+11912</f>
        <v>33021</v>
      </c>
      <c r="K44" s="302">
        <f>+I44/J44</f>
        <v>7.321689228066988</v>
      </c>
    </row>
    <row r="45" spans="1:11" s="44" customFormat="1" ht="14.25" customHeight="1">
      <c r="A45" s="58">
        <v>42</v>
      </c>
      <c r="B45" s="154"/>
      <c r="C45" s="130" t="s">
        <v>89</v>
      </c>
      <c r="D45" s="47">
        <v>38793</v>
      </c>
      <c r="E45" s="130" t="s">
        <v>76</v>
      </c>
      <c r="F45" s="130" t="s">
        <v>115</v>
      </c>
      <c r="G45" s="132">
        <v>71</v>
      </c>
      <c r="H45" s="132">
        <v>6</v>
      </c>
      <c r="I45" s="295">
        <f>139188.5+65126.5+15320+6439+3617+3772</f>
        <v>233463</v>
      </c>
      <c r="J45" s="289">
        <f>20151+10232+2945+1343+1021+739</f>
        <v>36431</v>
      </c>
      <c r="K45" s="302">
        <f>+I45/J45</f>
        <v>6.408361011226702</v>
      </c>
    </row>
    <row r="46" spans="1:11" s="44" customFormat="1" ht="14.25" customHeight="1">
      <c r="A46" s="58">
        <v>43</v>
      </c>
      <c r="B46" s="154"/>
      <c r="C46" s="136" t="s">
        <v>182</v>
      </c>
      <c r="D46" s="90">
        <v>38828</v>
      </c>
      <c r="E46" s="287" t="s">
        <v>52</v>
      </c>
      <c r="F46" s="136" t="s">
        <v>133</v>
      </c>
      <c r="G46" s="138">
        <v>43</v>
      </c>
      <c r="H46" s="138">
        <v>1</v>
      </c>
      <c r="I46" s="288">
        <f>221837.5</f>
        <v>221837.5</v>
      </c>
      <c r="J46" s="289">
        <f>31465</f>
        <v>31465</v>
      </c>
      <c r="K46" s="302">
        <f>+I46/J46</f>
        <v>7.0502939774352456</v>
      </c>
    </row>
    <row r="47" spans="1:11" s="44" customFormat="1" ht="14.25" customHeight="1">
      <c r="A47" s="58">
        <v>44</v>
      </c>
      <c r="B47" s="154"/>
      <c r="C47" s="130" t="s">
        <v>166</v>
      </c>
      <c r="D47" s="47">
        <v>38821</v>
      </c>
      <c r="E47" s="156" t="s">
        <v>102</v>
      </c>
      <c r="F47" s="130" t="s">
        <v>161</v>
      </c>
      <c r="G47" s="132">
        <v>32</v>
      </c>
      <c r="H47" s="132">
        <v>2</v>
      </c>
      <c r="I47" s="285">
        <f>122911+88335.5+16</f>
        <v>211262.5</v>
      </c>
      <c r="J47" s="286">
        <f>13093+9562-3</f>
        <v>22652</v>
      </c>
      <c r="K47" s="302">
        <f>+I47/J47</f>
        <v>9.326439166519513</v>
      </c>
    </row>
    <row r="48" spans="1:11" s="44" customFormat="1" ht="14.25" customHeight="1">
      <c r="A48" s="58">
        <v>45</v>
      </c>
      <c r="B48" s="154"/>
      <c r="C48" s="136" t="s">
        <v>0</v>
      </c>
      <c r="D48" s="90">
        <v>38786</v>
      </c>
      <c r="E48" s="287" t="s">
        <v>52</v>
      </c>
      <c r="F48" s="136" t="s">
        <v>114</v>
      </c>
      <c r="G48" s="138">
        <v>30</v>
      </c>
      <c r="H48" s="138">
        <v>7</v>
      </c>
      <c r="I48" s="288">
        <f>94630+42901+16809.5+16862+11072+2518+4525</f>
        <v>189317.5</v>
      </c>
      <c r="J48" s="289">
        <f>12856+5706+2789+3336+2239+567+1047</f>
        <v>28540</v>
      </c>
      <c r="K48" s="302">
        <f>+I48/J48</f>
        <v>6.633409250175193</v>
      </c>
    </row>
    <row r="49" spans="1:11" s="44" customFormat="1" ht="14.25" customHeight="1">
      <c r="A49" s="58">
        <v>46</v>
      </c>
      <c r="B49" s="154"/>
      <c r="C49" s="130" t="s">
        <v>39</v>
      </c>
      <c r="D49" s="47">
        <v>38758</v>
      </c>
      <c r="E49" s="130" t="s">
        <v>103</v>
      </c>
      <c r="F49" s="130" t="s">
        <v>117</v>
      </c>
      <c r="G49" s="132">
        <v>46</v>
      </c>
      <c r="H49" s="132">
        <v>11</v>
      </c>
      <c r="I49" s="288">
        <v>181241</v>
      </c>
      <c r="J49" s="291">
        <v>23969</v>
      </c>
      <c r="K49" s="302">
        <f>+I49/J49</f>
        <v>7.561475238850181</v>
      </c>
    </row>
    <row r="50" spans="1:11" s="56" customFormat="1" ht="14.25" customHeight="1">
      <c r="A50" s="58">
        <v>47</v>
      </c>
      <c r="B50" s="154"/>
      <c r="C50" s="130" t="s">
        <v>87</v>
      </c>
      <c r="D50" s="47">
        <v>38800</v>
      </c>
      <c r="E50" s="156" t="s">
        <v>102</v>
      </c>
      <c r="F50" s="130" t="s">
        <v>110</v>
      </c>
      <c r="G50" s="132">
        <v>12</v>
      </c>
      <c r="H50" s="132">
        <v>5</v>
      </c>
      <c r="I50" s="285">
        <f>82365.5+56251.5+17508+5415.5+3304</f>
        <v>164844.5</v>
      </c>
      <c r="J50" s="286">
        <f>8878+5706+2045+866+701</f>
        <v>18196</v>
      </c>
      <c r="K50" s="302">
        <f>+I50/J50</f>
        <v>9.059381182677512</v>
      </c>
    </row>
    <row r="51" spans="1:11" s="56" customFormat="1" ht="14.25" customHeight="1">
      <c r="A51" s="58">
        <v>48</v>
      </c>
      <c r="B51" s="154"/>
      <c r="C51" s="136" t="s">
        <v>109</v>
      </c>
      <c r="D51" s="90">
        <v>38807</v>
      </c>
      <c r="E51" s="287" t="s">
        <v>52</v>
      </c>
      <c r="F51" s="136" t="s">
        <v>106</v>
      </c>
      <c r="G51" s="138">
        <v>20</v>
      </c>
      <c r="H51" s="138">
        <v>4</v>
      </c>
      <c r="I51" s="288">
        <f>79858.5+57561+16625.5+10101</f>
        <v>164146</v>
      </c>
      <c r="J51" s="289">
        <f>9494+7131+2064+2030</f>
        <v>20719</v>
      </c>
      <c r="K51" s="302">
        <f>+I51/J51</f>
        <v>7.922486606496452</v>
      </c>
    </row>
    <row r="52" spans="1:11" s="56" customFormat="1" ht="14.25" customHeight="1">
      <c r="A52" s="58">
        <v>49</v>
      </c>
      <c r="B52" s="154"/>
      <c r="C52" s="130" t="s">
        <v>183</v>
      </c>
      <c r="D52" s="47">
        <v>38828</v>
      </c>
      <c r="E52" s="130" t="s">
        <v>103</v>
      </c>
      <c r="F52" s="130" t="s">
        <v>108</v>
      </c>
      <c r="G52" s="132">
        <v>46</v>
      </c>
      <c r="H52" s="132">
        <v>1</v>
      </c>
      <c r="I52" s="288">
        <v>141023</v>
      </c>
      <c r="J52" s="291">
        <v>16239</v>
      </c>
      <c r="K52" s="302">
        <f>+I52/J52</f>
        <v>8.68421700843648</v>
      </c>
    </row>
    <row r="53" spans="1:11" s="56" customFormat="1" ht="14.25" customHeight="1">
      <c r="A53" s="58">
        <v>50</v>
      </c>
      <c r="B53" s="154"/>
      <c r="C53" s="136" t="s">
        <v>73</v>
      </c>
      <c r="D53" s="90">
        <v>38793</v>
      </c>
      <c r="E53" s="136" t="s">
        <v>54</v>
      </c>
      <c r="F53" s="136" t="s">
        <v>116</v>
      </c>
      <c r="G53" s="138">
        <v>33</v>
      </c>
      <c r="H53" s="138">
        <v>6</v>
      </c>
      <c r="I53" s="285">
        <v>134931</v>
      </c>
      <c r="J53" s="286">
        <v>21017</v>
      </c>
      <c r="K53" s="302">
        <f>+I53/J53</f>
        <v>6.420088499785888</v>
      </c>
    </row>
    <row r="54" spans="1:11" s="56" customFormat="1" ht="14.25" customHeight="1">
      <c r="A54" s="58">
        <v>51</v>
      </c>
      <c r="B54" s="154"/>
      <c r="C54" s="136" t="s">
        <v>128</v>
      </c>
      <c r="D54" s="90">
        <v>38765</v>
      </c>
      <c r="E54" s="136" t="s">
        <v>52</v>
      </c>
      <c r="F54" s="136" t="s">
        <v>129</v>
      </c>
      <c r="G54" s="138">
        <v>30</v>
      </c>
      <c r="H54" s="138">
        <v>9</v>
      </c>
      <c r="I54" s="288">
        <f>62768+32353+12961+8129+4050.5+1984.5+2460+376+907</f>
        <v>125989</v>
      </c>
      <c r="J54" s="289">
        <f>8337+4470+2425+1438+815+505+607+85+187</f>
        <v>18869</v>
      </c>
      <c r="K54" s="303">
        <f>I54/J54</f>
        <v>6.677036408924692</v>
      </c>
    </row>
    <row r="55" spans="1:11" s="56" customFormat="1" ht="14.25" customHeight="1">
      <c r="A55" s="58">
        <v>52</v>
      </c>
      <c r="B55" s="154"/>
      <c r="C55" s="210" t="s">
        <v>139</v>
      </c>
      <c r="D55" s="47">
        <v>38765</v>
      </c>
      <c r="E55" s="210" t="s">
        <v>103</v>
      </c>
      <c r="F55" s="210" t="s">
        <v>99</v>
      </c>
      <c r="G55" s="211">
        <v>20</v>
      </c>
      <c r="H55" s="211">
        <v>7</v>
      </c>
      <c r="I55" s="285">
        <v>125109</v>
      </c>
      <c r="J55" s="286">
        <v>13297</v>
      </c>
      <c r="K55" s="304">
        <f>I55/J55</f>
        <v>9.408814018199594</v>
      </c>
    </row>
    <row r="56" spans="1:11" s="44" customFormat="1" ht="14.25" customHeight="1">
      <c r="A56" s="58">
        <v>53</v>
      </c>
      <c r="B56" s="153"/>
      <c r="C56" s="292" t="s">
        <v>36</v>
      </c>
      <c r="D56" s="90">
        <v>38758</v>
      </c>
      <c r="E56" s="292" t="s">
        <v>105</v>
      </c>
      <c r="F56" s="292" t="s">
        <v>106</v>
      </c>
      <c r="G56" s="213">
        <v>10</v>
      </c>
      <c r="H56" s="213">
        <v>8</v>
      </c>
      <c r="I56" s="293">
        <v>111780.5</v>
      </c>
      <c r="J56" s="294">
        <v>15454</v>
      </c>
      <c r="K56" s="304">
        <f>I56/J56</f>
        <v>7.233111168629481</v>
      </c>
    </row>
    <row r="57" spans="1:11" s="44" customFormat="1" ht="14.25" customHeight="1">
      <c r="A57" s="58">
        <v>54</v>
      </c>
      <c r="B57" s="153"/>
      <c r="C57" s="136" t="s">
        <v>68</v>
      </c>
      <c r="D57" s="90">
        <v>38716</v>
      </c>
      <c r="E57" s="159" t="s">
        <v>70</v>
      </c>
      <c r="F57" s="136" t="s">
        <v>199</v>
      </c>
      <c r="G57" s="138">
        <v>9</v>
      </c>
      <c r="H57" s="138">
        <v>16</v>
      </c>
      <c r="I57" s="288">
        <f>41335+22428+10569.5+2994.5+6995.5+477+1541+1030+1308+1168.5+974+1343+1399+1115+913+1257</f>
        <v>96848</v>
      </c>
      <c r="J57" s="289">
        <f>5101+2761+1545+448+1608+159+304+206+436+246+162+276+329+246+181+254</f>
        <v>14262</v>
      </c>
      <c r="K57" s="302">
        <f>+I57/J57</f>
        <v>6.790632449866779</v>
      </c>
    </row>
    <row r="58" spans="1:11" s="44" customFormat="1" ht="14.25" customHeight="1">
      <c r="A58" s="58">
        <v>55</v>
      </c>
      <c r="B58" s="153"/>
      <c r="C58" s="136" t="s">
        <v>120</v>
      </c>
      <c r="D58" s="47">
        <v>38793</v>
      </c>
      <c r="E58" s="136" t="s">
        <v>121</v>
      </c>
      <c r="F58" s="136" t="s">
        <v>122</v>
      </c>
      <c r="G58" s="138">
        <v>4</v>
      </c>
      <c r="H58" s="138">
        <v>6</v>
      </c>
      <c r="I58" s="285">
        <v>94440.5</v>
      </c>
      <c r="J58" s="286">
        <v>10854</v>
      </c>
      <c r="K58" s="302">
        <f>+I58/J58</f>
        <v>8.70098581168233</v>
      </c>
    </row>
    <row r="59" spans="1:11" s="44" customFormat="1" ht="14.25" customHeight="1">
      <c r="A59" s="58">
        <v>56</v>
      </c>
      <c r="B59" s="153"/>
      <c r="C59" s="210" t="s">
        <v>1</v>
      </c>
      <c r="D59" s="47">
        <v>38779</v>
      </c>
      <c r="E59" s="210" t="s">
        <v>121</v>
      </c>
      <c r="F59" s="210" t="s">
        <v>131</v>
      </c>
      <c r="G59" s="211">
        <v>10</v>
      </c>
      <c r="H59" s="211">
        <v>5</v>
      </c>
      <c r="I59" s="296">
        <v>91563</v>
      </c>
      <c r="J59" s="297">
        <v>11220</v>
      </c>
      <c r="K59" s="304">
        <f>I59/J59</f>
        <v>8.160695187165775</v>
      </c>
    </row>
    <row r="60" spans="1:11" s="44" customFormat="1" ht="14.25" customHeight="1">
      <c r="A60" s="58">
        <v>57</v>
      </c>
      <c r="B60" s="153"/>
      <c r="C60" s="130" t="s">
        <v>162</v>
      </c>
      <c r="D60" s="47">
        <v>38779</v>
      </c>
      <c r="E60" s="136" t="s">
        <v>163</v>
      </c>
      <c r="F60" s="130" t="s">
        <v>215</v>
      </c>
      <c r="G60" s="132">
        <v>8</v>
      </c>
      <c r="H60" s="132">
        <v>8</v>
      </c>
      <c r="I60" s="285">
        <v>81171.4</v>
      </c>
      <c r="J60" s="286">
        <v>9386</v>
      </c>
      <c r="K60" s="302">
        <f>+I60/J60</f>
        <v>8.648135520988706</v>
      </c>
    </row>
    <row r="61" spans="1:11" s="44" customFormat="1" ht="14.25" customHeight="1">
      <c r="A61" s="58">
        <v>58</v>
      </c>
      <c r="B61" s="153"/>
      <c r="C61" s="130" t="s">
        <v>185</v>
      </c>
      <c r="D61" s="47">
        <v>38828</v>
      </c>
      <c r="E61" s="130" t="s">
        <v>99</v>
      </c>
      <c r="F61" s="130" t="s">
        <v>117</v>
      </c>
      <c r="G61" s="132">
        <v>46</v>
      </c>
      <c r="H61" s="132">
        <v>1</v>
      </c>
      <c r="I61" s="285">
        <v>78126</v>
      </c>
      <c r="J61" s="286">
        <v>10272</v>
      </c>
      <c r="K61" s="302">
        <f>+I61/J61</f>
        <v>7.605724299065421</v>
      </c>
    </row>
    <row r="62" spans="1:11" s="44" customFormat="1" ht="14.25" customHeight="1">
      <c r="A62" s="58">
        <v>59</v>
      </c>
      <c r="B62" s="153"/>
      <c r="C62" s="136" t="s">
        <v>155</v>
      </c>
      <c r="D62" s="90">
        <v>38814</v>
      </c>
      <c r="E62" s="159" t="s">
        <v>70</v>
      </c>
      <c r="F62" s="136" t="s">
        <v>156</v>
      </c>
      <c r="G62" s="138">
        <v>14</v>
      </c>
      <c r="H62" s="138">
        <v>3</v>
      </c>
      <c r="I62" s="288">
        <f>43111+13278+6067.5</f>
        <v>62456.5</v>
      </c>
      <c r="J62" s="289">
        <f>4620+1821+1003</f>
        <v>7444</v>
      </c>
      <c r="K62" s="302">
        <f>+I62/J62</f>
        <v>8.39018001074691</v>
      </c>
    </row>
    <row r="63" spans="1:11" s="44" customFormat="1" ht="14.25" customHeight="1">
      <c r="A63" s="58">
        <v>60</v>
      </c>
      <c r="B63" s="153"/>
      <c r="C63" s="136" t="s">
        <v>66</v>
      </c>
      <c r="D63" s="90">
        <v>38744</v>
      </c>
      <c r="E63" s="159" t="s">
        <v>70</v>
      </c>
      <c r="F63" s="136" t="s">
        <v>179</v>
      </c>
      <c r="G63" s="138">
        <v>7</v>
      </c>
      <c r="H63" s="138">
        <v>11</v>
      </c>
      <c r="I63" s="288">
        <f>23060.5+7183+3670+700+2376+2273+1430+3390+1771.5+3246+11360</f>
        <v>60460</v>
      </c>
      <c r="J63" s="289">
        <f>2772+1034+467+35+792+451+260+597+327+776+1582</f>
        <v>9093</v>
      </c>
      <c r="K63" s="302">
        <f>+I63/J63</f>
        <v>6.649070713735841</v>
      </c>
    </row>
    <row r="64" spans="1:11" s="44" customFormat="1" ht="14.25" customHeight="1">
      <c r="A64" s="58">
        <v>61</v>
      </c>
      <c r="B64" s="153"/>
      <c r="C64" s="136" t="s">
        <v>93</v>
      </c>
      <c r="D64" s="90">
        <v>38723</v>
      </c>
      <c r="E64" s="159" t="s">
        <v>70</v>
      </c>
      <c r="F64" s="136" t="s">
        <v>193</v>
      </c>
      <c r="G64" s="138">
        <v>3</v>
      </c>
      <c r="H64" s="138">
        <v>12</v>
      </c>
      <c r="I64" s="288">
        <f>22570+12751+6691+4543+3462+1141+1389+1484.5+48+38+1782+1068</f>
        <v>56967.5</v>
      </c>
      <c r="J64" s="289">
        <f>2787+1607+844+585+460+145+463+399+9+7+594+356</f>
        <v>8256</v>
      </c>
      <c r="K64" s="302">
        <f>+I64/J64</f>
        <v>6.900133236434108</v>
      </c>
    </row>
    <row r="65" spans="1:11" s="44" customFormat="1" ht="14.25" customHeight="1">
      <c r="A65" s="58">
        <v>62</v>
      </c>
      <c r="B65" s="153"/>
      <c r="C65" s="136" t="s">
        <v>204</v>
      </c>
      <c r="D65" s="47">
        <v>38786</v>
      </c>
      <c r="E65" s="136" t="s">
        <v>118</v>
      </c>
      <c r="F65" s="136" t="s">
        <v>136</v>
      </c>
      <c r="G65" s="138">
        <v>4</v>
      </c>
      <c r="H65" s="138">
        <v>7</v>
      </c>
      <c r="I65" s="285">
        <v>48359</v>
      </c>
      <c r="J65" s="286">
        <v>5779</v>
      </c>
      <c r="K65" s="302">
        <f>+I65/J65</f>
        <v>8.368056757224434</v>
      </c>
    </row>
    <row r="66" spans="1:11" s="44" customFormat="1" ht="14.25" customHeight="1">
      <c r="A66" s="58">
        <v>63</v>
      </c>
      <c r="B66" s="153"/>
      <c r="C66" s="136" t="s">
        <v>67</v>
      </c>
      <c r="D66" s="90">
        <v>38758</v>
      </c>
      <c r="E66" s="159" t="s">
        <v>70</v>
      </c>
      <c r="F66" s="136" t="s">
        <v>126</v>
      </c>
      <c r="G66" s="138">
        <v>4</v>
      </c>
      <c r="H66" s="138">
        <v>11</v>
      </c>
      <c r="I66" s="288">
        <f>12456+7990+4147+1031+2942.5+1687.5+5526.5+3841.5+1352.5+925+2425</f>
        <v>44324.5</v>
      </c>
      <c r="J66" s="289">
        <f>1552+1090+669+166+430+252+1516+804+308+163+443</f>
        <v>7393</v>
      </c>
      <c r="K66" s="302">
        <f>+I66/J66</f>
        <v>5.995468686595428</v>
      </c>
    </row>
    <row r="67" spans="1:11" s="44" customFormat="1" ht="14.25" customHeight="1">
      <c r="A67" s="58">
        <v>64</v>
      </c>
      <c r="B67" s="153"/>
      <c r="C67" s="136" t="s">
        <v>65</v>
      </c>
      <c r="D67" s="90">
        <v>38779</v>
      </c>
      <c r="E67" s="159" t="s">
        <v>70</v>
      </c>
      <c r="F67" s="136" t="s">
        <v>191</v>
      </c>
      <c r="G67" s="138">
        <v>10</v>
      </c>
      <c r="H67" s="138">
        <v>8</v>
      </c>
      <c r="I67" s="288">
        <f>19635+7029.5+1939.5+1932.5+1425+2285+846+5995.5</f>
        <v>41088</v>
      </c>
      <c r="J67" s="289">
        <f>2548+994+309+438+475+587+190+1491</f>
        <v>7032</v>
      </c>
      <c r="K67" s="302">
        <f>+I67/J67</f>
        <v>5.843003412969283</v>
      </c>
    </row>
    <row r="68" spans="1:11" s="44" customFormat="1" ht="14.25" customHeight="1">
      <c r="A68" s="58">
        <v>65</v>
      </c>
      <c r="B68" s="153"/>
      <c r="C68" s="130" t="s">
        <v>90</v>
      </c>
      <c r="D68" s="47">
        <v>38793</v>
      </c>
      <c r="E68" s="130" t="s">
        <v>76</v>
      </c>
      <c r="F68" s="130" t="s">
        <v>132</v>
      </c>
      <c r="G68" s="132">
        <v>2</v>
      </c>
      <c r="H68" s="132">
        <v>5</v>
      </c>
      <c r="I68" s="295">
        <f>21147.5+3690+1708+783+1453</f>
        <v>28781.5</v>
      </c>
      <c r="J68" s="289">
        <f>2248+452+253+99+248</f>
        <v>3300</v>
      </c>
      <c r="K68" s="302">
        <f>+I68/J68</f>
        <v>8.721666666666666</v>
      </c>
    </row>
    <row r="69" spans="1:11" s="44" customFormat="1" ht="14.25" customHeight="1">
      <c r="A69" s="58">
        <v>66</v>
      </c>
      <c r="B69" s="153"/>
      <c r="C69" s="136" t="s">
        <v>170</v>
      </c>
      <c r="D69" s="90">
        <v>38751</v>
      </c>
      <c r="E69" s="159" t="s">
        <v>70</v>
      </c>
      <c r="F69" s="136" t="s">
        <v>135</v>
      </c>
      <c r="G69" s="138">
        <v>1</v>
      </c>
      <c r="H69" s="138">
        <v>8</v>
      </c>
      <c r="I69" s="288">
        <f>6339+5656+3753+2609+448+675+1816+2430</f>
        <v>23726</v>
      </c>
      <c r="J69" s="289">
        <f>796+708+467+329+60+87+264+364</f>
        <v>3075</v>
      </c>
      <c r="K69" s="302">
        <f>+I69/J69</f>
        <v>7.715772357723577</v>
      </c>
    </row>
    <row r="70" spans="1:11" s="44" customFormat="1" ht="14.25" customHeight="1">
      <c r="A70" s="58">
        <v>67</v>
      </c>
      <c r="B70" s="153"/>
      <c r="C70" s="136" t="s">
        <v>71</v>
      </c>
      <c r="D70" s="90">
        <v>38786</v>
      </c>
      <c r="E70" s="136" t="s">
        <v>194</v>
      </c>
      <c r="F70" s="136" t="s">
        <v>127</v>
      </c>
      <c r="G70" s="138">
        <v>7</v>
      </c>
      <c r="H70" s="138">
        <v>7</v>
      </c>
      <c r="I70" s="285">
        <v>21105.5</v>
      </c>
      <c r="J70" s="286">
        <v>3543</v>
      </c>
      <c r="K70" s="302">
        <f>+I70/J70</f>
        <v>5.956957380750776</v>
      </c>
    </row>
    <row r="71" spans="1:11" s="44" customFormat="1" ht="14.25" customHeight="1">
      <c r="A71" s="58">
        <v>68</v>
      </c>
      <c r="B71" s="153"/>
      <c r="C71" s="136" t="s">
        <v>187</v>
      </c>
      <c r="D71" s="47">
        <v>38828</v>
      </c>
      <c r="E71" s="136" t="s">
        <v>118</v>
      </c>
      <c r="F71" s="136" t="s">
        <v>188</v>
      </c>
      <c r="G71" s="138">
        <v>5</v>
      </c>
      <c r="H71" s="138">
        <v>1</v>
      </c>
      <c r="I71" s="285">
        <v>18037</v>
      </c>
      <c r="J71" s="286">
        <v>2579</v>
      </c>
      <c r="K71" s="302">
        <f>+I71/J71</f>
        <v>6.993796044978674</v>
      </c>
    </row>
    <row r="72" spans="1:11" s="56" customFormat="1" ht="14.25" customHeight="1">
      <c r="A72" s="58">
        <v>69</v>
      </c>
      <c r="B72" s="153"/>
      <c r="C72" s="130" t="s">
        <v>44</v>
      </c>
      <c r="D72" s="90">
        <v>38772</v>
      </c>
      <c r="E72" s="130" t="s">
        <v>147</v>
      </c>
      <c r="F72" s="130" t="s">
        <v>114</v>
      </c>
      <c r="G72" s="212">
        <v>1</v>
      </c>
      <c r="H72" s="211">
        <v>6</v>
      </c>
      <c r="I72" s="296">
        <v>14052</v>
      </c>
      <c r="J72" s="297">
        <v>1802</v>
      </c>
      <c r="K72" s="302">
        <f>+I72/J72</f>
        <v>7.798002219755827</v>
      </c>
    </row>
    <row r="73" spans="1:11" s="56" customFormat="1" ht="14.25" customHeight="1">
      <c r="A73" s="58">
        <v>70</v>
      </c>
      <c r="B73" s="153"/>
      <c r="C73" s="136" t="s">
        <v>81</v>
      </c>
      <c r="D73" s="90">
        <v>38723</v>
      </c>
      <c r="E73" s="159" t="s">
        <v>70</v>
      </c>
      <c r="F73" s="136" t="s">
        <v>217</v>
      </c>
      <c r="G73" s="138">
        <v>5</v>
      </c>
      <c r="H73" s="138">
        <v>7</v>
      </c>
      <c r="I73" s="288">
        <f>7149+2747+756+1338+270+74+91</f>
        <v>12425</v>
      </c>
      <c r="J73" s="289">
        <f>932+357+92+247+90+24+25</f>
        <v>1767</v>
      </c>
      <c r="K73" s="302">
        <f>+I73/J73</f>
        <v>7.031692133559706</v>
      </c>
    </row>
    <row r="74" spans="1:11" s="56" customFormat="1" ht="14.25" customHeight="1">
      <c r="A74" s="58">
        <v>71</v>
      </c>
      <c r="B74" s="153"/>
      <c r="C74" s="298" t="s">
        <v>64</v>
      </c>
      <c r="D74" s="90">
        <v>38779</v>
      </c>
      <c r="E74" s="298" t="s">
        <v>70</v>
      </c>
      <c r="F74" s="298" t="s">
        <v>148</v>
      </c>
      <c r="G74" s="213">
        <v>6</v>
      </c>
      <c r="H74" s="213">
        <v>3</v>
      </c>
      <c r="I74" s="288">
        <f>9397.5+2137+188</f>
        <v>11722.5</v>
      </c>
      <c r="J74" s="289">
        <f>1039+275+26</f>
        <v>1340</v>
      </c>
      <c r="K74" s="304">
        <f>IF(I74&lt;&gt;0,I74/J74,"")</f>
        <v>8.748134328358208</v>
      </c>
    </row>
    <row r="75" spans="1:11" s="56" customFormat="1" ht="14.25" customHeight="1">
      <c r="A75" s="58">
        <v>72</v>
      </c>
      <c r="B75" s="153"/>
      <c r="C75" s="136" t="s">
        <v>189</v>
      </c>
      <c r="D75" s="90">
        <v>38828</v>
      </c>
      <c r="E75" s="159" t="s">
        <v>70</v>
      </c>
      <c r="F75" s="136" t="s">
        <v>190</v>
      </c>
      <c r="G75" s="138">
        <v>6</v>
      </c>
      <c r="H75" s="138">
        <v>1</v>
      </c>
      <c r="I75" s="288">
        <v>8964</v>
      </c>
      <c r="J75" s="289">
        <v>1055</v>
      </c>
      <c r="K75" s="302">
        <f>+I75/J75</f>
        <v>8.496682464454976</v>
      </c>
    </row>
    <row r="76" spans="1:11" s="56" customFormat="1" ht="14.25" customHeight="1">
      <c r="A76" s="58">
        <v>73</v>
      </c>
      <c r="B76" s="153"/>
      <c r="C76" s="136" t="s">
        <v>174</v>
      </c>
      <c r="D76" s="47">
        <v>38758</v>
      </c>
      <c r="E76" s="136" t="s">
        <v>147</v>
      </c>
      <c r="F76" s="136" t="s">
        <v>149</v>
      </c>
      <c r="G76" s="138">
        <v>4</v>
      </c>
      <c r="H76" s="138">
        <v>10</v>
      </c>
      <c r="I76" s="285">
        <v>6143</v>
      </c>
      <c r="J76" s="286">
        <v>976</v>
      </c>
      <c r="K76" s="302">
        <f>+I76/J76</f>
        <v>6.29405737704918</v>
      </c>
    </row>
    <row r="77" spans="1:11" s="44" customFormat="1" ht="14.25" customHeight="1">
      <c r="A77" s="58">
        <v>74</v>
      </c>
      <c r="B77" s="153"/>
      <c r="C77" s="136" t="s">
        <v>169</v>
      </c>
      <c r="D77" s="47">
        <v>38821</v>
      </c>
      <c r="E77" s="136" t="s">
        <v>121</v>
      </c>
      <c r="F77" s="136" t="s">
        <v>197</v>
      </c>
      <c r="G77" s="138">
        <v>5</v>
      </c>
      <c r="H77" s="138">
        <v>2</v>
      </c>
      <c r="I77" s="285">
        <v>4809.5</v>
      </c>
      <c r="J77" s="286">
        <v>561</v>
      </c>
      <c r="K77" s="302">
        <f>+I77/J77</f>
        <v>8.573083778966131</v>
      </c>
    </row>
    <row r="78" spans="1:11" s="44" customFormat="1" ht="14.25" customHeight="1" thickBot="1">
      <c r="A78" s="58">
        <v>75</v>
      </c>
      <c r="B78" s="172"/>
      <c r="C78" s="214" t="s">
        <v>130</v>
      </c>
      <c r="D78" s="215">
        <v>38807</v>
      </c>
      <c r="E78" s="214" t="s">
        <v>121</v>
      </c>
      <c r="F78" s="214" t="s">
        <v>160</v>
      </c>
      <c r="G78" s="145">
        <v>2</v>
      </c>
      <c r="H78" s="145">
        <v>3</v>
      </c>
      <c r="I78" s="305">
        <v>3920.5</v>
      </c>
      <c r="J78" s="306">
        <v>616</v>
      </c>
      <c r="K78" s="307">
        <f>I78/J78</f>
        <v>6.3644480519480515</v>
      </c>
    </row>
    <row r="79" spans="1:11" s="44" customFormat="1" ht="15.75" thickBot="1">
      <c r="A79" s="59"/>
      <c r="B79" s="173"/>
      <c r="C79" s="174" t="s">
        <v>78</v>
      </c>
      <c r="D79" s="175"/>
      <c r="E79" s="175"/>
      <c r="F79" s="175"/>
      <c r="G79" s="176">
        <f>SUM(G4:G78)</f>
        <v>3850</v>
      </c>
      <c r="H79" s="174"/>
      <c r="I79" s="178">
        <f>SUM(I4:I78)</f>
        <v>92132046.47000001</v>
      </c>
      <c r="J79" s="190">
        <f>SUM(J4:J78)</f>
        <v>13559152</v>
      </c>
      <c r="K79" s="308">
        <f>I79/J79</f>
        <v>6.794823634250874</v>
      </c>
    </row>
    <row r="80" spans="1:11" s="44" customFormat="1" ht="13.5" thickBot="1">
      <c r="A80" s="57"/>
      <c r="C80" s="216"/>
      <c r="D80" s="217"/>
      <c r="E80" s="217"/>
      <c r="F80" s="217"/>
      <c r="G80" s="217"/>
      <c r="H80" s="217"/>
      <c r="I80" s="179"/>
      <c r="J80" s="191"/>
      <c r="K80" s="218"/>
    </row>
    <row r="81" spans="1:11" s="54" customFormat="1" ht="12.75">
      <c r="A81" s="53"/>
      <c r="B81" s="60"/>
      <c r="C81" s="243" t="s">
        <v>18</v>
      </c>
      <c r="D81" s="243"/>
      <c r="E81" s="219" t="s">
        <v>85</v>
      </c>
      <c r="F81" s="106"/>
      <c r="G81" s="219" t="s">
        <v>84</v>
      </c>
      <c r="H81" s="219"/>
      <c r="I81" s="219" t="s">
        <v>22</v>
      </c>
      <c r="J81" s="219"/>
      <c r="K81" s="241" t="s">
        <v>42</v>
      </c>
    </row>
    <row r="82" spans="1:11" s="54" customFormat="1" ht="13.5" thickBot="1">
      <c r="A82" s="55"/>
      <c r="B82" s="63"/>
      <c r="C82" s="244"/>
      <c r="D82" s="244"/>
      <c r="E82" s="245"/>
      <c r="F82" s="107"/>
      <c r="G82" s="245"/>
      <c r="H82" s="240"/>
      <c r="I82" s="180" t="s">
        <v>40</v>
      </c>
      <c r="J82" s="192" t="s">
        <v>9</v>
      </c>
      <c r="K82" s="242"/>
    </row>
    <row r="83" spans="1:11" ht="15">
      <c r="A83" s="58">
        <v>1</v>
      </c>
      <c r="B83" s="64"/>
      <c r="C83" s="65" t="s">
        <v>82</v>
      </c>
      <c r="D83" s="65"/>
      <c r="E83" s="66">
        <v>10</v>
      </c>
      <c r="F83" s="66"/>
      <c r="G83" s="73">
        <f>G4+G5+G6+G7+G10+G13+G24+G53+G54+G70</f>
        <v>1301</v>
      </c>
      <c r="H83" s="65"/>
      <c r="I83" s="181">
        <f>I4+I5+I6+I7+I10+I13+I24+I53+I54+I70</f>
        <v>57173516.720000006</v>
      </c>
      <c r="J83" s="193">
        <f>J4+J5+J6+J7+J10+J13+J24+J53+J54+J70</f>
        <v>8882526</v>
      </c>
      <c r="K83" s="185">
        <f>I83/J83</f>
        <v>6.436628130331395</v>
      </c>
    </row>
    <row r="84" spans="1:11" ht="15.75" thickBot="1">
      <c r="A84" s="58">
        <v>2</v>
      </c>
      <c r="B84" s="67"/>
      <c r="C84" s="68" t="s">
        <v>83</v>
      </c>
      <c r="D84" s="68"/>
      <c r="E84" s="69">
        <v>59</v>
      </c>
      <c r="F84" s="69"/>
      <c r="G84" s="74">
        <f>G79-G83</f>
        <v>2549</v>
      </c>
      <c r="H84" s="68"/>
      <c r="I84" s="182">
        <f>I79-I83</f>
        <v>34958529.75000001</v>
      </c>
      <c r="J84" s="194">
        <f>J79-J83</f>
        <v>4676626</v>
      </c>
      <c r="K84" s="186">
        <f>I84/J84</f>
        <v>7.475160457560644</v>
      </c>
    </row>
    <row r="85" spans="2:11" ht="15.75" thickBot="1">
      <c r="B85" s="70"/>
      <c r="C85" s="71"/>
      <c r="D85" s="71"/>
      <c r="E85" s="61">
        <f>SUM(E83:E84)</f>
        <v>69</v>
      </c>
      <c r="F85" s="61"/>
      <c r="G85" s="62">
        <f>SUM(G83:G84)</f>
        <v>3850</v>
      </c>
      <c r="H85" s="71"/>
      <c r="I85" s="183">
        <f>SUM(I83:I84)</f>
        <v>92132046.47000001</v>
      </c>
      <c r="J85" s="195">
        <f>SUM(J83:J84)</f>
        <v>13559152</v>
      </c>
      <c r="K85" s="187">
        <f>I85/J85</f>
        <v>6.794823634250874</v>
      </c>
    </row>
  </sheetData>
  <mergeCells count="16">
    <mergeCell ref="B1:K1"/>
    <mergeCell ref="E2:E3"/>
    <mergeCell ref="C2:C3"/>
    <mergeCell ref="D2:D3"/>
    <mergeCell ref="H2:H3"/>
    <mergeCell ref="I2:J2"/>
    <mergeCell ref="K2:K3"/>
    <mergeCell ref="G2:G3"/>
    <mergeCell ref="F2:F3"/>
    <mergeCell ref="H81:H82"/>
    <mergeCell ref="I81:J81"/>
    <mergeCell ref="K81:K82"/>
    <mergeCell ref="C81:C82"/>
    <mergeCell ref="D81:D82"/>
    <mergeCell ref="E81:E82"/>
    <mergeCell ref="G81:G82"/>
  </mergeCells>
  <printOptions/>
  <pageMargins left="0.75" right="0.2" top="0.72" bottom="0.64" header="0.27" footer="0.46"/>
  <pageSetup orientation="portrait" paperSize="9" scale="60" r:id="rId1"/>
  <ignoredErrors>
    <ignoredError sqref="I14:J74 K14:K17" unlockedFormula="1"/>
    <ignoredError sqref="K18:K7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.</cp:lastModifiedBy>
  <cp:lastPrinted>2006-04-28T15:56:13Z</cp:lastPrinted>
  <dcterms:created xsi:type="dcterms:W3CDTF">2006-03-17T12:24:26Z</dcterms:created>
  <dcterms:modified xsi:type="dcterms:W3CDTF">2006-04-28T15:56:17Z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