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02 - 08 Jun' (WK 23)" sheetId="1" r:id="rId1"/>
    <sheet name="30 Dec' - 08 Jun' (Annual)" sheetId="2" r:id="rId2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'02 - 08 Jun'' (WK 23)'!$A$1:$P$101</definedName>
  </definedNames>
  <calcPr fullCalcOnLoad="1"/>
</workbook>
</file>

<file path=xl/sharedStrings.xml><?xml version="1.0" encoding="utf-8"?>
<sst xmlns="http://schemas.openxmlformats.org/spreadsheetml/2006/main" count="646" uniqueCount="253">
  <si>
    <t>HACIVAT KARAGOZ NEDEN OLDURULDU?</t>
  </si>
  <si>
    <t>KURTLAR VADISI IRAK</t>
  </si>
  <si>
    <t>This Week's Total</t>
  </si>
  <si>
    <t>Films</t>
  </si>
  <si>
    <t>Admission</t>
  </si>
  <si>
    <t>EXCHANGE RATES</t>
  </si>
  <si>
    <t>Buying</t>
  </si>
  <si>
    <t>Selling</t>
  </si>
  <si>
    <t>Avg. Ticket</t>
  </si>
  <si>
    <t>USD</t>
  </si>
  <si>
    <t>EUR</t>
  </si>
  <si>
    <t>GBP</t>
  </si>
  <si>
    <t>CHF</t>
  </si>
  <si>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</si>
  <si>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</si>
  <si>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</si>
  <si>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</si>
  <si>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</si>
  <si>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</si>
  <si>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</si>
  <si>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</si>
  <si>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</si>
  <si>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HOSTEL</t>
  </si>
  <si>
    <t>FUN WITH DICK &amp; JANE</t>
  </si>
  <si>
    <t>RUMOR HAS IT</t>
  </si>
  <si>
    <t>DABBE</t>
  </si>
  <si>
    <t>WALK THE LINE</t>
  </si>
  <si>
    <t>ZATHURA</t>
  </si>
  <si>
    <t># of
Screen</t>
  </si>
  <si>
    <t>Weeks in      Release</t>
  </si>
  <si>
    <t># of Last Weeks New Releases</t>
  </si>
  <si>
    <t>Total Admission of New Releases</t>
  </si>
  <si>
    <t>WARNER BROS.</t>
  </si>
  <si>
    <t>OZEN FILM</t>
  </si>
  <si>
    <t>U.I.P.</t>
  </si>
  <si>
    <t>KENDA</t>
  </si>
  <si>
    <t>UMUT SANAT</t>
  </si>
  <si>
    <t>CHANTIER FILMS</t>
  </si>
  <si>
    <t>CHICKEN LITTLE</t>
  </si>
  <si>
    <t>BAMBI 2</t>
  </si>
  <si>
    <t>*Sorted according to Week Total G.B.O. - Haftalık toplam hasılat sütununa göre sıralanmıştır.</t>
  </si>
  <si>
    <t>KORKUYORUM ANNE</t>
  </si>
  <si>
    <t>BEYZA'NIN KADINLARI</t>
  </si>
  <si>
    <t>MEDYAVIZYON</t>
  </si>
  <si>
    <t>LAST WEEK</t>
  </si>
  <si>
    <t>TOTAL</t>
  </si>
  <si>
    <t>DISTRIBUTORS CHART</t>
  </si>
  <si>
    <t>THIS WEEKS</t>
  </si>
  <si>
    <t>BROKEBACK MOUNTAIN</t>
  </si>
  <si>
    <t>CAPOTE</t>
  </si>
  <si>
    <t>HOODWINKED</t>
  </si>
  <si>
    <t>CRY_WOLF</t>
  </si>
  <si>
    <t>16 BLOCKS</t>
  </si>
  <si>
    <t>PINK PANTHER</t>
  </si>
  <si>
    <t>Company</t>
  </si>
  <si>
    <t>Distributor</t>
  </si>
  <si>
    <t>BASIC INSTINCT 2</t>
  </si>
  <si>
    <t>UNP</t>
  </si>
  <si>
    <t>C2 PICTURES</t>
  </si>
  <si>
    <t>V FOR VENDETTA</t>
  </si>
  <si>
    <t>WB</t>
  </si>
  <si>
    <t>UIP</t>
  </si>
  <si>
    <t>ALTIOKLAR</t>
  </si>
  <si>
    <t>OZEN</t>
  </si>
  <si>
    <t>FOX</t>
  </si>
  <si>
    <t>CASANOVA</t>
  </si>
  <si>
    <t>BUENA VISTA</t>
  </si>
  <si>
    <t>COLUMBIA</t>
  </si>
  <si>
    <t>J PLAN</t>
  </si>
  <si>
    <t>PANA</t>
  </si>
  <si>
    <t>FOCUS</t>
  </si>
  <si>
    <t>ATLANTIK</t>
  </si>
  <si>
    <t>UNIVERSAL</t>
  </si>
  <si>
    <t>CHANTIER</t>
  </si>
  <si>
    <t>PRA</t>
  </si>
  <si>
    <t>PARAMOUNT</t>
  </si>
  <si>
    <t>OZEN - UMUT</t>
  </si>
  <si>
    <t>DREAMWORKS</t>
  </si>
  <si>
    <t>SAME PERIOD LAST YEAR</t>
  </si>
  <si>
    <t>U.N.P.</t>
  </si>
  <si>
    <t>R FILM</t>
  </si>
  <si>
    <t>GEN</t>
  </si>
  <si>
    <t>TIGLON</t>
  </si>
  <si>
    <t>WOLF CREEK</t>
  </si>
  <si>
    <t>WEINSTEIN CO.</t>
  </si>
  <si>
    <t>IFR</t>
  </si>
  <si>
    <t>FIDA</t>
  </si>
  <si>
    <t>ASK THE DUST</t>
  </si>
  <si>
    <t>PHANTOM OF THE OPERA, THE</t>
  </si>
  <si>
    <t>BABAM VE OGLUM</t>
  </si>
  <si>
    <t>MADAGASCAR</t>
  </si>
  <si>
    <t>Weekly Movie Magazine Antrakt Presents - Haftalık Antrakt Sinema Gazetesi Sunar</t>
  </si>
  <si>
    <t>LUCKY NUMBER SLEVIN</t>
  </si>
  <si>
    <t>DESCENT, THE</t>
  </si>
  <si>
    <t>EIGHT BELOW</t>
  </si>
  <si>
    <t>WHEN A STRANGER CALLS</t>
  </si>
  <si>
    <t>SLITHER</t>
  </si>
  <si>
    <t>REZZO</t>
  </si>
  <si>
    <t>35 MILIM</t>
  </si>
  <si>
    <t>INSIDE MAN</t>
  </si>
  <si>
    <t>FINAL DESTINATION 3</t>
  </si>
  <si>
    <t>TWO FOR THE MONEY</t>
  </si>
  <si>
    <t>DATE MOVIE</t>
  </si>
  <si>
    <t>PI FILM</t>
  </si>
  <si>
    <t>MATADOR</t>
  </si>
  <si>
    <t>ANNE YA DA LEYLA</t>
  </si>
  <si>
    <t>SINEMA AJANS</t>
  </si>
  <si>
    <t>ORGANIZE ISLER</t>
  </si>
  <si>
    <t>BKM</t>
  </si>
  <si>
    <t>AVSAR FILM</t>
  </si>
  <si>
    <t>HILL HAVE EYES, THE</t>
  </si>
  <si>
    <t>MERCHANT OF VENICE</t>
  </si>
  <si>
    <t>NEW FILMS</t>
  </si>
  <si>
    <t>WILD, THE</t>
  </si>
  <si>
    <t>WORLD'S FASTEST INDIAN</t>
  </si>
  <si>
    <t>FILMPOP</t>
  </si>
  <si>
    <t>JE NE SUIS PAS LE POUR ETRE AIME</t>
  </si>
  <si>
    <t>ROAD TO GUANTANAMO, THE</t>
  </si>
  <si>
    <t>ODYSSEY</t>
  </si>
  <si>
    <t>PRIDE&amp;PREJUDICE</t>
  </si>
  <si>
    <t>NANNY  MCHPEE</t>
  </si>
  <si>
    <t>DA VINCI CODE</t>
  </si>
  <si>
    <t>KISIK ATESTE 15 DAKIKA</t>
  </si>
  <si>
    <t>MEDYAPIM</t>
  </si>
  <si>
    <t>ICE AGE 2: THE MELTDOWN</t>
  </si>
  <si>
    <t>COMBIEN TU M'AMIES</t>
  </si>
  <si>
    <t>VIZYON</t>
  </si>
  <si>
    <t>WEATHER MAN</t>
  </si>
  <si>
    <t>MATCH POINT</t>
  </si>
  <si>
    <t>WHAT THE BLEEP DO WE KNOW?</t>
  </si>
  <si>
    <t>BEE SEESON</t>
  </si>
  <si>
    <t>BIR FILM</t>
  </si>
  <si>
    <t>LE TEMPS QUI RESTE</t>
  </si>
  <si>
    <t>ALLEGRO</t>
  </si>
  <si>
    <t>CELLULOID</t>
  </si>
  <si>
    <t>DANDELION</t>
  </si>
  <si>
    <t>SUGARWORKZ</t>
  </si>
  <si>
    <t>LE GRAND VOYAGE</t>
  </si>
  <si>
    <t>ASKD</t>
  </si>
  <si>
    <t>DARK HORSE</t>
  </si>
  <si>
    <t>TRUST</t>
  </si>
  <si>
    <t>FALSCHER BEKENNER</t>
  </si>
  <si>
    <t>TRUST FILMS</t>
  </si>
  <si>
    <t>STOLEN EYES</t>
  </si>
  <si>
    <t>YAKA FILM</t>
  </si>
  <si>
    <t>MON ANGE</t>
  </si>
  <si>
    <t>MK2</t>
  </si>
  <si>
    <t>JOYEUX NOEL</t>
  </si>
  <si>
    <t>FILMS DIST.</t>
  </si>
  <si>
    <t>ENTRE SES MAINS</t>
  </si>
  <si>
    <t>ERMAN</t>
  </si>
  <si>
    <t>4</t>
  </si>
  <si>
    <t>7</t>
  </si>
  <si>
    <t>3</t>
  </si>
  <si>
    <t>6</t>
  </si>
  <si>
    <t>5</t>
  </si>
  <si>
    <t>Screen Avg. (Adm.)</t>
  </si>
  <si>
    <t>Release Date</t>
  </si>
  <si>
    <t>Week in Release</t>
  </si>
  <si>
    <t>Avg. Ticket Price</t>
  </si>
  <si>
    <t>G.B.O. YTL</t>
  </si>
  <si>
    <t>HABABAM SINIFI UCBUCUK</t>
  </si>
  <si>
    <t>ARZU - FIDA</t>
  </si>
  <si>
    <t>KELOGLAN KARA PRENS'E KARSI</t>
  </si>
  <si>
    <t>ENERGY</t>
  </si>
  <si>
    <t>NARNIA</t>
  </si>
  <si>
    <t>MUNICH</t>
  </si>
  <si>
    <t>MEMOIRS OF A GEISHA</t>
  </si>
  <si>
    <t>FOG, THE</t>
  </si>
  <si>
    <t>NEW WORLD, THE</t>
  </si>
  <si>
    <t>TIGER AND THE SNOW, THE</t>
  </si>
  <si>
    <t>SYRIANA</t>
  </si>
  <si>
    <t>PROOF</t>
  </si>
  <si>
    <t>METRO</t>
  </si>
  <si>
    <t>AEON FLUX</t>
  </si>
  <si>
    <t>BIG MOMMA'S HOUSE 2</t>
  </si>
  <si>
    <t>FAMILY STONE,THE</t>
  </si>
  <si>
    <t>DREAMER</t>
  </si>
  <si>
    <t>PINEMA</t>
  </si>
  <si>
    <t>SAINT ANGE</t>
  </si>
  <si>
    <t>JARHEAD</t>
  </si>
  <si>
    <t>DUN GECE BIR RUYA GORDUM</t>
  </si>
  <si>
    <t>TRAVMA</t>
  </si>
  <si>
    <t>GOOD NIGHT &amp; GOOD LUCK</t>
  </si>
  <si>
    <t>RED SHOES</t>
  </si>
  <si>
    <t>CINECLICK ASIA</t>
  </si>
  <si>
    <t>CACHE</t>
  </si>
  <si>
    <t>BELGE FILM</t>
  </si>
  <si>
    <t>SQUID AND THE WHALE, THE</t>
  </si>
  <si>
    <t>BARBAR FILM</t>
  </si>
  <si>
    <t>SONY PICTURES</t>
  </si>
  <si>
    <t>ME AND YOU AND EVERYONE WE KNOW</t>
  </si>
  <si>
    <t>LADIES IN LAVENDER</t>
  </si>
  <si>
    <t>LAKESHORE</t>
  </si>
  <si>
    <t>OYUN</t>
  </si>
  <si>
    <t>SINE FILM</t>
  </si>
  <si>
    <t>SEX &amp; PHILOSOPHY</t>
  </si>
  <si>
    <t>WILD BUNCH</t>
  </si>
  <si>
    <t>LES TEMPS QUI CHANGENT</t>
  </si>
  <si>
    <t>FRANCE</t>
  </si>
  <si>
    <t>FATELESS</t>
  </si>
  <si>
    <t>H20</t>
  </si>
  <si>
    <t>RABBIT ON THE MOON</t>
  </si>
  <si>
    <t>LIMON - CAPITOL</t>
  </si>
  <si>
    <t>ZOZO</t>
  </si>
  <si>
    <t>HAYALEVI</t>
  </si>
  <si>
    <t>ENEL MUNDO E CADA RATO</t>
  </si>
  <si>
    <t>UNICEF</t>
  </si>
  <si>
    <t>CERTI BAMBINI</t>
  </si>
  <si>
    <t># of Films</t>
  </si>
  <si>
    <t># of Total
Prints</t>
  </si>
  <si>
    <t>LOCAL FILMS</t>
  </si>
  <si>
    <t>FOREIGN FILMS</t>
  </si>
  <si>
    <t>All Week's Total in 2006</t>
  </si>
  <si>
    <t>Prints</t>
  </si>
  <si>
    <t>Print Avg. G.B.O.</t>
  </si>
  <si>
    <t>SHE'S THE MAN</t>
  </si>
  <si>
    <t>DERAILED</t>
  </si>
  <si>
    <t>ETERNAL SUNSHINE OF THE SPOTLESS MIND</t>
  </si>
  <si>
    <t>X MEN: THE LAST STAND</t>
  </si>
  <si>
    <t>63 FILMS SHOWN</t>
  </si>
  <si>
    <t>2006 Türkiye Annual Box Office Report / 30 Dec' - 01 Jun' '06</t>
  </si>
  <si>
    <t>81 FILMS SHOWN</t>
  </si>
  <si>
    <t>OMEN 666</t>
  </si>
  <si>
    <t>SHAGGY DOG</t>
  </si>
  <si>
    <t>CINEMEDYA</t>
  </si>
  <si>
    <t>35</t>
  </si>
  <si>
    <t>CONSTANT GARDENER</t>
  </si>
  <si>
    <t xml:space="preserve">MISSION IMPOSSIBLE 3 </t>
  </si>
  <si>
    <t>PEINDRE OU FAIRE L'AMOUR</t>
  </si>
  <si>
    <t>SUGAR WORKZ</t>
  </si>
  <si>
    <t>C.R.A.Z.Y.</t>
  </si>
  <si>
    <t>14</t>
  </si>
  <si>
    <t>KINGDOM OF HEAVEN</t>
  </si>
  <si>
    <t>10</t>
  </si>
  <si>
    <t>STRAY DOGS</t>
  </si>
  <si>
    <t>LIMON</t>
  </si>
  <si>
    <t>2</t>
  </si>
  <si>
    <t>VA, VIE &amp; DEVIENS</t>
  </si>
  <si>
    <t>BIR F. - ERMAN F.</t>
  </si>
  <si>
    <t>BOW, THE</t>
  </si>
  <si>
    <t>MILLIONS</t>
  </si>
  <si>
    <t>PATHE</t>
  </si>
  <si>
    <t>TONY TAKITANI</t>
  </si>
  <si>
    <t>TURTLES CAN FLY</t>
  </si>
  <si>
    <t>BIN JIP</t>
  </si>
  <si>
    <t>MANDERLAY</t>
  </si>
  <si>
    <t>8</t>
  </si>
  <si>
    <t>RING FINGER, THE</t>
  </si>
  <si>
    <t>ERMAN FILM</t>
  </si>
  <si>
    <t>9</t>
  </si>
  <si>
    <t>72 FILMS SHOWN</t>
  </si>
  <si>
    <t>08.06.2006 - 15.30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</si>
</sst>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8"/>
      <name val="Trebuchet MS"/>
      <family val="0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sz val="20"/>
      <color indexed="44"/>
      <name val="GoudyLight"/>
      <family val="0"/>
    </font>
    <font>
      <i/>
      <sz val="9"/>
      <name val="Arial"/>
      <family val="2"/>
    </font>
    <font>
      <b/>
      <sz val="10"/>
      <color indexed="9"/>
      <name val="Trebuchet MS"/>
      <family val="2"/>
    </font>
    <font>
      <b/>
      <sz val="10"/>
      <color indexed="10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Verdana"/>
      <family val="0"/>
    </font>
    <font>
      <b/>
      <sz val="10"/>
      <color indexed="18"/>
      <name val="Trebuchet MS"/>
      <family val="0"/>
    </font>
    <font>
      <sz val="8"/>
      <color indexed="10"/>
      <name val="Trebuchet MS"/>
      <family val="0"/>
    </font>
    <font>
      <sz val="10"/>
      <name val="Century Gothic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8"/>
      <name val="Albertus Extra Bold"/>
      <family val="0"/>
    </font>
    <font>
      <sz val="25"/>
      <color indexed="9"/>
      <name val="Impact"/>
      <family val="0"/>
    </font>
    <font>
      <sz val="8"/>
      <name val="Arial"/>
      <family val="2"/>
    </font>
    <font>
      <b/>
      <sz val="10"/>
      <color indexed="9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43" fontId="3" fillId="0" borderId="0" xfId="15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92" fontId="13" fillId="0" borderId="0" xfId="15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3" fillId="0" borderId="3" xfId="0" applyFont="1" applyFill="1" applyBorder="1" applyAlignment="1" applyProtection="1">
      <alignment horizontal="right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Fill="1" applyBorder="1" applyAlignment="1" applyProtection="1">
      <alignment horizontal="left" vertical="center" indent="1"/>
      <protection locked="0"/>
    </xf>
    <xf numFmtId="0" fontId="13" fillId="0" borderId="4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19" fillId="0" borderId="9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13" fillId="0" borderId="0" xfId="0" applyNumberFormat="1" applyFont="1" applyFill="1" applyBorder="1" applyAlignment="1" applyProtection="1">
      <alignment horizontal="center" vertical="center"/>
      <protection locked="0"/>
    </xf>
    <xf numFmtId="18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2" fillId="2" borderId="10" xfId="0" applyFont="1" applyFill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vertical="center"/>
    </xf>
    <xf numFmtId="184" fontId="19" fillId="0" borderId="9" xfId="0" applyNumberFormat="1" applyFont="1" applyFill="1" applyBorder="1" applyAlignment="1">
      <alignment horizontal="center" vertical="center"/>
    </xf>
    <xf numFmtId="184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13" fillId="0" borderId="4" xfId="0" applyNumberFormat="1" applyFont="1" applyFill="1" applyBorder="1" applyAlignment="1" applyProtection="1">
      <alignment horizontal="center" vertical="center"/>
      <protection locked="0"/>
    </xf>
    <xf numFmtId="187" fontId="22" fillId="2" borderId="1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192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vertical="center"/>
      <protection locked="0"/>
    </xf>
    <xf numFmtId="187" fontId="24" fillId="0" borderId="0" xfId="0" applyNumberFormat="1" applyFont="1" applyFill="1" applyBorder="1" applyAlignment="1" applyProtection="1">
      <alignment horizontal="right" vertical="center"/>
      <protection/>
    </xf>
    <xf numFmtId="187" fontId="25" fillId="0" borderId="0" xfId="0" applyNumberFormat="1" applyFont="1" applyFill="1" applyBorder="1" applyAlignment="1" applyProtection="1">
      <alignment horizontal="right" vertical="center"/>
      <protection locked="0"/>
    </xf>
    <xf numFmtId="187" fontId="26" fillId="0" borderId="0" xfId="0" applyNumberFormat="1" applyFont="1" applyFill="1" applyBorder="1" applyAlignment="1" applyProtection="1">
      <alignment horizontal="right" vertical="center"/>
      <protection locked="0"/>
    </xf>
    <xf numFmtId="18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192" fontId="3" fillId="0" borderId="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vertical="center"/>
      <protection locked="0"/>
    </xf>
    <xf numFmtId="193" fontId="19" fillId="0" borderId="9" xfId="0" applyNumberFormat="1" applyFont="1" applyFill="1" applyBorder="1" applyAlignment="1">
      <alignment vertical="center"/>
    </xf>
    <xf numFmtId="192" fontId="19" fillId="0" borderId="12" xfId="22" applyNumberFormat="1" applyFont="1" applyFill="1" applyBorder="1" applyAlignment="1" applyProtection="1">
      <alignment vertical="center"/>
      <protection/>
    </xf>
    <xf numFmtId="192" fontId="19" fillId="0" borderId="12" xfId="15" applyNumberFormat="1" applyFont="1" applyFill="1" applyBorder="1" applyAlignment="1" applyProtection="1">
      <alignment vertical="center"/>
      <protection/>
    </xf>
    <xf numFmtId="193" fontId="19" fillId="0" borderId="9" xfId="15" applyNumberFormat="1" applyFont="1" applyFill="1" applyBorder="1" applyAlignment="1">
      <alignment vertical="center"/>
    </xf>
    <xf numFmtId="193" fontId="19" fillId="0" borderId="9" xfId="0" applyNumberFormat="1" applyFont="1" applyFill="1" applyBorder="1" applyAlignment="1" applyProtection="1">
      <alignment vertical="center"/>
      <protection locked="0"/>
    </xf>
    <xf numFmtId="193" fontId="19" fillId="0" borderId="9" xfId="15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187" fontId="29" fillId="0" borderId="0" xfId="0" applyNumberFormat="1" applyFont="1" applyFill="1" applyBorder="1" applyAlignment="1" applyProtection="1">
      <alignment horizontal="right" vertical="center"/>
      <protection locked="0"/>
    </xf>
    <xf numFmtId="192" fontId="19" fillId="0" borderId="0" xfId="0" applyNumberFormat="1" applyFont="1" applyFill="1" applyBorder="1" applyAlignment="1" applyProtection="1">
      <alignment vertical="center"/>
      <protection locked="0"/>
    </xf>
    <xf numFmtId="187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84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right" vertical="center"/>
      <protection locked="0"/>
    </xf>
    <xf numFmtId="0" fontId="19" fillId="0" borderId="6" xfId="0" applyNumberFormat="1" applyFont="1" applyFill="1" applyBorder="1" applyAlignment="1" applyProtection="1">
      <alignment horizontal="center" vertical="center"/>
      <protection locked="0"/>
    </xf>
    <xf numFmtId="4" fontId="18" fillId="0" borderId="6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6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4" fontId="18" fillId="0" borderId="7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7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right" vertical="center"/>
      <protection locked="0"/>
    </xf>
    <xf numFmtId="49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left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193" fontId="19" fillId="0" borderId="9" xfId="0" applyNumberFormat="1" applyFont="1" applyBorder="1" applyAlignment="1">
      <alignment vertical="center"/>
    </xf>
    <xf numFmtId="0" fontId="30" fillId="0" borderId="6" xfId="0" applyNumberFormat="1" applyFont="1" applyFill="1" applyBorder="1" applyAlignment="1" applyProtection="1">
      <alignment horizontal="center" vertical="center"/>
      <protection locked="0"/>
    </xf>
    <xf numFmtId="0" fontId="30" fillId="0" borderId="16" xfId="0" applyNumberFormat="1" applyFont="1" applyFill="1" applyBorder="1" applyAlignment="1" applyProtection="1">
      <alignment horizontal="center" vertical="center"/>
      <protection locked="0"/>
    </xf>
    <xf numFmtId="0" fontId="30" fillId="0" borderId="7" xfId="0" applyNumberFormat="1" applyFont="1" applyFill="1" applyBorder="1" applyAlignment="1" applyProtection="1">
      <alignment horizontal="center" vertical="center"/>
      <protection locked="0"/>
    </xf>
    <xf numFmtId="0" fontId="30" fillId="0" borderId="18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>
      <alignment vertical="center"/>
    </xf>
    <xf numFmtId="193" fontId="19" fillId="3" borderId="9" xfId="15" applyNumberFormat="1" applyFont="1" applyFill="1" applyBorder="1" applyAlignment="1">
      <alignment vertical="center"/>
    </xf>
    <xf numFmtId="184" fontId="19" fillId="3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87" fontId="19" fillId="0" borderId="9" xfId="15" applyNumberFormat="1" applyFont="1" applyFill="1" applyBorder="1" applyAlignment="1" applyProtection="1">
      <alignment horizontal="right" vertical="center"/>
      <protection locked="0"/>
    </xf>
    <xf numFmtId="0" fontId="19" fillId="0" borderId="9" xfId="0" applyFont="1" applyFill="1" applyBorder="1" applyAlignment="1">
      <alignment horizontal="left"/>
    </xf>
    <xf numFmtId="184" fontId="19" fillId="0" borderId="9" xfId="0" applyNumberFormat="1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center" vertical="center"/>
    </xf>
    <xf numFmtId="187" fontId="19" fillId="0" borderId="9" xfId="15" applyNumberFormat="1" applyFont="1" applyFill="1" applyBorder="1" applyAlignment="1" applyProtection="1">
      <alignment horizontal="right" vertical="center"/>
      <protection/>
    </xf>
    <xf numFmtId="193" fontId="19" fillId="0" borderId="9" xfId="22" applyNumberFormat="1" applyFont="1" applyFill="1" applyBorder="1" applyAlignment="1" applyProtection="1">
      <alignment horizontal="right" vertical="center"/>
      <protection/>
    </xf>
    <xf numFmtId="193" fontId="19" fillId="0" borderId="9" xfId="0" applyNumberFormat="1" applyFont="1" applyFill="1" applyBorder="1" applyAlignment="1">
      <alignment horizontal="right" vertical="center"/>
    </xf>
    <xf numFmtId="187" fontId="19" fillId="0" borderId="9" xfId="0" applyNumberFormat="1" applyFont="1" applyFill="1" applyBorder="1" applyAlignment="1">
      <alignment horizontal="right" vertical="center"/>
    </xf>
    <xf numFmtId="49" fontId="19" fillId="0" borderId="9" xfId="15" applyNumberFormat="1" applyFont="1" applyFill="1" applyBorder="1" applyAlignment="1">
      <alignment vertical="center"/>
    </xf>
    <xf numFmtId="184" fontId="19" fillId="0" borderId="9" xfId="15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 applyProtection="1">
      <alignment vertical="center"/>
      <protection locked="0"/>
    </xf>
    <xf numFmtId="184" fontId="19" fillId="0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187" fontId="19" fillId="0" borderId="20" xfId="15" applyNumberFormat="1" applyFont="1" applyFill="1" applyBorder="1" applyAlignment="1" applyProtection="1">
      <alignment horizontal="right" vertical="center"/>
      <protection locked="0"/>
    </xf>
    <xf numFmtId="193" fontId="5" fillId="0" borderId="21" xfId="0" applyNumberFormat="1" applyFont="1" applyFill="1" applyBorder="1" applyAlignment="1" applyProtection="1">
      <alignment horizontal="center" vertical="center" wrapText="1"/>
      <protection/>
    </xf>
    <xf numFmtId="192" fontId="5" fillId="0" borderId="21" xfId="0" applyNumberFormat="1" applyFont="1" applyFill="1" applyBorder="1" applyAlignment="1" applyProtection="1">
      <alignment horizontal="center" vertical="center" wrapText="1"/>
      <protection/>
    </xf>
    <xf numFmtId="192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19" fillId="0" borderId="9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vertical="center"/>
    </xf>
    <xf numFmtId="184" fontId="33" fillId="2" borderId="9" xfId="0" applyNumberFormat="1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3" fontId="33" fillId="2" borderId="9" xfId="0" applyNumberFormat="1" applyFont="1" applyFill="1" applyBorder="1" applyAlignment="1">
      <alignment horizontal="center" vertical="center"/>
    </xf>
    <xf numFmtId="192" fontId="33" fillId="2" borderId="9" xfId="0" applyNumberFormat="1" applyFont="1" applyFill="1" applyBorder="1" applyAlignment="1">
      <alignment vertical="center"/>
    </xf>
    <xf numFmtId="187" fontId="18" fillId="0" borderId="9" xfId="15" applyNumberFormat="1" applyFont="1" applyFill="1" applyBorder="1" applyAlignment="1" applyProtection="1">
      <alignment horizontal="right" vertical="center"/>
      <protection locked="0"/>
    </xf>
    <xf numFmtId="187" fontId="18" fillId="0" borderId="9" xfId="0" applyNumberFormat="1" applyFont="1" applyFill="1" applyBorder="1" applyAlignment="1">
      <alignment horizontal="right"/>
    </xf>
    <xf numFmtId="187" fontId="18" fillId="0" borderId="9" xfId="0" applyNumberFormat="1" applyFont="1" applyFill="1" applyBorder="1" applyAlignment="1" applyProtection="1">
      <alignment horizontal="right" vertical="center"/>
      <protection locked="0"/>
    </xf>
    <xf numFmtId="187" fontId="18" fillId="0" borderId="9" xfId="15" applyNumberFormat="1" applyFont="1" applyFill="1" applyBorder="1" applyAlignment="1" applyProtection="1">
      <alignment horizontal="right" vertical="center"/>
      <protection/>
    </xf>
    <xf numFmtId="187" fontId="18" fillId="0" borderId="9" xfId="0" applyNumberFormat="1" applyFont="1" applyFill="1" applyBorder="1" applyAlignment="1">
      <alignment horizontal="right" vertical="center"/>
    </xf>
    <xf numFmtId="187" fontId="18" fillId="0" borderId="9" xfId="15" applyNumberFormat="1" applyFont="1" applyFill="1" applyBorder="1" applyAlignment="1">
      <alignment horizontal="right" vertical="center"/>
    </xf>
    <xf numFmtId="49" fontId="19" fillId="0" borderId="9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 applyProtection="1">
      <alignment horizontal="left" vertical="center"/>
      <protection locked="0"/>
    </xf>
    <xf numFmtId="0" fontId="19" fillId="3" borderId="9" xfId="0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49" fontId="19" fillId="0" borderId="9" xfId="15" applyNumberFormat="1" applyFont="1" applyFill="1" applyBorder="1" applyAlignment="1">
      <alignment horizontal="left" vertical="center"/>
    </xf>
    <xf numFmtId="0" fontId="19" fillId="0" borderId="9" xfId="0" applyNumberFormat="1" applyFont="1" applyFill="1" applyBorder="1" applyAlignment="1">
      <alignment vertical="center"/>
    </xf>
    <xf numFmtId="193" fontId="12" fillId="0" borderId="0" xfId="0" applyNumberFormat="1" applyFont="1" applyFill="1" applyBorder="1" applyAlignment="1" applyProtection="1">
      <alignment horizontal="right" vertical="center"/>
      <protection locked="0"/>
    </xf>
    <xf numFmtId="193" fontId="13" fillId="0" borderId="0" xfId="0" applyNumberFormat="1" applyFont="1" applyFill="1" applyBorder="1" applyAlignment="1" applyProtection="1">
      <alignment horizontal="right" vertical="center"/>
      <protection locked="0"/>
    </xf>
    <xf numFmtId="193" fontId="27" fillId="0" borderId="9" xfId="0" applyNumberFormat="1" applyFont="1" applyFill="1" applyBorder="1" applyAlignment="1">
      <alignment horizontal="right"/>
    </xf>
    <xf numFmtId="193" fontId="3" fillId="0" borderId="0" xfId="0" applyNumberFormat="1" applyFont="1" applyFill="1" applyBorder="1" applyAlignment="1" applyProtection="1">
      <alignment horizontal="right" vertical="center"/>
      <protection/>
    </xf>
    <xf numFmtId="193" fontId="19" fillId="0" borderId="9" xfId="15" applyNumberFormat="1" applyFont="1" applyFill="1" applyBorder="1" applyAlignment="1" applyProtection="1">
      <alignment horizontal="right" vertical="center"/>
      <protection locked="0"/>
    </xf>
    <xf numFmtId="193" fontId="19" fillId="0" borderId="9" xfId="0" applyNumberFormat="1" applyFont="1" applyFill="1" applyBorder="1" applyAlignment="1" applyProtection="1">
      <alignment horizontal="right" vertical="center"/>
      <protection locked="0"/>
    </xf>
    <xf numFmtId="193" fontId="19" fillId="0" borderId="9" xfId="15" applyNumberFormat="1" applyFont="1" applyFill="1" applyBorder="1" applyAlignment="1">
      <alignment horizontal="right" vertical="center"/>
    </xf>
    <xf numFmtId="193" fontId="33" fillId="2" borderId="9" xfId="0" applyNumberFormat="1" applyFont="1" applyFill="1" applyBorder="1" applyAlignment="1">
      <alignment horizontal="right" vertical="center"/>
    </xf>
    <xf numFmtId="193" fontId="19" fillId="0" borderId="0" xfId="0" applyNumberFormat="1" applyFont="1" applyFill="1" applyBorder="1" applyAlignment="1" applyProtection="1">
      <alignment horizontal="right"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187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left" vertical="center"/>
      <protection locked="0"/>
    </xf>
    <xf numFmtId="0" fontId="31" fillId="0" borderId="8" xfId="0" applyFont="1" applyFill="1" applyBorder="1" applyAlignment="1" applyProtection="1">
      <alignment vertical="center"/>
      <protection/>
    </xf>
    <xf numFmtId="193" fontId="19" fillId="0" borderId="10" xfId="0" applyNumberFormat="1" applyFont="1" applyFill="1" applyBorder="1" applyAlignment="1">
      <alignment horizontal="right" vertical="center"/>
    </xf>
    <xf numFmtId="0" fontId="19" fillId="2" borderId="8" xfId="0" applyFont="1" applyFill="1" applyBorder="1" applyAlignment="1" applyProtection="1">
      <alignment vertical="center"/>
      <protection locked="0"/>
    </xf>
    <xf numFmtId="0" fontId="19" fillId="2" borderId="11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>
      <alignment vertical="center"/>
    </xf>
    <xf numFmtId="184" fontId="33" fillId="2" borderId="10" xfId="0" applyNumberFormat="1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3" fontId="33" fillId="2" borderId="10" xfId="0" applyNumberFormat="1" applyFont="1" applyFill="1" applyBorder="1" applyAlignment="1">
      <alignment horizontal="center" vertical="center"/>
    </xf>
    <xf numFmtId="193" fontId="33" fillId="2" borderId="10" xfId="0" applyNumberFormat="1" applyFont="1" applyFill="1" applyBorder="1" applyAlignment="1">
      <alignment horizontal="right" vertical="center"/>
    </xf>
    <xf numFmtId="192" fontId="33" fillId="2" borderId="10" xfId="0" applyNumberFormat="1" applyFont="1" applyFill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204" fontId="19" fillId="0" borderId="9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187" fontId="18" fillId="0" borderId="9" xfId="0" applyNumberFormat="1" applyFont="1" applyBorder="1" applyAlignment="1">
      <alignment vertical="center"/>
    </xf>
    <xf numFmtId="187" fontId="18" fillId="3" borderId="9" xfId="15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4" fontId="19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187" fontId="18" fillId="0" borderId="9" xfId="0" applyNumberFormat="1" applyFont="1" applyFill="1" applyBorder="1" applyAlignment="1">
      <alignment vertical="center"/>
    </xf>
    <xf numFmtId="187" fontId="18" fillId="0" borderId="9" xfId="15" applyNumberFormat="1" applyFont="1" applyFill="1" applyBorder="1" applyAlignment="1">
      <alignment vertical="center"/>
    </xf>
    <xf numFmtId="187" fontId="34" fillId="0" borderId="9" xfId="15" applyNumberFormat="1" applyFont="1" applyFill="1" applyBorder="1" applyAlignment="1">
      <alignment vertical="center"/>
    </xf>
    <xf numFmtId="193" fontId="27" fillId="0" borderId="9" xfId="0" applyNumberFormat="1" applyFont="1" applyFill="1" applyBorder="1" applyAlignment="1">
      <alignment vertical="center"/>
    </xf>
    <xf numFmtId="184" fontId="19" fillId="0" borderId="9" xfId="0" applyNumberFormat="1" applyFont="1" applyFill="1" applyBorder="1" applyAlignment="1" applyProtection="1">
      <alignment horizontal="left" vertical="center"/>
      <protection locked="0"/>
    </xf>
    <xf numFmtId="187" fontId="18" fillId="0" borderId="9" xfId="15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184" fontId="19" fillId="0" borderId="9" xfId="0" applyNumberFormat="1" applyFont="1" applyFill="1" applyBorder="1" applyAlignment="1" applyProtection="1">
      <alignment vertical="center"/>
      <protection locked="0"/>
    </xf>
    <xf numFmtId="192" fontId="19" fillId="0" borderId="12" xfId="0" applyNumberFormat="1" applyFont="1" applyFill="1" applyBorder="1" applyAlignment="1">
      <alignment vertical="center"/>
    </xf>
    <xf numFmtId="187" fontId="18" fillId="0" borderId="9" xfId="15" applyNumberFormat="1" applyFont="1" applyFill="1" applyBorder="1" applyAlignment="1" applyProtection="1">
      <alignment vertical="center"/>
      <protection/>
    </xf>
    <xf numFmtId="0" fontId="19" fillId="0" borderId="9" xfId="0" applyNumberFormat="1" applyFont="1" applyFill="1" applyBorder="1" applyAlignment="1" applyProtection="1">
      <alignment vertical="center"/>
      <protection locked="0"/>
    </xf>
    <xf numFmtId="0" fontId="19" fillId="0" borderId="9" xfId="0" applyNumberFormat="1" applyFont="1" applyFill="1" applyBorder="1" applyAlignment="1" applyProtection="1">
      <alignment horizontal="center" vertical="center"/>
      <protection locked="0"/>
    </xf>
    <xf numFmtId="184" fontId="19" fillId="3" borderId="9" xfId="15" applyNumberFormat="1" applyFont="1" applyFill="1" applyBorder="1" applyAlignment="1">
      <alignment horizontal="center" vertical="center"/>
    </xf>
    <xf numFmtId="0" fontId="19" fillId="0" borderId="9" xfId="19" applyFont="1" applyFill="1" applyBorder="1" applyAlignment="1" applyProtection="1">
      <alignment vertical="center"/>
      <protection locked="0"/>
    </xf>
    <xf numFmtId="187" fontId="18" fillId="0" borderId="9" xfId="0" applyNumberFormat="1" applyFont="1" applyFill="1" applyBorder="1" applyAlignment="1" applyProtection="1">
      <alignment vertical="center"/>
      <protection locked="0"/>
    </xf>
    <xf numFmtId="197" fontId="19" fillId="0" borderId="9" xfId="0" applyNumberFormat="1" applyFont="1" applyFill="1" applyBorder="1" applyAlignment="1">
      <alignment vertical="center"/>
    </xf>
    <xf numFmtId="3" fontId="19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right" vertical="center"/>
    </xf>
    <xf numFmtId="0" fontId="23" fillId="2" borderId="11" xfId="0" applyFont="1" applyFill="1" applyBorder="1" applyAlignment="1">
      <alignment vertical="center"/>
    </xf>
    <xf numFmtId="3" fontId="22" fillId="2" borderId="10" xfId="0" applyNumberFormat="1" applyFont="1" applyFill="1" applyBorder="1" applyAlignment="1">
      <alignment horizontal="right" vertical="center" indent="1"/>
    </xf>
    <xf numFmtId="2" fontId="22" fillId="2" borderId="26" xfId="0" applyNumberFormat="1" applyFont="1" applyFill="1" applyBorder="1" applyAlignment="1">
      <alignment horizontal="right" vertical="center" indent="1"/>
    </xf>
    <xf numFmtId="0" fontId="3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7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right" vertical="center" indent="1"/>
    </xf>
    <xf numFmtId="2" fontId="0" fillId="0" borderId="0" xfId="0" applyNumberFormat="1" applyFont="1" applyFill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0" fontId="5" fillId="0" borderId="2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8" fillId="0" borderId="0" xfId="0" applyFont="1" applyFill="1" applyAlignment="1">
      <alignment horizontal="right" vertical="center"/>
    </xf>
    <xf numFmtId="0" fontId="5" fillId="0" borderId="24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wrapText="1"/>
    </xf>
    <xf numFmtId="3" fontId="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5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187" fontId="18" fillId="0" borderId="20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horizontal="right" vertical="center" indent="1"/>
    </xf>
    <xf numFmtId="2" fontId="19" fillId="0" borderId="27" xfId="0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 vertical="center"/>
    </xf>
    <xf numFmtId="187" fontId="18" fillId="0" borderId="29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horizontal="right" vertical="center" indent="1"/>
    </xf>
    <xf numFmtId="2" fontId="19" fillId="0" borderId="30" xfId="0" applyNumberFormat="1" applyFont="1" applyBorder="1" applyAlignment="1">
      <alignment horizontal="right" vertical="center" indent="1"/>
    </xf>
    <xf numFmtId="0" fontId="22" fillId="2" borderId="31" xfId="0" applyFont="1" applyFill="1" applyBorder="1" applyAlignment="1">
      <alignment vertical="center"/>
    </xf>
    <xf numFmtId="0" fontId="22" fillId="2" borderId="32" xfId="0" applyFont="1" applyFill="1" applyBorder="1" applyAlignment="1">
      <alignment vertical="center"/>
    </xf>
    <xf numFmtId="0" fontId="22" fillId="2" borderId="32" xfId="0" applyFont="1" applyFill="1" applyBorder="1" applyAlignment="1">
      <alignment horizontal="center" vertical="center"/>
    </xf>
    <xf numFmtId="3" fontId="22" fillId="2" borderId="32" xfId="0" applyNumberFormat="1" applyFont="1" applyFill="1" applyBorder="1" applyAlignment="1">
      <alignment horizontal="center" vertical="center"/>
    </xf>
    <xf numFmtId="187" fontId="22" fillId="2" borderId="32" xfId="0" applyNumberFormat="1" applyFont="1" applyFill="1" applyBorder="1" applyAlignment="1">
      <alignment vertical="center"/>
    </xf>
    <xf numFmtId="3" fontId="22" fillId="2" borderId="32" xfId="0" applyNumberFormat="1" applyFont="1" applyFill="1" applyBorder="1" applyAlignment="1">
      <alignment horizontal="right" vertical="center" indent="1"/>
    </xf>
    <xf numFmtId="2" fontId="22" fillId="2" borderId="33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187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/>
    </xf>
    <xf numFmtId="0" fontId="19" fillId="0" borderId="13" xfId="0" applyFont="1" applyFill="1" applyBorder="1" applyAlignment="1" applyProtection="1">
      <alignment horizontal="right" vertical="center"/>
      <protection locked="0"/>
    </xf>
    <xf numFmtId="0" fontId="19" fillId="0" borderId="19" xfId="0" applyNumberFormat="1" applyFont="1" applyFill="1" applyBorder="1" applyAlignment="1" applyProtection="1">
      <alignment horizontal="center" vertical="center"/>
      <protection locked="0"/>
    </xf>
    <xf numFmtId="4" fontId="22" fillId="4" borderId="19" xfId="0" applyNumberFormat="1" applyFont="1" applyFill="1" applyBorder="1" applyAlignment="1" applyProtection="1">
      <alignment horizontal="right" vertical="center" indent="1"/>
      <protection locked="0"/>
    </xf>
    <xf numFmtId="193" fontId="22" fillId="4" borderId="19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34" xfId="0" applyNumberFormat="1" applyFont="1" applyFill="1" applyBorder="1" applyAlignment="1" applyProtection="1">
      <alignment horizontal="right" vertical="center" indent="1"/>
      <protection locked="0"/>
    </xf>
    <xf numFmtId="193" fontId="22" fillId="4" borderId="34" xfId="0" applyNumberFormat="1" applyFont="1" applyFill="1" applyBorder="1" applyAlignment="1" applyProtection="1">
      <alignment horizontal="right" vertical="center" indent="1"/>
      <protection locked="0"/>
    </xf>
    <xf numFmtId="192" fontId="18" fillId="0" borderId="35" xfId="0" applyNumberFormat="1" applyFont="1" applyFill="1" applyBorder="1" applyAlignment="1" applyProtection="1">
      <alignment horizontal="center" vertical="center"/>
      <protection locked="0"/>
    </xf>
    <xf numFmtId="193" fontId="19" fillId="0" borderId="36" xfId="0" applyNumberFormat="1" applyFont="1" applyFill="1" applyBorder="1" applyAlignment="1" applyProtection="1">
      <alignment horizontal="right" vertical="center" indent="1"/>
      <protection locked="0"/>
    </xf>
    <xf numFmtId="192" fontId="18" fillId="0" borderId="18" xfId="0" applyNumberFormat="1" applyFont="1" applyFill="1" applyBorder="1" applyAlignment="1" applyProtection="1">
      <alignment horizontal="center" vertical="center"/>
      <protection locked="0"/>
    </xf>
    <xf numFmtId="193" fontId="22" fillId="4" borderId="36" xfId="0" applyNumberFormat="1" applyFont="1" applyFill="1" applyBorder="1" applyAlignment="1" applyProtection="1">
      <alignment horizontal="right" vertical="center" indent="1"/>
      <protection locked="0"/>
    </xf>
    <xf numFmtId="0" fontId="22" fillId="4" borderId="7" xfId="0" applyNumberFormat="1" applyFont="1" applyFill="1" applyBorder="1" applyAlignment="1" applyProtection="1">
      <alignment horizontal="center" vertical="center"/>
      <protection locked="0"/>
    </xf>
    <xf numFmtId="192" fontId="22" fillId="4" borderId="18" xfId="0" applyNumberFormat="1" applyFont="1" applyFill="1" applyBorder="1" applyAlignment="1" applyProtection="1">
      <alignment horizontal="center" vertical="center"/>
      <protection locked="0"/>
    </xf>
    <xf numFmtId="4" fontId="18" fillId="0" borderId="4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4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37" xfId="0" applyNumberFormat="1" applyFont="1" applyFill="1" applyBorder="1" applyAlignment="1" applyProtection="1">
      <alignment horizontal="right" vertical="center" indent="1"/>
      <protection locked="0"/>
    </xf>
    <xf numFmtId="192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19" fillId="0" borderId="9" xfId="0" applyFont="1" applyBorder="1" applyAlignment="1">
      <alignment horizontal="left"/>
    </xf>
    <xf numFmtId="197" fontId="19" fillId="0" borderId="9" xfId="0" applyNumberFormat="1" applyFont="1" applyFill="1" applyBorder="1" applyAlignment="1">
      <alignment horizontal="left" vertical="center"/>
    </xf>
    <xf numFmtId="0" fontId="19" fillId="0" borderId="9" xfId="0" applyFont="1" applyBorder="1" applyAlignment="1">
      <alignment horizontal="center"/>
    </xf>
    <xf numFmtId="184" fontId="19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84" fontId="19" fillId="0" borderId="9" xfId="0" applyNumberFormat="1" applyFont="1" applyBorder="1" applyAlignment="1">
      <alignment horizontal="center"/>
    </xf>
    <xf numFmtId="187" fontId="18" fillId="0" borderId="20" xfId="15" applyNumberFormat="1" applyFont="1" applyFill="1" applyBorder="1" applyAlignment="1" applyProtection="1">
      <alignment horizontal="right" vertical="center"/>
      <protection locked="0"/>
    </xf>
    <xf numFmtId="187" fontId="18" fillId="0" borderId="9" xfId="0" applyNumberFormat="1" applyFont="1" applyBorder="1" applyAlignment="1">
      <alignment horizontal="right"/>
    </xf>
    <xf numFmtId="187" fontId="18" fillId="0" borderId="9" xfId="15" applyNumberFormat="1" applyFont="1" applyFill="1" applyBorder="1" applyAlignment="1">
      <alignment horizontal="right"/>
    </xf>
    <xf numFmtId="187" fontId="22" fillId="2" borderId="9" xfId="0" applyNumberFormat="1" applyFont="1" applyFill="1" applyBorder="1" applyAlignment="1">
      <alignment horizontal="right" vertical="center"/>
    </xf>
    <xf numFmtId="187" fontId="22" fillId="2" borderId="10" xfId="0" applyNumberFormat="1" applyFont="1" applyFill="1" applyBorder="1" applyAlignment="1">
      <alignment horizontal="right" vertical="center"/>
    </xf>
    <xf numFmtId="187" fontId="33" fillId="2" borderId="9" xfId="0" applyNumberFormat="1" applyFont="1" applyFill="1" applyBorder="1" applyAlignment="1">
      <alignment horizontal="right" vertical="center"/>
    </xf>
    <xf numFmtId="187" fontId="33" fillId="2" borderId="10" xfId="0" applyNumberFormat="1" applyFont="1" applyFill="1" applyBorder="1" applyAlignment="1">
      <alignment horizontal="right" vertical="center"/>
    </xf>
    <xf numFmtId="187" fontId="13" fillId="0" borderId="0" xfId="15" applyNumberFormat="1" applyFont="1" applyFill="1" applyBorder="1" applyAlignment="1" applyProtection="1">
      <alignment horizontal="right" vertical="center"/>
      <protection/>
    </xf>
    <xf numFmtId="193" fontId="19" fillId="0" borderId="9" xfId="0" applyNumberFormat="1" applyFont="1" applyBorder="1" applyAlignment="1">
      <alignment/>
    </xf>
    <xf numFmtId="193" fontId="19" fillId="0" borderId="9" xfId="15" applyNumberFormat="1" applyFont="1" applyFill="1" applyBorder="1" applyAlignment="1">
      <alignment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192" fontId="33" fillId="2" borderId="12" xfId="0" applyNumberFormat="1" applyFont="1" applyFill="1" applyBorder="1" applyAlignment="1">
      <alignment horizontal="right" vertical="center"/>
    </xf>
    <xf numFmtId="192" fontId="33" fillId="2" borderId="26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 applyProtection="1">
      <alignment horizontal="right" vertical="center"/>
      <protection locked="0"/>
    </xf>
    <xf numFmtId="192" fontId="19" fillId="0" borderId="0" xfId="0" applyNumberFormat="1" applyFont="1" applyFill="1" applyBorder="1" applyAlignment="1" applyProtection="1">
      <alignment horizontal="right" vertical="center"/>
      <protection locked="0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4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184" fontId="19" fillId="0" borderId="1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184" fontId="5" fillId="0" borderId="19" xfId="0" applyNumberFormat="1" applyFont="1" applyFill="1" applyBorder="1" applyAlignment="1" applyProtection="1">
      <alignment horizontal="center" vertical="center" wrapText="1"/>
      <protection/>
    </xf>
    <xf numFmtId="184" fontId="0" fillId="0" borderId="21" xfId="0" applyNumberFormat="1" applyBorder="1" applyAlignment="1">
      <alignment horizont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wrapText="1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184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/>
    </xf>
    <xf numFmtId="0" fontId="0" fillId="0" borderId="35" xfId="0" applyFont="1" applyBorder="1" applyAlignment="1">
      <alignment/>
    </xf>
    <xf numFmtId="0" fontId="20" fillId="2" borderId="0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>
      <alignment horizontal="center" vertical="center"/>
    </xf>
    <xf numFmtId="184" fontId="12" fillId="0" borderId="23" xfId="0" applyNumberFormat="1" applyFont="1" applyFill="1" applyBorder="1" applyAlignment="1" applyProtection="1">
      <alignment horizontal="center" vertical="center"/>
      <protection locked="0"/>
    </xf>
    <xf numFmtId="184" fontId="0" fillId="0" borderId="38" xfId="0" applyNumberFormat="1" applyBorder="1" applyAlignment="1">
      <alignment horizontal="center" vertical="center"/>
    </xf>
    <xf numFmtId="184" fontId="0" fillId="0" borderId="39" xfId="0" applyNumberFormat="1" applyBorder="1" applyAlignment="1">
      <alignment horizontal="center" vertical="center"/>
    </xf>
    <xf numFmtId="184" fontId="0" fillId="0" borderId="40" xfId="0" applyNumberForma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181" fontId="5" fillId="0" borderId="35" xfId="0" applyNumberFormat="1" applyFont="1" applyFill="1" applyBorder="1" applyAlignment="1" applyProtection="1">
      <alignment horizontal="center" vertical="center" wrapText="1"/>
      <protection/>
    </xf>
    <xf numFmtId="43" fontId="5" fillId="0" borderId="19" xfId="15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2" fontId="5" fillId="0" borderId="35" xfId="0" applyNumberFormat="1" applyFont="1" applyFill="1" applyBorder="1" applyAlignment="1" applyProtection="1">
      <alignment horizontal="right" vertical="center" wrapText="1" indent="1"/>
      <protection/>
    </xf>
    <xf numFmtId="2" fontId="5" fillId="0" borderId="22" xfId="0" applyNumberFormat="1" applyFont="1" applyFill="1" applyBorder="1" applyAlignment="1" applyProtection="1">
      <alignment horizontal="right" vertical="center" wrapText="1" indent="1"/>
      <protection/>
    </xf>
    <xf numFmtId="184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36" fillId="5" borderId="43" xfId="0" applyFont="1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2" fontId="5" fillId="0" borderId="35" xfId="0" applyNumberFormat="1" applyFont="1" applyFill="1" applyBorder="1" applyAlignment="1" applyProtection="1">
      <alignment horizontal="center" vertical="center" wrapText="1"/>
      <protection/>
    </xf>
    <xf numFmtId="2" fontId="5" fillId="0" borderId="22" xfId="0" applyNumberFormat="1" applyFont="1" applyFill="1" applyBorder="1" applyAlignment="1" applyProtection="1">
      <alignment horizontal="center" vertical="center" wrapText="1"/>
      <protection/>
    </xf>
    <xf numFmtId="193" fontId="33" fillId="2" borderId="46" xfId="0" applyNumberFormat="1" applyFont="1" applyFill="1" applyBorder="1" applyAlignment="1">
      <alignment horizontal="right" vertical="center"/>
    </xf>
    <xf numFmtId="193" fontId="19" fillId="0" borderId="9" xfId="15" applyNumberFormat="1" applyFont="1" applyFill="1" applyBorder="1" applyAlignment="1" applyProtection="1">
      <alignment horizontal="right" vertical="center"/>
      <protection/>
    </xf>
    <xf numFmtId="192" fontId="19" fillId="0" borderId="9" xfId="15" applyNumberFormat="1" applyFont="1" applyFill="1" applyBorder="1" applyAlignment="1" applyProtection="1">
      <alignment horizontal="right" vertical="center"/>
      <protection/>
    </xf>
    <xf numFmtId="192" fontId="19" fillId="0" borderId="9" xfId="22" applyNumberFormat="1" applyFont="1" applyFill="1" applyBorder="1" applyAlignment="1" applyProtection="1">
      <alignment horizontal="right" vertical="center"/>
      <protection/>
    </xf>
    <xf numFmtId="49" fontId="19" fillId="0" borderId="9" xfId="15" applyNumberFormat="1" applyFont="1" applyFill="1" applyBorder="1" applyAlignment="1">
      <alignment horizontal="center" vertical="center"/>
    </xf>
    <xf numFmtId="187" fontId="19" fillId="0" borderId="9" xfId="15" applyNumberFormat="1" applyFont="1" applyFill="1" applyBorder="1" applyAlignment="1">
      <alignment horizontal="right" vertical="center"/>
    </xf>
    <xf numFmtId="193" fontId="19" fillId="0" borderId="20" xfId="15" applyNumberFormat="1" applyFont="1" applyFill="1" applyBorder="1" applyAlignment="1" applyProtection="1">
      <alignment horizontal="right" vertical="center"/>
      <protection locked="0"/>
    </xf>
    <xf numFmtId="193" fontId="19" fillId="0" borderId="20" xfId="15" applyNumberFormat="1" applyFont="1" applyFill="1" applyBorder="1" applyAlignment="1" applyProtection="1">
      <alignment horizontal="right" vertical="center"/>
      <protection/>
    </xf>
    <xf numFmtId="192" fontId="19" fillId="0" borderId="20" xfId="15" applyNumberFormat="1" applyFont="1" applyFill="1" applyBorder="1" applyAlignment="1" applyProtection="1">
      <alignment horizontal="right" vertical="center"/>
      <protection/>
    </xf>
    <xf numFmtId="192" fontId="19" fillId="0" borderId="27" xfId="15" applyNumberFormat="1" applyFont="1" applyFill="1" applyBorder="1" applyAlignment="1" applyProtection="1">
      <alignment horizontal="right" vertical="center"/>
      <protection/>
    </xf>
    <xf numFmtId="192" fontId="19" fillId="0" borderId="12" xfId="22" applyNumberFormat="1" applyFont="1" applyFill="1" applyBorder="1" applyAlignment="1" applyProtection="1">
      <alignment horizontal="right" vertical="center"/>
      <protection/>
    </xf>
    <xf numFmtId="192" fontId="19" fillId="0" borderId="12" xfId="15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187" fontId="18" fillId="0" borderId="10" xfId="15" applyNumberFormat="1" applyFont="1" applyFill="1" applyBorder="1" applyAlignment="1">
      <alignment horizontal="right" vertical="center"/>
    </xf>
    <xf numFmtId="193" fontId="19" fillId="0" borderId="10" xfId="22" applyNumberFormat="1" applyFont="1" applyFill="1" applyBorder="1" applyAlignment="1" applyProtection="1">
      <alignment horizontal="right" vertical="center"/>
      <protection/>
    </xf>
    <xf numFmtId="192" fontId="19" fillId="0" borderId="10" xfId="22" applyNumberFormat="1" applyFont="1" applyFill="1" applyBorder="1" applyAlignment="1" applyProtection="1">
      <alignment horizontal="right" vertical="center"/>
      <protection/>
    </xf>
    <xf numFmtId="187" fontId="19" fillId="0" borderId="10" xfId="15" applyNumberFormat="1" applyFont="1" applyFill="1" applyBorder="1" applyAlignment="1">
      <alignment horizontal="right" vertical="center"/>
    </xf>
    <xf numFmtId="192" fontId="19" fillId="0" borderId="26" xfId="22" applyNumberFormat="1" applyFont="1" applyFill="1" applyBorder="1" applyAlignment="1" applyProtection="1">
      <alignment horizontal="right" vertical="center"/>
      <protection/>
    </xf>
    <xf numFmtId="0" fontId="32" fillId="2" borderId="25" xfId="0" applyFont="1" applyFill="1" applyBorder="1" applyAlignment="1" applyProtection="1">
      <alignment vertical="center"/>
      <protection locked="0"/>
    </xf>
    <xf numFmtId="0" fontId="32" fillId="2" borderId="20" xfId="0" applyFont="1" applyFill="1" applyBorder="1" applyAlignment="1">
      <alignment vertical="center"/>
    </xf>
    <xf numFmtId="184" fontId="32" fillId="2" borderId="20" xfId="0" applyNumberFormat="1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3" fontId="32" fillId="2" borderId="20" xfId="0" applyNumberFormat="1" applyFont="1" applyFill="1" applyBorder="1" applyAlignment="1">
      <alignment horizontal="center" vertical="center"/>
    </xf>
    <xf numFmtId="187" fontId="23" fillId="2" borderId="20" xfId="0" applyNumberFormat="1" applyFont="1" applyFill="1" applyBorder="1" applyAlignment="1">
      <alignment horizontal="right" vertical="center"/>
    </xf>
    <xf numFmtId="193" fontId="32" fillId="2" borderId="20" xfId="0" applyNumberFormat="1" applyFont="1" applyFill="1" applyBorder="1" applyAlignment="1">
      <alignment horizontal="right" vertical="center"/>
    </xf>
    <xf numFmtId="192" fontId="32" fillId="2" borderId="20" xfId="0" applyNumberFormat="1" applyFont="1" applyFill="1" applyBorder="1" applyAlignment="1">
      <alignment vertical="center"/>
    </xf>
    <xf numFmtId="187" fontId="32" fillId="2" borderId="20" xfId="0" applyNumberFormat="1" applyFont="1" applyFill="1" applyBorder="1" applyAlignment="1">
      <alignment horizontal="right" vertical="center"/>
    </xf>
    <xf numFmtId="192" fontId="32" fillId="2" borderId="27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NumberFormat="1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vertical="center"/>
    </xf>
    <xf numFmtId="0" fontId="13" fillId="0" borderId="48" xfId="0" applyFont="1" applyFill="1" applyBorder="1" applyAlignment="1" applyProtection="1">
      <alignment vertical="center"/>
      <protection/>
    </xf>
    <xf numFmtId="0" fontId="19" fillId="0" borderId="25" xfId="0" applyFont="1" applyFill="1" applyBorder="1" applyAlignment="1">
      <alignment vertical="center"/>
    </xf>
    <xf numFmtId="184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/>
    </xf>
    <xf numFmtId="187" fontId="18" fillId="0" borderId="20" xfId="15" applyNumberFormat="1" applyFont="1" applyFill="1" applyBorder="1" applyAlignment="1">
      <alignment horizontal="right" vertical="center"/>
    </xf>
    <xf numFmtId="193" fontId="19" fillId="0" borderId="20" xfId="15" applyNumberFormat="1" applyFont="1" applyFill="1" applyBorder="1" applyAlignment="1">
      <alignment horizontal="right" vertical="center"/>
    </xf>
    <xf numFmtId="192" fontId="19" fillId="0" borderId="27" xfId="22" applyNumberFormat="1" applyFont="1" applyFill="1" applyBorder="1" applyAlignment="1" applyProtection="1">
      <alignment horizontal="right" vertical="center"/>
      <protection/>
    </xf>
    <xf numFmtId="0" fontId="19" fillId="0" borderId="8" xfId="0" applyFont="1" applyFill="1" applyBorder="1" applyAlignment="1">
      <alignment vertical="center"/>
    </xf>
    <xf numFmtId="0" fontId="19" fillId="3" borderId="8" xfId="0" applyFont="1" applyFill="1" applyBorder="1" applyAlignment="1">
      <alignment vertical="center"/>
    </xf>
    <xf numFmtId="0" fontId="19" fillId="0" borderId="8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>
      <alignment horizontal="left"/>
    </xf>
    <xf numFmtId="0" fontId="19" fillId="0" borderId="8" xfId="0" applyFont="1" applyFill="1" applyBorder="1" applyAlignment="1" applyProtection="1">
      <alignment horizontal="left" vertical="center"/>
      <protection locked="0"/>
    </xf>
    <xf numFmtId="0" fontId="19" fillId="0" borderId="8" xfId="0" applyFont="1" applyFill="1" applyBorder="1" applyAlignment="1">
      <alignment horizontal="left"/>
    </xf>
    <xf numFmtId="0" fontId="27" fillId="0" borderId="8" xfId="0" applyFont="1" applyFill="1" applyBorder="1" applyAlignment="1">
      <alignment vertical="center"/>
    </xf>
    <xf numFmtId="0" fontId="19" fillId="0" borderId="8" xfId="0" applyFont="1" applyBorder="1" applyAlignment="1">
      <alignment/>
    </xf>
    <xf numFmtId="49" fontId="19" fillId="0" borderId="8" xfId="0" applyNumberFormat="1" applyFont="1" applyFill="1" applyBorder="1" applyAlignment="1">
      <alignment vertical="center"/>
    </xf>
    <xf numFmtId="0" fontId="19" fillId="0" borderId="8" xfId="0" applyNumberFormat="1" applyFont="1" applyFill="1" applyBorder="1" applyAlignment="1">
      <alignment horizontal="left" vertical="center"/>
    </xf>
    <xf numFmtId="0" fontId="19" fillId="0" borderId="8" xfId="0" applyFont="1" applyBorder="1" applyAlignment="1">
      <alignment vertical="center"/>
    </xf>
    <xf numFmtId="0" fontId="19" fillId="0" borderId="8" xfId="0" applyNumberFormat="1" applyFont="1" applyFill="1" applyBorder="1" applyAlignment="1" applyProtection="1">
      <alignment horizontal="left" vertical="center"/>
      <protection locked="0"/>
    </xf>
    <xf numFmtId="49" fontId="19" fillId="0" borderId="8" xfId="15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/>
    </xf>
    <xf numFmtId="0" fontId="19" fillId="0" borderId="8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vertical="center"/>
    </xf>
    <xf numFmtId="49" fontId="19" fillId="0" borderId="28" xfId="0" applyNumberFormat="1" applyFont="1" applyFill="1" applyBorder="1" applyAlignment="1">
      <alignment vertical="center"/>
    </xf>
    <xf numFmtId="184" fontId="19" fillId="0" borderId="29" xfId="0" applyNumberFormat="1" applyFont="1" applyFill="1" applyBorder="1" applyAlignment="1">
      <alignment horizontal="center" vertical="center"/>
    </xf>
    <xf numFmtId="197" fontId="19" fillId="0" borderId="29" xfId="0" applyNumberFormat="1" applyFont="1" applyFill="1" applyBorder="1" applyAlignment="1">
      <alignment horizontal="left" vertical="center"/>
    </xf>
    <xf numFmtId="49" fontId="19" fillId="0" borderId="29" xfId="0" applyNumberFormat="1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center" vertical="center"/>
    </xf>
    <xf numFmtId="3" fontId="19" fillId="0" borderId="29" xfId="0" applyNumberFormat="1" applyFont="1" applyFill="1" applyBorder="1" applyAlignment="1">
      <alignment horizontal="center" vertical="center"/>
    </xf>
    <xf numFmtId="187" fontId="18" fillId="0" borderId="29" xfId="0" applyNumberFormat="1" applyFont="1" applyFill="1" applyBorder="1" applyAlignment="1">
      <alignment horizontal="right" vertical="center"/>
    </xf>
    <xf numFmtId="193" fontId="19" fillId="0" borderId="29" xfId="0" applyNumberFormat="1" applyFont="1" applyFill="1" applyBorder="1" applyAlignment="1">
      <alignment horizontal="right" vertical="center"/>
    </xf>
    <xf numFmtId="192" fontId="19" fillId="0" borderId="30" xfId="15" applyNumberFormat="1" applyFont="1" applyFill="1" applyBorder="1" applyAlignment="1" applyProtection="1">
      <alignment vertical="center"/>
      <protection/>
    </xf>
    <xf numFmtId="0" fontId="23" fillId="2" borderId="25" xfId="0" applyFont="1" applyFill="1" applyBorder="1" applyAlignment="1">
      <alignment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vertical="center"/>
    </xf>
    <xf numFmtId="3" fontId="23" fillId="2" borderId="20" xfId="0" applyNumberFormat="1" applyFont="1" applyFill="1" applyBorder="1" applyAlignment="1">
      <alignment horizontal="center" vertical="center"/>
    </xf>
    <xf numFmtId="187" fontId="23" fillId="2" borderId="20" xfId="0" applyNumberFormat="1" applyFont="1" applyFill="1" applyBorder="1" applyAlignment="1">
      <alignment vertical="center"/>
    </xf>
    <xf numFmtId="3" fontId="23" fillId="2" borderId="20" xfId="0" applyNumberFormat="1" applyFont="1" applyFill="1" applyBorder="1" applyAlignment="1">
      <alignment horizontal="right" vertical="center" indent="1"/>
    </xf>
    <xf numFmtId="2" fontId="23" fillId="2" borderId="27" xfId="0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 horizontal="center" vertical="center"/>
    </xf>
    <xf numFmtId="193" fontId="0" fillId="0" borderId="0" xfId="0" applyNumberFormat="1" applyAlignment="1">
      <alignment horizontal="center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5349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466725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372725" y="466725"/>
          <a:ext cx="2152650" cy="6000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23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02 - 08  JUN'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8"/>
  <sheetViews>
    <sheetView showGridLines="0" tabSelected="1" zoomScale="70" zoomScaleNormal="70" workbookViewId="0" topLeftCell="A1">
      <pane xSplit="3" ySplit="4" topLeftCell="D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4.00390625" style="106" bestFit="1" customWidth="1"/>
    <col min="2" max="2" width="1.28515625" style="6" customWidth="1"/>
    <col min="3" max="3" width="40.140625" style="5" bestFit="1" customWidth="1"/>
    <col min="4" max="4" width="9.7109375" style="30" customWidth="1"/>
    <col min="5" max="5" width="16.28125" style="35" bestFit="1" customWidth="1"/>
    <col min="6" max="6" width="14.57421875" style="35" bestFit="1" customWidth="1"/>
    <col min="7" max="7" width="12.57421875" style="8" bestFit="1" customWidth="1"/>
    <col min="8" max="8" width="7.7109375" style="8" bestFit="1" customWidth="1"/>
    <col min="9" max="9" width="8.7109375" style="8" customWidth="1"/>
    <col min="10" max="10" width="15.7109375" style="55" bestFit="1" customWidth="1"/>
    <col min="11" max="11" width="8.421875" style="156" customWidth="1"/>
    <col min="12" max="12" width="9.8515625" style="156" customWidth="1"/>
    <col min="13" max="13" width="6.57421875" style="60" bestFit="1" customWidth="1"/>
    <col min="14" max="14" width="15.00390625" style="45" bestFit="1" customWidth="1"/>
    <col min="15" max="15" width="11.28125" style="156" bestFit="1" customWidth="1"/>
    <col min="16" max="16" width="6.421875" style="290" bestFit="1" customWidth="1"/>
    <col min="17" max="16384" width="9.140625" style="5" customWidth="1"/>
  </cols>
  <sheetData>
    <row r="1" spans="1:16" s="3" customFormat="1" ht="95.25" customHeight="1">
      <c r="A1" s="102"/>
      <c r="B1" s="1"/>
      <c r="C1" s="2"/>
      <c r="D1" s="28"/>
      <c r="E1" s="33"/>
      <c r="F1" s="33"/>
      <c r="G1" s="7"/>
      <c r="H1" s="7"/>
      <c r="I1" s="7"/>
      <c r="J1" s="53"/>
      <c r="K1" s="150"/>
      <c r="L1" s="150"/>
      <c r="M1" s="59"/>
      <c r="N1" s="43"/>
      <c r="O1" s="46"/>
      <c r="P1" s="285"/>
    </row>
    <row r="2" spans="1:16" s="24" customFormat="1" ht="39.75" customHeight="1" thickBot="1">
      <c r="A2" s="306" t="s">
        <v>91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1:16" s="159" customFormat="1" ht="14.25">
      <c r="A3" s="157"/>
      <c r="B3" s="158"/>
      <c r="C3" s="315" t="s">
        <v>13</v>
      </c>
      <c r="D3" s="298" t="s">
        <v>14</v>
      </c>
      <c r="E3" s="300" t="s">
        <v>55</v>
      </c>
      <c r="F3" s="300" t="s">
        <v>54</v>
      </c>
      <c r="G3" s="295" t="s">
        <v>15</v>
      </c>
      <c r="H3" s="295" t="s">
        <v>28</v>
      </c>
      <c r="I3" s="295" t="s">
        <v>29</v>
      </c>
      <c r="J3" s="297" t="s">
        <v>16</v>
      </c>
      <c r="K3" s="297"/>
      <c r="L3" s="297"/>
      <c r="M3" s="297"/>
      <c r="N3" s="313" t="s">
        <v>17</v>
      </c>
      <c r="O3" s="313"/>
      <c r="P3" s="314"/>
    </row>
    <row r="4" spans="1:16" s="159" customFormat="1" ht="51.75" customHeight="1" thickBot="1">
      <c r="A4" s="160"/>
      <c r="B4" s="161"/>
      <c r="C4" s="296"/>
      <c r="D4" s="299"/>
      <c r="E4" s="301"/>
      <c r="F4" s="301"/>
      <c r="G4" s="296"/>
      <c r="H4" s="296"/>
      <c r="I4" s="296"/>
      <c r="J4" s="162" t="s">
        <v>18</v>
      </c>
      <c r="K4" s="124" t="s">
        <v>19</v>
      </c>
      <c r="L4" s="124" t="s">
        <v>156</v>
      </c>
      <c r="M4" s="125" t="s">
        <v>20</v>
      </c>
      <c r="N4" s="162" t="s">
        <v>18</v>
      </c>
      <c r="O4" s="124" t="s">
        <v>19</v>
      </c>
      <c r="P4" s="126" t="s">
        <v>21</v>
      </c>
    </row>
    <row r="5" spans="1:16" s="4" customFormat="1" ht="15">
      <c r="A5" s="103">
        <v>1</v>
      </c>
      <c r="B5" s="163"/>
      <c r="C5" s="120" t="s">
        <v>121</v>
      </c>
      <c r="D5" s="121">
        <v>38856</v>
      </c>
      <c r="E5" s="271" t="s">
        <v>60</v>
      </c>
      <c r="F5" s="164" t="s">
        <v>67</v>
      </c>
      <c r="G5" s="122">
        <v>195</v>
      </c>
      <c r="H5" s="122">
        <v>248</v>
      </c>
      <c r="I5" s="122">
        <v>3</v>
      </c>
      <c r="J5" s="275">
        <f>890553+1110.5</f>
        <v>891663.5</v>
      </c>
      <c r="K5" s="337">
        <f>120258+125</f>
        <v>120383</v>
      </c>
      <c r="L5" s="338">
        <f>K5/H5</f>
        <v>485.4153225806452</v>
      </c>
      <c r="M5" s="339">
        <f>J5/K5</f>
        <v>7.406888846431805</v>
      </c>
      <c r="N5" s="123">
        <f>3570701+1526862+890553+1110.5</f>
        <v>5989226.5</v>
      </c>
      <c r="O5" s="337">
        <f>473308+203407+120258+125</f>
        <v>797098</v>
      </c>
      <c r="P5" s="340">
        <f>+N5/O5</f>
        <v>7.513789396034114</v>
      </c>
    </row>
    <row r="6" spans="1:16" s="4" customFormat="1" ht="15">
      <c r="A6" s="103">
        <v>2</v>
      </c>
      <c r="B6" s="165"/>
      <c r="C6" s="58" t="s">
        <v>219</v>
      </c>
      <c r="D6" s="39">
        <v>38863</v>
      </c>
      <c r="E6" s="144" t="s">
        <v>63</v>
      </c>
      <c r="F6" s="144" t="s">
        <v>64</v>
      </c>
      <c r="G6" s="183">
        <v>61</v>
      </c>
      <c r="H6" s="183">
        <v>61</v>
      </c>
      <c r="I6" s="183">
        <v>2</v>
      </c>
      <c r="J6" s="138">
        <v>404849</v>
      </c>
      <c r="K6" s="116">
        <v>51381</v>
      </c>
      <c r="L6" s="115">
        <f>IF(J6&lt;&gt;0,K6/H6,"")</f>
        <v>842.311475409836</v>
      </c>
      <c r="M6" s="334">
        <f>IF(J6&lt;&gt;0,J6/K6,"")</f>
        <v>7.879352289756914</v>
      </c>
      <c r="N6" s="117">
        <f>666456+404849</f>
        <v>1071305</v>
      </c>
      <c r="O6" s="116">
        <f>83759+51381</f>
        <v>135140</v>
      </c>
      <c r="P6" s="341">
        <f>IF(N6&lt;&gt;0,N6/O6,"")</f>
        <v>7.927371614621873</v>
      </c>
    </row>
    <row r="7" spans="1:16" s="4" customFormat="1" ht="15">
      <c r="A7" s="103">
        <v>3</v>
      </c>
      <c r="B7" s="165"/>
      <c r="C7" s="58" t="s">
        <v>223</v>
      </c>
      <c r="D7" s="39">
        <v>38874</v>
      </c>
      <c r="E7" s="144" t="s">
        <v>63</v>
      </c>
      <c r="F7" s="144" t="s">
        <v>64</v>
      </c>
      <c r="G7" s="183">
        <v>66</v>
      </c>
      <c r="H7" s="183">
        <v>66</v>
      </c>
      <c r="I7" s="183">
        <v>0</v>
      </c>
      <c r="J7" s="138">
        <v>298281</v>
      </c>
      <c r="K7" s="116">
        <v>42602</v>
      </c>
      <c r="L7" s="115">
        <f>IF(J7&lt;&gt;0,K7/H7,"")</f>
        <v>645.4848484848485</v>
      </c>
      <c r="M7" s="334">
        <f>IF(J7&lt;&gt;0,J7/K7,"")</f>
        <v>7.001572696117553</v>
      </c>
      <c r="N7" s="117">
        <f>298281</f>
        <v>298281</v>
      </c>
      <c r="O7" s="116">
        <f>42602</f>
        <v>42602</v>
      </c>
      <c r="P7" s="341">
        <f>IF(N7&lt;&gt;0,N7/O7,"")</f>
        <v>7.001572696117553</v>
      </c>
    </row>
    <row r="8" spans="1:16" s="4" customFormat="1" ht="15">
      <c r="A8" s="103">
        <v>4</v>
      </c>
      <c r="B8" s="165"/>
      <c r="C8" s="58" t="s">
        <v>122</v>
      </c>
      <c r="D8" s="39">
        <v>38856</v>
      </c>
      <c r="E8" s="144" t="s">
        <v>61</v>
      </c>
      <c r="F8" s="144" t="s">
        <v>123</v>
      </c>
      <c r="G8" s="183">
        <v>160</v>
      </c>
      <c r="H8" s="183">
        <v>159</v>
      </c>
      <c r="I8" s="183">
        <v>3</v>
      </c>
      <c r="J8" s="138">
        <v>223136</v>
      </c>
      <c r="K8" s="116">
        <v>33884</v>
      </c>
      <c r="L8" s="115">
        <f>+K8/H8</f>
        <v>213.1069182389937</v>
      </c>
      <c r="M8" s="334">
        <f>+J8/K8</f>
        <v>6.585290992798961</v>
      </c>
      <c r="N8" s="117">
        <v>1003406</v>
      </c>
      <c r="O8" s="116">
        <v>149197</v>
      </c>
      <c r="P8" s="341">
        <f>+N8/O8</f>
        <v>6.7253765156135845</v>
      </c>
    </row>
    <row r="9" spans="1:16" s="10" customFormat="1" ht="15">
      <c r="A9" s="103">
        <v>5</v>
      </c>
      <c r="B9" s="25"/>
      <c r="C9" s="58" t="s">
        <v>224</v>
      </c>
      <c r="D9" s="39">
        <v>38870</v>
      </c>
      <c r="E9" s="144" t="s">
        <v>61</v>
      </c>
      <c r="F9" s="144" t="s">
        <v>66</v>
      </c>
      <c r="G9" s="183">
        <v>82</v>
      </c>
      <c r="H9" s="183">
        <v>82</v>
      </c>
      <c r="I9" s="183">
        <v>1</v>
      </c>
      <c r="J9" s="138">
        <v>135960</v>
      </c>
      <c r="K9" s="116">
        <v>17607</v>
      </c>
      <c r="L9" s="115">
        <f>+K9/H9</f>
        <v>214.71951219512195</v>
      </c>
      <c r="M9" s="334">
        <f>+J9/K9</f>
        <v>7.721928778326802</v>
      </c>
      <c r="N9" s="117">
        <v>135960</v>
      </c>
      <c r="O9" s="116">
        <v>17607</v>
      </c>
      <c r="P9" s="341">
        <f>+N9/O9</f>
        <v>7.721928778326802</v>
      </c>
    </row>
    <row r="10" spans="1:16" s="10" customFormat="1" ht="15">
      <c r="A10" s="103">
        <v>6</v>
      </c>
      <c r="B10" s="25"/>
      <c r="C10" s="99" t="s">
        <v>218</v>
      </c>
      <c r="D10" s="39">
        <v>38863</v>
      </c>
      <c r="E10" s="269" t="s">
        <v>131</v>
      </c>
      <c r="F10" s="143" t="s">
        <v>225</v>
      </c>
      <c r="G10" s="127" t="s">
        <v>226</v>
      </c>
      <c r="H10" s="128">
        <v>35</v>
      </c>
      <c r="I10" s="128">
        <v>2</v>
      </c>
      <c r="J10" s="138">
        <v>135641.5</v>
      </c>
      <c r="K10" s="116">
        <v>17668</v>
      </c>
      <c r="L10" s="115">
        <f>IF(J10&lt;&gt;0,K10/H10,"")</f>
        <v>504.8</v>
      </c>
      <c r="M10" s="334">
        <f>IF(J10&lt;&gt;0,J10/K10,"")</f>
        <v>7.677241340276206</v>
      </c>
      <c r="N10" s="117">
        <f>149883.5+135641.5</f>
        <v>285525</v>
      </c>
      <c r="O10" s="116">
        <f>19608+17668</f>
        <v>37276</v>
      </c>
      <c r="P10" s="341">
        <f>IF(N10&lt;&gt;0,N10/O10,"")</f>
        <v>7.659754265479129</v>
      </c>
    </row>
    <row r="11" spans="1:16" s="10" customFormat="1" ht="15">
      <c r="A11" s="103">
        <v>7</v>
      </c>
      <c r="B11" s="25"/>
      <c r="C11" s="52" t="s">
        <v>227</v>
      </c>
      <c r="D11" s="27">
        <v>38870</v>
      </c>
      <c r="E11" s="193" t="s">
        <v>60</v>
      </c>
      <c r="F11" s="141" t="s">
        <v>115</v>
      </c>
      <c r="G11" s="51">
        <v>40</v>
      </c>
      <c r="H11" s="51">
        <v>42</v>
      </c>
      <c r="I11" s="51">
        <v>1</v>
      </c>
      <c r="J11" s="134">
        <v>123140</v>
      </c>
      <c r="K11" s="151">
        <v>14489</v>
      </c>
      <c r="L11" s="332">
        <f>K11/H11</f>
        <v>344.9761904761905</v>
      </c>
      <c r="M11" s="333">
        <f>J11/K11</f>
        <v>8.498861205052108</v>
      </c>
      <c r="N11" s="108">
        <v>123140</v>
      </c>
      <c r="O11" s="151">
        <v>14489</v>
      </c>
      <c r="P11" s="342">
        <f>+N11/O11</f>
        <v>8.498861205052108</v>
      </c>
    </row>
    <row r="12" spans="1:16" s="10" customFormat="1" ht="15">
      <c r="A12" s="103">
        <v>8</v>
      </c>
      <c r="B12" s="25"/>
      <c r="C12" s="58" t="s">
        <v>217</v>
      </c>
      <c r="D12" s="39">
        <v>38863</v>
      </c>
      <c r="E12" s="144" t="s">
        <v>61</v>
      </c>
      <c r="F12" s="144" t="s">
        <v>66</v>
      </c>
      <c r="G12" s="183">
        <v>46</v>
      </c>
      <c r="H12" s="183">
        <v>48</v>
      </c>
      <c r="I12" s="183">
        <v>2</v>
      </c>
      <c r="J12" s="138">
        <v>121829</v>
      </c>
      <c r="K12" s="116">
        <v>13789</v>
      </c>
      <c r="L12" s="115">
        <f>+K12/H12</f>
        <v>287.2708333333333</v>
      </c>
      <c r="M12" s="334">
        <f>+J12/K12</f>
        <v>8.835230981216911</v>
      </c>
      <c r="N12" s="117">
        <v>263376</v>
      </c>
      <c r="O12" s="116">
        <v>29160</v>
      </c>
      <c r="P12" s="341">
        <f>+N12/O12</f>
        <v>9.0320987654321</v>
      </c>
    </row>
    <row r="13" spans="1:16" s="10" customFormat="1" ht="15">
      <c r="A13" s="103">
        <v>9</v>
      </c>
      <c r="B13" s="25"/>
      <c r="C13" s="58" t="s">
        <v>124</v>
      </c>
      <c r="D13" s="39">
        <v>38821</v>
      </c>
      <c r="E13" s="144" t="s">
        <v>63</v>
      </c>
      <c r="F13" s="144" t="s">
        <v>64</v>
      </c>
      <c r="G13" s="183">
        <v>118</v>
      </c>
      <c r="H13" s="183">
        <v>99</v>
      </c>
      <c r="I13" s="183">
        <v>8</v>
      </c>
      <c r="J13" s="138">
        <v>107195</v>
      </c>
      <c r="K13" s="116">
        <v>24736</v>
      </c>
      <c r="L13" s="115">
        <f>IF(J13&lt;&gt;0,K13/H13,"")</f>
        <v>249.85858585858585</v>
      </c>
      <c r="M13" s="334">
        <f>IF(J13&lt;&gt;0,J13/K13,"")</f>
        <v>4.333562419146184</v>
      </c>
      <c r="N13" s="117">
        <f>1908861+1583540+976953.5+606582.5+358386.5+257458.5+154619+107195</f>
        <v>5953596</v>
      </c>
      <c r="O13" s="116">
        <f>267837+226672+141343+93283+56706+48660+34140+24736</f>
        <v>893377</v>
      </c>
      <c r="P13" s="341">
        <f>IF(N13&lt;&gt;0,N13/O13,"")</f>
        <v>6.664147386825495</v>
      </c>
    </row>
    <row r="14" spans="1:16" s="10" customFormat="1" ht="15">
      <c r="A14" s="103">
        <v>10</v>
      </c>
      <c r="B14" s="25"/>
      <c r="C14" s="58" t="s">
        <v>228</v>
      </c>
      <c r="D14" s="39">
        <v>38842</v>
      </c>
      <c r="E14" s="144" t="s">
        <v>61</v>
      </c>
      <c r="F14" s="144" t="s">
        <v>75</v>
      </c>
      <c r="G14" s="183">
        <v>173</v>
      </c>
      <c r="H14" s="183">
        <v>103</v>
      </c>
      <c r="I14" s="183">
        <v>5</v>
      </c>
      <c r="J14" s="138">
        <v>72226</v>
      </c>
      <c r="K14" s="116">
        <v>12588</v>
      </c>
      <c r="L14" s="115">
        <f>+K14/H14</f>
        <v>122.2135922330097</v>
      </c>
      <c r="M14" s="334">
        <f>+J14/K14</f>
        <v>5.737686685732443</v>
      </c>
      <c r="N14" s="117">
        <v>2774954</v>
      </c>
      <c r="O14" s="116">
        <v>367568</v>
      </c>
      <c r="P14" s="341">
        <f>+N14/O14</f>
        <v>7.549498324119619</v>
      </c>
    </row>
    <row r="15" spans="1:16" s="10" customFormat="1" ht="15">
      <c r="A15" s="103">
        <v>11</v>
      </c>
      <c r="B15" s="25"/>
      <c r="C15" s="58" t="s">
        <v>100</v>
      </c>
      <c r="D15" s="39">
        <v>38835</v>
      </c>
      <c r="E15" s="144" t="s">
        <v>63</v>
      </c>
      <c r="F15" s="144" t="s">
        <v>109</v>
      </c>
      <c r="G15" s="183">
        <v>65</v>
      </c>
      <c r="H15" s="183">
        <v>37</v>
      </c>
      <c r="I15" s="183">
        <v>6</v>
      </c>
      <c r="J15" s="138">
        <v>30819</v>
      </c>
      <c r="K15" s="116">
        <v>6734</v>
      </c>
      <c r="L15" s="115">
        <f>IF(J15&lt;&gt;0,K15/H15,"")</f>
        <v>182</v>
      </c>
      <c r="M15" s="334">
        <f>IF(J15&lt;&gt;0,J15/K15,"")</f>
        <v>4.576626076626076</v>
      </c>
      <c r="N15" s="117">
        <f>381578+253958+149731.5+45908+33467.5+30819</f>
        <v>895462</v>
      </c>
      <c r="O15" s="116">
        <f>51957+35225+20957+7725+6499+6734</f>
        <v>129097</v>
      </c>
      <c r="P15" s="341">
        <f>IF(N15&lt;&gt;0,N15/O15,"")</f>
        <v>6.936350186294027</v>
      </c>
    </row>
    <row r="16" spans="1:16" s="10" customFormat="1" ht="15">
      <c r="A16" s="103">
        <v>12</v>
      </c>
      <c r="B16" s="25"/>
      <c r="C16" s="58" t="s">
        <v>110</v>
      </c>
      <c r="D16" s="39">
        <v>38849</v>
      </c>
      <c r="E16" s="144" t="s">
        <v>63</v>
      </c>
      <c r="F16" s="144" t="s">
        <v>64</v>
      </c>
      <c r="G16" s="183">
        <v>51</v>
      </c>
      <c r="H16" s="183">
        <v>38</v>
      </c>
      <c r="I16" s="183">
        <v>4</v>
      </c>
      <c r="J16" s="138">
        <v>25466.5</v>
      </c>
      <c r="K16" s="116">
        <v>5061</v>
      </c>
      <c r="L16" s="115">
        <f>IF(J16&lt;&gt;0,K16/H16,"")</f>
        <v>133.18421052631578</v>
      </c>
      <c r="M16" s="334">
        <f>IF(J16&lt;&gt;0,J16/K16,"")</f>
        <v>5.031910689587038</v>
      </c>
      <c r="N16" s="117">
        <f>165448.5+80304.5+33898+25466.5</f>
        <v>305117.5</v>
      </c>
      <c r="O16" s="116">
        <f>23339+10797+5046+5061</f>
        <v>44243</v>
      </c>
      <c r="P16" s="341">
        <f>IF(N16&lt;&gt;0,N16/O16,"")</f>
        <v>6.8964016906629295</v>
      </c>
    </row>
    <row r="17" spans="1:16" s="10" customFormat="1" ht="15">
      <c r="A17" s="103">
        <v>13</v>
      </c>
      <c r="B17" s="25"/>
      <c r="C17" s="118" t="s">
        <v>229</v>
      </c>
      <c r="D17" s="39">
        <v>38870</v>
      </c>
      <c r="E17" s="145" t="s">
        <v>98</v>
      </c>
      <c r="F17" s="145" t="s">
        <v>230</v>
      </c>
      <c r="G17" s="335" t="s">
        <v>155</v>
      </c>
      <c r="H17" s="335">
        <v>5</v>
      </c>
      <c r="I17" s="335">
        <v>1</v>
      </c>
      <c r="J17" s="139">
        <v>20208</v>
      </c>
      <c r="K17" s="153">
        <v>2163</v>
      </c>
      <c r="L17" s="115">
        <f>IF(J17&lt;&gt;0,K17/H17,"")</f>
        <v>432.6</v>
      </c>
      <c r="M17" s="334">
        <f>IF(J17&lt;&gt;0,J17/K17,"")</f>
        <v>9.34257975034674</v>
      </c>
      <c r="N17" s="336">
        <v>20208</v>
      </c>
      <c r="O17" s="153">
        <v>2163</v>
      </c>
      <c r="P17" s="341">
        <f>IF(N17&lt;&gt;0,N17/O17,"")</f>
        <v>9.34257975034674</v>
      </c>
    </row>
    <row r="18" spans="1:16" s="10" customFormat="1" ht="15">
      <c r="A18" s="103">
        <v>14</v>
      </c>
      <c r="B18" s="25"/>
      <c r="C18" s="58" t="s">
        <v>93</v>
      </c>
      <c r="D18" s="39">
        <v>38828</v>
      </c>
      <c r="E18" s="144" t="s">
        <v>63</v>
      </c>
      <c r="F18" s="144" t="s">
        <v>76</v>
      </c>
      <c r="G18" s="183">
        <v>43</v>
      </c>
      <c r="H18" s="183">
        <v>23</v>
      </c>
      <c r="I18" s="183">
        <v>7</v>
      </c>
      <c r="J18" s="138">
        <v>17463.5</v>
      </c>
      <c r="K18" s="116">
        <v>3862</v>
      </c>
      <c r="L18" s="115">
        <f>IF(J18&lt;&gt;0,K18/H18,"")</f>
        <v>167.91304347826087</v>
      </c>
      <c r="M18" s="334">
        <f>IF(J18&lt;&gt;0,J18/K18,"")</f>
        <v>4.521879854997411</v>
      </c>
      <c r="N18" s="117">
        <f>221837.5+151726+100334.5+58293.5+26175.5+11161+17463.5</f>
        <v>586991.5</v>
      </c>
      <c r="O18" s="116">
        <f>31465+21243+15047+11409+5192+2380+3862</f>
        <v>90598</v>
      </c>
      <c r="P18" s="341">
        <f>IF(N18&lt;&gt;0,N18/O18,"")</f>
        <v>6.479077904589506</v>
      </c>
    </row>
    <row r="19" spans="1:16" s="10" customFormat="1" ht="15">
      <c r="A19" s="103">
        <v>15</v>
      </c>
      <c r="B19" s="25"/>
      <c r="C19" s="52" t="s">
        <v>216</v>
      </c>
      <c r="D19" s="27">
        <v>38863</v>
      </c>
      <c r="E19" s="193" t="s">
        <v>60</v>
      </c>
      <c r="F19" s="141" t="s">
        <v>80</v>
      </c>
      <c r="G19" s="51">
        <v>17</v>
      </c>
      <c r="H19" s="51">
        <v>19</v>
      </c>
      <c r="I19" s="51">
        <v>2</v>
      </c>
      <c r="J19" s="134">
        <v>16998</v>
      </c>
      <c r="K19" s="151">
        <v>2334</v>
      </c>
      <c r="L19" s="332">
        <f>K19/H19</f>
        <v>122.84210526315789</v>
      </c>
      <c r="M19" s="333">
        <f>J19/K19</f>
        <v>7.282776349614396</v>
      </c>
      <c r="N19" s="108">
        <f>28731.5+16998</f>
        <v>45729.5</v>
      </c>
      <c r="O19" s="151">
        <f>3778+2334</f>
        <v>6112</v>
      </c>
      <c r="P19" s="342">
        <f>+N19/O19</f>
        <v>7.481920811518324</v>
      </c>
    </row>
    <row r="20" spans="1:16" s="10" customFormat="1" ht="15">
      <c r="A20" s="103">
        <v>16</v>
      </c>
      <c r="B20" s="25"/>
      <c r="C20" s="58" t="s">
        <v>125</v>
      </c>
      <c r="D20" s="39">
        <v>38849</v>
      </c>
      <c r="E20" s="144" t="s">
        <v>36</v>
      </c>
      <c r="F20" s="144" t="s">
        <v>76</v>
      </c>
      <c r="G20" s="183">
        <v>21</v>
      </c>
      <c r="H20" s="183">
        <v>21</v>
      </c>
      <c r="I20" s="183">
        <v>4</v>
      </c>
      <c r="J20" s="138">
        <v>16501</v>
      </c>
      <c r="K20" s="116">
        <v>2747</v>
      </c>
      <c r="L20" s="115">
        <f>IF(J20&lt;&gt;0,K20/H20,"")</f>
        <v>130.8095238095238</v>
      </c>
      <c r="M20" s="334">
        <f>IF(J20&lt;&gt;0,J20/K20,"")</f>
        <v>6.006916636330542</v>
      </c>
      <c r="N20" s="117">
        <v>198765.29</v>
      </c>
      <c r="O20" s="116">
        <v>23542</v>
      </c>
      <c r="P20" s="341">
        <f>IF(N20&lt;&gt;0,N20/O20,"")</f>
        <v>8.443007815818538</v>
      </c>
    </row>
    <row r="21" spans="1:16" s="10" customFormat="1" ht="15">
      <c r="A21" s="103">
        <v>17</v>
      </c>
      <c r="B21" s="25"/>
      <c r="C21" s="52" t="s">
        <v>111</v>
      </c>
      <c r="D21" s="27">
        <v>38849</v>
      </c>
      <c r="E21" s="193" t="s">
        <v>60</v>
      </c>
      <c r="F21" s="141" t="s">
        <v>112</v>
      </c>
      <c r="G21" s="51">
        <v>14</v>
      </c>
      <c r="H21" s="51">
        <v>12</v>
      </c>
      <c r="I21" s="51">
        <v>4</v>
      </c>
      <c r="J21" s="134">
        <v>13446.5</v>
      </c>
      <c r="K21" s="151">
        <v>2265</v>
      </c>
      <c r="L21" s="332">
        <f>K21/H21</f>
        <v>188.75</v>
      </c>
      <c r="M21" s="333">
        <f>J21/K21</f>
        <v>5.936644591611479</v>
      </c>
      <c r="N21" s="108">
        <f>93564+52250+16170+13446.5</f>
        <v>175430.5</v>
      </c>
      <c r="O21" s="151">
        <f>10662+5936+2085+2265</f>
        <v>20948</v>
      </c>
      <c r="P21" s="342">
        <f>+N21/O21</f>
        <v>8.374570364712621</v>
      </c>
    </row>
    <row r="22" spans="1:16" s="10" customFormat="1" ht="15">
      <c r="A22" s="103">
        <v>18</v>
      </c>
      <c r="B22" s="25"/>
      <c r="C22" s="58" t="s">
        <v>99</v>
      </c>
      <c r="D22" s="39">
        <v>38835</v>
      </c>
      <c r="E22" s="144" t="s">
        <v>61</v>
      </c>
      <c r="F22" s="144" t="s">
        <v>72</v>
      </c>
      <c r="G22" s="183">
        <v>71</v>
      </c>
      <c r="H22" s="183">
        <v>20</v>
      </c>
      <c r="I22" s="183">
        <v>6</v>
      </c>
      <c r="J22" s="138">
        <v>8795</v>
      </c>
      <c r="K22" s="116">
        <v>1973</v>
      </c>
      <c r="L22" s="115">
        <f>+K22/H22</f>
        <v>98.65</v>
      </c>
      <c r="M22" s="334">
        <f>+J22/K22</f>
        <v>4.4576786619361375</v>
      </c>
      <c r="N22" s="117">
        <v>980517</v>
      </c>
      <c r="O22" s="116">
        <v>118497</v>
      </c>
      <c r="P22" s="341">
        <f>+N22/O22</f>
        <v>8.274614547203727</v>
      </c>
    </row>
    <row r="23" spans="1:16" s="10" customFormat="1" ht="15">
      <c r="A23" s="103">
        <v>19</v>
      </c>
      <c r="B23" s="25"/>
      <c r="C23" s="99" t="s">
        <v>231</v>
      </c>
      <c r="D23" s="39">
        <v>38870</v>
      </c>
      <c r="E23" s="269" t="s">
        <v>131</v>
      </c>
      <c r="F23" s="143" t="s">
        <v>148</v>
      </c>
      <c r="G23" s="127" t="s">
        <v>155</v>
      </c>
      <c r="H23" s="128">
        <v>5</v>
      </c>
      <c r="I23" s="128">
        <v>1</v>
      </c>
      <c r="J23" s="138">
        <v>8209.5</v>
      </c>
      <c r="K23" s="116">
        <v>885</v>
      </c>
      <c r="L23" s="115">
        <f>IF(J23&lt;&gt;0,K23/H23,"")</f>
        <v>177</v>
      </c>
      <c r="M23" s="334">
        <f>IF(J23&lt;&gt;0,J23/K23,"")</f>
        <v>9.276271186440677</v>
      </c>
      <c r="N23" s="117">
        <f>20882.25+8209.5</f>
        <v>29091.75</v>
      </c>
      <c r="O23" s="116">
        <f>2709+885</f>
        <v>3594</v>
      </c>
      <c r="P23" s="341">
        <f>IF(N23&lt;&gt;0,N23/O23,"")</f>
        <v>8.094532554257095</v>
      </c>
    </row>
    <row r="24" spans="1:16" s="10" customFormat="1" ht="15">
      <c r="A24" s="103">
        <v>20</v>
      </c>
      <c r="B24" s="25"/>
      <c r="C24" s="52" t="s">
        <v>101</v>
      </c>
      <c r="D24" s="27">
        <v>38835</v>
      </c>
      <c r="E24" s="193" t="s">
        <v>60</v>
      </c>
      <c r="F24" s="141" t="s">
        <v>115</v>
      </c>
      <c r="G24" s="51">
        <v>40</v>
      </c>
      <c r="H24" s="51">
        <v>17</v>
      </c>
      <c r="I24" s="51">
        <v>6</v>
      </c>
      <c r="J24" s="134">
        <v>8065.5</v>
      </c>
      <c r="K24" s="151">
        <v>1358</v>
      </c>
      <c r="L24" s="332">
        <f>K24/H24</f>
        <v>79.88235294117646</v>
      </c>
      <c r="M24" s="333">
        <f>J24/K24</f>
        <v>5.939248895434463</v>
      </c>
      <c r="N24" s="108">
        <f>140527+60007+17227+3041.5+24+5449.5+8065.5</f>
        <v>234341.5</v>
      </c>
      <c r="O24" s="151">
        <f>16242+7267+2760+627+1138+1358</f>
        <v>29392</v>
      </c>
      <c r="P24" s="342">
        <f>+N24/O24</f>
        <v>7.972968835057158</v>
      </c>
    </row>
    <row r="25" spans="1:16" s="10" customFormat="1" ht="15">
      <c r="A25" s="103">
        <v>21</v>
      </c>
      <c r="B25" s="25"/>
      <c r="C25" s="58" t="s">
        <v>113</v>
      </c>
      <c r="D25" s="39">
        <v>38821</v>
      </c>
      <c r="E25" s="144" t="s">
        <v>61</v>
      </c>
      <c r="F25" s="144" t="s">
        <v>66</v>
      </c>
      <c r="G25" s="183">
        <v>94</v>
      </c>
      <c r="H25" s="183">
        <v>12</v>
      </c>
      <c r="I25" s="183">
        <v>9</v>
      </c>
      <c r="J25" s="138">
        <v>5978</v>
      </c>
      <c r="K25" s="116">
        <v>1317</v>
      </c>
      <c r="L25" s="115">
        <f>+K25/H25</f>
        <v>109.75</v>
      </c>
      <c r="M25" s="334">
        <f>+J25/K25</f>
        <v>4.539104024297647</v>
      </c>
      <c r="N25" s="117">
        <v>977654</v>
      </c>
      <c r="O25" s="116">
        <v>143684</v>
      </c>
      <c r="P25" s="341">
        <f>+N25/O25</f>
        <v>6.8041953175022964</v>
      </c>
    </row>
    <row r="26" spans="1:16" s="10" customFormat="1" ht="15">
      <c r="A26" s="103">
        <v>22</v>
      </c>
      <c r="B26" s="25"/>
      <c r="C26" s="52" t="s">
        <v>50</v>
      </c>
      <c r="D26" s="27">
        <v>38800</v>
      </c>
      <c r="E26" s="141" t="s">
        <v>43</v>
      </c>
      <c r="F26" s="141" t="s">
        <v>84</v>
      </c>
      <c r="G26" s="51">
        <v>58</v>
      </c>
      <c r="H26" s="51">
        <v>7</v>
      </c>
      <c r="I26" s="51">
        <v>11</v>
      </c>
      <c r="J26" s="137">
        <v>5176</v>
      </c>
      <c r="K26" s="332">
        <v>1287</v>
      </c>
      <c r="L26" s="115">
        <f>IF(J26&lt;&gt;0,K26/H26,"")</f>
        <v>183.85714285714286</v>
      </c>
      <c r="M26" s="334">
        <f>IF(J26&lt;&gt;0,J26/K26,"")</f>
        <v>4.021756021756022</v>
      </c>
      <c r="N26" s="114">
        <f>350945.5+222517.5+139156.5+40897.5+38142.5+25481.5+16036.5+2540+5715.5+4760+5176</f>
        <v>851369</v>
      </c>
      <c r="O26" s="116">
        <f>46256+31606+20219+8293+8608+6050+3760+524+1828+885+1287</f>
        <v>129316</v>
      </c>
      <c r="P26" s="341">
        <f>IF(N26&lt;&gt;0,N26/O26,"")</f>
        <v>6.5836323424788885</v>
      </c>
    </row>
    <row r="27" spans="1:16" s="10" customFormat="1" ht="15">
      <c r="A27" s="103">
        <v>23</v>
      </c>
      <c r="B27" s="25"/>
      <c r="C27" s="99" t="s">
        <v>133</v>
      </c>
      <c r="D27" s="39">
        <v>38849</v>
      </c>
      <c r="E27" s="269" t="s">
        <v>131</v>
      </c>
      <c r="F27" s="143" t="s">
        <v>134</v>
      </c>
      <c r="G27" s="127" t="s">
        <v>151</v>
      </c>
      <c r="H27" s="128">
        <v>4</v>
      </c>
      <c r="I27" s="128">
        <v>4</v>
      </c>
      <c r="J27" s="138">
        <v>4570</v>
      </c>
      <c r="K27" s="116">
        <v>1506</v>
      </c>
      <c r="L27" s="115">
        <f>IF(J27&lt;&gt;0,K27/H27,"")</f>
        <v>376.5</v>
      </c>
      <c r="M27" s="334">
        <f>IF(J27&lt;&gt;0,J27/K27,"")</f>
        <v>3.0345285524568393</v>
      </c>
      <c r="N27" s="117">
        <f>12183.25+8569+5406+1833+4570</f>
        <v>32561.25</v>
      </c>
      <c r="O27" s="116">
        <f>1678+1149+734+247+1506</f>
        <v>5314</v>
      </c>
      <c r="P27" s="341">
        <f>IF(N27&lt;&gt;0,N27/O27,"")</f>
        <v>6.127446368084305</v>
      </c>
    </row>
    <row r="28" spans="1:16" s="10" customFormat="1" ht="15">
      <c r="A28" s="103">
        <v>24</v>
      </c>
      <c r="B28" s="25"/>
      <c r="C28" s="52" t="s">
        <v>104</v>
      </c>
      <c r="D28" s="27">
        <v>38842</v>
      </c>
      <c r="E28" s="193" t="s">
        <v>60</v>
      </c>
      <c r="F28" s="141" t="s">
        <v>80</v>
      </c>
      <c r="G28" s="51">
        <v>14</v>
      </c>
      <c r="H28" s="51">
        <v>10</v>
      </c>
      <c r="I28" s="51">
        <v>5</v>
      </c>
      <c r="J28" s="134">
        <v>4071</v>
      </c>
      <c r="K28" s="151">
        <v>1148</v>
      </c>
      <c r="L28" s="332">
        <f>K28/H28</f>
        <v>114.8</v>
      </c>
      <c r="M28" s="333">
        <f>J28/K28</f>
        <v>3.5461672473867596</v>
      </c>
      <c r="N28" s="108">
        <f>41489.5+21950+1583.5+1943+4071</f>
        <v>71037</v>
      </c>
      <c r="O28" s="151">
        <f>4497+2417+200+294+1148</f>
        <v>8556</v>
      </c>
      <c r="P28" s="342">
        <f>+N28/O28</f>
        <v>8.302594670406732</v>
      </c>
    </row>
    <row r="29" spans="1:16" s="10" customFormat="1" ht="15">
      <c r="A29" s="103">
        <v>25</v>
      </c>
      <c r="B29" s="25"/>
      <c r="C29" s="58" t="s">
        <v>41</v>
      </c>
      <c r="D29" s="39">
        <v>38793</v>
      </c>
      <c r="E29" s="144" t="s">
        <v>35</v>
      </c>
      <c r="F29" s="144" t="s">
        <v>71</v>
      </c>
      <c r="G29" s="183">
        <v>33</v>
      </c>
      <c r="H29" s="183">
        <v>8</v>
      </c>
      <c r="I29" s="183">
        <v>12</v>
      </c>
      <c r="J29" s="139">
        <v>3663</v>
      </c>
      <c r="K29" s="153">
        <v>1477</v>
      </c>
      <c r="L29" s="115">
        <f>+K29/H29</f>
        <v>184.625</v>
      </c>
      <c r="M29" s="334">
        <f>+J29/K29</f>
        <v>2.4800270819228167</v>
      </c>
      <c r="N29" s="336">
        <v>159300</v>
      </c>
      <c r="O29" s="153">
        <v>32072.333333333336</v>
      </c>
      <c r="P29" s="341">
        <f>+N29/O29</f>
        <v>4.966897741563341</v>
      </c>
    </row>
    <row r="30" spans="1:16" s="10" customFormat="1" ht="15">
      <c r="A30" s="103">
        <v>26</v>
      </c>
      <c r="B30" s="25"/>
      <c r="C30" s="58" t="s">
        <v>102</v>
      </c>
      <c r="D30" s="39">
        <v>38835</v>
      </c>
      <c r="E30" s="144" t="s">
        <v>63</v>
      </c>
      <c r="F30" s="144" t="s">
        <v>64</v>
      </c>
      <c r="G30" s="183">
        <v>15</v>
      </c>
      <c r="H30" s="183">
        <v>14</v>
      </c>
      <c r="I30" s="183">
        <v>6</v>
      </c>
      <c r="J30" s="138">
        <v>3653.5</v>
      </c>
      <c r="K30" s="116">
        <v>689</v>
      </c>
      <c r="L30" s="115">
        <f>IF(J30&lt;&gt;0,K30/H30,"")</f>
        <v>49.214285714285715</v>
      </c>
      <c r="M30" s="334">
        <f>IF(J30&lt;&gt;0,J30/K30,"")</f>
        <v>5.302612481857765</v>
      </c>
      <c r="N30" s="117">
        <f>60845.5+35645.5+5851+2968.5+2340.5+3653.5</f>
        <v>111304.5</v>
      </c>
      <c r="O30" s="116">
        <f>6762+4054+1018+542+466+689</f>
        <v>13531</v>
      </c>
      <c r="P30" s="341">
        <f>IF(N30&lt;&gt;0,N30/O30,"")</f>
        <v>8.225888700022171</v>
      </c>
    </row>
    <row r="31" spans="1:16" s="10" customFormat="1" ht="15">
      <c r="A31" s="103">
        <v>27</v>
      </c>
      <c r="B31" s="25"/>
      <c r="C31" s="99" t="s">
        <v>145</v>
      </c>
      <c r="D31" s="39">
        <v>38828</v>
      </c>
      <c r="E31" s="269" t="s">
        <v>131</v>
      </c>
      <c r="F31" s="143" t="s">
        <v>146</v>
      </c>
      <c r="G31" s="127" t="s">
        <v>154</v>
      </c>
      <c r="H31" s="128">
        <v>4</v>
      </c>
      <c r="I31" s="128">
        <v>6</v>
      </c>
      <c r="J31" s="138">
        <v>3248</v>
      </c>
      <c r="K31" s="116">
        <v>580</v>
      </c>
      <c r="L31" s="115">
        <f>IF(J31&lt;&gt;0,K31/H31,"")</f>
        <v>145</v>
      </c>
      <c r="M31" s="334">
        <f>IF(J31&lt;&gt;0,J31/K31,"")</f>
        <v>5.6</v>
      </c>
      <c r="N31" s="117">
        <f>8964+4246+2175+6296+364+3248</f>
        <v>25293</v>
      </c>
      <c r="O31" s="116">
        <f>1055+574+361+886+56+580</f>
        <v>3512</v>
      </c>
      <c r="P31" s="341">
        <f>IF(N31&lt;&gt;0,N31/O31,"")</f>
        <v>7.201879271070615</v>
      </c>
    </row>
    <row r="32" spans="1:16" s="10" customFormat="1" ht="15">
      <c r="A32" s="103">
        <v>28</v>
      </c>
      <c r="B32" s="25"/>
      <c r="C32" s="99" t="s">
        <v>147</v>
      </c>
      <c r="D32" s="39">
        <v>38814</v>
      </c>
      <c r="E32" s="269" t="s">
        <v>131</v>
      </c>
      <c r="F32" s="143" t="s">
        <v>148</v>
      </c>
      <c r="G32" s="127" t="s">
        <v>232</v>
      </c>
      <c r="H32" s="128">
        <v>4</v>
      </c>
      <c r="I32" s="128">
        <v>9</v>
      </c>
      <c r="J32" s="138">
        <v>3068</v>
      </c>
      <c r="K32" s="116">
        <v>737</v>
      </c>
      <c r="L32" s="115">
        <f>IF(J32&lt;&gt;0,K32/H32,"")</f>
        <v>184.25</v>
      </c>
      <c r="M32" s="334">
        <f>IF(J32&lt;&gt;0,J32/K32,"")</f>
        <v>4.162822252374491</v>
      </c>
      <c r="N32" s="117">
        <f>43111+13278+6067.5+7325+7474+6516.5+154+328+3068</f>
        <v>87322</v>
      </c>
      <c r="O32" s="116">
        <f>4620+1821+1003+1445+1813+1225+30+68+737</f>
        <v>12762</v>
      </c>
      <c r="P32" s="341">
        <f>IF(N32&lt;&gt;0,N32/O32,"")</f>
        <v>6.842344460115969</v>
      </c>
    </row>
    <row r="33" spans="1:16" s="10" customFormat="1" ht="15">
      <c r="A33" s="103">
        <v>29</v>
      </c>
      <c r="B33" s="25"/>
      <c r="C33" s="58" t="s">
        <v>53</v>
      </c>
      <c r="D33" s="39">
        <v>38800</v>
      </c>
      <c r="E33" s="144" t="s">
        <v>63</v>
      </c>
      <c r="F33" s="144" t="s">
        <v>64</v>
      </c>
      <c r="G33" s="183">
        <v>92</v>
      </c>
      <c r="H33" s="183">
        <v>2</v>
      </c>
      <c r="I33" s="183">
        <v>11</v>
      </c>
      <c r="J33" s="138">
        <v>3053</v>
      </c>
      <c r="K33" s="116">
        <v>1011</v>
      </c>
      <c r="L33" s="115">
        <f>IF(J33&lt;&gt;0,K33/H33,"")</f>
        <v>505.5</v>
      </c>
      <c r="M33" s="334">
        <f>IF(J33&lt;&gt;0,J33/K33,"")</f>
        <v>3.019782393669634</v>
      </c>
      <c r="N33" s="117">
        <f>481751.5+308419.5+242119.5+52953+38471.5+16408.5+18127+1517+5096+60+3053</f>
        <v>1167976.5</v>
      </c>
      <c r="O33" s="116">
        <f>67910+40806+32344+8727+9142+4213+4473+313+1639+13+1011</f>
        <v>170591</v>
      </c>
      <c r="P33" s="341">
        <f>IF(N33&lt;&gt;0,N33/O33,"")</f>
        <v>6.846647830190339</v>
      </c>
    </row>
    <row r="34" spans="1:16" s="10" customFormat="1" ht="15">
      <c r="A34" s="103">
        <v>30</v>
      </c>
      <c r="B34" s="25"/>
      <c r="C34" s="58" t="s">
        <v>233</v>
      </c>
      <c r="D34" s="39">
        <v>38478</v>
      </c>
      <c r="E34" s="144" t="s">
        <v>63</v>
      </c>
      <c r="F34" s="144" t="s">
        <v>64</v>
      </c>
      <c r="G34" s="183">
        <v>110</v>
      </c>
      <c r="H34" s="183">
        <v>1</v>
      </c>
      <c r="I34" s="183">
        <v>27</v>
      </c>
      <c r="J34" s="138">
        <v>3021</v>
      </c>
      <c r="K34" s="116">
        <v>1007</v>
      </c>
      <c r="L34" s="115">
        <f>IF(J34&lt;&gt;0,K34/H34,"")</f>
        <v>1007</v>
      </c>
      <c r="M34" s="334">
        <f>IF(J34&lt;&gt;0,J34/K34,"")</f>
        <v>3</v>
      </c>
      <c r="N34" s="117">
        <f>1552852+1129569+552235+360641+234885+137799+79583+30890+14053+7690+12825+4646+6751+11373+3335+2064+4541+1649+1466+1760+289+1516+291+806+2014+2376+3021</f>
        <v>4160920</v>
      </c>
      <c r="O34" s="116">
        <f>228080+162991+81553+54801+44296+29831+18292+6926+2921+2635+4885+1700+1195+2429+631+396+1815+397+316+417+57+757+58+403+1007+1188+1007</f>
        <v>650984</v>
      </c>
      <c r="P34" s="341">
        <f>IF(N34&lt;&gt;0,N34/O34,"")</f>
        <v>6.391739274697995</v>
      </c>
    </row>
    <row r="35" spans="1:16" s="10" customFormat="1" ht="15">
      <c r="A35" s="103">
        <v>31</v>
      </c>
      <c r="B35" s="25"/>
      <c r="C35" s="58" t="s">
        <v>38</v>
      </c>
      <c r="D35" s="39">
        <v>38695</v>
      </c>
      <c r="E35" s="144" t="s">
        <v>61</v>
      </c>
      <c r="F35" s="144" t="s">
        <v>66</v>
      </c>
      <c r="G35" s="183">
        <v>96</v>
      </c>
      <c r="H35" s="183">
        <v>1</v>
      </c>
      <c r="I35" s="183">
        <v>26</v>
      </c>
      <c r="J35" s="139">
        <v>3000</v>
      </c>
      <c r="K35" s="116">
        <v>1000</v>
      </c>
      <c r="L35" s="115">
        <f>+K35/H35</f>
        <v>1000</v>
      </c>
      <c r="M35" s="334">
        <f>+J35/K35</f>
        <v>3</v>
      </c>
      <c r="N35" s="336">
        <v>1926125</v>
      </c>
      <c r="O35" s="116">
        <v>282164</v>
      </c>
      <c r="P35" s="341">
        <f>+N35/O35</f>
        <v>6.8262606143944655</v>
      </c>
    </row>
    <row r="36" spans="1:16" s="10" customFormat="1" ht="15">
      <c r="A36" s="103">
        <v>32</v>
      </c>
      <c r="B36" s="25"/>
      <c r="C36" s="99" t="s">
        <v>137</v>
      </c>
      <c r="D36" s="39">
        <v>38779</v>
      </c>
      <c r="E36" s="269" t="s">
        <v>131</v>
      </c>
      <c r="F36" s="143" t="s">
        <v>138</v>
      </c>
      <c r="G36" s="127" t="s">
        <v>234</v>
      </c>
      <c r="H36" s="128">
        <v>5</v>
      </c>
      <c r="I36" s="128">
        <v>14</v>
      </c>
      <c r="J36" s="138">
        <v>2693.5</v>
      </c>
      <c r="K36" s="116">
        <v>870</v>
      </c>
      <c r="L36" s="115">
        <f>IF(J36&lt;&gt;0,K36/H36,"")</f>
        <v>174</v>
      </c>
      <c r="M36" s="334">
        <f>IF(J36&lt;&gt;0,J36/K36,"")</f>
        <v>3.095977011494253</v>
      </c>
      <c r="N36" s="117">
        <f>19635+7029.5+1939.5+1932.5+1425+2285+846+5995.5+272.5+3026+831+1782+1425+2693.5</f>
        <v>51118</v>
      </c>
      <c r="O36" s="116">
        <f>2548+994+309+438+475+587+190+1491+27+979+277+594+475+870</f>
        <v>10254</v>
      </c>
      <c r="P36" s="341">
        <f>IF(N36&lt;&gt;0,N36/O36,"")</f>
        <v>4.985176516481373</v>
      </c>
    </row>
    <row r="37" spans="1:16" s="10" customFormat="1" ht="15">
      <c r="A37" s="103">
        <v>33</v>
      </c>
      <c r="B37" s="25"/>
      <c r="C37" s="99" t="s">
        <v>149</v>
      </c>
      <c r="D37" s="39">
        <v>38835</v>
      </c>
      <c r="E37" s="269" t="s">
        <v>131</v>
      </c>
      <c r="F37" s="143" t="s">
        <v>150</v>
      </c>
      <c r="G37" s="127" t="s">
        <v>155</v>
      </c>
      <c r="H37" s="128">
        <v>3</v>
      </c>
      <c r="I37" s="128">
        <v>5</v>
      </c>
      <c r="J37" s="138">
        <v>2686</v>
      </c>
      <c r="K37" s="116">
        <v>682</v>
      </c>
      <c r="L37" s="115">
        <f>IF(J37&lt;&gt;0,K37/H37,"")</f>
        <v>227.33333333333334</v>
      </c>
      <c r="M37" s="334">
        <f>IF(J37&lt;&gt;0,J37/K37,"")</f>
        <v>3.93841642228739</v>
      </c>
      <c r="N37" s="117">
        <f>497.5+5960+2567+1138+75+2686</f>
        <v>12923.5</v>
      </c>
      <c r="O37" s="116">
        <f>103+657+317+178+15+682</f>
        <v>1952</v>
      </c>
      <c r="P37" s="341">
        <f>IF(N37&lt;&gt;0,N37/O37,"")</f>
        <v>6.620645491803279</v>
      </c>
    </row>
    <row r="38" spans="1:16" s="10" customFormat="1" ht="15">
      <c r="A38" s="103">
        <v>34</v>
      </c>
      <c r="B38" s="25"/>
      <c r="C38" s="52" t="s">
        <v>92</v>
      </c>
      <c r="D38" s="27">
        <v>38828</v>
      </c>
      <c r="E38" s="193" t="s">
        <v>60</v>
      </c>
      <c r="F38" s="141" t="s">
        <v>74</v>
      </c>
      <c r="G38" s="51">
        <v>59</v>
      </c>
      <c r="H38" s="51">
        <v>4</v>
      </c>
      <c r="I38" s="51">
        <v>7</v>
      </c>
      <c r="J38" s="134">
        <v>2597</v>
      </c>
      <c r="K38" s="151">
        <v>532</v>
      </c>
      <c r="L38" s="332">
        <f>K38/H38</f>
        <v>133</v>
      </c>
      <c r="M38" s="333">
        <f>J38/K38</f>
        <v>4.881578947368421</v>
      </c>
      <c r="N38" s="108">
        <f>365673.5+242198.5+102288+967.5+39022+4819.5+5052.5+2597</f>
        <v>762618.5</v>
      </c>
      <c r="O38" s="151">
        <f>45213+29847+13085+1+6124+1313+1025+532</f>
        <v>97140</v>
      </c>
      <c r="P38" s="342">
        <f>+N38/O38</f>
        <v>7.850715462219477</v>
      </c>
    </row>
    <row r="39" spans="1:16" s="10" customFormat="1" ht="15">
      <c r="A39" s="103">
        <v>35</v>
      </c>
      <c r="B39" s="25"/>
      <c r="C39" s="58" t="s">
        <v>170</v>
      </c>
      <c r="D39" s="39">
        <v>38737</v>
      </c>
      <c r="E39" s="144" t="s">
        <v>63</v>
      </c>
      <c r="F39" s="144" t="s">
        <v>76</v>
      </c>
      <c r="G39" s="183">
        <v>43</v>
      </c>
      <c r="H39" s="183">
        <v>1</v>
      </c>
      <c r="I39" s="183">
        <v>15</v>
      </c>
      <c r="J39" s="138">
        <v>2376</v>
      </c>
      <c r="K39" s="116">
        <v>792</v>
      </c>
      <c r="L39" s="115">
        <f>IF(J39&lt;&gt;0,K39/H39,"")</f>
        <v>792</v>
      </c>
      <c r="M39" s="334">
        <f>IF(J39&lt;&gt;0,J39/K39,"")</f>
        <v>3</v>
      </c>
      <c r="N39" s="117">
        <f>396203.5+294727+144308+39007.5+20845+13381+3440+5237.5+6333+2618+1285+5683+2376+297+2376</f>
        <v>938117.5</v>
      </c>
      <c r="O39" s="116">
        <f>47896+35851+17460+6558+3746+4007+1374+1611+1950+556+169+1830+1188+72+792</f>
        <v>125060</v>
      </c>
      <c r="P39" s="341">
        <f>IF(N39&lt;&gt;0,N39/O39,"")</f>
        <v>7.501339357108588</v>
      </c>
    </row>
    <row r="40" spans="1:16" s="10" customFormat="1" ht="15">
      <c r="A40" s="103">
        <v>36</v>
      </c>
      <c r="B40" s="25"/>
      <c r="C40" s="99" t="s">
        <v>139</v>
      </c>
      <c r="D40" s="39">
        <v>38723</v>
      </c>
      <c r="E40" s="269" t="s">
        <v>131</v>
      </c>
      <c r="F40" s="143" t="s">
        <v>140</v>
      </c>
      <c r="G40" s="127" t="s">
        <v>153</v>
      </c>
      <c r="H40" s="128">
        <v>2</v>
      </c>
      <c r="I40" s="128">
        <v>15</v>
      </c>
      <c r="J40" s="138">
        <v>2340</v>
      </c>
      <c r="K40" s="116">
        <v>780</v>
      </c>
      <c r="L40" s="115">
        <f>IF(J40&lt;&gt;0,K40/H40,"")</f>
        <v>390</v>
      </c>
      <c r="M40" s="334">
        <f>IF(J40&lt;&gt;0,J40/K40,"")</f>
        <v>3</v>
      </c>
      <c r="N40" s="117">
        <f>22570+12751+6691+4543+3462+1141+1389+1484.5+48+38+1782+1068+714+1188+2340</f>
        <v>61209.5</v>
      </c>
      <c r="O40" s="116">
        <f>2787+1607+844+585+460+145+463+399+9+7+594+356+238+396+780</f>
        <v>9670</v>
      </c>
      <c r="P40" s="341">
        <f>IF(N40&lt;&gt;0,N40/O40,"")</f>
        <v>6.329834539813858</v>
      </c>
    </row>
    <row r="41" spans="1:16" s="10" customFormat="1" ht="15">
      <c r="A41" s="103">
        <v>37</v>
      </c>
      <c r="B41" s="25"/>
      <c r="C41" s="99" t="s">
        <v>235</v>
      </c>
      <c r="D41" s="39">
        <v>38709</v>
      </c>
      <c r="E41" s="269" t="s">
        <v>131</v>
      </c>
      <c r="F41" s="143" t="s">
        <v>236</v>
      </c>
      <c r="G41" s="127" t="s">
        <v>237</v>
      </c>
      <c r="H41" s="128">
        <v>2</v>
      </c>
      <c r="I41" s="128">
        <v>13</v>
      </c>
      <c r="J41" s="138">
        <v>2340</v>
      </c>
      <c r="K41" s="116">
        <v>780</v>
      </c>
      <c r="L41" s="115">
        <f>IF(J41&lt;&gt;0,K41/H41,"")</f>
        <v>390</v>
      </c>
      <c r="M41" s="334">
        <f>IF(J41&lt;&gt;0,J41/K41,"")</f>
        <v>3</v>
      </c>
      <c r="N41" s="117">
        <f>3016+2037+320+565+129+831+855+594+1425+1188+1144+47+2340</f>
        <v>14491</v>
      </c>
      <c r="O41" s="116">
        <f>411+260+76+113+17+277+285+198+475+396+370+9+780</f>
        <v>3667</v>
      </c>
      <c r="P41" s="341">
        <f>IF(N41&lt;&gt;0,N41/O41,"")</f>
        <v>3.9517316607581128</v>
      </c>
    </row>
    <row r="42" spans="1:16" s="10" customFormat="1" ht="15">
      <c r="A42" s="103">
        <v>38</v>
      </c>
      <c r="B42" s="25"/>
      <c r="C42" s="52" t="s">
        <v>95</v>
      </c>
      <c r="D42" s="27">
        <v>38821</v>
      </c>
      <c r="E42" s="193" t="s">
        <v>60</v>
      </c>
      <c r="F42" s="141" t="s">
        <v>67</v>
      </c>
      <c r="G42" s="51">
        <v>53</v>
      </c>
      <c r="H42" s="51">
        <v>4</v>
      </c>
      <c r="I42" s="51">
        <v>8</v>
      </c>
      <c r="J42" s="134">
        <v>2263.5</v>
      </c>
      <c r="K42" s="151">
        <v>410</v>
      </c>
      <c r="L42" s="332">
        <f>K42/H42</f>
        <v>102.5</v>
      </c>
      <c r="M42" s="333">
        <f>J42/K42</f>
        <v>5.520731707317073</v>
      </c>
      <c r="N42" s="108">
        <f>155465+86253.5+51+32563.5+13957.5+17705+3940.5+3158+2263.5</f>
        <v>315357.5</v>
      </c>
      <c r="O42" s="151">
        <f>21109+11912+4921+2568+3792+939+610+410</f>
        <v>46261</v>
      </c>
      <c r="P42" s="342">
        <f>+N42/O42</f>
        <v>6.8169192192127275</v>
      </c>
    </row>
    <row r="43" spans="1:16" s="10" customFormat="1" ht="15">
      <c r="A43" s="103">
        <v>39</v>
      </c>
      <c r="B43" s="25"/>
      <c r="C43" s="99" t="s">
        <v>143</v>
      </c>
      <c r="D43" s="39">
        <v>38758</v>
      </c>
      <c r="E43" s="269" t="s">
        <v>131</v>
      </c>
      <c r="F43" s="143" t="s">
        <v>144</v>
      </c>
      <c r="G43" s="127" t="s">
        <v>151</v>
      </c>
      <c r="H43" s="128">
        <v>4</v>
      </c>
      <c r="I43" s="128">
        <v>16</v>
      </c>
      <c r="J43" s="138">
        <v>1948</v>
      </c>
      <c r="K43" s="116">
        <v>595</v>
      </c>
      <c r="L43" s="115">
        <f>IF(J43&lt;&gt;0,K43/H43,"")</f>
        <v>148.75</v>
      </c>
      <c r="M43" s="334">
        <f>IF(J43&lt;&gt;0,J43/K43,"")</f>
        <v>3.2739495798319327</v>
      </c>
      <c r="N43" s="117">
        <f>12456+7990+4147+1031+2942.5+1687.5+5526.5+3841.5+1352.5+925+2425+2735+1963+2610.5+374+1948</f>
        <v>53955</v>
      </c>
      <c r="O43" s="116">
        <f>1552+1090+669+166+430+252+1516+804+308+163+443+768+612+467+81+595</f>
        <v>9916</v>
      </c>
      <c r="P43" s="341">
        <f>IF(N43&lt;&gt;0,N43/O43,"")</f>
        <v>5.441206131504639</v>
      </c>
    </row>
    <row r="44" spans="1:16" s="10" customFormat="1" ht="15">
      <c r="A44" s="103">
        <v>40</v>
      </c>
      <c r="B44" s="25"/>
      <c r="C44" s="58" t="s">
        <v>39</v>
      </c>
      <c r="D44" s="39">
        <v>38779</v>
      </c>
      <c r="E44" s="144" t="s">
        <v>61</v>
      </c>
      <c r="F44" s="144" t="s">
        <v>66</v>
      </c>
      <c r="G44" s="183">
        <v>72</v>
      </c>
      <c r="H44" s="183">
        <v>5</v>
      </c>
      <c r="I44" s="183">
        <v>14</v>
      </c>
      <c r="J44" s="138">
        <v>1861</v>
      </c>
      <c r="K44" s="116">
        <v>461</v>
      </c>
      <c r="L44" s="115">
        <f>+K44/H44</f>
        <v>92.2</v>
      </c>
      <c r="M44" s="334">
        <f>+J44/K44</f>
        <v>4.036876355748373</v>
      </c>
      <c r="N44" s="117">
        <v>969807</v>
      </c>
      <c r="O44" s="116">
        <v>144237</v>
      </c>
      <c r="P44" s="341">
        <f>+N44/O44</f>
        <v>6.7237047359554065</v>
      </c>
    </row>
    <row r="45" spans="1:16" s="10" customFormat="1" ht="15">
      <c r="A45" s="103">
        <v>41</v>
      </c>
      <c r="B45" s="25"/>
      <c r="C45" s="58" t="s">
        <v>94</v>
      </c>
      <c r="D45" s="39">
        <v>38828</v>
      </c>
      <c r="E45" s="144" t="s">
        <v>61</v>
      </c>
      <c r="F45" s="144" t="s">
        <v>66</v>
      </c>
      <c r="G45" s="183">
        <v>46</v>
      </c>
      <c r="H45" s="183">
        <v>3</v>
      </c>
      <c r="I45" s="183">
        <v>7</v>
      </c>
      <c r="J45" s="138">
        <v>1844</v>
      </c>
      <c r="K45" s="116">
        <v>572</v>
      </c>
      <c r="L45" s="115">
        <f>+K45/H45</f>
        <v>190.66666666666666</v>
      </c>
      <c r="M45" s="334">
        <f>+J45/K45</f>
        <v>3.2237762237762237</v>
      </c>
      <c r="N45" s="117">
        <v>284895</v>
      </c>
      <c r="O45" s="116">
        <v>36121</v>
      </c>
      <c r="P45" s="341">
        <f>+N45/O45</f>
        <v>7.887240109631517</v>
      </c>
    </row>
    <row r="46" spans="1:16" s="10" customFormat="1" ht="15">
      <c r="A46" s="103">
        <v>42</v>
      </c>
      <c r="B46" s="25"/>
      <c r="C46" s="58" t="s">
        <v>96</v>
      </c>
      <c r="D46" s="39">
        <v>38828</v>
      </c>
      <c r="E46" s="144" t="s">
        <v>57</v>
      </c>
      <c r="F46" s="144" t="s">
        <v>72</v>
      </c>
      <c r="G46" s="57">
        <v>45</v>
      </c>
      <c r="H46" s="57">
        <v>5</v>
      </c>
      <c r="I46" s="57">
        <v>7</v>
      </c>
      <c r="J46" s="138">
        <v>1673</v>
      </c>
      <c r="K46" s="116">
        <v>330</v>
      </c>
      <c r="L46" s="115">
        <f>+K46/H46</f>
        <v>66</v>
      </c>
      <c r="M46" s="334">
        <f>+J46/K46</f>
        <v>5.069696969696969</v>
      </c>
      <c r="N46" s="117">
        <v>145602</v>
      </c>
      <c r="O46" s="116">
        <v>20556</v>
      </c>
      <c r="P46" s="341">
        <f>+N46/O46</f>
        <v>7.083187390542907</v>
      </c>
    </row>
    <row r="47" spans="1:16" s="10" customFormat="1" ht="15">
      <c r="A47" s="103">
        <v>43</v>
      </c>
      <c r="B47" s="25"/>
      <c r="C47" s="99" t="s">
        <v>132</v>
      </c>
      <c r="D47" s="39">
        <v>38856</v>
      </c>
      <c r="E47" s="269" t="s">
        <v>131</v>
      </c>
      <c r="F47" s="143" t="s">
        <v>103</v>
      </c>
      <c r="G47" s="127" t="s">
        <v>234</v>
      </c>
      <c r="H47" s="128">
        <v>5</v>
      </c>
      <c r="I47" s="128">
        <v>3</v>
      </c>
      <c r="J47" s="138">
        <v>1602</v>
      </c>
      <c r="K47" s="116">
        <v>222</v>
      </c>
      <c r="L47" s="115">
        <f>IF(J47&lt;&gt;0,K47/H47,"")</f>
        <v>44.4</v>
      </c>
      <c r="M47" s="334">
        <f>IF(J47&lt;&gt;0,J47/K47,"")</f>
        <v>7.216216216216216</v>
      </c>
      <c r="N47" s="117">
        <f>21534.5+7198.5+1602</f>
        <v>30335</v>
      </c>
      <c r="O47" s="116">
        <f>3022+1231+222</f>
        <v>4475</v>
      </c>
      <c r="P47" s="341">
        <f>IF(N47&lt;&gt;0,N47/O47,"")</f>
        <v>6.778770949720671</v>
      </c>
    </row>
    <row r="48" spans="1:16" s="10" customFormat="1" ht="15">
      <c r="A48" s="103">
        <v>44</v>
      </c>
      <c r="B48" s="25"/>
      <c r="C48" s="52" t="s">
        <v>81</v>
      </c>
      <c r="D48" s="27">
        <v>38814</v>
      </c>
      <c r="E48" s="193" t="s">
        <v>60</v>
      </c>
      <c r="F48" s="141" t="s">
        <v>82</v>
      </c>
      <c r="G48" s="51">
        <v>124</v>
      </c>
      <c r="H48" s="51">
        <v>4</v>
      </c>
      <c r="I48" s="51">
        <v>9</v>
      </c>
      <c r="J48" s="134">
        <v>1592</v>
      </c>
      <c r="K48" s="151">
        <v>376</v>
      </c>
      <c r="L48" s="332">
        <f>K48/H48</f>
        <v>94</v>
      </c>
      <c r="M48" s="333">
        <f>J48/K48</f>
        <v>4.23404255319149</v>
      </c>
      <c r="N48" s="108">
        <f>439414+274192+192421+64.5+69171.5+43293.5-3918+20352-1014+12440+194+1138+1592</f>
        <v>1049340.5</v>
      </c>
      <c r="O48" s="151">
        <f>65914+42392+32259+2+13519+9474-1031+5275-202+2638+58+320+376</f>
        <v>170994</v>
      </c>
      <c r="P48" s="342">
        <f>+N48/O48</f>
        <v>6.136709475186263</v>
      </c>
    </row>
    <row r="49" spans="1:16" s="10" customFormat="1" ht="15">
      <c r="A49" s="103">
        <v>45</v>
      </c>
      <c r="B49" s="25"/>
      <c r="C49" s="52" t="s">
        <v>87</v>
      </c>
      <c r="D49" s="27">
        <v>38821</v>
      </c>
      <c r="E49" s="193" t="s">
        <v>60</v>
      </c>
      <c r="F49" s="141" t="s">
        <v>86</v>
      </c>
      <c r="G49" s="51">
        <v>32</v>
      </c>
      <c r="H49" s="51">
        <v>3</v>
      </c>
      <c r="I49" s="51">
        <v>8</v>
      </c>
      <c r="J49" s="134">
        <v>1548.5</v>
      </c>
      <c r="K49" s="151">
        <v>241</v>
      </c>
      <c r="L49" s="332">
        <f>K49/H49</f>
        <v>80.33333333333333</v>
      </c>
      <c r="M49" s="333">
        <f>J49/K49</f>
        <v>6.425311203319502</v>
      </c>
      <c r="N49" s="108">
        <f>122911+88335.5+16+40828.5+16007.5+37291.5+2997+4262.5+1548.5</f>
        <v>314198</v>
      </c>
      <c r="O49" s="151">
        <f>13093+9562-3+4800+2670+6683+902+881+241</f>
        <v>38829</v>
      </c>
      <c r="P49" s="342">
        <f>+N49/O49</f>
        <v>8.091838574261505</v>
      </c>
    </row>
    <row r="50" spans="1:16" s="10" customFormat="1" ht="15">
      <c r="A50" s="103">
        <v>46</v>
      </c>
      <c r="B50" s="25"/>
      <c r="C50" s="99" t="s">
        <v>238</v>
      </c>
      <c r="D50" s="39">
        <v>38639</v>
      </c>
      <c r="E50" s="269" t="s">
        <v>131</v>
      </c>
      <c r="F50" s="143" t="s">
        <v>239</v>
      </c>
      <c r="G50" s="127" t="s">
        <v>152</v>
      </c>
      <c r="H50" s="128">
        <v>1</v>
      </c>
      <c r="I50" s="128">
        <v>15</v>
      </c>
      <c r="J50" s="138">
        <v>1509</v>
      </c>
      <c r="K50" s="116">
        <v>503</v>
      </c>
      <c r="L50" s="115">
        <f>IF(J50&lt;&gt;0,K50/H50,"")</f>
        <v>503</v>
      </c>
      <c r="M50" s="334">
        <f>IF(J50&lt;&gt;0,J50/K50,"")</f>
        <v>3</v>
      </c>
      <c r="N50" s="117">
        <f>28963.5+28618+20693+7789.5+4183+3517+224+3660+150+741+315+957+2019+413+1509</f>
        <v>103752</v>
      </c>
      <c r="O50" s="116">
        <f>3714+3514+2496+1322+559+1053+41+881+30+141+105+319+673+69+503</f>
        <v>15420</v>
      </c>
      <c r="P50" s="341">
        <f>IF(N50&lt;&gt;0,N50/O50,"")</f>
        <v>6.7284046692607005</v>
      </c>
    </row>
    <row r="51" spans="1:16" s="10" customFormat="1" ht="15">
      <c r="A51" s="103">
        <v>47</v>
      </c>
      <c r="B51" s="25"/>
      <c r="C51" s="99" t="s">
        <v>240</v>
      </c>
      <c r="D51" s="39">
        <v>38688</v>
      </c>
      <c r="E51" s="269" t="s">
        <v>131</v>
      </c>
      <c r="F51" s="143" t="s">
        <v>185</v>
      </c>
      <c r="G51" s="127" t="s">
        <v>237</v>
      </c>
      <c r="H51" s="128">
        <v>1</v>
      </c>
      <c r="I51" s="128">
        <v>15</v>
      </c>
      <c r="J51" s="138">
        <v>1509</v>
      </c>
      <c r="K51" s="116">
        <v>503</v>
      </c>
      <c r="L51" s="115">
        <f>IF(J51&lt;&gt;0,K51/H51,"")</f>
        <v>503</v>
      </c>
      <c r="M51" s="334">
        <f>IF(J51&lt;&gt;0,J51/K51,"")</f>
        <v>3</v>
      </c>
      <c r="N51" s="117">
        <f>9081+6367+5550.5+2849+1028+105+60+1038+1128+85+27+1188+831+1782+1509</f>
        <v>32628.5</v>
      </c>
      <c r="O51" s="116">
        <f>1142+792+838+412+162+13+8+158+367+15+5+396+277+594+503</f>
        <v>5682</v>
      </c>
      <c r="P51" s="341">
        <f>IF(N51&lt;&gt;0,N51/O51,"")</f>
        <v>5.742432242168251</v>
      </c>
    </row>
    <row r="52" spans="1:16" s="10" customFormat="1" ht="15">
      <c r="A52" s="103">
        <v>48</v>
      </c>
      <c r="B52" s="25"/>
      <c r="C52" s="99" t="s">
        <v>241</v>
      </c>
      <c r="D52" s="39">
        <v>38688</v>
      </c>
      <c r="E52" s="269" t="s">
        <v>131</v>
      </c>
      <c r="F52" s="143" t="s">
        <v>242</v>
      </c>
      <c r="G52" s="127" t="s">
        <v>234</v>
      </c>
      <c r="H52" s="128">
        <v>1</v>
      </c>
      <c r="I52" s="128">
        <v>16</v>
      </c>
      <c r="J52" s="138">
        <v>1509</v>
      </c>
      <c r="K52" s="116">
        <v>503</v>
      </c>
      <c r="L52" s="115">
        <f>IF(J52&lt;&gt;0,K52/H52,"")</f>
        <v>503</v>
      </c>
      <c r="M52" s="334">
        <f>IF(J52&lt;&gt;0,J52/K52,"")</f>
        <v>3</v>
      </c>
      <c r="N52" s="117">
        <f>15934.5+5962.5+2065.5+65+247.5+98+1068+250+1662+351+295+714+855+64+180+1509</f>
        <v>31321</v>
      </c>
      <c r="O52" s="116">
        <f>1984+886+304+13+45+22+356+25+554+45+31+238+285+15+45+503</f>
        <v>5351</v>
      </c>
      <c r="P52" s="341">
        <f>IF(N52&lt;&gt;0,N52/O52,"")</f>
        <v>5.853298448888058</v>
      </c>
    </row>
    <row r="53" spans="1:16" s="10" customFormat="1" ht="15">
      <c r="A53" s="103">
        <v>49</v>
      </c>
      <c r="B53" s="25"/>
      <c r="C53" s="99" t="s">
        <v>243</v>
      </c>
      <c r="D53" s="39">
        <v>38576</v>
      </c>
      <c r="E53" s="269" t="s">
        <v>131</v>
      </c>
      <c r="F53" s="143" t="s">
        <v>134</v>
      </c>
      <c r="G53" s="127" t="s">
        <v>237</v>
      </c>
      <c r="H53" s="128">
        <v>1</v>
      </c>
      <c r="I53" s="128">
        <v>11</v>
      </c>
      <c r="J53" s="138">
        <v>1509</v>
      </c>
      <c r="K53" s="116">
        <v>503</v>
      </c>
      <c r="L53" s="115">
        <f>IF(J53&lt;&gt;0,K53/H53,"")</f>
        <v>503</v>
      </c>
      <c r="M53" s="334">
        <f>IF(J53&lt;&gt;0,J53/K53,"")</f>
        <v>3</v>
      </c>
      <c r="N53" s="117">
        <f>5147+3151+2811+1993+134+1294+416.5+1068+1545+1188+1509</f>
        <v>20256.5</v>
      </c>
      <c r="O53" s="116">
        <f>614+403+373+249+20+227+71+356+515+396+503</f>
        <v>3727</v>
      </c>
      <c r="P53" s="341">
        <f>IF(N53&lt;&gt;0,N53/O53,"")</f>
        <v>5.435068419640461</v>
      </c>
    </row>
    <row r="54" spans="1:16" s="10" customFormat="1" ht="15">
      <c r="A54" s="103">
        <v>50</v>
      </c>
      <c r="B54" s="25"/>
      <c r="C54" s="58" t="s">
        <v>0</v>
      </c>
      <c r="D54" s="39">
        <v>38765</v>
      </c>
      <c r="E54" s="144" t="s">
        <v>35</v>
      </c>
      <c r="F54" s="144" t="s">
        <v>85</v>
      </c>
      <c r="G54" s="183">
        <v>164</v>
      </c>
      <c r="H54" s="183">
        <v>2</v>
      </c>
      <c r="I54" s="183">
        <v>16</v>
      </c>
      <c r="J54" s="139">
        <v>1257</v>
      </c>
      <c r="K54" s="153">
        <v>607</v>
      </c>
      <c r="L54" s="115">
        <f>+K54/H54</f>
        <v>303.5</v>
      </c>
      <c r="M54" s="334">
        <f>+J54/K54</f>
        <v>2.070840197693575</v>
      </c>
      <c r="N54" s="336">
        <v>4209741.5</v>
      </c>
      <c r="O54" s="153">
        <v>641370</v>
      </c>
      <c r="P54" s="341">
        <f>+N54/O54</f>
        <v>6.563670736080578</v>
      </c>
    </row>
    <row r="55" spans="1:16" s="10" customFormat="1" ht="15">
      <c r="A55" s="103">
        <v>51</v>
      </c>
      <c r="B55" s="25"/>
      <c r="C55" s="52" t="s">
        <v>83</v>
      </c>
      <c r="D55" s="27">
        <v>38814</v>
      </c>
      <c r="E55" s="141" t="s">
        <v>43</v>
      </c>
      <c r="F55" s="141" t="s">
        <v>84</v>
      </c>
      <c r="G55" s="51">
        <v>56</v>
      </c>
      <c r="H55" s="51">
        <v>1</v>
      </c>
      <c r="I55" s="51">
        <v>8</v>
      </c>
      <c r="J55" s="137">
        <v>1188</v>
      </c>
      <c r="K55" s="332">
        <v>237</v>
      </c>
      <c r="L55" s="115">
        <f>IF(J55&lt;&gt;0,K55/H55,"")</f>
        <v>237</v>
      </c>
      <c r="M55" s="334">
        <f>IF(J55&lt;&gt;0,J55/K55,"")</f>
        <v>5.012658227848101</v>
      </c>
      <c r="N55" s="114">
        <f>217941.5+99459+32613+17816.5+8424.5+3203+531+1188</f>
        <v>381176.5</v>
      </c>
      <c r="O55" s="116">
        <f>30137+15034+5570+3956+2001+658+128+237</f>
        <v>57721</v>
      </c>
      <c r="P55" s="341">
        <f>IF(N55&lt;&gt;0,N55/O55,"")</f>
        <v>6.603775055872213</v>
      </c>
    </row>
    <row r="56" spans="1:16" s="10" customFormat="1" ht="15">
      <c r="A56" s="103">
        <v>52</v>
      </c>
      <c r="B56" s="25"/>
      <c r="C56" s="52" t="s">
        <v>171</v>
      </c>
      <c r="D56" s="27">
        <v>38793</v>
      </c>
      <c r="E56" s="193" t="s">
        <v>60</v>
      </c>
      <c r="F56" s="141" t="s">
        <v>32</v>
      </c>
      <c r="G56" s="51">
        <v>61</v>
      </c>
      <c r="H56" s="51">
        <v>1</v>
      </c>
      <c r="I56" s="51">
        <v>11</v>
      </c>
      <c r="J56" s="134">
        <v>1009</v>
      </c>
      <c r="K56" s="151">
        <v>240</v>
      </c>
      <c r="L56" s="332">
        <f>K56/H56</f>
        <v>240</v>
      </c>
      <c r="M56" s="333">
        <f>J56/K56</f>
        <v>4.204166666666667</v>
      </c>
      <c r="N56" s="108">
        <f>382650.25+216772+80793+19622+15213+10279+6237+3281.5+545+179+1009</f>
        <v>736580.75</v>
      </c>
      <c r="O56" s="151">
        <f>44423+25158+2+10694+4081+3731+2440+1502+538+87+42+240</f>
        <v>92938</v>
      </c>
      <c r="P56" s="342">
        <f>+N56/O56</f>
        <v>7.925506789472552</v>
      </c>
    </row>
    <row r="57" spans="1:16" s="10" customFormat="1" ht="15">
      <c r="A57" s="103">
        <v>53</v>
      </c>
      <c r="B57" s="25"/>
      <c r="C57" s="118" t="s">
        <v>244</v>
      </c>
      <c r="D57" s="119">
        <v>38478</v>
      </c>
      <c r="E57" s="145" t="s">
        <v>98</v>
      </c>
      <c r="F57" s="145" t="s">
        <v>103</v>
      </c>
      <c r="G57" s="335" t="s">
        <v>154</v>
      </c>
      <c r="H57" s="335">
        <v>1</v>
      </c>
      <c r="I57" s="335">
        <v>23</v>
      </c>
      <c r="J57" s="139">
        <v>1005</v>
      </c>
      <c r="K57" s="153">
        <v>201</v>
      </c>
      <c r="L57" s="115">
        <f>IF(J57&lt;&gt;0,K57/H57,"")</f>
        <v>201</v>
      </c>
      <c r="M57" s="334">
        <f>IF(J57&lt;&gt;0,J57/K57,"")</f>
        <v>5</v>
      </c>
      <c r="N57" s="336">
        <v>77955</v>
      </c>
      <c r="O57" s="153">
        <v>14062</v>
      </c>
      <c r="P57" s="341">
        <f>IF(N57&lt;&gt;0,N57/O57,"")</f>
        <v>5.54366377471199</v>
      </c>
    </row>
    <row r="58" spans="1:16" s="10" customFormat="1" ht="15">
      <c r="A58" s="103">
        <v>54</v>
      </c>
      <c r="B58" s="25"/>
      <c r="C58" s="58" t="s">
        <v>105</v>
      </c>
      <c r="D58" s="39">
        <v>38842</v>
      </c>
      <c r="E58" s="144" t="s">
        <v>63</v>
      </c>
      <c r="F58" s="144" t="s">
        <v>106</v>
      </c>
      <c r="G58" s="183">
        <v>40</v>
      </c>
      <c r="H58" s="183">
        <v>9</v>
      </c>
      <c r="I58" s="183">
        <v>5</v>
      </c>
      <c r="J58" s="138">
        <v>878.5</v>
      </c>
      <c r="K58" s="116">
        <v>197</v>
      </c>
      <c r="L58" s="115">
        <f>IF(J58&lt;&gt;0,K58/H58,"")</f>
        <v>21.88888888888889</v>
      </c>
      <c r="M58" s="334">
        <f>IF(J58&lt;&gt;0,J58/K58,"")</f>
        <v>4.459390862944162</v>
      </c>
      <c r="N58" s="117">
        <f>38973.5+16801.5+3724.5+1143.5+878.5</f>
        <v>61521.5</v>
      </c>
      <c r="O58" s="116">
        <f>6538+2897+696+259+197</f>
        <v>10587</v>
      </c>
      <c r="P58" s="341">
        <f>IF(N58&lt;&gt;0,N58/O58,"")</f>
        <v>5.811041843770663</v>
      </c>
    </row>
    <row r="59" spans="1:16" s="10" customFormat="1" ht="15">
      <c r="A59" s="103">
        <v>55</v>
      </c>
      <c r="B59" s="25"/>
      <c r="C59" s="99" t="s">
        <v>245</v>
      </c>
      <c r="D59" s="39">
        <v>38499</v>
      </c>
      <c r="E59" s="269" t="s">
        <v>131</v>
      </c>
      <c r="F59" s="143" t="s">
        <v>185</v>
      </c>
      <c r="G59" s="127" t="s">
        <v>155</v>
      </c>
      <c r="H59" s="128">
        <v>1</v>
      </c>
      <c r="I59" s="128">
        <v>26</v>
      </c>
      <c r="J59" s="138">
        <v>831</v>
      </c>
      <c r="K59" s="116">
        <v>277</v>
      </c>
      <c r="L59" s="115">
        <f>IF(J59&lt;&gt;0,K59/H59,"")</f>
        <v>277</v>
      </c>
      <c r="M59" s="334">
        <f>IF(J59&lt;&gt;0,J59/K59,"")</f>
        <v>3</v>
      </c>
      <c r="N59" s="117">
        <f>22778+10601+8594+4583+9364.5+3598+6225.5+6523+4933.5+4428+3825.5+3189+3765.5+5757.5+4033+4106+4021+2190+1121.5+3123+2905+177+1545+831+202+831</f>
        <v>123251.5</v>
      </c>
      <c r="O59" s="116">
        <f>2789+1727+1388+680+1807+625+989+1020+889+910+721+589+638+984+701+821+834+332+182+881+915+58+515+277+59+277</f>
        <v>21608</v>
      </c>
      <c r="P59" s="341">
        <f>IF(N59&lt;&gt;0,N59/O59,"")</f>
        <v>5.703975379489078</v>
      </c>
    </row>
    <row r="60" spans="1:16" s="10" customFormat="1" ht="15">
      <c r="A60" s="103">
        <v>56</v>
      </c>
      <c r="B60" s="25"/>
      <c r="C60" s="99" t="s">
        <v>246</v>
      </c>
      <c r="D60" s="39">
        <v>38660</v>
      </c>
      <c r="E60" s="269" t="s">
        <v>131</v>
      </c>
      <c r="F60" s="143" t="s">
        <v>239</v>
      </c>
      <c r="G60" s="127" t="s">
        <v>247</v>
      </c>
      <c r="H60" s="128">
        <v>1</v>
      </c>
      <c r="I60" s="128">
        <v>14</v>
      </c>
      <c r="J60" s="138">
        <v>831</v>
      </c>
      <c r="K60" s="116">
        <v>277</v>
      </c>
      <c r="L60" s="115">
        <f>IF(J60&lt;&gt;0,K60/H60,"")</f>
        <v>277</v>
      </c>
      <c r="M60" s="334">
        <f>IF(J60&lt;&gt;0,J60/K60,"")</f>
        <v>3</v>
      </c>
      <c r="N60" s="117">
        <f>37589.5+21430+10735+7513+3397+2698.5+1694+1188+1068+61+66+192+2376+831</f>
        <v>90839</v>
      </c>
      <c r="O60" s="116">
        <f>4953+2834+1525+1678+808+620+471+396+356+11+12+30+792+277</f>
        <v>14763</v>
      </c>
      <c r="P60" s="341">
        <f>IF(N60&lt;&gt;0,N60/O60,"")</f>
        <v>6.153153153153153</v>
      </c>
    </row>
    <row r="61" spans="1:16" s="10" customFormat="1" ht="15">
      <c r="A61" s="103">
        <v>57</v>
      </c>
      <c r="B61" s="25"/>
      <c r="C61" s="52" t="s">
        <v>169</v>
      </c>
      <c r="D61" s="27">
        <v>38772</v>
      </c>
      <c r="E61" s="193" t="s">
        <v>60</v>
      </c>
      <c r="F61" s="141" t="s">
        <v>74</v>
      </c>
      <c r="G61" s="51">
        <v>83</v>
      </c>
      <c r="H61" s="51">
        <v>1</v>
      </c>
      <c r="I61" s="51">
        <v>10</v>
      </c>
      <c r="J61" s="134">
        <v>695</v>
      </c>
      <c r="K61" s="151">
        <v>161</v>
      </c>
      <c r="L61" s="332">
        <f>K61/H61</f>
        <v>161</v>
      </c>
      <c r="M61" s="333">
        <f>J61/K61</f>
        <v>4.316770186335404</v>
      </c>
      <c r="N61" s="108">
        <f>567539+316479.5+147520.5+33631.5+20525+10752+2179+662+816+695</f>
        <v>1100799.5</v>
      </c>
      <c r="O61" s="151">
        <f>70751+40533+20089+5992+4309+2533+671+110+159+161</f>
        <v>145308</v>
      </c>
      <c r="P61" s="342">
        <f>+N61/O61</f>
        <v>7.575629008726292</v>
      </c>
    </row>
    <row r="62" spans="1:16" s="10" customFormat="1" ht="15">
      <c r="A62" s="103">
        <v>58</v>
      </c>
      <c r="B62" s="25"/>
      <c r="C62" s="118" t="s">
        <v>117</v>
      </c>
      <c r="D62" s="39">
        <v>38835</v>
      </c>
      <c r="E62" s="145" t="s">
        <v>98</v>
      </c>
      <c r="F62" s="145" t="s">
        <v>103</v>
      </c>
      <c r="G62" s="335" t="s">
        <v>247</v>
      </c>
      <c r="H62" s="335">
        <v>3</v>
      </c>
      <c r="I62" s="335">
        <v>6</v>
      </c>
      <c r="J62" s="139">
        <v>528</v>
      </c>
      <c r="K62" s="153">
        <v>103</v>
      </c>
      <c r="L62" s="115">
        <f>IF(J62&lt;&gt;0,K62/H62,"")</f>
        <v>34.333333333333336</v>
      </c>
      <c r="M62" s="334">
        <f>IF(J62&lt;&gt;0,J62/K62,"")</f>
        <v>5.12621359223301</v>
      </c>
      <c r="N62" s="336">
        <v>40827</v>
      </c>
      <c r="O62" s="153">
        <v>5276</v>
      </c>
      <c r="P62" s="341">
        <f>IF(N62&lt;&gt;0,N62/O62,"")</f>
        <v>7.738248673237301</v>
      </c>
    </row>
    <row r="63" spans="1:16" s="10" customFormat="1" ht="15">
      <c r="A63" s="103">
        <v>59</v>
      </c>
      <c r="B63" s="25"/>
      <c r="C63" s="58" t="s">
        <v>1</v>
      </c>
      <c r="D63" s="39">
        <v>38751</v>
      </c>
      <c r="E63" s="144" t="s">
        <v>35</v>
      </c>
      <c r="F63" s="144" t="s">
        <v>69</v>
      </c>
      <c r="G63" s="183">
        <v>277</v>
      </c>
      <c r="H63" s="183">
        <v>3</v>
      </c>
      <c r="I63" s="183">
        <v>18</v>
      </c>
      <c r="J63" s="139">
        <v>523</v>
      </c>
      <c r="K63" s="153">
        <v>119</v>
      </c>
      <c r="L63" s="115">
        <f>+K63/H63</f>
        <v>39.666666666666664</v>
      </c>
      <c r="M63" s="334">
        <f>+J63/K63</f>
        <v>4.394957983193278</v>
      </c>
      <c r="N63" s="336">
        <v>27412380</v>
      </c>
      <c r="O63" s="153">
        <v>4243293.666666667</v>
      </c>
      <c r="P63" s="341">
        <f>+N63/O63</f>
        <v>6.4601656527661175</v>
      </c>
    </row>
    <row r="64" spans="1:16" s="10" customFormat="1" ht="15">
      <c r="A64" s="103">
        <v>60</v>
      </c>
      <c r="B64" s="25"/>
      <c r="C64" s="58" t="s">
        <v>165</v>
      </c>
      <c r="D64" s="39">
        <v>38730</v>
      </c>
      <c r="E64" s="144" t="s">
        <v>61</v>
      </c>
      <c r="F64" s="144" t="s">
        <v>66</v>
      </c>
      <c r="G64" s="183">
        <v>116</v>
      </c>
      <c r="H64" s="183">
        <v>1</v>
      </c>
      <c r="I64" s="183">
        <v>21</v>
      </c>
      <c r="J64" s="138">
        <v>500</v>
      </c>
      <c r="K64" s="116">
        <v>50</v>
      </c>
      <c r="L64" s="115">
        <f>+K64/H64</f>
        <v>50</v>
      </c>
      <c r="M64" s="334">
        <f>+J64/K64</f>
        <v>10</v>
      </c>
      <c r="N64" s="117">
        <v>3277540</v>
      </c>
      <c r="O64" s="116">
        <v>466610</v>
      </c>
      <c r="P64" s="341">
        <f>+N64/O64</f>
        <v>7.024152932856133</v>
      </c>
    </row>
    <row r="65" spans="1:16" s="10" customFormat="1" ht="15">
      <c r="A65" s="103">
        <v>61</v>
      </c>
      <c r="B65" s="25"/>
      <c r="C65" s="58" t="s">
        <v>89</v>
      </c>
      <c r="D65" s="39">
        <v>38674</v>
      </c>
      <c r="E65" s="144" t="s">
        <v>63</v>
      </c>
      <c r="F65" s="144" t="s">
        <v>109</v>
      </c>
      <c r="G65" s="183">
        <v>135</v>
      </c>
      <c r="H65" s="183">
        <v>3</v>
      </c>
      <c r="I65" s="183">
        <v>29</v>
      </c>
      <c r="J65" s="138">
        <v>416</v>
      </c>
      <c r="K65" s="116">
        <v>74</v>
      </c>
      <c r="L65" s="115">
        <f>IF(J65&lt;&gt;0,K65/H65,"")</f>
        <v>24.666666666666668</v>
      </c>
      <c r="M65" s="334">
        <f>IF(J65&lt;&gt;0,J65/K65,"")</f>
        <v>5.621621621621622</v>
      </c>
      <c r="N65" s="117">
        <f>574568+1404261+2751877+3258896.5+2619095+1721177.5+1470030+1888546+1731654+1414026+1497050.5+996634+787201+777126+643480+509219.5+398974.5+275448+165366.5+73833.5+34414.5+18373+9776.5+10959.5+18948+5394+25647+638+416</f>
        <v>25083031</v>
      </c>
      <c r="O65" s="116">
        <f>74406+182802+367017+453161+369242+239307+216443+244832+235512+212084+230729+167361+134787+155924+132040+97910+71996+60438+31787+16691+9973+5959+2986+3569+5752+1319+6383+116+74</f>
        <v>3730600</v>
      </c>
      <c r="P65" s="341">
        <f>IF(N65&lt;&gt;0,N65/O65,"")</f>
        <v>6.723591647456173</v>
      </c>
    </row>
    <row r="66" spans="1:16" s="10" customFormat="1" ht="15">
      <c r="A66" s="103">
        <v>62</v>
      </c>
      <c r="B66" s="25"/>
      <c r="C66" s="58" t="s">
        <v>42</v>
      </c>
      <c r="D66" s="39">
        <v>38793</v>
      </c>
      <c r="E66" s="144" t="s">
        <v>61</v>
      </c>
      <c r="F66" s="144" t="s">
        <v>62</v>
      </c>
      <c r="G66" s="183">
        <v>129</v>
      </c>
      <c r="H66" s="183">
        <v>1</v>
      </c>
      <c r="I66" s="183">
        <v>12</v>
      </c>
      <c r="J66" s="138">
        <v>402</v>
      </c>
      <c r="K66" s="116">
        <v>123</v>
      </c>
      <c r="L66" s="115">
        <f>+K66/H66</f>
        <v>123</v>
      </c>
      <c r="M66" s="334">
        <f>+J66/K66</f>
        <v>3.268292682926829</v>
      </c>
      <c r="N66" s="117">
        <v>1785892</v>
      </c>
      <c r="O66" s="116">
        <v>271544</v>
      </c>
      <c r="P66" s="341">
        <f>+N66/O66</f>
        <v>6.5768052323012105</v>
      </c>
    </row>
    <row r="67" spans="1:16" s="10" customFormat="1" ht="15">
      <c r="A67" s="103">
        <v>63</v>
      </c>
      <c r="B67" s="25"/>
      <c r="C67" s="118" t="s">
        <v>248</v>
      </c>
      <c r="D67" s="39">
        <v>38674</v>
      </c>
      <c r="E67" s="145" t="s">
        <v>98</v>
      </c>
      <c r="F67" s="145" t="s">
        <v>249</v>
      </c>
      <c r="G67" s="335" t="s">
        <v>155</v>
      </c>
      <c r="H67" s="335">
        <v>1</v>
      </c>
      <c r="I67" s="335">
        <v>7</v>
      </c>
      <c r="J67" s="139">
        <v>318</v>
      </c>
      <c r="K67" s="153">
        <v>60</v>
      </c>
      <c r="L67" s="115">
        <f>IF(J67&lt;&gt;0,K67/H67,"")</f>
        <v>60</v>
      </c>
      <c r="M67" s="334">
        <f>IF(J67&lt;&gt;0,J67/K67,"")</f>
        <v>5.3</v>
      </c>
      <c r="N67" s="336">
        <v>24959.5</v>
      </c>
      <c r="O67" s="153">
        <v>3108</v>
      </c>
      <c r="P67" s="341">
        <f>IF(N67&lt;&gt;0,N67/O67,"")</f>
        <v>8.030727155727156</v>
      </c>
    </row>
    <row r="68" spans="1:16" s="10" customFormat="1" ht="15">
      <c r="A68" s="103">
        <v>64</v>
      </c>
      <c r="B68" s="25"/>
      <c r="C68" s="99" t="s">
        <v>184</v>
      </c>
      <c r="D68" s="39">
        <v>38716</v>
      </c>
      <c r="E68" s="269" t="s">
        <v>131</v>
      </c>
      <c r="F68" s="143" t="s">
        <v>185</v>
      </c>
      <c r="G68" s="127" t="s">
        <v>250</v>
      </c>
      <c r="H68" s="128">
        <v>1</v>
      </c>
      <c r="I68" s="128">
        <v>21</v>
      </c>
      <c r="J68" s="138">
        <v>294</v>
      </c>
      <c r="K68" s="116">
        <v>66</v>
      </c>
      <c r="L68" s="115">
        <f>IF(J68&lt;&gt;0,K68/H68,"")</f>
        <v>66</v>
      </c>
      <c r="M68" s="334">
        <f>IF(J68&lt;&gt;0,J68/K68,"")</f>
        <v>4.454545454545454</v>
      </c>
      <c r="N68" s="117">
        <f>41335+22428+10569.5+2994.5+6995.5+477+1541+1030+1308+1168.5+974+1343+1399+1115+913+1257+1859.5+2654.5+10471+2543+294</f>
        <v>114670</v>
      </c>
      <c r="O68" s="116">
        <f>5101+2761+1545+448+1608+159+304+206+436+246+162+276+329+246+181+254+303+684+2148+666+66</f>
        <v>18129</v>
      </c>
      <c r="P68" s="341">
        <f>IF(N68&lt;&gt;0,N68/O68,"")</f>
        <v>6.325224777980032</v>
      </c>
    </row>
    <row r="69" spans="1:16" s="10" customFormat="1" ht="15">
      <c r="A69" s="103">
        <v>65</v>
      </c>
      <c r="B69" s="25"/>
      <c r="C69" s="52" t="s">
        <v>27</v>
      </c>
      <c r="D69" s="27">
        <v>38716</v>
      </c>
      <c r="E69" s="193" t="s">
        <v>60</v>
      </c>
      <c r="F69" s="141" t="s">
        <v>67</v>
      </c>
      <c r="G69" s="51">
        <v>60</v>
      </c>
      <c r="H69" s="51">
        <v>1</v>
      </c>
      <c r="I69" s="51">
        <v>16</v>
      </c>
      <c r="J69" s="134">
        <v>240</v>
      </c>
      <c r="K69" s="151">
        <v>48</v>
      </c>
      <c r="L69" s="332">
        <f>K69/H69</f>
        <v>48</v>
      </c>
      <c r="M69" s="333">
        <f>J69/K69</f>
        <v>5</v>
      </c>
      <c r="N69" s="108">
        <f>585119+1780+1044+82.5+240</f>
        <v>588265.5</v>
      </c>
      <c r="O69" s="151">
        <f>83689+369+235+15+48</f>
        <v>84356</v>
      </c>
      <c r="P69" s="342">
        <f>+N69/O69</f>
        <v>6.973605908293423</v>
      </c>
    </row>
    <row r="70" spans="1:16" s="10" customFormat="1" ht="15">
      <c r="A70" s="103">
        <v>66</v>
      </c>
      <c r="B70" s="25"/>
      <c r="C70" s="52" t="s">
        <v>114</v>
      </c>
      <c r="D70" s="27">
        <v>38849</v>
      </c>
      <c r="E70" s="193" t="s">
        <v>60</v>
      </c>
      <c r="F70" s="141" t="s">
        <v>73</v>
      </c>
      <c r="G70" s="51">
        <v>20</v>
      </c>
      <c r="H70" s="51">
        <v>1</v>
      </c>
      <c r="I70" s="51">
        <v>4</v>
      </c>
      <c r="J70" s="134">
        <v>163</v>
      </c>
      <c r="K70" s="151">
        <v>29</v>
      </c>
      <c r="L70" s="332">
        <f>K70/H70</f>
        <v>29</v>
      </c>
      <c r="M70" s="333">
        <f>J70/K70</f>
        <v>5.620689655172414</v>
      </c>
      <c r="N70" s="108">
        <f>28036+3671+205.5+163</f>
        <v>32075.5</v>
      </c>
      <c r="O70" s="151">
        <f>3110+476+42+29</f>
        <v>3657</v>
      </c>
      <c r="P70" s="342">
        <f>+N70/O70</f>
        <v>8.770987147935466</v>
      </c>
    </row>
    <row r="71" spans="1:16" s="10" customFormat="1" ht="15">
      <c r="A71" s="103">
        <v>67</v>
      </c>
      <c r="B71" s="25"/>
      <c r="C71" s="99" t="s">
        <v>135</v>
      </c>
      <c r="D71" s="39">
        <v>38744</v>
      </c>
      <c r="E71" s="269" t="s">
        <v>131</v>
      </c>
      <c r="F71" s="143" t="s">
        <v>136</v>
      </c>
      <c r="G71" s="127" t="s">
        <v>152</v>
      </c>
      <c r="H71" s="128">
        <v>1</v>
      </c>
      <c r="I71" s="128">
        <v>16</v>
      </c>
      <c r="J71" s="138">
        <v>155</v>
      </c>
      <c r="K71" s="116">
        <v>31</v>
      </c>
      <c r="L71" s="115">
        <f>IF(J71&lt;&gt;0,K71/H71,"")</f>
        <v>31</v>
      </c>
      <c r="M71" s="334">
        <f>IF(J71&lt;&gt;0,J71/K71,"")</f>
        <v>5</v>
      </c>
      <c r="N71" s="117">
        <f>23060.5+7183+3670+700+2376+2273+1430+3390+1771.5+3246+11360+7257.5+2859+2510+4107+155</f>
        <v>77348.5</v>
      </c>
      <c r="O71" s="116">
        <f>2772+1034+467+35+792+451+260+597+327+776+1582+1115+514+499+716+31</f>
        <v>11968</v>
      </c>
      <c r="P71" s="341">
        <f>IF(N71&lt;&gt;0,N71/O71,"")</f>
        <v>6.462942847593583</v>
      </c>
    </row>
    <row r="72" spans="1:16" s="10" customFormat="1" ht="15">
      <c r="A72" s="103">
        <v>68</v>
      </c>
      <c r="B72" s="25"/>
      <c r="C72" s="58" t="s">
        <v>25</v>
      </c>
      <c r="D72" s="39">
        <v>38758</v>
      </c>
      <c r="E72" s="144" t="s">
        <v>63</v>
      </c>
      <c r="F72" s="144" t="s">
        <v>68</v>
      </c>
      <c r="G72" s="183">
        <v>80</v>
      </c>
      <c r="H72" s="183">
        <v>1</v>
      </c>
      <c r="I72" s="183">
        <v>17</v>
      </c>
      <c r="J72" s="138">
        <v>150</v>
      </c>
      <c r="K72" s="116">
        <v>50</v>
      </c>
      <c r="L72" s="115">
        <f>IF(J72&lt;&gt;0,K72/H72,"")</f>
        <v>50</v>
      </c>
      <c r="M72" s="334">
        <f>IF(J72&lt;&gt;0,J72/K72,"")</f>
        <v>3</v>
      </c>
      <c r="N72" s="117">
        <f>1046144.5+776147+471268+342390+240709.5+167344+96416.5+41350+35967.5+31795.5+14506+10028+6242+3523+4463+5109+150</f>
        <v>3293553.5</v>
      </c>
      <c r="O72" s="116">
        <f>153560+115584+70079+59336+46681+34549+19625+8318+8035+8705+3661+2044+1179+753+1488+1703+50</f>
        <v>535350</v>
      </c>
      <c r="P72" s="341">
        <f>IF(N72&lt;&gt;0,N72/O72,"")</f>
        <v>6.1521499953301575</v>
      </c>
    </row>
    <row r="73" spans="1:16" s="10" customFormat="1" ht="15">
      <c r="A73" s="103">
        <v>69</v>
      </c>
      <c r="B73" s="25"/>
      <c r="C73" s="52" t="s">
        <v>51</v>
      </c>
      <c r="D73" s="27">
        <v>38793</v>
      </c>
      <c r="E73" s="141" t="s">
        <v>43</v>
      </c>
      <c r="F73" s="141" t="s">
        <v>70</v>
      </c>
      <c r="G73" s="51">
        <v>71</v>
      </c>
      <c r="H73" s="51">
        <v>1</v>
      </c>
      <c r="I73" s="51">
        <v>12</v>
      </c>
      <c r="J73" s="137">
        <v>145</v>
      </c>
      <c r="K73" s="332">
        <v>29</v>
      </c>
      <c r="L73" s="115">
        <f>IF(J73&lt;&gt;0,K73/H73,"")</f>
        <v>29</v>
      </c>
      <c r="M73" s="334">
        <f>IF(J73&lt;&gt;0,J73/K73,"")</f>
        <v>5</v>
      </c>
      <c r="N73" s="114">
        <f>139188.5+65126.5+15320+6439+3617+3772+4116+209.5+299+80+130+145</f>
        <v>238442.5</v>
      </c>
      <c r="O73" s="116">
        <f>20151+10232+2945+1343+1021+739+717+69+58+16+26+29</f>
        <v>37346</v>
      </c>
      <c r="P73" s="341">
        <f>IF(N73&lt;&gt;0,N73/O73,"")</f>
        <v>6.384686445670219</v>
      </c>
    </row>
    <row r="74" spans="1:16" s="10" customFormat="1" ht="15">
      <c r="A74" s="103">
        <v>70</v>
      </c>
      <c r="B74" s="25"/>
      <c r="C74" s="58" t="s">
        <v>56</v>
      </c>
      <c r="D74" s="39">
        <v>38807</v>
      </c>
      <c r="E74" s="144" t="s">
        <v>57</v>
      </c>
      <c r="F74" s="144" t="s">
        <v>58</v>
      </c>
      <c r="G74" s="57">
        <v>115</v>
      </c>
      <c r="H74" s="57">
        <v>1</v>
      </c>
      <c r="I74" s="57">
        <v>10</v>
      </c>
      <c r="J74" s="138">
        <v>115</v>
      </c>
      <c r="K74" s="116">
        <v>19</v>
      </c>
      <c r="L74" s="115">
        <f>+K74/H74</f>
        <v>19</v>
      </c>
      <c r="M74" s="334">
        <f>+J74/K74</f>
        <v>6.052631578947368</v>
      </c>
      <c r="N74" s="117">
        <v>2088364</v>
      </c>
      <c r="O74" s="116">
        <v>290576</v>
      </c>
      <c r="P74" s="341">
        <f>+N74/O74</f>
        <v>7.186980342492154</v>
      </c>
    </row>
    <row r="75" spans="1:16" s="10" customFormat="1" ht="15">
      <c r="A75" s="103">
        <v>71</v>
      </c>
      <c r="B75" s="25"/>
      <c r="C75" s="58" t="s">
        <v>107</v>
      </c>
      <c r="D75" s="39">
        <v>38709</v>
      </c>
      <c r="E75" s="144" t="s">
        <v>35</v>
      </c>
      <c r="F75" s="144" t="s">
        <v>108</v>
      </c>
      <c r="G75" s="183">
        <v>233</v>
      </c>
      <c r="H75" s="183">
        <v>1</v>
      </c>
      <c r="I75" s="183">
        <v>23</v>
      </c>
      <c r="J75" s="139">
        <v>15</v>
      </c>
      <c r="K75" s="153">
        <v>3</v>
      </c>
      <c r="L75" s="115">
        <f>+K75/H75</f>
        <v>3</v>
      </c>
      <c r="M75" s="334">
        <f>+J75/K75</f>
        <v>5</v>
      </c>
      <c r="N75" s="336">
        <v>17074433.5</v>
      </c>
      <c r="O75" s="153">
        <v>2576943</v>
      </c>
      <c r="P75" s="341">
        <f>+N75/O75</f>
        <v>6.625848340456114</v>
      </c>
    </row>
    <row r="76" spans="1:16" s="10" customFormat="1" ht="15.75" thickBot="1">
      <c r="A76" s="103">
        <v>72</v>
      </c>
      <c r="B76" s="50"/>
      <c r="C76" s="343" t="s">
        <v>90</v>
      </c>
      <c r="D76" s="294">
        <v>38499</v>
      </c>
      <c r="E76" s="344" t="s">
        <v>61</v>
      </c>
      <c r="F76" s="344" t="s">
        <v>77</v>
      </c>
      <c r="G76" s="273">
        <v>112</v>
      </c>
      <c r="H76" s="273">
        <v>1</v>
      </c>
      <c r="I76" s="273">
        <v>53</v>
      </c>
      <c r="J76" s="345">
        <v>12</v>
      </c>
      <c r="K76" s="166">
        <v>2</v>
      </c>
      <c r="L76" s="346">
        <f>+K76/H76</f>
        <v>2</v>
      </c>
      <c r="M76" s="347">
        <f>+J76/K76</f>
        <v>6</v>
      </c>
      <c r="N76" s="348">
        <v>1517651</v>
      </c>
      <c r="O76" s="166">
        <v>236676</v>
      </c>
      <c r="P76" s="349">
        <f>+N76/O76</f>
        <v>6.412356977471311</v>
      </c>
    </row>
    <row r="77" spans="1:16" s="31" customFormat="1" ht="15">
      <c r="A77" s="104"/>
      <c r="B77" s="350"/>
      <c r="C77" s="351" t="s">
        <v>45</v>
      </c>
      <c r="D77" s="352"/>
      <c r="E77" s="351" t="s">
        <v>251</v>
      </c>
      <c r="F77" s="351"/>
      <c r="G77" s="353"/>
      <c r="H77" s="354">
        <f>SUM(H5:H76)</f>
        <v>1299</v>
      </c>
      <c r="I77" s="353"/>
      <c r="J77" s="355">
        <f>SUM(J5:J76)</f>
        <v>2769466</v>
      </c>
      <c r="K77" s="356">
        <f>SUM(K5:K76)</f>
        <v>402926</v>
      </c>
      <c r="L77" s="356">
        <f>K77/H77</f>
        <v>310.1816782140108</v>
      </c>
      <c r="M77" s="357">
        <f>J77/K77</f>
        <v>6.873386180092623</v>
      </c>
      <c r="N77" s="358"/>
      <c r="O77" s="356"/>
      <c r="P77" s="359"/>
    </row>
    <row r="78" spans="1:16" s="31" customFormat="1" ht="15">
      <c r="A78" s="104"/>
      <c r="B78" s="167"/>
      <c r="C78" s="129" t="s">
        <v>44</v>
      </c>
      <c r="D78" s="130"/>
      <c r="E78" s="129" t="s">
        <v>220</v>
      </c>
      <c r="F78" s="129"/>
      <c r="G78" s="131"/>
      <c r="H78" s="132">
        <v>1237</v>
      </c>
      <c r="I78" s="131"/>
      <c r="J78" s="278">
        <v>3348479.5</v>
      </c>
      <c r="K78" s="154">
        <v>471765</v>
      </c>
      <c r="L78" s="331">
        <f>K78/H78</f>
        <v>381.3783346806791</v>
      </c>
      <c r="M78" s="133">
        <f>J78/K78</f>
        <v>7.0977700762031946</v>
      </c>
      <c r="N78" s="280"/>
      <c r="O78" s="154"/>
      <c r="P78" s="286"/>
    </row>
    <row r="79" spans="1:16" s="31" customFormat="1" ht="15.75" thickBot="1">
      <c r="A79" s="104"/>
      <c r="B79" s="168"/>
      <c r="C79" s="169" t="s">
        <v>78</v>
      </c>
      <c r="D79" s="170"/>
      <c r="E79" s="169" t="s">
        <v>222</v>
      </c>
      <c r="F79" s="169"/>
      <c r="G79" s="171"/>
      <c r="H79" s="172">
        <v>1110</v>
      </c>
      <c r="I79" s="171"/>
      <c r="J79" s="279">
        <v>2379437</v>
      </c>
      <c r="K79" s="173">
        <v>373021</v>
      </c>
      <c r="L79" s="173">
        <f>K79/H79</f>
        <v>336.05495495495495</v>
      </c>
      <c r="M79" s="174">
        <f>J79/K79</f>
        <v>6.378828537803502</v>
      </c>
      <c r="N79" s="281"/>
      <c r="O79" s="173"/>
      <c r="P79" s="287"/>
    </row>
    <row r="80" spans="1:17" s="10" customFormat="1" ht="15.75" thickBot="1">
      <c r="A80" s="105"/>
      <c r="B80" s="9"/>
      <c r="D80" s="29"/>
      <c r="E80" s="34"/>
      <c r="F80" s="34"/>
      <c r="G80" s="11"/>
      <c r="H80" s="11"/>
      <c r="I80" s="11"/>
      <c r="J80" s="54"/>
      <c r="K80" s="147"/>
      <c r="L80" s="148"/>
      <c r="M80" s="47"/>
      <c r="N80" s="282"/>
      <c r="O80" s="148"/>
      <c r="P80" s="288"/>
      <c r="Q80" s="12"/>
    </row>
    <row r="81" spans="1:17" s="10" customFormat="1" ht="13.5" customHeight="1">
      <c r="A81" s="105"/>
      <c r="B81" s="9"/>
      <c r="C81" s="308" t="s">
        <v>47</v>
      </c>
      <c r="D81" s="309"/>
      <c r="E81" s="302" t="s">
        <v>5</v>
      </c>
      <c r="F81" s="272"/>
      <c r="G81" s="267"/>
      <c r="H81" s="48"/>
      <c r="I81" s="11"/>
      <c r="J81" s="54"/>
      <c r="K81" s="147"/>
      <c r="L81" s="312" t="s">
        <v>40</v>
      </c>
      <c r="M81" s="312"/>
      <c r="N81" s="312"/>
      <c r="O81" s="312"/>
      <c r="P81" s="312"/>
      <c r="Q81" s="49"/>
    </row>
    <row r="82" spans="1:16" s="10" customFormat="1" ht="15.75" thickBot="1">
      <c r="A82" s="105"/>
      <c r="B82" s="9"/>
      <c r="C82" s="310"/>
      <c r="D82" s="311"/>
      <c r="E82" s="17" t="s">
        <v>252</v>
      </c>
      <c r="F82" s="19" t="s">
        <v>6</v>
      </c>
      <c r="G82" s="20" t="s">
        <v>7</v>
      </c>
      <c r="H82" s="11"/>
      <c r="I82" s="56"/>
      <c r="J82" s="54"/>
      <c r="K82" s="148"/>
      <c r="L82" s="312"/>
      <c r="M82" s="312"/>
      <c r="N82" s="312"/>
      <c r="O82" s="312"/>
      <c r="P82" s="312"/>
    </row>
    <row r="83" spans="1:16" s="10" customFormat="1" ht="15">
      <c r="A83" s="105"/>
      <c r="B83" s="9"/>
      <c r="C83" s="18" t="s">
        <v>30</v>
      </c>
      <c r="D83" s="32" t="s">
        <v>151</v>
      </c>
      <c r="E83" s="21" t="s">
        <v>9</v>
      </c>
      <c r="F83" s="95">
        <v>1.5463</v>
      </c>
      <c r="G83" s="96">
        <v>1.5538</v>
      </c>
      <c r="H83" s="11"/>
      <c r="I83" s="56"/>
      <c r="J83" s="54"/>
      <c r="K83" s="148"/>
      <c r="L83" s="312"/>
      <c r="M83" s="312"/>
      <c r="N83" s="312"/>
      <c r="O83" s="312"/>
      <c r="P83" s="312"/>
    </row>
    <row r="84" spans="1:16" s="10" customFormat="1" ht="15">
      <c r="A84" s="105"/>
      <c r="B84" s="9"/>
      <c r="C84" s="14" t="s">
        <v>31</v>
      </c>
      <c r="D84" s="26">
        <f>K9+K11+K17+K23</f>
        <v>35144</v>
      </c>
      <c r="E84" s="22" t="s">
        <v>10</v>
      </c>
      <c r="F84" s="97">
        <v>1.9721</v>
      </c>
      <c r="G84" s="98">
        <v>1.9816</v>
      </c>
      <c r="H84" s="11"/>
      <c r="I84" s="56"/>
      <c r="J84" s="54"/>
      <c r="K84" s="148"/>
      <c r="L84" s="148"/>
      <c r="M84" s="47"/>
      <c r="N84" s="44"/>
      <c r="O84" s="148"/>
      <c r="P84" s="47"/>
    </row>
    <row r="85" spans="1:16" s="10" customFormat="1" ht="15">
      <c r="A85" s="105"/>
      <c r="B85" s="9"/>
      <c r="C85" s="14"/>
      <c r="D85" s="40"/>
      <c r="E85" s="22" t="s">
        <v>11</v>
      </c>
      <c r="F85" s="97">
        <v>2.8551</v>
      </c>
      <c r="G85" s="98">
        <v>2.8701</v>
      </c>
      <c r="H85" s="11"/>
      <c r="I85" s="56"/>
      <c r="J85" s="54"/>
      <c r="K85" s="148"/>
      <c r="L85" s="148"/>
      <c r="M85" s="47"/>
      <c r="N85" s="44"/>
      <c r="O85" s="148"/>
      <c r="P85" s="47"/>
    </row>
    <row r="86" spans="1:16" s="10" customFormat="1" ht="15">
      <c r="A86" s="105"/>
      <c r="B86" s="9"/>
      <c r="C86" s="14"/>
      <c r="D86" s="40"/>
      <c r="E86" s="22" t="s">
        <v>12</v>
      </c>
      <c r="F86" s="97">
        <v>1.2065</v>
      </c>
      <c r="G86" s="98">
        <v>1.2686</v>
      </c>
      <c r="H86" s="11"/>
      <c r="I86" s="56"/>
      <c r="J86" s="54"/>
      <c r="K86" s="148"/>
      <c r="L86" s="148"/>
      <c r="M86" s="47"/>
      <c r="N86" s="44"/>
      <c r="O86" s="148"/>
      <c r="P86" s="47"/>
    </row>
    <row r="87" spans="1:16" s="10" customFormat="1" ht="15.75" thickBot="1">
      <c r="A87" s="105"/>
      <c r="B87" s="9"/>
      <c r="C87" s="15"/>
      <c r="D87" s="41"/>
      <c r="E87" s="23"/>
      <c r="F87" s="16"/>
      <c r="G87" s="13"/>
      <c r="H87" s="11"/>
      <c r="I87" s="56"/>
      <c r="J87" s="54"/>
      <c r="K87" s="148"/>
      <c r="L87" s="148"/>
      <c r="M87" s="47"/>
      <c r="N87" s="44"/>
      <c r="O87" s="148"/>
      <c r="P87" s="288"/>
    </row>
    <row r="88" spans="1:16" s="10" customFormat="1" ht="15.75" thickBot="1">
      <c r="A88" s="105"/>
      <c r="B88" s="9"/>
      <c r="D88" s="29"/>
      <c r="E88" s="34"/>
      <c r="F88" s="34"/>
      <c r="G88" s="11"/>
      <c r="H88" s="11"/>
      <c r="I88" s="11"/>
      <c r="J88" s="54"/>
      <c r="K88" s="148"/>
      <c r="L88" s="148"/>
      <c r="M88" s="47"/>
      <c r="N88" s="44"/>
      <c r="O88" s="148"/>
      <c r="P88" s="288"/>
    </row>
    <row r="89" spans="1:16" s="74" customFormat="1" ht="21.75" customHeight="1">
      <c r="A89" s="105"/>
      <c r="B89" s="67"/>
      <c r="C89" s="68" t="s">
        <v>46</v>
      </c>
      <c r="D89" s="303" t="s">
        <v>2</v>
      </c>
      <c r="E89" s="304"/>
      <c r="F89" s="304"/>
      <c r="G89" s="305"/>
      <c r="H89" s="69"/>
      <c r="I89" s="70"/>
      <c r="J89" s="71"/>
      <c r="K89" s="155"/>
      <c r="L89" s="155"/>
      <c r="M89" s="72"/>
      <c r="N89" s="73"/>
      <c r="O89" s="155"/>
      <c r="P89" s="289"/>
    </row>
    <row r="90" spans="1:16" s="74" customFormat="1" ht="15.75" thickBot="1">
      <c r="A90" s="105"/>
      <c r="B90" s="67"/>
      <c r="C90" s="75"/>
      <c r="D90" s="76" t="s">
        <v>3</v>
      </c>
      <c r="E90" s="77" t="s">
        <v>18</v>
      </c>
      <c r="F90" s="77" t="s">
        <v>4</v>
      </c>
      <c r="G90" s="360" t="s">
        <v>8</v>
      </c>
      <c r="H90" s="70"/>
      <c r="I90" s="79"/>
      <c r="J90" s="71"/>
      <c r="K90" s="155"/>
      <c r="L90" s="155"/>
      <c r="M90" s="72"/>
      <c r="N90" s="73"/>
      <c r="O90" s="155"/>
      <c r="P90" s="289"/>
    </row>
    <row r="91" spans="1:16" s="74" customFormat="1" ht="15">
      <c r="A91" s="103">
        <v>1</v>
      </c>
      <c r="B91" s="67"/>
      <c r="C91" s="80" t="s">
        <v>32</v>
      </c>
      <c r="D91" s="81">
        <v>14</v>
      </c>
      <c r="E91" s="82">
        <v>1067492.5</v>
      </c>
      <c r="F91" s="83">
        <v>144014</v>
      </c>
      <c r="G91" s="84">
        <f>E91/F91</f>
        <v>7.412421709000514</v>
      </c>
      <c r="H91" s="70"/>
      <c r="I91" s="79"/>
      <c r="J91" s="71"/>
      <c r="K91" s="155"/>
      <c r="L91" s="155"/>
      <c r="M91" s="72"/>
      <c r="N91" s="73"/>
      <c r="O91" s="155"/>
      <c r="P91" s="289"/>
    </row>
    <row r="92" spans="1:16" s="74" customFormat="1" ht="15">
      <c r="A92" s="103">
        <v>2</v>
      </c>
      <c r="B92" s="67"/>
      <c r="C92" s="85" t="s">
        <v>33</v>
      </c>
      <c r="D92" s="86">
        <v>13</v>
      </c>
      <c r="E92" s="87">
        <v>897622</v>
      </c>
      <c r="F92" s="88">
        <v>138196</v>
      </c>
      <c r="G92" s="89">
        <f>E92/F92</f>
        <v>6.495282063156676</v>
      </c>
      <c r="H92" s="70"/>
      <c r="I92" s="79"/>
      <c r="J92" s="71"/>
      <c r="K92" s="155"/>
      <c r="L92" s="155"/>
      <c r="M92" s="72"/>
      <c r="N92" s="73"/>
      <c r="O92" s="155"/>
      <c r="P92" s="289"/>
    </row>
    <row r="93" spans="1:16" s="74" customFormat="1" ht="15">
      <c r="A93" s="103">
        <v>3</v>
      </c>
      <c r="B93" s="67"/>
      <c r="C93" s="85" t="s">
        <v>34</v>
      </c>
      <c r="D93" s="86">
        <v>12</v>
      </c>
      <c r="E93" s="87">
        <v>575543</v>
      </c>
      <c r="F93" s="88">
        <v>83366</v>
      </c>
      <c r="G93" s="89">
        <f>E93/F93</f>
        <v>6.903809706595014</v>
      </c>
      <c r="H93" s="70"/>
      <c r="I93" s="79"/>
      <c r="J93" s="71"/>
      <c r="K93" s="155"/>
      <c r="L93" s="155"/>
      <c r="M93" s="72"/>
      <c r="N93" s="73"/>
      <c r="O93" s="155"/>
      <c r="P93" s="289"/>
    </row>
    <row r="94" spans="1:16" s="74" customFormat="1" ht="15">
      <c r="A94" s="103">
        <v>4</v>
      </c>
      <c r="B94" s="67"/>
      <c r="C94" s="85" t="s">
        <v>131</v>
      </c>
      <c r="D94" s="86">
        <v>19</v>
      </c>
      <c r="E94" s="87">
        <v>176493</v>
      </c>
      <c r="F94" s="88">
        <v>27968</v>
      </c>
      <c r="G94" s="89">
        <f>E94/F94</f>
        <v>6.310533466819222</v>
      </c>
      <c r="H94" s="70"/>
      <c r="I94" s="79"/>
      <c r="J94" s="71"/>
      <c r="K94" s="155"/>
      <c r="L94" s="155"/>
      <c r="M94" s="72"/>
      <c r="N94" s="73"/>
      <c r="O94" s="155"/>
      <c r="P94" s="289"/>
    </row>
    <row r="95" spans="1:16" s="74" customFormat="1" ht="15">
      <c r="A95" s="103">
        <v>5</v>
      </c>
      <c r="B95" s="67"/>
      <c r="C95" s="85" t="s">
        <v>98</v>
      </c>
      <c r="D95" s="86">
        <v>4</v>
      </c>
      <c r="E95" s="87">
        <v>22059</v>
      </c>
      <c r="F95" s="88">
        <v>2527</v>
      </c>
      <c r="G95" s="89">
        <f>E95/F95</f>
        <v>8.729323308270677</v>
      </c>
      <c r="H95" s="70"/>
      <c r="I95" s="79"/>
      <c r="J95" s="71"/>
      <c r="K95" s="155"/>
      <c r="L95" s="155"/>
      <c r="M95" s="72"/>
      <c r="N95" s="73"/>
      <c r="O95" s="155"/>
      <c r="P95" s="289"/>
    </row>
    <row r="96" spans="1:16" s="74" customFormat="1" ht="15">
      <c r="A96" s="103">
        <v>6</v>
      </c>
      <c r="B96" s="67"/>
      <c r="C96" s="85" t="s">
        <v>36</v>
      </c>
      <c r="D96" s="86">
        <v>1</v>
      </c>
      <c r="E96" s="87">
        <v>16501</v>
      </c>
      <c r="F96" s="88">
        <v>2747</v>
      </c>
      <c r="G96" s="89">
        <f>E96/F96</f>
        <v>6.006916636330542</v>
      </c>
      <c r="H96" s="70"/>
      <c r="I96" s="79"/>
      <c r="J96" s="71"/>
      <c r="K96" s="155"/>
      <c r="L96" s="155"/>
      <c r="M96" s="72"/>
      <c r="N96" s="73"/>
      <c r="O96" s="155"/>
      <c r="P96" s="289"/>
    </row>
    <row r="97" spans="1:16" s="74" customFormat="1" ht="15">
      <c r="A97" s="103">
        <v>7</v>
      </c>
      <c r="B97" s="67"/>
      <c r="C97" s="85" t="s">
        <v>43</v>
      </c>
      <c r="D97" s="86">
        <v>3</v>
      </c>
      <c r="E97" s="87">
        <v>6509</v>
      </c>
      <c r="F97" s="88">
        <v>1553</v>
      </c>
      <c r="G97" s="89">
        <f>E97/F97</f>
        <v>4.191242755956214</v>
      </c>
      <c r="H97" s="70"/>
      <c r="I97" s="79"/>
      <c r="J97" s="71"/>
      <c r="K97" s="155"/>
      <c r="L97" s="155"/>
      <c r="M97" s="72"/>
      <c r="N97" s="73"/>
      <c r="O97" s="155"/>
      <c r="P97" s="289"/>
    </row>
    <row r="98" spans="1:16" s="74" customFormat="1" ht="15">
      <c r="A98" s="103">
        <v>8</v>
      </c>
      <c r="B98" s="67"/>
      <c r="C98" s="85" t="s">
        <v>35</v>
      </c>
      <c r="D98" s="86">
        <v>4</v>
      </c>
      <c r="E98" s="87">
        <v>5458</v>
      </c>
      <c r="F98" s="88">
        <v>2456</v>
      </c>
      <c r="G98" s="89">
        <f>E98/F98</f>
        <v>2.222312703583062</v>
      </c>
      <c r="H98" s="70"/>
      <c r="I98" s="79"/>
      <c r="J98" s="71"/>
      <c r="K98" s="155"/>
      <c r="L98" s="155"/>
      <c r="M98" s="72"/>
      <c r="N98" s="73"/>
      <c r="O98" s="155"/>
      <c r="P98" s="289"/>
    </row>
    <row r="99" spans="1:16" s="74" customFormat="1" ht="15">
      <c r="A99" s="103">
        <v>9</v>
      </c>
      <c r="B99" s="67"/>
      <c r="C99" s="85" t="s">
        <v>79</v>
      </c>
      <c r="D99" s="86">
        <v>2</v>
      </c>
      <c r="E99" s="87">
        <v>1788</v>
      </c>
      <c r="F99" s="88">
        <v>349</v>
      </c>
      <c r="G99" s="89">
        <f>E99/F99</f>
        <v>5.123209169054442</v>
      </c>
      <c r="H99" s="70"/>
      <c r="I99" s="79"/>
      <c r="J99" s="71"/>
      <c r="K99" s="155"/>
      <c r="L99" s="155"/>
      <c r="M99" s="72"/>
      <c r="N99" s="73"/>
      <c r="O99" s="155"/>
      <c r="P99" s="289"/>
    </row>
    <row r="100" spans="1:16" s="74" customFormat="1" ht="15.75" thickBot="1">
      <c r="A100" s="105"/>
      <c r="B100" s="67"/>
      <c r="C100" s="90"/>
      <c r="D100" s="91"/>
      <c r="E100" s="92"/>
      <c r="F100" s="93"/>
      <c r="G100" s="78"/>
      <c r="H100" s="70"/>
      <c r="I100" s="79"/>
      <c r="J100" s="71"/>
      <c r="K100" s="155"/>
      <c r="L100" s="155"/>
      <c r="M100" s="72"/>
      <c r="N100" s="73"/>
      <c r="O100" s="155"/>
      <c r="P100" s="289"/>
    </row>
    <row r="101" spans="1:16" s="10" customFormat="1" ht="15">
      <c r="A101" s="105"/>
      <c r="B101" s="9"/>
      <c r="D101" s="29"/>
      <c r="E101" s="34"/>
      <c r="F101" s="34"/>
      <c r="G101" s="11"/>
      <c r="H101" s="11"/>
      <c r="I101" s="11"/>
      <c r="J101" s="54"/>
      <c r="K101" s="148"/>
      <c r="L101" s="148"/>
      <c r="M101" s="47"/>
      <c r="N101" s="44"/>
      <c r="O101" s="148"/>
      <c r="P101" s="288"/>
    </row>
    <row r="102" spans="1:16" s="10" customFormat="1" ht="15">
      <c r="A102" s="105"/>
      <c r="B102" s="9"/>
      <c r="D102" s="29"/>
      <c r="E102" s="34"/>
      <c r="F102" s="34"/>
      <c r="G102" s="11"/>
      <c r="H102" s="11"/>
      <c r="I102" s="11"/>
      <c r="J102" s="54"/>
      <c r="K102" s="148"/>
      <c r="L102" s="148"/>
      <c r="M102" s="47"/>
      <c r="N102" s="44"/>
      <c r="O102" s="148"/>
      <c r="P102" s="288"/>
    </row>
    <row r="103" spans="1:16" s="10" customFormat="1" ht="15">
      <c r="A103" s="105"/>
      <c r="B103" s="9"/>
      <c r="D103" s="29"/>
      <c r="E103" s="34"/>
      <c r="F103" s="34"/>
      <c r="G103" s="11"/>
      <c r="H103" s="11"/>
      <c r="I103" s="11"/>
      <c r="J103" s="54"/>
      <c r="K103" s="148"/>
      <c r="L103" s="148"/>
      <c r="M103" s="47"/>
      <c r="N103" s="44"/>
      <c r="O103" s="148"/>
      <c r="P103" s="288"/>
    </row>
    <row r="104" spans="1:16" s="10" customFormat="1" ht="15">
      <c r="A104" s="105"/>
      <c r="B104" s="9"/>
      <c r="D104" s="29"/>
      <c r="E104" s="34"/>
      <c r="F104" s="34"/>
      <c r="G104" s="11"/>
      <c r="H104" s="11"/>
      <c r="I104" s="11"/>
      <c r="J104" s="54"/>
      <c r="K104" s="148"/>
      <c r="L104" s="148"/>
      <c r="M104" s="47"/>
      <c r="N104" s="44"/>
      <c r="O104" s="148"/>
      <c r="P104" s="288"/>
    </row>
    <row r="105" spans="1:16" s="10" customFormat="1" ht="15">
      <c r="A105" s="105"/>
      <c r="B105" s="9"/>
      <c r="D105" s="29"/>
      <c r="E105" s="34"/>
      <c r="F105" s="34"/>
      <c r="G105" s="11"/>
      <c r="H105" s="11"/>
      <c r="I105" s="11"/>
      <c r="J105" s="54"/>
      <c r="K105" s="148"/>
      <c r="L105" s="148"/>
      <c r="M105" s="47"/>
      <c r="N105" s="44"/>
      <c r="O105" s="148"/>
      <c r="P105" s="288"/>
    </row>
    <row r="106" spans="1:16" s="10" customFormat="1" ht="15">
      <c r="A106" s="105"/>
      <c r="B106" s="9"/>
      <c r="D106" s="29"/>
      <c r="E106" s="34"/>
      <c r="F106" s="34"/>
      <c r="G106" s="11"/>
      <c r="H106" s="11"/>
      <c r="I106" s="11"/>
      <c r="J106" s="54"/>
      <c r="K106" s="148"/>
      <c r="L106" s="148"/>
      <c r="M106" s="47"/>
      <c r="N106" s="44"/>
      <c r="O106" s="148"/>
      <c r="P106" s="288"/>
    </row>
    <row r="107" spans="1:16" s="10" customFormat="1" ht="15">
      <c r="A107" s="105"/>
      <c r="B107" s="9"/>
      <c r="D107" s="29"/>
      <c r="E107" s="34"/>
      <c r="F107" s="34"/>
      <c r="G107" s="11"/>
      <c r="H107" s="11"/>
      <c r="I107" s="11"/>
      <c r="J107" s="54"/>
      <c r="K107" s="148"/>
      <c r="L107" s="148"/>
      <c r="M107" s="47"/>
      <c r="N107" s="44"/>
      <c r="O107" s="148"/>
      <c r="P107" s="288"/>
    </row>
    <row r="108" spans="1:16" s="10" customFormat="1" ht="15">
      <c r="A108" s="105"/>
      <c r="B108" s="9"/>
      <c r="D108" s="29"/>
      <c r="E108" s="34"/>
      <c r="F108" s="34"/>
      <c r="G108" s="11"/>
      <c r="H108" s="11"/>
      <c r="I108" s="11"/>
      <c r="J108" s="54"/>
      <c r="K108" s="148"/>
      <c r="L108" s="148"/>
      <c r="M108" s="47"/>
      <c r="N108" s="44"/>
      <c r="O108" s="148"/>
      <c r="P108" s="288"/>
    </row>
    <row r="109" spans="1:16" s="10" customFormat="1" ht="15">
      <c r="A109" s="105"/>
      <c r="B109" s="9"/>
      <c r="D109" s="29"/>
      <c r="E109" s="34"/>
      <c r="F109" s="34"/>
      <c r="G109" s="11"/>
      <c r="H109" s="11"/>
      <c r="I109" s="11"/>
      <c r="J109" s="54"/>
      <c r="K109" s="148"/>
      <c r="L109" s="148"/>
      <c r="M109" s="47"/>
      <c r="N109" s="44"/>
      <c r="O109" s="148"/>
      <c r="P109" s="288"/>
    </row>
    <row r="110" spans="1:16" s="10" customFormat="1" ht="15">
      <c r="A110" s="105"/>
      <c r="B110" s="9"/>
      <c r="D110" s="29"/>
      <c r="E110" s="34"/>
      <c r="F110" s="34"/>
      <c r="G110" s="11"/>
      <c r="H110" s="11"/>
      <c r="I110" s="11"/>
      <c r="J110" s="54"/>
      <c r="K110" s="148"/>
      <c r="L110" s="148"/>
      <c r="M110" s="47"/>
      <c r="N110" s="44"/>
      <c r="O110" s="148"/>
      <c r="P110" s="288"/>
    </row>
    <row r="111" spans="1:16" s="10" customFormat="1" ht="15">
      <c r="A111" s="105"/>
      <c r="B111" s="9"/>
      <c r="D111" s="29"/>
      <c r="E111" s="34"/>
      <c r="F111" s="34"/>
      <c r="G111" s="11"/>
      <c r="H111" s="11"/>
      <c r="I111" s="11"/>
      <c r="J111" s="54"/>
      <c r="K111" s="148"/>
      <c r="L111" s="148"/>
      <c r="M111" s="47"/>
      <c r="N111" s="44"/>
      <c r="O111" s="148"/>
      <c r="P111" s="288"/>
    </row>
    <row r="112" spans="1:16" s="10" customFormat="1" ht="15">
      <c r="A112" s="105"/>
      <c r="B112" s="9"/>
      <c r="D112" s="29"/>
      <c r="E112" s="34"/>
      <c r="F112" s="34"/>
      <c r="G112" s="11"/>
      <c r="H112" s="11"/>
      <c r="I112" s="11"/>
      <c r="J112" s="54"/>
      <c r="K112" s="148"/>
      <c r="L112" s="148"/>
      <c r="M112" s="47"/>
      <c r="N112" s="44"/>
      <c r="O112" s="148"/>
      <c r="P112" s="288"/>
    </row>
    <row r="113" spans="1:16" s="10" customFormat="1" ht="15">
      <c r="A113" s="105"/>
      <c r="B113" s="9"/>
      <c r="D113" s="29"/>
      <c r="E113" s="34"/>
      <c r="F113" s="34"/>
      <c r="G113" s="11"/>
      <c r="H113" s="11"/>
      <c r="I113" s="11"/>
      <c r="J113" s="54"/>
      <c r="K113" s="148"/>
      <c r="L113" s="148"/>
      <c r="M113" s="47"/>
      <c r="N113" s="44"/>
      <c r="O113" s="148"/>
      <c r="P113" s="288"/>
    </row>
    <row r="114" spans="1:16" s="10" customFormat="1" ht="15">
      <c r="A114" s="105"/>
      <c r="B114" s="9"/>
      <c r="D114" s="29"/>
      <c r="E114" s="34"/>
      <c r="F114" s="34"/>
      <c r="G114" s="11"/>
      <c r="H114" s="11"/>
      <c r="I114" s="11"/>
      <c r="J114" s="54"/>
      <c r="K114" s="148"/>
      <c r="L114" s="148"/>
      <c r="M114" s="47"/>
      <c r="N114" s="44"/>
      <c r="O114" s="148"/>
      <c r="P114" s="288"/>
    </row>
    <row r="115" spans="1:16" s="10" customFormat="1" ht="15">
      <c r="A115" s="105"/>
      <c r="B115" s="9"/>
      <c r="D115" s="29"/>
      <c r="E115" s="34"/>
      <c r="F115" s="34"/>
      <c r="G115" s="11"/>
      <c r="H115" s="11"/>
      <c r="I115" s="11"/>
      <c r="J115" s="54"/>
      <c r="K115" s="148"/>
      <c r="L115" s="148"/>
      <c r="M115" s="47"/>
      <c r="N115" s="44"/>
      <c r="O115" s="148"/>
      <c r="P115" s="288"/>
    </row>
    <row r="116" spans="1:16" s="10" customFormat="1" ht="15">
      <c r="A116" s="105"/>
      <c r="B116" s="9"/>
      <c r="D116" s="29"/>
      <c r="E116" s="34"/>
      <c r="F116" s="34"/>
      <c r="G116" s="11"/>
      <c r="H116" s="11"/>
      <c r="I116" s="11"/>
      <c r="J116" s="54"/>
      <c r="K116" s="148"/>
      <c r="L116" s="148"/>
      <c r="M116" s="47"/>
      <c r="N116" s="44"/>
      <c r="O116" s="148"/>
      <c r="P116" s="288"/>
    </row>
    <row r="117" spans="1:16" s="10" customFormat="1" ht="15">
      <c r="A117" s="105"/>
      <c r="B117" s="9"/>
      <c r="D117" s="29"/>
      <c r="E117" s="34"/>
      <c r="F117" s="34"/>
      <c r="G117" s="11"/>
      <c r="H117" s="11"/>
      <c r="I117" s="11"/>
      <c r="J117" s="54"/>
      <c r="K117" s="148"/>
      <c r="L117" s="148"/>
      <c r="M117" s="47"/>
      <c r="N117" s="44"/>
      <c r="O117" s="148"/>
      <c r="P117" s="288"/>
    </row>
    <row r="118" spans="1:16" s="10" customFormat="1" ht="15">
      <c r="A118" s="105"/>
      <c r="B118" s="9"/>
      <c r="D118" s="29"/>
      <c r="E118" s="34"/>
      <c r="F118" s="34"/>
      <c r="G118" s="11"/>
      <c r="H118" s="11"/>
      <c r="I118" s="11"/>
      <c r="J118" s="54"/>
      <c r="K118" s="148"/>
      <c r="L118" s="148"/>
      <c r="M118" s="47"/>
      <c r="N118" s="44"/>
      <c r="O118" s="148"/>
      <c r="P118" s="288"/>
    </row>
    <row r="119" spans="1:16" s="10" customFormat="1" ht="15">
      <c r="A119" s="105"/>
      <c r="B119" s="9"/>
      <c r="D119" s="29"/>
      <c r="E119" s="34"/>
      <c r="F119" s="34"/>
      <c r="G119" s="11"/>
      <c r="H119" s="11"/>
      <c r="I119" s="11"/>
      <c r="J119" s="54"/>
      <c r="K119" s="148"/>
      <c r="L119" s="148"/>
      <c r="M119" s="47"/>
      <c r="N119" s="44"/>
      <c r="O119" s="148"/>
      <c r="P119" s="288"/>
    </row>
    <row r="120" spans="1:16" s="10" customFormat="1" ht="15">
      <c r="A120" s="105"/>
      <c r="B120" s="9"/>
      <c r="D120" s="29"/>
      <c r="E120" s="34"/>
      <c r="F120" s="34"/>
      <c r="G120" s="11"/>
      <c r="H120" s="11"/>
      <c r="I120" s="11"/>
      <c r="J120" s="54"/>
      <c r="K120" s="148"/>
      <c r="L120" s="148"/>
      <c r="M120" s="47"/>
      <c r="N120" s="44"/>
      <c r="O120" s="148"/>
      <c r="P120" s="288"/>
    </row>
    <row r="121" spans="1:16" s="10" customFormat="1" ht="15">
      <c r="A121" s="105"/>
      <c r="B121" s="9"/>
      <c r="D121" s="29"/>
      <c r="E121" s="34"/>
      <c r="F121" s="34"/>
      <c r="G121" s="11"/>
      <c r="H121" s="11"/>
      <c r="I121" s="11"/>
      <c r="J121" s="54"/>
      <c r="K121" s="148"/>
      <c r="L121" s="148"/>
      <c r="M121" s="47"/>
      <c r="N121" s="44"/>
      <c r="O121" s="148"/>
      <c r="P121" s="288"/>
    </row>
    <row r="122" spans="1:16" s="10" customFormat="1" ht="15">
      <c r="A122" s="105"/>
      <c r="B122" s="9"/>
      <c r="D122" s="29"/>
      <c r="E122" s="34"/>
      <c r="F122" s="34"/>
      <c r="G122" s="11"/>
      <c r="H122" s="11"/>
      <c r="I122" s="11"/>
      <c r="J122" s="54"/>
      <c r="K122" s="148"/>
      <c r="L122" s="148"/>
      <c r="M122" s="47"/>
      <c r="N122" s="44"/>
      <c r="O122" s="148"/>
      <c r="P122" s="288"/>
    </row>
    <row r="123" spans="1:16" s="10" customFormat="1" ht="15">
      <c r="A123" s="105"/>
      <c r="B123" s="9"/>
      <c r="D123" s="29"/>
      <c r="E123" s="34"/>
      <c r="F123" s="34"/>
      <c r="G123" s="11"/>
      <c r="H123" s="11"/>
      <c r="I123" s="11"/>
      <c r="J123" s="54"/>
      <c r="K123" s="148"/>
      <c r="L123" s="148"/>
      <c r="M123" s="47"/>
      <c r="N123" s="44"/>
      <c r="O123" s="148"/>
      <c r="P123" s="288"/>
    </row>
    <row r="124" spans="1:16" s="10" customFormat="1" ht="15">
      <c r="A124" s="105"/>
      <c r="B124" s="9"/>
      <c r="D124" s="29"/>
      <c r="E124" s="34"/>
      <c r="F124" s="34"/>
      <c r="G124" s="11"/>
      <c r="H124" s="11"/>
      <c r="I124" s="11"/>
      <c r="J124" s="54"/>
      <c r="K124" s="148"/>
      <c r="L124" s="148"/>
      <c r="M124" s="47"/>
      <c r="N124" s="44"/>
      <c r="O124" s="148"/>
      <c r="P124" s="288"/>
    </row>
    <row r="125" spans="1:16" s="10" customFormat="1" ht="15">
      <c r="A125" s="105"/>
      <c r="B125" s="9"/>
      <c r="D125" s="29"/>
      <c r="E125" s="34"/>
      <c r="F125" s="34"/>
      <c r="G125" s="11"/>
      <c r="H125" s="11"/>
      <c r="I125" s="11"/>
      <c r="J125" s="54"/>
      <c r="K125" s="148"/>
      <c r="L125" s="148"/>
      <c r="M125" s="47"/>
      <c r="N125" s="44"/>
      <c r="O125" s="148"/>
      <c r="P125" s="288"/>
    </row>
    <row r="126" spans="1:16" s="10" customFormat="1" ht="15">
      <c r="A126" s="105"/>
      <c r="B126" s="9"/>
      <c r="D126" s="29"/>
      <c r="E126" s="34"/>
      <c r="F126" s="34"/>
      <c r="G126" s="11"/>
      <c r="H126" s="11"/>
      <c r="I126" s="11"/>
      <c r="J126" s="54"/>
      <c r="K126" s="148"/>
      <c r="L126" s="148"/>
      <c r="M126" s="47"/>
      <c r="N126" s="44"/>
      <c r="O126" s="148"/>
      <c r="P126" s="288"/>
    </row>
    <row r="127" spans="1:16" s="10" customFormat="1" ht="15">
      <c r="A127" s="105"/>
      <c r="B127" s="9"/>
      <c r="D127" s="29"/>
      <c r="E127" s="34"/>
      <c r="F127" s="34"/>
      <c r="G127" s="11"/>
      <c r="H127" s="11"/>
      <c r="I127" s="11"/>
      <c r="J127" s="54"/>
      <c r="K127" s="148"/>
      <c r="L127" s="148"/>
      <c r="M127" s="47"/>
      <c r="N127" s="44"/>
      <c r="O127" s="148"/>
      <c r="P127" s="288"/>
    </row>
    <row r="128" spans="1:16" s="10" customFormat="1" ht="15">
      <c r="A128" s="105"/>
      <c r="B128" s="9"/>
      <c r="D128" s="29"/>
      <c r="E128" s="34"/>
      <c r="F128" s="34"/>
      <c r="G128" s="11"/>
      <c r="H128" s="11"/>
      <c r="I128" s="11"/>
      <c r="J128" s="54"/>
      <c r="K128" s="148"/>
      <c r="L128" s="148"/>
      <c r="M128" s="47"/>
      <c r="N128" s="44"/>
      <c r="O128" s="148"/>
      <c r="P128" s="288"/>
    </row>
    <row r="129" spans="1:16" s="10" customFormat="1" ht="15">
      <c r="A129" s="105"/>
      <c r="B129" s="9"/>
      <c r="D129" s="29"/>
      <c r="E129" s="34"/>
      <c r="F129" s="34"/>
      <c r="G129" s="11"/>
      <c r="H129" s="11"/>
      <c r="I129" s="11"/>
      <c r="J129" s="54"/>
      <c r="K129" s="148"/>
      <c r="L129" s="148"/>
      <c r="M129" s="47"/>
      <c r="N129" s="44"/>
      <c r="O129" s="148"/>
      <c r="P129" s="288"/>
    </row>
    <row r="130" spans="1:16" s="10" customFormat="1" ht="15">
      <c r="A130" s="105"/>
      <c r="B130" s="9"/>
      <c r="D130" s="29"/>
      <c r="E130" s="34"/>
      <c r="F130" s="34"/>
      <c r="G130" s="11"/>
      <c r="H130" s="11"/>
      <c r="I130" s="11"/>
      <c r="J130" s="54"/>
      <c r="K130" s="148"/>
      <c r="L130" s="148"/>
      <c r="M130" s="47"/>
      <c r="N130" s="44"/>
      <c r="O130" s="148"/>
      <c r="P130" s="288"/>
    </row>
    <row r="131" spans="1:16" s="10" customFormat="1" ht="15">
      <c r="A131" s="105"/>
      <c r="B131" s="9"/>
      <c r="D131" s="29"/>
      <c r="E131" s="34"/>
      <c r="F131" s="34"/>
      <c r="G131" s="11"/>
      <c r="H131" s="11"/>
      <c r="I131" s="11"/>
      <c r="J131" s="54"/>
      <c r="K131" s="148"/>
      <c r="L131" s="148"/>
      <c r="M131" s="47"/>
      <c r="N131" s="44"/>
      <c r="O131" s="148"/>
      <c r="P131" s="288"/>
    </row>
    <row r="132" spans="1:16" s="10" customFormat="1" ht="15">
      <c r="A132" s="105"/>
      <c r="B132" s="9"/>
      <c r="D132" s="29"/>
      <c r="E132" s="34"/>
      <c r="F132" s="34"/>
      <c r="G132" s="11"/>
      <c r="H132" s="11"/>
      <c r="I132" s="11"/>
      <c r="J132" s="54"/>
      <c r="K132" s="148"/>
      <c r="L132" s="148"/>
      <c r="M132" s="47"/>
      <c r="N132" s="44"/>
      <c r="O132" s="148"/>
      <c r="P132" s="288"/>
    </row>
    <row r="133" spans="1:16" s="10" customFormat="1" ht="15">
      <c r="A133" s="105"/>
      <c r="B133" s="9"/>
      <c r="D133" s="29"/>
      <c r="E133" s="34"/>
      <c r="F133" s="34"/>
      <c r="G133" s="11"/>
      <c r="H133" s="11"/>
      <c r="I133" s="11"/>
      <c r="J133" s="54"/>
      <c r="K133" s="148"/>
      <c r="L133" s="148"/>
      <c r="M133" s="47"/>
      <c r="N133" s="44"/>
      <c r="O133" s="148"/>
      <c r="P133" s="288"/>
    </row>
    <row r="134" spans="1:16" s="10" customFormat="1" ht="15">
      <c r="A134" s="105"/>
      <c r="B134" s="9"/>
      <c r="D134" s="29"/>
      <c r="E134" s="34"/>
      <c r="F134" s="34"/>
      <c r="G134" s="11"/>
      <c r="H134" s="11"/>
      <c r="I134" s="11"/>
      <c r="J134" s="54"/>
      <c r="K134" s="148"/>
      <c r="L134" s="148"/>
      <c r="M134" s="47"/>
      <c r="N134" s="44"/>
      <c r="O134" s="148"/>
      <c r="P134" s="288"/>
    </row>
    <row r="135" spans="1:16" s="10" customFormat="1" ht="15">
      <c r="A135" s="105"/>
      <c r="B135" s="9"/>
      <c r="D135" s="29"/>
      <c r="E135" s="34"/>
      <c r="F135" s="34"/>
      <c r="G135" s="11"/>
      <c r="H135" s="11"/>
      <c r="I135" s="11"/>
      <c r="J135" s="54"/>
      <c r="K135" s="148"/>
      <c r="L135" s="148"/>
      <c r="M135" s="47"/>
      <c r="N135" s="44"/>
      <c r="O135" s="148"/>
      <c r="P135" s="288"/>
    </row>
    <row r="136" spans="1:16" s="10" customFormat="1" ht="15">
      <c r="A136" s="105"/>
      <c r="B136" s="9"/>
      <c r="D136" s="29"/>
      <c r="E136" s="34"/>
      <c r="F136" s="34"/>
      <c r="G136" s="11"/>
      <c r="H136" s="11"/>
      <c r="I136" s="11"/>
      <c r="J136" s="54"/>
      <c r="K136" s="148"/>
      <c r="L136" s="148"/>
      <c r="M136" s="47"/>
      <c r="N136" s="44"/>
      <c r="O136" s="148"/>
      <c r="P136" s="288"/>
    </row>
    <row r="137" spans="1:16" s="10" customFormat="1" ht="15">
      <c r="A137" s="105"/>
      <c r="B137" s="9"/>
      <c r="D137" s="29"/>
      <c r="E137" s="34"/>
      <c r="F137" s="34"/>
      <c r="G137" s="11"/>
      <c r="H137" s="11"/>
      <c r="I137" s="11"/>
      <c r="J137" s="54"/>
      <c r="K137" s="148"/>
      <c r="L137" s="148"/>
      <c r="M137" s="47"/>
      <c r="N137" s="44"/>
      <c r="O137" s="148"/>
      <c r="P137" s="288"/>
    </row>
    <row r="138" spans="1:16" s="10" customFormat="1" ht="15">
      <c r="A138" s="105"/>
      <c r="B138" s="9"/>
      <c r="D138" s="29"/>
      <c r="E138" s="34"/>
      <c r="F138" s="34"/>
      <c r="G138" s="11"/>
      <c r="H138" s="11"/>
      <c r="I138" s="11"/>
      <c r="J138" s="54"/>
      <c r="K138" s="148"/>
      <c r="L138" s="148"/>
      <c r="M138" s="47"/>
      <c r="N138" s="44"/>
      <c r="O138" s="148"/>
      <c r="P138" s="288"/>
    </row>
    <row r="139" spans="1:16" s="10" customFormat="1" ht="15">
      <c r="A139" s="105"/>
      <c r="B139" s="9"/>
      <c r="D139" s="29"/>
      <c r="E139" s="34"/>
      <c r="F139" s="34"/>
      <c r="G139" s="11"/>
      <c r="H139" s="11"/>
      <c r="I139" s="11"/>
      <c r="J139" s="54"/>
      <c r="K139" s="148"/>
      <c r="L139" s="148"/>
      <c r="M139" s="47"/>
      <c r="N139" s="44"/>
      <c r="O139" s="148"/>
      <c r="P139" s="288"/>
    </row>
    <row r="140" spans="1:16" s="10" customFormat="1" ht="15">
      <c r="A140" s="105"/>
      <c r="B140" s="9"/>
      <c r="D140" s="29"/>
      <c r="E140" s="34"/>
      <c r="F140" s="34"/>
      <c r="G140" s="11"/>
      <c r="H140" s="11"/>
      <c r="I140" s="11"/>
      <c r="J140" s="54"/>
      <c r="K140" s="148"/>
      <c r="L140" s="148"/>
      <c r="M140" s="47"/>
      <c r="N140" s="44"/>
      <c r="O140" s="148"/>
      <c r="P140" s="288"/>
    </row>
    <row r="141" spans="1:16" s="10" customFormat="1" ht="15">
      <c r="A141" s="105"/>
      <c r="B141" s="9"/>
      <c r="D141" s="29"/>
      <c r="E141" s="34"/>
      <c r="F141" s="34"/>
      <c r="G141" s="11"/>
      <c r="H141" s="11"/>
      <c r="I141" s="11"/>
      <c r="J141" s="54"/>
      <c r="K141" s="148"/>
      <c r="L141" s="148"/>
      <c r="M141" s="47"/>
      <c r="N141" s="44"/>
      <c r="O141" s="148"/>
      <c r="P141" s="288"/>
    </row>
    <row r="142" spans="1:16" s="10" customFormat="1" ht="15">
      <c r="A142" s="105"/>
      <c r="B142" s="9"/>
      <c r="D142" s="29"/>
      <c r="E142" s="34"/>
      <c r="F142" s="34"/>
      <c r="G142" s="11"/>
      <c r="H142" s="11"/>
      <c r="I142" s="11"/>
      <c r="J142" s="54"/>
      <c r="K142" s="148"/>
      <c r="L142" s="148"/>
      <c r="M142" s="47"/>
      <c r="N142" s="44"/>
      <c r="O142" s="148"/>
      <c r="P142" s="288"/>
    </row>
    <row r="143" spans="1:16" s="10" customFormat="1" ht="15">
      <c r="A143" s="105"/>
      <c r="B143" s="9"/>
      <c r="D143" s="29"/>
      <c r="E143" s="34"/>
      <c r="F143" s="34"/>
      <c r="G143" s="11"/>
      <c r="H143" s="11"/>
      <c r="I143" s="11"/>
      <c r="J143" s="54"/>
      <c r="K143" s="148"/>
      <c r="L143" s="148"/>
      <c r="M143" s="47"/>
      <c r="N143" s="44"/>
      <c r="O143" s="148"/>
      <c r="P143" s="288"/>
    </row>
    <row r="144" spans="1:16" s="10" customFormat="1" ht="15">
      <c r="A144" s="105"/>
      <c r="B144" s="9"/>
      <c r="D144" s="29"/>
      <c r="E144" s="34"/>
      <c r="F144" s="34"/>
      <c r="G144" s="11"/>
      <c r="H144" s="11"/>
      <c r="I144" s="11"/>
      <c r="J144" s="54"/>
      <c r="K144" s="148"/>
      <c r="L144" s="148"/>
      <c r="M144" s="47"/>
      <c r="N144" s="44"/>
      <c r="O144" s="148"/>
      <c r="P144" s="288"/>
    </row>
    <row r="145" spans="1:16" s="10" customFormat="1" ht="15">
      <c r="A145" s="105"/>
      <c r="B145" s="9"/>
      <c r="D145" s="29"/>
      <c r="E145" s="34"/>
      <c r="F145" s="34"/>
      <c r="G145" s="11"/>
      <c r="H145" s="11"/>
      <c r="I145" s="11"/>
      <c r="J145" s="54"/>
      <c r="K145" s="148"/>
      <c r="L145" s="148"/>
      <c r="M145" s="47"/>
      <c r="N145" s="44"/>
      <c r="O145" s="148"/>
      <c r="P145" s="288"/>
    </row>
    <row r="146" spans="1:16" s="10" customFormat="1" ht="15">
      <c r="A146" s="105"/>
      <c r="B146" s="9"/>
      <c r="D146" s="29"/>
      <c r="E146" s="34"/>
      <c r="F146" s="34"/>
      <c r="G146" s="11"/>
      <c r="H146" s="11"/>
      <c r="I146" s="11"/>
      <c r="J146" s="54"/>
      <c r="K146" s="148"/>
      <c r="L146" s="148"/>
      <c r="M146" s="47"/>
      <c r="N146" s="44"/>
      <c r="O146" s="148"/>
      <c r="P146" s="288"/>
    </row>
    <row r="147" spans="1:16" s="10" customFormat="1" ht="15">
      <c r="A147" s="105"/>
      <c r="B147" s="9"/>
      <c r="D147" s="29"/>
      <c r="E147" s="34"/>
      <c r="F147" s="34"/>
      <c r="G147" s="11"/>
      <c r="H147" s="11"/>
      <c r="I147" s="11"/>
      <c r="J147" s="54"/>
      <c r="K147" s="148"/>
      <c r="L147" s="148"/>
      <c r="M147" s="47"/>
      <c r="N147" s="44"/>
      <c r="O147" s="148"/>
      <c r="P147" s="288"/>
    </row>
    <row r="148" spans="1:16" s="10" customFormat="1" ht="15">
      <c r="A148" s="105"/>
      <c r="B148" s="9"/>
      <c r="D148" s="29"/>
      <c r="E148" s="34"/>
      <c r="F148" s="34"/>
      <c r="G148" s="11"/>
      <c r="H148" s="11"/>
      <c r="I148" s="11"/>
      <c r="J148" s="54"/>
      <c r="K148" s="148"/>
      <c r="L148" s="148"/>
      <c r="M148" s="47"/>
      <c r="N148" s="44"/>
      <c r="O148" s="148"/>
      <c r="P148" s="288"/>
    </row>
    <row r="149" spans="1:16" s="10" customFormat="1" ht="15">
      <c r="A149" s="105"/>
      <c r="B149" s="9"/>
      <c r="D149" s="29"/>
      <c r="E149" s="34"/>
      <c r="F149" s="34"/>
      <c r="G149" s="11"/>
      <c r="H149" s="11"/>
      <c r="I149" s="11"/>
      <c r="J149" s="54"/>
      <c r="K149" s="148"/>
      <c r="L149" s="148"/>
      <c r="M149" s="47"/>
      <c r="N149" s="44"/>
      <c r="O149" s="148"/>
      <c r="P149" s="288"/>
    </row>
    <row r="150" spans="1:16" s="10" customFormat="1" ht="15">
      <c r="A150" s="105"/>
      <c r="B150" s="9"/>
      <c r="D150" s="29"/>
      <c r="E150" s="34"/>
      <c r="F150" s="34"/>
      <c r="G150" s="11"/>
      <c r="H150" s="11"/>
      <c r="I150" s="11"/>
      <c r="J150" s="54"/>
      <c r="K150" s="148"/>
      <c r="L150" s="148"/>
      <c r="M150" s="47"/>
      <c r="N150" s="44"/>
      <c r="O150" s="148"/>
      <c r="P150" s="288"/>
    </row>
    <row r="151" spans="1:16" s="10" customFormat="1" ht="15">
      <c r="A151" s="105"/>
      <c r="B151" s="9"/>
      <c r="D151" s="29"/>
      <c r="E151" s="34"/>
      <c r="F151" s="34"/>
      <c r="G151" s="11"/>
      <c r="H151" s="11"/>
      <c r="I151" s="11"/>
      <c r="J151" s="54"/>
      <c r="K151" s="148"/>
      <c r="L151" s="148"/>
      <c r="M151" s="47"/>
      <c r="N151" s="44"/>
      <c r="O151" s="148"/>
      <c r="P151" s="288"/>
    </row>
    <row r="152" spans="1:16" s="10" customFormat="1" ht="15">
      <c r="A152" s="105"/>
      <c r="B152" s="9"/>
      <c r="D152" s="29"/>
      <c r="E152" s="34"/>
      <c r="F152" s="34"/>
      <c r="G152" s="11"/>
      <c r="H152" s="11"/>
      <c r="I152" s="11"/>
      <c r="J152" s="54"/>
      <c r="K152" s="148"/>
      <c r="L152" s="148"/>
      <c r="M152" s="47"/>
      <c r="N152" s="44"/>
      <c r="O152" s="148"/>
      <c r="P152" s="288"/>
    </row>
    <row r="153" spans="1:16" s="10" customFormat="1" ht="15">
      <c r="A153" s="105"/>
      <c r="B153" s="9"/>
      <c r="D153" s="29"/>
      <c r="E153" s="34"/>
      <c r="F153" s="34"/>
      <c r="G153" s="11"/>
      <c r="H153" s="11"/>
      <c r="I153" s="11"/>
      <c r="J153" s="54"/>
      <c r="K153" s="148"/>
      <c r="L153" s="148"/>
      <c r="M153" s="47"/>
      <c r="N153" s="44"/>
      <c r="O153" s="148"/>
      <c r="P153" s="288"/>
    </row>
    <row r="154" spans="1:16" s="10" customFormat="1" ht="15">
      <c r="A154" s="105"/>
      <c r="B154" s="9"/>
      <c r="D154" s="29"/>
      <c r="E154" s="34"/>
      <c r="F154" s="34"/>
      <c r="G154" s="11"/>
      <c r="H154" s="11"/>
      <c r="I154" s="11"/>
      <c r="J154" s="54"/>
      <c r="K154" s="148"/>
      <c r="L154" s="148"/>
      <c r="M154" s="47"/>
      <c r="N154" s="44"/>
      <c r="O154" s="148"/>
      <c r="P154" s="288"/>
    </row>
    <row r="155" spans="1:16" s="10" customFormat="1" ht="15">
      <c r="A155" s="105"/>
      <c r="B155" s="9"/>
      <c r="D155" s="29"/>
      <c r="E155" s="34"/>
      <c r="F155" s="34"/>
      <c r="G155" s="11"/>
      <c r="H155" s="11"/>
      <c r="I155" s="11"/>
      <c r="J155" s="54"/>
      <c r="K155" s="148"/>
      <c r="L155" s="148"/>
      <c r="M155" s="47"/>
      <c r="N155" s="44"/>
      <c r="O155" s="148"/>
      <c r="P155" s="288"/>
    </row>
    <row r="156" spans="1:16" s="10" customFormat="1" ht="15">
      <c r="A156" s="105"/>
      <c r="B156" s="9"/>
      <c r="D156" s="29"/>
      <c r="E156" s="34"/>
      <c r="F156" s="34"/>
      <c r="G156" s="11"/>
      <c r="H156" s="11"/>
      <c r="I156" s="11"/>
      <c r="J156" s="54"/>
      <c r="K156" s="148"/>
      <c r="L156" s="148"/>
      <c r="M156" s="47"/>
      <c r="N156" s="44"/>
      <c r="O156" s="148"/>
      <c r="P156" s="288"/>
    </row>
    <row r="157" spans="1:16" s="10" customFormat="1" ht="15">
      <c r="A157" s="105"/>
      <c r="B157" s="9"/>
      <c r="D157" s="29"/>
      <c r="E157" s="34"/>
      <c r="F157" s="34"/>
      <c r="G157" s="11"/>
      <c r="H157" s="11"/>
      <c r="I157" s="11"/>
      <c r="J157" s="54"/>
      <c r="K157" s="148"/>
      <c r="L157" s="148"/>
      <c r="M157" s="47"/>
      <c r="N157" s="44"/>
      <c r="O157" s="148"/>
      <c r="P157" s="288"/>
    </row>
    <row r="158" spans="1:16" s="10" customFormat="1" ht="15">
      <c r="A158" s="105"/>
      <c r="B158" s="9"/>
      <c r="D158" s="29"/>
      <c r="E158" s="34"/>
      <c r="F158" s="34"/>
      <c r="G158" s="11"/>
      <c r="H158" s="11"/>
      <c r="I158" s="11"/>
      <c r="J158" s="54"/>
      <c r="K158" s="148"/>
      <c r="L158" s="148"/>
      <c r="M158" s="47"/>
      <c r="N158" s="44"/>
      <c r="O158" s="148"/>
      <c r="P158" s="288"/>
    </row>
  </sheetData>
  <sheetProtection insertRows="0" deleteRows="0" sort="0"/>
  <mergeCells count="14">
    <mergeCell ref="E81:G81"/>
    <mergeCell ref="D89:G89"/>
    <mergeCell ref="A2:P2"/>
    <mergeCell ref="C81:D82"/>
    <mergeCell ref="L81:P83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portrait" paperSize="9" scale="46" r:id="rId2"/>
  <ignoredErrors>
    <ignoredError sqref="G88 F87:G87 D85:D88 H88:H89 E84:E88 D90:G90 K5 J5:J26 K6:K26 N72:N74 N34:P34 N48:P53 O71:P74 L5:O12 P5:P9 P11:P12 G91:G99" unlockedFormula="1"/>
    <ignoredError sqref="L13:P26 N28:P33 N35:P35 N47:P47 N54:P56 N71 P10 L36:M46 N36:P37 L60:M64 N60:P60 L65:M70 N38:P46 N61:P64 N65:N70 P65:P66 O65:O70 P67:P70 D84" formula="1" unlockedFormula="1"/>
    <ignoredError sqref="L27:M33 N27:P27 L47:M47 L35:M35 N57:P59 L54:M59 L71:M71" formula="1"/>
    <ignoredError sqref="G17:G35 G36:K46 G47:G59 G60:K70 G71 G10 D83" numberStoredAsText="1"/>
    <ignoredError sqref="L36:M46 N36:P37 L60:M64 N60:P60 L65:M70" numberStoredAsText="1" formula="1"/>
    <ignoredError sqref="N38:P46 N61:P64 N65:N70 P65:P66" numberStoredAsText="1" formula="1" unlockedFormula="1"/>
    <ignoredError sqref="O65:O70 P67:P70 D84" numberStoredAsText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zoomScale="85" zoomScaleNormal="85" workbookViewId="0" topLeftCell="A1">
      <selection activeCell="C2" sqref="C2:C3"/>
    </sheetView>
  </sheetViews>
  <sheetFormatPr defaultColWidth="9.140625" defaultRowHeight="14.25" customHeight="1"/>
  <cols>
    <col min="1" max="1" width="4.421875" style="175" bestFit="1" customWidth="1"/>
    <col min="2" max="2" width="1.7109375" style="230" customWidth="1"/>
    <col min="3" max="3" width="39.28125" style="230" bestFit="1" customWidth="1"/>
    <col min="4" max="4" width="9.421875" style="245" customWidth="1"/>
    <col min="5" max="5" width="16.8515625" style="245" bestFit="1" customWidth="1"/>
    <col min="6" max="6" width="15.8515625" style="245" bestFit="1" customWidth="1"/>
    <col min="7" max="7" width="9.421875" style="245" bestFit="1" customWidth="1"/>
    <col min="8" max="8" width="10.00390625" style="245" customWidth="1"/>
    <col min="9" max="9" width="16.00390625" style="246" bestFit="1" customWidth="1"/>
    <col min="10" max="10" width="13.421875" style="247" bestFit="1" customWidth="1"/>
    <col min="11" max="11" width="9.28125" style="248" customWidth="1"/>
    <col min="12" max="16384" width="9.140625" style="230" customWidth="1"/>
  </cols>
  <sheetData>
    <row r="1" spans="1:11" s="176" customFormat="1" ht="42" customHeight="1" thickBot="1">
      <c r="A1" s="175"/>
      <c r="B1" s="326" t="s">
        <v>221</v>
      </c>
      <c r="C1" s="327"/>
      <c r="D1" s="327"/>
      <c r="E1" s="327"/>
      <c r="F1" s="327"/>
      <c r="G1" s="327"/>
      <c r="H1" s="327"/>
      <c r="I1" s="327"/>
      <c r="J1" s="327"/>
      <c r="K1" s="328"/>
    </row>
    <row r="2" spans="2:11" s="177" customFormat="1" ht="14.25" customHeight="1">
      <c r="B2" s="178"/>
      <c r="C2" s="323" t="s">
        <v>13</v>
      </c>
      <c r="D2" s="323" t="s">
        <v>157</v>
      </c>
      <c r="E2" s="323" t="s">
        <v>55</v>
      </c>
      <c r="F2" s="323" t="s">
        <v>54</v>
      </c>
      <c r="G2" s="295" t="s">
        <v>15</v>
      </c>
      <c r="H2" s="295" t="s">
        <v>158</v>
      </c>
      <c r="I2" s="295" t="s">
        <v>17</v>
      </c>
      <c r="J2" s="295"/>
      <c r="K2" s="329" t="s">
        <v>159</v>
      </c>
    </row>
    <row r="3" spans="1:11" s="177" customFormat="1" ht="34.5" customHeight="1" thickBot="1">
      <c r="A3" s="179"/>
      <c r="B3" s="291"/>
      <c r="C3" s="324"/>
      <c r="D3" s="324"/>
      <c r="E3" s="324"/>
      <c r="F3" s="324"/>
      <c r="G3" s="325"/>
      <c r="H3" s="316"/>
      <c r="I3" s="162" t="s">
        <v>160</v>
      </c>
      <c r="J3" s="292" t="s">
        <v>4</v>
      </c>
      <c r="K3" s="330"/>
    </row>
    <row r="4" spans="1:11" s="177" customFormat="1" ht="15">
      <c r="A4" s="180">
        <v>1</v>
      </c>
      <c r="B4" s="361"/>
      <c r="C4" s="364" t="s">
        <v>1</v>
      </c>
      <c r="D4" s="365">
        <v>38751</v>
      </c>
      <c r="E4" s="366" t="s">
        <v>35</v>
      </c>
      <c r="F4" s="366" t="s">
        <v>69</v>
      </c>
      <c r="G4" s="293">
        <v>277</v>
      </c>
      <c r="H4" s="293">
        <v>18</v>
      </c>
      <c r="I4" s="367">
        <v>27412380</v>
      </c>
      <c r="J4" s="368">
        <v>4243293.666666667</v>
      </c>
      <c r="K4" s="369">
        <f>+I4/J4</f>
        <v>6.4601656527661175</v>
      </c>
    </row>
    <row r="5" spans="1:11" s="181" customFormat="1" ht="14.25" customHeight="1">
      <c r="A5" s="180">
        <v>2</v>
      </c>
      <c r="B5" s="362"/>
      <c r="C5" s="370" t="s">
        <v>161</v>
      </c>
      <c r="D5" s="39">
        <v>38723</v>
      </c>
      <c r="E5" s="182" t="s">
        <v>63</v>
      </c>
      <c r="F5" s="58" t="s">
        <v>162</v>
      </c>
      <c r="G5" s="183">
        <v>280</v>
      </c>
      <c r="H5" s="183">
        <v>15</v>
      </c>
      <c r="I5" s="184">
        <f>5592380+3880622.5+1673082.62+1119075.5+434517.5+130151.5+6347.5+744.5+27+2593+460+255+1561+9584+3764</f>
        <v>12855165.620000001</v>
      </c>
      <c r="J5" s="94">
        <f>871283+621889+270076+179456+67736+23058+1452+132+6+608+92+51+376+3188+1672</f>
        <v>2041075</v>
      </c>
      <c r="K5" s="62">
        <f>IF(I5&lt;&gt;0,I5/J5,"")</f>
        <v>6.29823285278591</v>
      </c>
    </row>
    <row r="6" spans="1:11" s="181" customFormat="1" ht="14.25" customHeight="1">
      <c r="A6" s="180">
        <v>3</v>
      </c>
      <c r="B6" s="362"/>
      <c r="C6" s="371" t="s">
        <v>163</v>
      </c>
      <c r="D6" s="101">
        <v>38723</v>
      </c>
      <c r="E6" s="142" t="s">
        <v>35</v>
      </c>
      <c r="F6" s="142" t="s">
        <v>164</v>
      </c>
      <c r="G6" s="183">
        <v>199</v>
      </c>
      <c r="H6" s="183">
        <v>19</v>
      </c>
      <c r="I6" s="185">
        <v>6508885.1</v>
      </c>
      <c r="J6" s="100">
        <v>995000</v>
      </c>
      <c r="K6" s="62">
        <f>+I6/J6</f>
        <v>6.541593065326633</v>
      </c>
    </row>
    <row r="7" spans="1:11" s="186" customFormat="1" ht="14.25" customHeight="1">
      <c r="A7" s="180">
        <v>4</v>
      </c>
      <c r="B7" s="363"/>
      <c r="C7" s="372" t="s">
        <v>121</v>
      </c>
      <c r="D7" s="27">
        <v>38856</v>
      </c>
      <c r="E7" s="193" t="s">
        <v>60</v>
      </c>
      <c r="F7" s="141" t="s">
        <v>67</v>
      </c>
      <c r="G7" s="51">
        <v>195</v>
      </c>
      <c r="H7" s="51">
        <v>3</v>
      </c>
      <c r="I7" s="134">
        <f>3570701+1526862+890553+1110.5</f>
        <v>5989226.5</v>
      </c>
      <c r="J7" s="151">
        <f>473308+203407+120258+125</f>
        <v>797098</v>
      </c>
      <c r="K7" s="342">
        <f>+I7/J7</f>
        <v>7.513789396034114</v>
      </c>
    </row>
    <row r="8" spans="1:11" s="186" customFormat="1" ht="14.25" customHeight="1">
      <c r="A8" s="180">
        <v>5</v>
      </c>
      <c r="B8" s="363"/>
      <c r="C8" s="370" t="s">
        <v>124</v>
      </c>
      <c r="D8" s="39">
        <v>38821</v>
      </c>
      <c r="E8" s="144" t="s">
        <v>63</v>
      </c>
      <c r="F8" s="144" t="s">
        <v>64</v>
      </c>
      <c r="G8" s="183">
        <v>118</v>
      </c>
      <c r="H8" s="183">
        <v>8</v>
      </c>
      <c r="I8" s="138">
        <f>1908861+1583540+976953.5+606582.5+358386.5+257458.5+154619+107195</f>
        <v>5953596</v>
      </c>
      <c r="J8" s="116">
        <f>267837+226672+141343+93283+56706+48660+34140+24736</f>
        <v>893377</v>
      </c>
      <c r="K8" s="341">
        <f>IF(I8&lt;&gt;0,I8/J8,"")</f>
        <v>6.664147386825495</v>
      </c>
    </row>
    <row r="9" spans="1:11" s="186" customFormat="1" ht="14.25" customHeight="1">
      <c r="A9" s="180">
        <v>6</v>
      </c>
      <c r="B9" s="363"/>
      <c r="C9" s="370" t="s">
        <v>0</v>
      </c>
      <c r="D9" s="39">
        <v>38765</v>
      </c>
      <c r="E9" s="144" t="s">
        <v>35</v>
      </c>
      <c r="F9" s="144" t="s">
        <v>85</v>
      </c>
      <c r="G9" s="183">
        <v>164</v>
      </c>
      <c r="H9" s="183">
        <v>16</v>
      </c>
      <c r="I9" s="139">
        <v>4209741.5</v>
      </c>
      <c r="J9" s="153">
        <v>641370</v>
      </c>
      <c r="K9" s="341">
        <f>+I9/J9</f>
        <v>6.563670736080578</v>
      </c>
    </row>
    <row r="10" spans="1:11" s="186" customFormat="1" ht="14.25" customHeight="1">
      <c r="A10" s="180">
        <v>7</v>
      </c>
      <c r="B10" s="363"/>
      <c r="C10" s="370" t="s">
        <v>25</v>
      </c>
      <c r="D10" s="39">
        <v>38758</v>
      </c>
      <c r="E10" s="144" t="s">
        <v>63</v>
      </c>
      <c r="F10" s="144" t="s">
        <v>68</v>
      </c>
      <c r="G10" s="183">
        <v>80</v>
      </c>
      <c r="H10" s="183">
        <v>17</v>
      </c>
      <c r="I10" s="138">
        <f>1046144.5+776147+471268+342390+240709.5+167344+96416.5+41350+35967.5+31795.5+14506+10028+6242+3523+4463+5109+150</f>
        <v>3293553.5</v>
      </c>
      <c r="J10" s="116">
        <f>153560+115584+70079+59336+46681+34549+19625+8318+8035+8705+3661+2044+1179+753+1488+1703+50</f>
        <v>535350</v>
      </c>
      <c r="K10" s="341">
        <f>IF(I10&lt;&gt;0,I10/J10,"")</f>
        <v>6.1521499953301575</v>
      </c>
    </row>
    <row r="11" spans="1:11" s="186" customFormat="1" ht="14.25" customHeight="1">
      <c r="A11" s="180">
        <v>8</v>
      </c>
      <c r="B11" s="363"/>
      <c r="C11" s="370" t="s">
        <v>165</v>
      </c>
      <c r="D11" s="39">
        <v>38730</v>
      </c>
      <c r="E11" s="144" t="s">
        <v>61</v>
      </c>
      <c r="F11" s="144" t="s">
        <v>66</v>
      </c>
      <c r="G11" s="183">
        <v>116</v>
      </c>
      <c r="H11" s="183">
        <v>21</v>
      </c>
      <c r="I11" s="138">
        <v>3277540</v>
      </c>
      <c r="J11" s="116">
        <v>466610</v>
      </c>
      <c r="K11" s="341">
        <f>+I11/J11</f>
        <v>7.024152932856133</v>
      </c>
    </row>
    <row r="12" spans="1:11" s="186" customFormat="1" ht="14.25" customHeight="1">
      <c r="A12" s="180">
        <v>9</v>
      </c>
      <c r="B12" s="363"/>
      <c r="C12" s="370" t="s">
        <v>228</v>
      </c>
      <c r="D12" s="39">
        <v>38842</v>
      </c>
      <c r="E12" s="144" t="s">
        <v>61</v>
      </c>
      <c r="F12" s="144" t="s">
        <v>75</v>
      </c>
      <c r="G12" s="183">
        <v>173</v>
      </c>
      <c r="H12" s="183">
        <v>5</v>
      </c>
      <c r="I12" s="138">
        <v>2774954</v>
      </c>
      <c r="J12" s="116">
        <v>367568</v>
      </c>
      <c r="K12" s="341">
        <f>+I12/J12</f>
        <v>7.549498324119619</v>
      </c>
    </row>
    <row r="13" spans="1:11" s="186" customFormat="1" ht="14.25" customHeight="1">
      <c r="A13" s="180">
        <v>10</v>
      </c>
      <c r="B13" s="363"/>
      <c r="C13" s="370" t="s">
        <v>56</v>
      </c>
      <c r="D13" s="39">
        <v>38807</v>
      </c>
      <c r="E13" s="144" t="s">
        <v>57</v>
      </c>
      <c r="F13" s="144" t="s">
        <v>58</v>
      </c>
      <c r="G13" s="57">
        <v>115</v>
      </c>
      <c r="H13" s="57">
        <v>10</v>
      </c>
      <c r="I13" s="138">
        <v>2088364</v>
      </c>
      <c r="J13" s="116">
        <v>290576</v>
      </c>
      <c r="K13" s="341">
        <f>+I13/J13</f>
        <v>7.186980342492154</v>
      </c>
    </row>
    <row r="14" spans="1:11" s="186" customFormat="1" ht="14.25" customHeight="1">
      <c r="A14" s="180">
        <v>11</v>
      </c>
      <c r="B14" s="363"/>
      <c r="C14" s="372" t="s">
        <v>166</v>
      </c>
      <c r="D14" s="27">
        <v>38744</v>
      </c>
      <c r="E14" s="52" t="s">
        <v>61</v>
      </c>
      <c r="F14" s="52" t="s">
        <v>77</v>
      </c>
      <c r="G14" s="51">
        <v>71</v>
      </c>
      <c r="H14" s="51">
        <v>14</v>
      </c>
      <c r="I14" s="189">
        <v>1845007</v>
      </c>
      <c r="J14" s="61">
        <v>228970</v>
      </c>
      <c r="K14" s="62">
        <f>+I14/J14</f>
        <v>8.057854740795737</v>
      </c>
    </row>
    <row r="15" spans="1:11" s="186" customFormat="1" ht="14.25" customHeight="1">
      <c r="A15" s="180">
        <v>12</v>
      </c>
      <c r="B15" s="363"/>
      <c r="C15" s="370" t="s">
        <v>42</v>
      </c>
      <c r="D15" s="39">
        <v>38793</v>
      </c>
      <c r="E15" s="144" t="s">
        <v>61</v>
      </c>
      <c r="F15" s="144" t="s">
        <v>62</v>
      </c>
      <c r="G15" s="183">
        <v>129</v>
      </c>
      <c r="H15" s="183">
        <v>12</v>
      </c>
      <c r="I15" s="138">
        <v>1785892</v>
      </c>
      <c r="J15" s="116">
        <v>271544</v>
      </c>
      <c r="K15" s="341">
        <f>+I15/J15</f>
        <v>6.5768052323012105</v>
      </c>
    </row>
    <row r="16" spans="1:11" s="186" customFormat="1" ht="14.25" customHeight="1">
      <c r="A16" s="180">
        <v>13</v>
      </c>
      <c r="B16" s="363"/>
      <c r="C16" s="372" t="s">
        <v>22</v>
      </c>
      <c r="D16" s="27">
        <v>38786</v>
      </c>
      <c r="E16" s="140" t="s">
        <v>60</v>
      </c>
      <c r="F16" s="141" t="s">
        <v>67</v>
      </c>
      <c r="G16" s="51">
        <v>88</v>
      </c>
      <c r="H16" s="51">
        <v>11</v>
      </c>
      <c r="I16" s="134">
        <f>766172.5+426876.5+722.5+265870+79562.5+40+30203.5+20801+7671+6348+3330+1374+273</f>
        <v>1609244.5</v>
      </c>
      <c r="J16" s="151">
        <f>104283+58908+78+37818+14443+4+6768+4620+1770+1277+711+322+66</f>
        <v>231068</v>
      </c>
      <c r="K16" s="63">
        <f>+I16/J16</f>
        <v>6.964376287499784</v>
      </c>
    </row>
    <row r="17" spans="1:13" s="186" customFormat="1" ht="14.25" customHeight="1">
      <c r="A17" s="180">
        <v>14</v>
      </c>
      <c r="B17" s="363"/>
      <c r="C17" s="373" t="s">
        <v>119</v>
      </c>
      <c r="D17" s="110">
        <v>38751</v>
      </c>
      <c r="E17" s="109" t="s">
        <v>61</v>
      </c>
      <c r="F17" s="109" t="s">
        <v>72</v>
      </c>
      <c r="G17" s="111">
        <v>51</v>
      </c>
      <c r="H17" s="112">
        <v>16</v>
      </c>
      <c r="I17" s="135">
        <v>1334651</v>
      </c>
      <c r="J17" s="149">
        <v>174259</v>
      </c>
      <c r="K17" s="62">
        <f>+I17/J17</f>
        <v>7.659007569192982</v>
      </c>
      <c r="M17" s="195"/>
    </row>
    <row r="18" spans="1:11" s="186" customFormat="1" ht="14.25" customHeight="1">
      <c r="A18" s="180">
        <v>15</v>
      </c>
      <c r="B18" s="363"/>
      <c r="C18" s="372" t="s">
        <v>167</v>
      </c>
      <c r="D18" s="27">
        <v>38758</v>
      </c>
      <c r="E18" s="193" t="s">
        <v>60</v>
      </c>
      <c r="F18" s="141" t="s">
        <v>67</v>
      </c>
      <c r="G18" s="51">
        <v>61</v>
      </c>
      <c r="H18" s="51">
        <v>14</v>
      </c>
      <c r="I18" s="194">
        <f>532455+375378.5+1288+209157.5+74302.5+38855.5+4630+21016.5+13072+2309+5106+4417+5902+1814.5+1188+1188</f>
        <v>1292080</v>
      </c>
      <c r="J18" s="66">
        <f>61952+44929+104+25802+9625+5738+693+3941-2+1998+265+605+699+1165+276+358+341</f>
        <v>158489</v>
      </c>
      <c r="K18" s="63">
        <f>+I18/J18</f>
        <v>8.152490078175772</v>
      </c>
    </row>
    <row r="19" spans="1:11" s="186" customFormat="1" ht="14.25" customHeight="1">
      <c r="A19" s="180">
        <v>16</v>
      </c>
      <c r="B19" s="363"/>
      <c r="C19" s="372" t="s">
        <v>24</v>
      </c>
      <c r="D19" s="27">
        <v>38730</v>
      </c>
      <c r="E19" s="140" t="s">
        <v>60</v>
      </c>
      <c r="F19" s="141" t="s">
        <v>32</v>
      </c>
      <c r="G19" s="51">
        <v>62</v>
      </c>
      <c r="H19" s="51">
        <v>18</v>
      </c>
      <c r="I19" s="134">
        <f>620634.5+342052.5+188118+10733+4394+3499+5130.5+267+2707.5+1265.5+1567+387+1177+148+551+59+124+2376</f>
        <v>1185190.5</v>
      </c>
      <c r="J19" s="151">
        <f>71532+39787+22209+1403+667+665+1174+78+545+187+307+74+286+21+88+9+19+475</f>
        <v>139526</v>
      </c>
      <c r="K19" s="63">
        <f>+I19/J19</f>
        <v>8.494406060519186</v>
      </c>
    </row>
    <row r="20" spans="1:11" s="186" customFormat="1" ht="14.25" customHeight="1">
      <c r="A20" s="180">
        <v>17</v>
      </c>
      <c r="B20" s="363"/>
      <c r="C20" s="374" t="s">
        <v>168</v>
      </c>
      <c r="D20" s="27">
        <v>38737</v>
      </c>
      <c r="E20" s="196" t="s">
        <v>60</v>
      </c>
      <c r="F20" s="52" t="s">
        <v>67</v>
      </c>
      <c r="G20" s="51">
        <v>59</v>
      </c>
      <c r="H20" s="51">
        <v>13</v>
      </c>
      <c r="I20" s="194">
        <f>608427+380282+114207+9532.5+267+10793+13396.5+5792+7887+5035.5+7591+2654+5417+339</f>
        <v>1171620.5</v>
      </c>
      <c r="J20" s="66">
        <f>84958+53848+16688+1589+36+2247+2850+1209+1697+1120+1428+513+1135+61</f>
        <v>169379</v>
      </c>
      <c r="K20" s="197">
        <f>I20/J20</f>
        <v>6.917153248041375</v>
      </c>
    </row>
    <row r="21" spans="1:11" s="186" customFormat="1" ht="14.25" customHeight="1">
      <c r="A21" s="180">
        <v>18</v>
      </c>
      <c r="B21" s="363"/>
      <c r="C21" s="370" t="s">
        <v>53</v>
      </c>
      <c r="D21" s="39">
        <v>38800</v>
      </c>
      <c r="E21" s="144" t="s">
        <v>63</v>
      </c>
      <c r="F21" s="144" t="s">
        <v>64</v>
      </c>
      <c r="G21" s="183">
        <v>92</v>
      </c>
      <c r="H21" s="183">
        <v>11</v>
      </c>
      <c r="I21" s="138">
        <f>481751.5+308419.5+242119.5+52953+38471.5+16408.5+18127+1517+5096+60+3053</f>
        <v>1167976.5</v>
      </c>
      <c r="J21" s="116">
        <f>67910+40806+32344+8727+9142+4213+4473+313+1639+13+1011</f>
        <v>170591</v>
      </c>
      <c r="K21" s="341">
        <f>IF(I21&lt;&gt;0,I21/J21,"")</f>
        <v>6.846647830190339</v>
      </c>
    </row>
    <row r="22" spans="1:11" s="186" customFormat="1" ht="14.25" customHeight="1">
      <c r="A22" s="180">
        <v>19</v>
      </c>
      <c r="B22" s="363"/>
      <c r="C22" s="372" t="s">
        <v>169</v>
      </c>
      <c r="D22" s="27">
        <v>38772</v>
      </c>
      <c r="E22" s="193" t="s">
        <v>60</v>
      </c>
      <c r="F22" s="141" t="s">
        <v>74</v>
      </c>
      <c r="G22" s="51">
        <v>83</v>
      </c>
      <c r="H22" s="51">
        <v>10</v>
      </c>
      <c r="I22" s="134">
        <f>567539+316479.5+147520.5+33631.5+20525+10752+2179+662+816+695</f>
        <v>1100799.5</v>
      </c>
      <c r="J22" s="151">
        <f>70751+40533+20089+5992+4309+2533+671+110+159+161</f>
        <v>145308</v>
      </c>
      <c r="K22" s="342">
        <f>+I22/J22</f>
        <v>7.575629008726292</v>
      </c>
    </row>
    <row r="23" spans="1:11" s="186" customFormat="1" ht="14.25" customHeight="1">
      <c r="A23" s="180">
        <v>20</v>
      </c>
      <c r="B23" s="363"/>
      <c r="C23" s="372" t="s">
        <v>23</v>
      </c>
      <c r="D23" s="27">
        <v>38779</v>
      </c>
      <c r="E23" s="140" t="s">
        <v>60</v>
      </c>
      <c r="F23" s="141" t="s">
        <v>67</v>
      </c>
      <c r="G23" s="51">
        <v>96</v>
      </c>
      <c r="H23" s="51">
        <v>12</v>
      </c>
      <c r="I23" s="134">
        <f>548794+335797+701.5+148448.5+3571+32617.5+14092-3800+4657-453+614+455+1282.5+769+847+550</f>
        <v>1088943</v>
      </c>
      <c r="J23" s="151">
        <f>69211+43223+82+20305+51+6206+3183-272+1252-105+122+156+265+127+180+266</f>
        <v>144252</v>
      </c>
      <c r="K23" s="63">
        <f>+I23/J23</f>
        <v>7.548893602861659</v>
      </c>
    </row>
    <row r="24" spans="1:11" s="186" customFormat="1" ht="14.25" customHeight="1">
      <c r="A24" s="180">
        <v>21</v>
      </c>
      <c r="B24" s="363"/>
      <c r="C24" s="370" t="s">
        <v>219</v>
      </c>
      <c r="D24" s="39">
        <v>38863</v>
      </c>
      <c r="E24" s="144" t="s">
        <v>63</v>
      </c>
      <c r="F24" s="144" t="s">
        <v>64</v>
      </c>
      <c r="G24" s="183">
        <v>61</v>
      </c>
      <c r="H24" s="183">
        <v>2</v>
      </c>
      <c r="I24" s="138">
        <f>666456+404849</f>
        <v>1071305</v>
      </c>
      <c r="J24" s="116">
        <f>83759+51381</f>
        <v>135140</v>
      </c>
      <c r="K24" s="341">
        <f>IF(I24&lt;&gt;0,I24/J24,"")</f>
        <v>7.927371614621873</v>
      </c>
    </row>
    <row r="25" spans="1:11" s="186" customFormat="1" ht="14.25" customHeight="1">
      <c r="A25" s="180">
        <v>22</v>
      </c>
      <c r="B25" s="363"/>
      <c r="C25" s="372" t="s">
        <v>81</v>
      </c>
      <c r="D25" s="27">
        <v>38814</v>
      </c>
      <c r="E25" s="193" t="s">
        <v>60</v>
      </c>
      <c r="F25" s="141" t="s">
        <v>82</v>
      </c>
      <c r="G25" s="51">
        <v>124</v>
      </c>
      <c r="H25" s="51">
        <v>9</v>
      </c>
      <c r="I25" s="134">
        <f>439414+274192+192421+64.5+69171.5+43293.5-3918+20352-1014+12440+194+1138+1592</f>
        <v>1049340.5</v>
      </c>
      <c r="J25" s="151">
        <f>65914+42392+32259+2+13519+9474-1031+5275-202+2638+58+320+376</f>
        <v>170994</v>
      </c>
      <c r="K25" s="342">
        <f>+I25/J25</f>
        <v>6.136709475186263</v>
      </c>
    </row>
    <row r="26" spans="1:11" s="186" customFormat="1" ht="14.25" customHeight="1">
      <c r="A26" s="180">
        <v>23</v>
      </c>
      <c r="B26" s="363"/>
      <c r="C26" s="370" t="s">
        <v>122</v>
      </c>
      <c r="D26" s="39">
        <v>38856</v>
      </c>
      <c r="E26" s="144" t="s">
        <v>61</v>
      </c>
      <c r="F26" s="144" t="s">
        <v>123</v>
      </c>
      <c r="G26" s="183">
        <v>160</v>
      </c>
      <c r="H26" s="183">
        <v>3</v>
      </c>
      <c r="I26" s="138">
        <v>1003406</v>
      </c>
      <c r="J26" s="116">
        <v>149197</v>
      </c>
      <c r="K26" s="341">
        <f>+I26/J26</f>
        <v>6.7253765156135845</v>
      </c>
    </row>
    <row r="27" spans="1:11" s="186" customFormat="1" ht="14.25" customHeight="1">
      <c r="A27" s="180">
        <v>24</v>
      </c>
      <c r="B27" s="363"/>
      <c r="C27" s="370" t="s">
        <v>99</v>
      </c>
      <c r="D27" s="39">
        <v>38835</v>
      </c>
      <c r="E27" s="144" t="s">
        <v>61</v>
      </c>
      <c r="F27" s="144" t="s">
        <v>72</v>
      </c>
      <c r="G27" s="183">
        <v>71</v>
      </c>
      <c r="H27" s="183">
        <v>6</v>
      </c>
      <c r="I27" s="138">
        <v>980517</v>
      </c>
      <c r="J27" s="116">
        <v>118497</v>
      </c>
      <c r="K27" s="341">
        <f>+I27/J27</f>
        <v>8.274614547203727</v>
      </c>
    </row>
    <row r="28" spans="1:11" s="186" customFormat="1" ht="14.25" customHeight="1">
      <c r="A28" s="180">
        <v>25</v>
      </c>
      <c r="B28" s="363"/>
      <c r="C28" s="370" t="s">
        <v>113</v>
      </c>
      <c r="D28" s="39">
        <v>38821</v>
      </c>
      <c r="E28" s="144" t="s">
        <v>61</v>
      </c>
      <c r="F28" s="144" t="s">
        <v>66</v>
      </c>
      <c r="G28" s="183">
        <v>94</v>
      </c>
      <c r="H28" s="183">
        <v>9</v>
      </c>
      <c r="I28" s="138">
        <v>977654</v>
      </c>
      <c r="J28" s="116">
        <v>143684</v>
      </c>
      <c r="K28" s="341">
        <f>+I28/J28</f>
        <v>6.8041953175022964</v>
      </c>
    </row>
    <row r="29" spans="1:11" s="186" customFormat="1" ht="14.25" customHeight="1">
      <c r="A29" s="180">
        <v>26</v>
      </c>
      <c r="B29" s="363"/>
      <c r="C29" s="370" t="s">
        <v>39</v>
      </c>
      <c r="D29" s="39">
        <v>38779</v>
      </c>
      <c r="E29" s="144" t="s">
        <v>61</v>
      </c>
      <c r="F29" s="144" t="s">
        <v>66</v>
      </c>
      <c r="G29" s="183">
        <v>72</v>
      </c>
      <c r="H29" s="183">
        <v>14</v>
      </c>
      <c r="I29" s="138">
        <v>969807</v>
      </c>
      <c r="J29" s="116">
        <v>144237</v>
      </c>
      <c r="K29" s="341">
        <f>+I29/J29</f>
        <v>6.7237047359554065</v>
      </c>
    </row>
    <row r="30" spans="1:11" s="186" customFormat="1" ht="14.25" customHeight="1">
      <c r="A30" s="180">
        <v>27</v>
      </c>
      <c r="B30" s="363"/>
      <c r="C30" s="370" t="s">
        <v>170</v>
      </c>
      <c r="D30" s="39">
        <v>38737</v>
      </c>
      <c r="E30" s="144" t="s">
        <v>63</v>
      </c>
      <c r="F30" s="144" t="s">
        <v>76</v>
      </c>
      <c r="G30" s="183">
        <v>43</v>
      </c>
      <c r="H30" s="183">
        <v>15</v>
      </c>
      <c r="I30" s="138">
        <f>396203.5+294727+144308+39007.5+20845+13381+3440+5237.5+6333+2618+1285+5683+2376+297+2376</f>
        <v>938117.5</v>
      </c>
      <c r="J30" s="116">
        <f>47896+35851+17460+6558+3746+4007+1374+1611+1950+556+169+1830+1188+72+792</f>
        <v>125060</v>
      </c>
      <c r="K30" s="341">
        <f>IF(I30&lt;&gt;0,I30/J30,"")</f>
        <v>7.501339357108588</v>
      </c>
    </row>
    <row r="31" spans="1:11" s="186" customFormat="1" ht="14.25" customHeight="1">
      <c r="A31" s="180">
        <v>28</v>
      </c>
      <c r="B31" s="363"/>
      <c r="C31" s="370" t="s">
        <v>100</v>
      </c>
      <c r="D31" s="39">
        <v>38835</v>
      </c>
      <c r="E31" s="144" t="s">
        <v>63</v>
      </c>
      <c r="F31" s="144" t="s">
        <v>109</v>
      </c>
      <c r="G31" s="183">
        <v>65</v>
      </c>
      <c r="H31" s="183">
        <v>6</v>
      </c>
      <c r="I31" s="138">
        <f>381578+253958+149731.5+45908+33467.5+30819</f>
        <v>895462</v>
      </c>
      <c r="J31" s="116">
        <f>51957+35225+20957+7725+6499+6734</f>
        <v>129097</v>
      </c>
      <c r="K31" s="341">
        <f>IF(I31&lt;&gt;0,I31/J31,"")</f>
        <v>6.936350186294027</v>
      </c>
    </row>
    <row r="32" spans="1:11" s="186" customFormat="1" ht="14.25" customHeight="1">
      <c r="A32" s="180">
        <v>29</v>
      </c>
      <c r="B32" s="363"/>
      <c r="C32" s="372" t="s">
        <v>59</v>
      </c>
      <c r="D32" s="27">
        <v>38807</v>
      </c>
      <c r="E32" s="140" t="s">
        <v>60</v>
      </c>
      <c r="F32" s="141" t="s">
        <v>32</v>
      </c>
      <c r="G32" s="51">
        <v>77</v>
      </c>
      <c r="H32" s="51">
        <v>8</v>
      </c>
      <c r="I32" s="134">
        <f>360631+281662+146898.5-10+41732+5+35353+15128+3266+1520</f>
        <v>886185.5</v>
      </c>
      <c r="J32" s="151">
        <f>47208+36381+19166-5+6638+7219+4011+941+529</f>
        <v>122088</v>
      </c>
      <c r="K32" s="63">
        <f>+I32/J32</f>
        <v>7.2585798768101695</v>
      </c>
    </row>
    <row r="33" spans="1:11" s="186" customFormat="1" ht="14.25" customHeight="1">
      <c r="A33" s="180">
        <v>30</v>
      </c>
      <c r="B33" s="363"/>
      <c r="C33" s="372" t="s">
        <v>50</v>
      </c>
      <c r="D33" s="27">
        <v>38800</v>
      </c>
      <c r="E33" s="141" t="s">
        <v>43</v>
      </c>
      <c r="F33" s="141" t="s">
        <v>84</v>
      </c>
      <c r="G33" s="51">
        <v>58</v>
      </c>
      <c r="H33" s="51">
        <v>11</v>
      </c>
      <c r="I33" s="137">
        <f>350945.5+222517.5+139156.5+40897.5+38142.5+25481.5+16036.5+2540+5715.5+4760+5176</f>
        <v>851369</v>
      </c>
      <c r="J33" s="116">
        <f>46256+31606+20219+8293+8608+6050+3760+524+1828+885+1287</f>
        <v>129316</v>
      </c>
      <c r="K33" s="341">
        <f>IF(I33&lt;&gt;0,I33/J33,"")</f>
        <v>6.5836323424788885</v>
      </c>
    </row>
    <row r="34" spans="1:11" s="186" customFormat="1" ht="14.25" customHeight="1">
      <c r="A34" s="180">
        <v>31</v>
      </c>
      <c r="B34" s="363"/>
      <c r="C34" s="373" t="s">
        <v>120</v>
      </c>
      <c r="D34" s="110">
        <v>38772</v>
      </c>
      <c r="E34" s="109" t="s">
        <v>61</v>
      </c>
      <c r="F34" s="109" t="s">
        <v>72</v>
      </c>
      <c r="G34" s="111">
        <v>62</v>
      </c>
      <c r="H34" s="112">
        <v>13</v>
      </c>
      <c r="I34" s="135">
        <v>821746</v>
      </c>
      <c r="J34" s="149">
        <v>108247</v>
      </c>
      <c r="K34" s="62">
        <f>+I34/J34</f>
        <v>7.591397452123385</v>
      </c>
    </row>
    <row r="35" spans="1:11" s="186" customFormat="1" ht="14.25" customHeight="1">
      <c r="A35" s="180">
        <v>32</v>
      </c>
      <c r="B35" s="363"/>
      <c r="C35" s="372" t="s">
        <v>92</v>
      </c>
      <c r="D35" s="27">
        <v>38828</v>
      </c>
      <c r="E35" s="193" t="s">
        <v>60</v>
      </c>
      <c r="F35" s="141" t="s">
        <v>74</v>
      </c>
      <c r="G35" s="51">
        <v>59</v>
      </c>
      <c r="H35" s="51">
        <v>7</v>
      </c>
      <c r="I35" s="134">
        <f>365673.5+242198.5+102288+967.5+39022+4819.5+5052.5+2597</f>
        <v>762618.5</v>
      </c>
      <c r="J35" s="151">
        <f>45213+29847+13085+1+6124+1313+1025+532</f>
        <v>97140</v>
      </c>
      <c r="K35" s="342">
        <f>+I35/J35</f>
        <v>7.850715462219477</v>
      </c>
    </row>
    <row r="36" spans="1:11" s="186" customFormat="1" ht="14.25" customHeight="1">
      <c r="A36" s="180">
        <v>33</v>
      </c>
      <c r="B36" s="363"/>
      <c r="C36" s="372" t="s">
        <v>171</v>
      </c>
      <c r="D36" s="27">
        <v>38793</v>
      </c>
      <c r="E36" s="193" t="s">
        <v>60</v>
      </c>
      <c r="F36" s="141" t="s">
        <v>32</v>
      </c>
      <c r="G36" s="51">
        <v>61</v>
      </c>
      <c r="H36" s="51">
        <v>11</v>
      </c>
      <c r="I36" s="134">
        <f>382650.25+216772+80793+19622+15213+10279+6237+3281.5+545+179+1009</f>
        <v>736580.75</v>
      </c>
      <c r="J36" s="151">
        <f>44423+25158+2+10694+4081+3731+2440+1502+538+87+42+240</f>
        <v>92938</v>
      </c>
      <c r="K36" s="342">
        <f>+I36/J36</f>
        <v>7.925506789472552</v>
      </c>
    </row>
    <row r="37" spans="1:11" s="186" customFormat="1" ht="14.25" customHeight="1">
      <c r="A37" s="180">
        <v>34</v>
      </c>
      <c r="B37" s="363"/>
      <c r="C37" s="372" t="s">
        <v>128</v>
      </c>
      <c r="D37" s="27">
        <v>38765</v>
      </c>
      <c r="E37" s="140" t="s">
        <v>60</v>
      </c>
      <c r="F37" s="141" t="s">
        <v>73</v>
      </c>
      <c r="G37" s="51">
        <v>23</v>
      </c>
      <c r="H37" s="51">
        <v>12</v>
      </c>
      <c r="I37" s="134">
        <f>233855.5+204363.5+128310.5+63025+34881+574.5+33654+11641+7934+7483+300+4766+188+102</f>
        <v>731078</v>
      </c>
      <c r="J37" s="151">
        <f>23969+21050+14093+7549+5203+51+5592+2578+1510+1129+34+863+23</f>
        <v>83644</v>
      </c>
      <c r="K37" s="63">
        <f>+I37/J37</f>
        <v>8.740351967863804</v>
      </c>
    </row>
    <row r="38" spans="1:11" s="186" customFormat="1" ht="14.25" customHeight="1">
      <c r="A38" s="180">
        <v>35</v>
      </c>
      <c r="B38" s="363"/>
      <c r="C38" s="372" t="s">
        <v>27</v>
      </c>
      <c r="D38" s="27">
        <v>38716</v>
      </c>
      <c r="E38" s="193" t="s">
        <v>60</v>
      </c>
      <c r="F38" s="141" t="s">
        <v>67</v>
      </c>
      <c r="G38" s="51">
        <v>60</v>
      </c>
      <c r="H38" s="51">
        <v>16</v>
      </c>
      <c r="I38" s="134">
        <f>585119+1780+1044+82.5+240</f>
        <v>588265.5</v>
      </c>
      <c r="J38" s="151">
        <f>83689+369+235+15+48</f>
        <v>84356</v>
      </c>
      <c r="K38" s="342">
        <f>+I38/J38</f>
        <v>6.973605908293423</v>
      </c>
    </row>
    <row r="39" spans="1:11" s="186" customFormat="1" ht="14.25" customHeight="1">
      <c r="A39" s="180">
        <v>36</v>
      </c>
      <c r="B39" s="363"/>
      <c r="C39" s="370" t="s">
        <v>93</v>
      </c>
      <c r="D39" s="39">
        <v>38828</v>
      </c>
      <c r="E39" s="144" t="s">
        <v>63</v>
      </c>
      <c r="F39" s="144" t="s">
        <v>76</v>
      </c>
      <c r="G39" s="183">
        <v>43</v>
      </c>
      <c r="H39" s="183">
        <v>7</v>
      </c>
      <c r="I39" s="138">
        <f>221837.5+151726+100334.5+58293.5+26175.5+11161+17463.5</f>
        <v>586991.5</v>
      </c>
      <c r="J39" s="116">
        <f>31465+21243+15047+11409+5192+2380+3862</f>
        <v>90598</v>
      </c>
      <c r="K39" s="341">
        <f>IF(I39&lt;&gt;0,I39/J39,"")</f>
        <v>6.479077904589506</v>
      </c>
    </row>
    <row r="40" spans="1:11" s="186" customFormat="1" ht="14.25" customHeight="1">
      <c r="A40" s="180">
        <v>37</v>
      </c>
      <c r="B40" s="363"/>
      <c r="C40" s="375" t="s">
        <v>65</v>
      </c>
      <c r="D40" s="110">
        <v>38807</v>
      </c>
      <c r="E40" s="109" t="s">
        <v>61</v>
      </c>
      <c r="F40" s="268" t="s">
        <v>66</v>
      </c>
      <c r="G40" s="183">
        <v>62</v>
      </c>
      <c r="H40" s="112">
        <v>9</v>
      </c>
      <c r="I40" s="135">
        <v>547220</v>
      </c>
      <c r="J40" s="149">
        <v>71687</v>
      </c>
      <c r="K40" s="63">
        <f>+I40/J40</f>
        <v>7.633462133999191</v>
      </c>
    </row>
    <row r="41" spans="1:11" s="186" customFormat="1" ht="14.25" customHeight="1">
      <c r="A41" s="180">
        <v>38</v>
      </c>
      <c r="B41" s="363"/>
      <c r="C41" s="375" t="s">
        <v>127</v>
      </c>
      <c r="D41" s="110">
        <v>38786</v>
      </c>
      <c r="E41" s="109" t="s">
        <v>61</v>
      </c>
      <c r="F41" s="109" t="s">
        <v>75</v>
      </c>
      <c r="G41" s="111">
        <v>63</v>
      </c>
      <c r="H41" s="112">
        <v>11</v>
      </c>
      <c r="I41" s="135">
        <v>508013</v>
      </c>
      <c r="J41" s="149">
        <v>64201</v>
      </c>
      <c r="K41" s="62">
        <f>+I41/J41</f>
        <v>7.912851824737932</v>
      </c>
    </row>
    <row r="42" spans="1:11" s="186" customFormat="1" ht="14.25" customHeight="1">
      <c r="A42" s="180">
        <v>39</v>
      </c>
      <c r="B42" s="363"/>
      <c r="C42" s="372" t="s">
        <v>48</v>
      </c>
      <c r="D42" s="27">
        <v>38800</v>
      </c>
      <c r="E42" s="193" t="s">
        <v>60</v>
      </c>
      <c r="F42" s="141" t="s">
        <v>115</v>
      </c>
      <c r="G42" s="51">
        <v>42</v>
      </c>
      <c r="H42" s="51">
        <v>10</v>
      </c>
      <c r="I42" s="134">
        <f>288395.5+117307+73357+9936.5+3180.5+6040+3145+3698+425+75+340</f>
        <v>505899.5</v>
      </c>
      <c r="J42" s="66">
        <f>32591+13752+9420+1407+573+1208+527+673+68+34</f>
        <v>60253</v>
      </c>
      <c r="K42" s="63">
        <f>+I42/J42</f>
        <v>8.396254128425142</v>
      </c>
    </row>
    <row r="43" spans="1:11" s="186" customFormat="1" ht="14.25" customHeight="1">
      <c r="A43" s="180">
        <v>40</v>
      </c>
      <c r="B43" s="363"/>
      <c r="C43" s="376" t="s">
        <v>172</v>
      </c>
      <c r="D43" s="39">
        <v>38751</v>
      </c>
      <c r="E43" s="144" t="s">
        <v>61</v>
      </c>
      <c r="F43" s="144" t="s">
        <v>173</v>
      </c>
      <c r="G43" s="183">
        <v>27</v>
      </c>
      <c r="H43" s="183">
        <v>15</v>
      </c>
      <c r="I43" s="189">
        <v>479686</v>
      </c>
      <c r="J43" s="192">
        <v>55874</v>
      </c>
      <c r="K43" s="62">
        <f>+I43/J43</f>
        <v>8.585137989046784</v>
      </c>
    </row>
    <row r="44" spans="1:11" s="186" customFormat="1" ht="14.25" customHeight="1">
      <c r="A44" s="180">
        <v>41</v>
      </c>
      <c r="B44" s="363"/>
      <c r="C44" s="372" t="s">
        <v>52</v>
      </c>
      <c r="D44" s="27">
        <v>38793</v>
      </c>
      <c r="E44" s="140" t="s">
        <v>63</v>
      </c>
      <c r="F44" s="141" t="s">
        <v>126</v>
      </c>
      <c r="G44" s="51">
        <v>50</v>
      </c>
      <c r="H44" s="51">
        <v>10</v>
      </c>
      <c r="I44" s="136">
        <v>434672.5</v>
      </c>
      <c r="J44" s="152">
        <v>64392</v>
      </c>
      <c r="K44" s="62">
        <f>+I44/J44</f>
        <v>6.750411541806436</v>
      </c>
    </row>
    <row r="45" spans="1:11" s="186" customFormat="1" ht="14.25" customHeight="1">
      <c r="A45" s="180">
        <v>42</v>
      </c>
      <c r="B45" s="363"/>
      <c r="C45" s="372" t="s">
        <v>83</v>
      </c>
      <c r="D45" s="27">
        <v>38814</v>
      </c>
      <c r="E45" s="141" t="s">
        <v>43</v>
      </c>
      <c r="F45" s="141" t="s">
        <v>84</v>
      </c>
      <c r="G45" s="51">
        <v>56</v>
      </c>
      <c r="H45" s="51">
        <v>8</v>
      </c>
      <c r="I45" s="137">
        <f>217941.5+99459+32613+17816.5+8424.5+3203+531+1188</f>
        <v>381176.5</v>
      </c>
      <c r="J45" s="116">
        <f>30137+15034+5570+3956+2001+658+128+237</f>
        <v>57721</v>
      </c>
      <c r="K45" s="341">
        <f>IF(I45&lt;&gt;0,I45/J45,"")</f>
        <v>6.603775055872213</v>
      </c>
    </row>
    <row r="46" spans="1:11" s="186" customFormat="1" ht="14.25" customHeight="1">
      <c r="A46" s="180">
        <v>43</v>
      </c>
      <c r="B46" s="363"/>
      <c r="C46" s="377" t="s">
        <v>88</v>
      </c>
      <c r="D46" s="274">
        <v>38814</v>
      </c>
      <c r="E46" s="268" t="s">
        <v>63</v>
      </c>
      <c r="F46" s="268" t="s">
        <v>118</v>
      </c>
      <c r="G46" s="111">
        <v>50</v>
      </c>
      <c r="H46" s="270">
        <v>8</v>
      </c>
      <c r="I46" s="276">
        <f>159204+117003.5+55112+26308.5+8703+2820+3475+32</f>
        <v>372658</v>
      </c>
      <c r="J46" s="283">
        <f>19860+13877+7175+4316+1437+527+1077+4</f>
        <v>48273</v>
      </c>
      <c r="K46" s="62">
        <f>IF(I46&lt;&gt;0,I46/J46,"")</f>
        <v>7.71980195968761</v>
      </c>
    </row>
    <row r="47" spans="1:11" s="186" customFormat="1" ht="14.25" customHeight="1">
      <c r="A47" s="180">
        <v>44</v>
      </c>
      <c r="B47" s="363"/>
      <c r="C47" s="370" t="s">
        <v>174</v>
      </c>
      <c r="D47" s="39">
        <v>38765</v>
      </c>
      <c r="E47" s="144" t="s">
        <v>61</v>
      </c>
      <c r="F47" s="144" t="s">
        <v>75</v>
      </c>
      <c r="G47" s="183">
        <v>41</v>
      </c>
      <c r="H47" s="183">
        <v>13</v>
      </c>
      <c r="I47" s="191">
        <v>334857</v>
      </c>
      <c r="J47" s="192">
        <v>45706</v>
      </c>
      <c r="K47" s="62">
        <f>+I47/J47</f>
        <v>7.32632477136481</v>
      </c>
    </row>
    <row r="48" spans="1:11" s="186" customFormat="1" ht="14.25" customHeight="1">
      <c r="A48" s="180">
        <v>45</v>
      </c>
      <c r="B48" s="363"/>
      <c r="C48" s="370" t="s">
        <v>175</v>
      </c>
      <c r="D48" s="39">
        <v>38772</v>
      </c>
      <c r="E48" s="58" t="s">
        <v>63</v>
      </c>
      <c r="F48" s="58" t="s">
        <v>64</v>
      </c>
      <c r="G48" s="183">
        <v>49</v>
      </c>
      <c r="H48" s="183">
        <v>11</v>
      </c>
      <c r="I48" s="189">
        <f>151711.5+80204.5+40498+22773.5+10013.5+8954+2475+789.5+1863+538.5+173</f>
        <v>319994</v>
      </c>
      <c r="J48" s="61">
        <f>20342+10373+5841+6919+2082+2313+566+196+713+99+43</f>
        <v>49487</v>
      </c>
      <c r="K48" s="63">
        <f>+I48/J48</f>
        <v>6.466223452623922</v>
      </c>
    </row>
    <row r="49" spans="1:11" s="186" customFormat="1" ht="14.25" customHeight="1">
      <c r="A49" s="180">
        <v>46</v>
      </c>
      <c r="B49" s="363"/>
      <c r="C49" s="372" t="s">
        <v>95</v>
      </c>
      <c r="D49" s="27">
        <v>38821</v>
      </c>
      <c r="E49" s="193" t="s">
        <v>60</v>
      </c>
      <c r="F49" s="141" t="s">
        <v>67</v>
      </c>
      <c r="G49" s="51">
        <v>53</v>
      </c>
      <c r="H49" s="51">
        <v>8</v>
      </c>
      <c r="I49" s="134">
        <f>155465+86253.5+51+32563.5+13957.5+17705+3940.5+3158+2263.5</f>
        <v>315357.5</v>
      </c>
      <c r="J49" s="151">
        <f>21109+11912+4921+2568+3792+939+610+410</f>
        <v>46261</v>
      </c>
      <c r="K49" s="342">
        <f>+I49/J49</f>
        <v>6.8169192192127275</v>
      </c>
    </row>
    <row r="50" spans="1:11" s="186" customFormat="1" ht="14.25" customHeight="1">
      <c r="A50" s="180">
        <v>47</v>
      </c>
      <c r="B50" s="363"/>
      <c r="C50" s="372" t="s">
        <v>87</v>
      </c>
      <c r="D50" s="27">
        <v>38821</v>
      </c>
      <c r="E50" s="193" t="s">
        <v>60</v>
      </c>
      <c r="F50" s="141" t="s">
        <v>86</v>
      </c>
      <c r="G50" s="51">
        <v>32</v>
      </c>
      <c r="H50" s="51">
        <v>8</v>
      </c>
      <c r="I50" s="134">
        <f>122911+88335.5+16+40828.5+16007.5+37291.5+2997+4262.5+1548.5</f>
        <v>314198</v>
      </c>
      <c r="J50" s="151">
        <f>13093+9562-3+4800+2670+6683+902+881+241</f>
        <v>38829</v>
      </c>
      <c r="K50" s="342">
        <f>+I50/J50</f>
        <v>8.091838574261505</v>
      </c>
    </row>
    <row r="51" spans="1:11" s="181" customFormat="1" ht="14.25" customHeight="1">
      <c r="A51" s="180">
        <v>48</v>
      </c>
      <c r="B51" s="363"/>
      <c r="C51" s="370" t="s">
        <v>110</v>
      </c>
      <c r="D51" s="39">
        <v>38849</v>
      </c>
      <c r="E51" s="144" t="s">
        <v>63</v>
      </c>
      <c r="F51" s="144" t="s">
        <v>64</v>
      </c>
      <c r="G51" s="183">
        <v>51</v>
      </c>
      <c r="H51" s="183">
        <v>4</v>
      </c>
      <c r="I51" s="138">
        <f>165448.5+80304.5+33898+25466.5</f>
        <v>305117.5</v>
      </c>
      <c r="J51" s="116">
        <f>23339+10797+5046+5061</f>
        <v>44243</v>
      </c>
      <c r="K51" s="341">
        <f>IF(I51&lt;&gt;0,I51/J51,"")</f>
        <v>6.8964016906629295</v>
      </c>
    </row>
    <row r="52" spans="1:11" s="181" customFormat="1" ht="14.25" customHeight="1">
      <c r="A52" s="180">
        <v>49</v>
      </c>
      <c r="B52" s="363"/>
      <c r="C52" s="370" t="s">
        <v>223</v>
      </c>
      <c r="D52" s="39">
        <v>38874</v>
      </c>
      <c r="E52" s="144" t="s">
        <v>63</v>
      </c>
      <c r="F52" s="144" t="s">
        <v>64</v>
      </c>
      <c r="G52" s="183">
        <v>66</v>
      </c>
      <c r="H52" s="183">
        <v>0</v>
      </c>
      <c r="I52" s="138">
        <f>298281</f>
        <v>298281</v>
      </c>
      <c r="J52" s="116">
        <f>42602</f>
        <v>42602</v>
      </c>
      <c r="K52" s="341">
        <f>IF(I52&lt;&gt;0,I52/J52,"")</f>
        <v>7.001572696117553</v>
      </c>
    </row>
    <row r="53" spans="1:11" s="181" customFormat="1" ht="14.25" customHeight="1">
      <c r="A53" s="180">
        <v>50</v>
      </c>
      <c r="B53" s="363"/>
      <c r="C53" s="378" t="s">
        <v>218</v>
      </c>
      <c r="D53" s="39">
        <v>38863</v>
      </c>
      <c r="E53" s="269" t="s">
        <v>131</v>
      </c>
      <c r="F53" s="143" t="s">
        <v>225</v>
      </c>
      <c r="G53" s="127" t="s">
        <v>226</v>
      </c>
      <c r="H53" s="128">
        <v>2</v>
      </c>
      <c r="I53" s="138">
        <f>149883.5+135641.5</f>
        <v>285525</v>
      </c>
      <c r="J53" s="116">
        <f>19608+17668</f>
        <v>37276</v>
      </c>
      <c r="K53" s="341">
        <f>IF(I53&lt;&gt;0,I53/J53,"")</f>
        <v>7.659754265479129</v>
      </c>
    </row>
    <row r="54" spans="1:11" s="181" customFormat="1" ht="14.25" customHeight="1">
      <c r="A54" s="180">
        <v>51</v>
      </c>
      <c r="B54" s="363"/>
      <c r="C54" s="370" t="s">
        <v>94</v>
      </c>
      <c r="D54" s="39">
        <v>38828</v>
      </c>
      <c r="E54" s="144" t="s">
        <v>61</v>
      </c>
      <c r="F54" s="144" t="s">
        <v>66</v>
      </c>
      <c r="G54" s="183">
        <v>46</v>
      </c>
      <c r="H54" s="183">
        <v>7</v>
      </c>
      <c r="I54" s="138">
        <v>284895</v>
      </c>
      <c r="J54" s="116">
        <v>36121</v>
      </c>
      <c r="K54" s="341">
        <f>+I54/J54</f>
        <v>7.887240109631517</v>
      </c>
    </row>
    <row r="55" spans="1:11" s="181" customFormat="1" ht="14.25" customHeight="1">
      <c r="A55" s="180">
        <v>52</v>
      </c>
      <c r="B55" s="363"/>
      <c r="C55" s="379" t="s">
        <v>176</v>
      </c>
      <c r="D55" s="39">
        <v>38751</v>
      </c>
      <c r="E55" s="146" t="s">
        <v>63</v>
      </c>
      <c r="F55" s="146" t="s">
        <v>64</v>
      </c>
      <c r="G55" s="57">
        <v>25</v>
      </c>
      <c r="H55" s="57">
        <v>9</v>
      </c>
      <c r="I55" s="190">
        <v>275432.5</v>
      </c>
      <c r="J55" s="64">
        <v>29916</v>
      </c>
      <c r="K55" s="62">
        <f>I55/J55</f>
        <v>9.206862548469047</v>
      </c>
    </row>
    <row r="56" spans="1:11" s="181" customFormat="1" ht="14.25" customHeight="1">
      <c r="A56" s="180">
        <v>53</v>
      </c>
      <c r="B56" s="363"/>
      <c r="C56" s="370" t="s">
        <v>217</v>
      </c>
      <c r="D56" s="39">
        <v>38863</v>
      </c>
      <c r="E56" s="144" t="s">
        <v>61</v>
      </c>
      <c r="F56" s="144" t="s">
        <v>66</v>
      </c>
      <c r="G56" s="183">
        <v>46</v>
      </c>
      <c r="H56" s="183">
        <v>2</v>
      </c>
      <c r="I56" s="138">
        <v>263376</v>
      </c>
      <c r="J56" s="116">
        <v>29160</v>
      </c>
      <c r="K56" s="341">
        <f>+I56/J56</f>
        <v>9.0320987654321</v>
      </c>
    </row>
    <row r="57" spans="1:11" s="186" customFormat="1" ht="14.25" customHeight="1">
      <c r="A57" s="180">
        <v>54</v>
      </c>
      <c r="B57" s="362"/>
      <c r="C57" s="372" t="s">
        <v>177</v>
      </c>
      <c r="D57" s="27">
        <v>38737</v>
      </c>
      <c r="E57" s="196" t="s">
        <v>61</v>
      </c>
      <c r="F57" s="52" t="s">
        <v>178</v>
      </c>
      <c r="G57" s="51">
        <v>28</v>
      </c>
      <c r="H57" s="51">
        <v>12</v>
      </c>
      <c r="I57" s="191">
        <v>246387</v>
      </c>
      <c r="J57" s="192">
        <v>30377</v>
      </c>
      <c r="K57" s="62">
        <f>IF(I57&lt;&gt;0,I57/J57,"")</f>
        <v>8.110972117062252</v>
      </c>
    </row>
    <row r="58" spans="1:11" s="186" customFormat="1" ht="14.25" customHeight="1">
      <c r="A58" s="180">
        <v>55</v>
      </c>
      <c r="B58" s="362"/>
      <c r="C58" s="372" t="s">
        <v>51</v>
      </c>
      <c r="D58" s="27">
        <v>38793</v>
      </c>
      <c r="E58" s="141" t="s">
        <v>43</v>
      </c>
      <c r="F58" s="141" t="s">
        <v>70</v>
      </c>
      <c r="G58" s="51">
        <v>71</v>
      </c>
      <c r="H58" s="51">
        <v>12</v>
      </c>
      <c r="I58" s="137">
        <f>139188.5+65126.5+15320+6439+3617+3772+4116+209.5+299+80+130+145</f>
        <v>238442.5</v>
      </c>
      <c r="J58" s="116">
        <f>20151+10232+2945+1343+1021+739+717+69+58+16+26+29</f>
        <v>37346</v>
      </c>
      <c r="K58" s="341">
        <f>IF(I58&lt;&gt;0,I58/J58,"")</f>
        <v>6.384686445670219</v>
      </c>
    </row>
    <row r="59" spans="1:11" s="186" customFormat="1" ht="14.25" customHeight="1">
      <c r="A59" s="180">
        <v>56</v>
      </c>
      <c r="B59" s="362"/>
      <c r="C59" s="372" t="s">
        <v>101</v>
      </c>
      <c r="D59" s="27">
        <v>38835</v>
      </c>
      <c r="E59" s="193" t="s">
        <v>60</v>
      </c>
      <c r="F59" s="141" t="s">
        <v>115</v>
      </c>
      <c r="G59" s="51">
        <v>40</v>
      </c>
      <c r="H59" s="51">
        <v>6</v>
      </c>
      <c r="I59" s="134">
        <f>140527+60007+17227+3041.5+24+5449.5+8065.5</f>
        <v>234341.5</v>
      </c>
      <c r="J59" s="151">
        <f>16242+7267+2760+627+1138+1358</f>
        <v>29392</v>
      </c>
      <c r="K59" s="342">
        <f>+I59/J59</f>
        <v>7.972968835057158</v>
      </c>
    </row>
    <row r="60" spans="1:11" s="186" customFormat="1" ht="14.25" customHeight="1">
      <c r="A60" s="180">
        <v>57</v>
      </c>
      <c r="B60" s="362"/>
      <c r="C60" s="370" t="s">
        <v>125</v>
      </c>
      <c r="D60" s="39">
        <v>38849</v>
      </c>
      <c r="E60" s="144" t="s">
        <v>36</v>
      </c>
      <c r="F60" s="144" t="s">
        <v>76</v>
      </c>
      <c r="G60" s="183">
        <v>21</v>
      </c>
      <c r="H60" s="183">
        <v>4</v>
      </c>
      <c r="I60" s="138">
        <v>198765.29</v>
      </c>
      <c r="J60" s="116">
        <v>23542</v>
      </c>
      <c r="K60" s="341">
        <f>IF(I60&lt;&gt;0,I60/J60,"")</f>
        <v>8.443007815818538</v>
      </c>
    </row>
    <row r="61" spans="1:11" s="186" customFormat="1" ht="14.25" customHeight="1">
      <c r="A61" s="180">
        <v>58</v>
      </c>
      <c r="B61" s="362"/>
      <c r="C61" s="380" t="s">
        <v>179</v>
      </c>
      <c r="D61" s="187">
        <v>38786</v>
      </c>
      <c r="E61" s="188" t="s">
        <v>63</v>
      </c>
      <c r="F61" s="188" t="s">
        <v>70</v>
      </c>
      <c r="G61" s="183">
        <v>30</v>
      </c>
      <c r="H61" s="183">
        <v>10</v>
      </c>
      <c r="I61" s="189">
        <f>94630+42901+16809.5+16862+11072+2518+4525+910+841+1579.5</f>
        <v>192648</v>
      </c>
      <c r="J61" s="94">
        <f>12856+5706+2789+3336+2239+567+1047+161+186+380</f>
        <v>29267</v>
      </c>
      <c r="K61" s="63">
        <f>+I61/J61</f>
        <v>6.582430724023644</v>
      </c>
    </row>
    <row r="62" spans="1:11" s="186" customFormat="1" ht="14.25" customHeight="1">
      <c r="A62" s="180">
        <v>59</v>
      </c>
      <c r="B62" s="362"/>
      <c r="C62" s="372" t="s">
        <v>130</v>
      </c>
      <c r="D62" s="27">
        <v>38807</v>
      </c>
      <c r="E62" s="140" t="s">
        <v>63</v>
      </c>
      <c r="F62" s="141" t="s">
        <v>64</v>
      </c>
      <c r="G62" s="51">
        <v>20</v>
      </c>
      <c r="H62" s="51">
        <v>8</v>
      </c>
      <c r="I62" s="136">
        <v>190448.5</v>
      </c>
      <c r="J62" s="152">
        <v>26188</v>
      </c>
      <c r="K62" s="62">
        <f>+I62/J62</f>
        <v>7.272357568351917</v>
      </c>
    </row>
    <row r="63" spans="1:11" s="186" customFormat="1" ht="14.25" customHeight="1">
      <c r="A63" s="180">
        <v>60</v>
      </c>
      <c r="B63" s="362"/>
      <c r="C63" s="372" t="s">
        <v>180</v>
      </c>
      <c r="D63" s="27">
        <v>38758</v>
      </c>
      <c r="E63" s="196" t="s">
        <v>61</v>
      </c>
      <c r="F63" s="52" t="s">
        <v>72</v>
      </c>
      <c r="G63" s="51">
        <v>46</v>
      </c>
      <c r="H63" s="51">
        <v>12</v>
      </c>
      <c r="I63" s="189">
        <v>181942</v>
      </c>
      <c r="J63" s="192">
        <v>24046</v>
      </c>
      <c r="K63" s="62">
        <f>IF(I63&lt;&gt;0,I63/J63,"")</f>
        <v>7.566414372452799</v>
      </c>
    </row>
    <row r="64" spans="1:11" s="186" customFormat="1" ht="14.25" customHeight="1">
      <c r="A64" s="180">
        <v>61</v>
      </c>
      <c r="B64" s="362"/>
      <c r="C64" s="372" t="s">
        <v>111</v>
      </c>
      <c r="D64" s="27">
        <v>38849</v>
      </c>
      <c r="E64" s="193" t="s">
        <v>60</v>
      </c>
      <c r="F64" s="141" t="s">
        <v>112</v>
      </c>
      <c r="G64" s="51">
        <v>14</v>
      </c>
      <c r="H64" s="51">
        <v>4</v>
      </c>
      <c r="I64" s="134">
        <f>93564+52250+16170+13446.5</f>
        <v>175430.5</v>
      </c>
      <c r="J64" s="151">
        <f>10662+5936+2085+2265</f>
        <v>20948</v>
      </c>
      <c r="K64" s="342">
        <f>+I64/J64</f>
        <v>8.374570364712621</v>
      </c>
    </row>
    <row r="65" spans="1:11" s="186" customFormat="1" ht="14.25" customHeight="1">
      <c r="A65" s="180">
        <v>62</v>
      </c>
      <c r="B65" s="362"/>
      <c r="C65" s="372" t="s">
        <v>49</v>
      </c>
      <c r="D65" s="27">
        <v>38800</v>
      </c>
      <c r="E65" s="193" t="s">
        <v>60</v>
      </c>
      <c r="F65" s="141" t="s">
        <v>67</v>
      </c>
      <c r="G65" s="51">
        <v>16</v>
      </c>
      <c r="H65" s="51">
        <v>10</v>
      </c>
      <c r="I65" s="134">
        <f>82365.5+56251.5+17508+5415.5+3304+3006+1642+540+283+1164+77</f>
        <v>171556.5</v>
      </c>
      <c r="J65" s="66">
        <f>8878+5706+2045+866+701+556+302+135+56+222+11</f>
        <v>19478</v>
      </c>
      <c r="K65" s="63">
        <f>+I65/J65</f>
        <v>8.807706129992813</v>
      </c>
    </row>
    <row r="66" spans="1:11" s="186" customFormat="1" ht="14.25" customHeight="1">
      <c r="A66" s="180">
        <v>63</v>
      </c>
      <c r="B66" s="362"/>
      <c r="C66" s="370" t="s">
        <v>41</v>
      </c>
      <c r="D66" s="39">
        <v>38793</v>
      </c>
      <c r="E66" s="144" t="s">
        <v>35</v>
      </c>
      <c r="F66" s="144" t="s">
        <v>71</v>
      </c>
      <c r="G66" s="183">
        <v>33</v>
      </c>
      <c r="H66" s="183">
        <v>12</v>
      </c>
      <c r="I66" s="139">
        <v>159300</v>
      </c>
      <c r="J66" s="153">
        <v>32072.333333333336</v>
      </c>
      <c r="K66" s="341">
        <f>+I66/J66</f>
        <v>4.966897741563341</v>
      </c>
    </row>
    <row r="67" spans="1:11" s="186" customFormat="1" ht="14.25" customHeight="1">
      <c r="A67" s="180">
        <v>64</v>
      </c>
      <c r="B67" s="362"/>
      <c r="C67" s="370" t="s">
        <v>96</v>
      </c>
      <c r="D67" s="39">
        <v>38828</v>
      </c>
      <c r="E67" s="144" t="s">
        <v>57</v>
      </c>
      <c r="F67" s="144" t="s">
        <v>72</v>
      </c>
      <c r="G67" s="57">
        <v>45</v>
      </c>
      <c r="H67" s="57">
        <v>7</v>
      </c>
      <c r="I67" s="138">
        <v>145602</v>
      </c>
      <c r="J67" s="116">
        <v>20556</v>
      </c>
      <c r="K67" s="341">
        <f>+I67/J67</f>
        <v>7.083187390542907</v>
      </c>
    </row>
    <row r="68" spans="1:11" s="186" customFormat="1" ht="14.25" customHeight="1">
      <c r="A68" s="180">
        <v>65</v>
      </c>
      <c r="B68" s="362"/>
      <c r="C68" s="370" t="s">
        <v>224</v>
      </c>
      <c r="D68" s="39">
        <v>38870</v>
      </c>
      <c r="E68" s="144" t="s">
        <v>61</v>
      </c>
      <c r="F68" s="144" t="s">
        <v>66</v>
      </c>
      <c r="G68" s="183">
        <v>82</v>
      </c>
      <c r="H68" s="183">
        <v>1</v>
      </c>
      <c r="I68" s="138">
        <v>135960</v>
      </c>
      <c r="J68" s="116">
        <v>17607</v>
      </c>
      <c r="K68" s="341">
        <f>+I68/J68</f>
        <v>7.721928778326802</v>
      </c>
    </row>
    <row r="69" spans="1:11" s="186" customFormat="1" ht="14.25" customHeight="1">
      <c r="A69" s="180">
        <v>66</v>
      </c>
      <c r="B69" s="362"/>
      <c r="C69" s="380" t="s">
        <v>181</v>
      </c>
      <c r="D69" s="187">
        <v>38765</v>
      </c>
      <c r="E69" s="188" t="s">
        <v>63</v>
      </c>
      <c r="F69" s="188" t="s">
        <v>182</v>
      </c>
      <c r="G69" s="183">
        <v>30</v>
      </c>
      <c r="H69" s="183">
        <v>12</v>
      </c>
      <c r="I69" s="189">
        <f>62768+32353+12961+8129+4050.5+1984.5+2460+376+907+1161.5+935+185</f>
        <v>128270.5</v>
      </c>
      <c r="J69" s="94">
        <f>8337+4470+2425+1438+815+505+607+85+187+317+218+44</f>
        <v>19448</v>
      </c>
      <c r="K69" s="63">
        <f>+I69/J69</f>
        <v>6.5955625257095845</v>
      </c>
    </row>
    <row r="70" spans="1:11" s="186" customFormat="1" ht="14.25" customHeight="1">
      <c r="A70" s="180">
        <v>67</v>
      </c>
      <c r="B70" s="362"/>
      <c r="C70" s="381" t="s">
        <v>183</v>
      </c>
      <c r="D70" s="27">
        <v>38765</v>
      </c>
      <c r="E70" s="199" t="s">
        <v>61</v>
      </c>
      <c r="F70" s="199" t="s">
        <v>57</v>
      </c>
      <c r="G70" s="200">
        <v>20</v>
      </c>
      <c r="H70" s="200">
        <v>7</v>
      </c>
      <c r="I70" s="194">
        <v>125109</v>
      </c>
      <c r="J70" s="66">
        <v>13297</v>
      </c>
      <c r="K70" s="62">
        <f>I70/J70</f>
        <v>9.408814018199594</v>
      </c>
    </row>
    <row r="71" spans="1:11" s="186" customFormat="1" ht="14.25" customHeight="1">
      <c r="A71" s="180">
        <v>68</v>
      </c>
      <c r="B71" s="362"/>
      <c r="C71" s="372" t="s">
        <v>227</v>
      </c>
      <c r="D71" s="27">
        <v>38870</v>
      </c>
      <c r="E71" s="193" t="s">
        <v>60</v>
      </c>
      <c r="F71" s="141" t="s">
        <v>115</v>
      </c>
      <c r="G71" s="51">
        <v>40</v>
      </c>
      <c r="H71" s="51">
        <v>1</v>
      </c>
      <c r="I71" s="134">
        <v>123140</v>
      </c>
      <c r="J71" s="151">
        <v>14489</v>
      </c>
      <c r="K71" s="342">
        <f>+I71/J71</f>
        <v>8.498861205052108</v>
      </c>
    </row>
    <row r="72" spans="1:11" s="186" customFormat="1" ht="14.25" customHeight="1">
      <c r="A72" s="180">
        <v>69</v>
      </c>
      <c r="B72" s="362"/>
      <c r="C72" s="378" t="s">
        <v>184</v>
      </c>
      <c r="D72" s="39">
        <v>38716</v>
      </c>
      <c r="E72" s="269" t="s">
        <v>131</v>
      </c>
      <c r="F72" s="143" t="s">
        <v>185</v>
      </c>
      <c r="G72" s="127" t="s">
        <v>250</v>
      </c>
      <c r="H72" s="128">
        <v>21</v>
      </c>
      <c r="I72" s="138">
        <f>41335+22428+10569.5+2994.5+6995.5+477+1541+1030+1308+1168.5+974+1343+1399+1115+913+1257+1859.5+2654.5+10471+2543+294</f>
        <v>114670</v>
      </c>
      <c r="J72" s="116">
        <f>5101+2761+1545+448+1608+159+304+206+436+246+162+276+329+246+181+254+303+684+2148+666+66</f>
        <v>18129</v>
      </c>
      <c r="K72" s="341">
        <f>IF(I72&lt;&gt;0,I72/J72,"")</f>
        <v>6.325224777980032</v>
      </c>
    </row>
    <row r="73" spans="1:11" s="186" customFormat="1" ht="14.25" customHeight="1">
      <c r="A73" s="180">
        <v>70</v>
      </c>
      <c r="B73" s="362"/>
      <c r="C73" s="372" t="s">
        <v>26</v>
      </c>
      <c r="D73" s="27">
        <v>38758</v>
      </c>
      <c r="E73" s="140" t="s">
        <v>63</v>
      </c>
      <c r="F73" s="141" t="s">
        <v>64</v>
      </c>
      <c r="G73" s="51">
        <v>10</v>
      </c>
      <c r="H73" s="51">
        <v>13</v>
      </c>
      <c r="I73" s="136">
        <v>113548.5</v>
      </c>
      <c r="J73" s="152">
        <v>15724</v>
      </c>
      <c r="K73" s="62">
        <f>+I73/J73</f>
        <v>7.221349529381837</v>
      </c>
    </row>
    <row r="74" spans="1:11" s="186" customFormat="1" ht="14.25" customHeight="1">
      <c r="A74" s="180">
        <v>71</v>
      </c>
      <c r="B74" s="362"/>
      <c r="C74" s="370" t="s">
        <v>102</v>
      </c>
      <c r="D74" s="39">
        <v>38835</v>
      </c>
      <c r="E74" s="144" t="s">
        <v>63</v>
      </c>
      <c r="F74" s="144" t="s">
        <v>64</v>
      </c>
      <c r="G74" s="183">
        <v>15</v>
      </c>
      <c r="H74" s="183">
        <v>6</v>
      </c>
      <c r="I74" s="138">
        <f>60845.5+35645.5+5851+2968.5+2340.5+3653.5</f>
        <v>111304.5</v>
      </c>
      <c r="J74" s="116">
        <f>6762+4054+1018+542+466+689</f>
        <v>13531</v>
      </c>
      <c r="K74" s="341">
        <f>IF(I74&lt;&gt;0,I74/J74,"")</f>
        <v>8.225888700022171</v>
      </c>
    </row>
    <row r="75" spans="1:11" s="186" customFormat="1" ht="14.25" customHeight="1">
      <c r="A75" s="180">
        <v>72</v>
      </c>
      <c r="B75" s="362"/>
      <c r="C75" s="382" t="s">
        <v>129</v>
      </c>
      <c r="D75" s="119">
        <v>38793</v>
      </c>
      <c r="E75" s="145" t="s">
        <v>98</v>
      </c>
      <c r="F75" s="145" t="s">
        <v>103</v>
      </c>
      <c r="G75" s="113">
        <v>4</v>
      </c>
      <c r="H75" s="113">
        <v>10</v>
      </c>
      <c r="I75" s="139">
        <v>103297</v>
      </c>
      <c r="J75" s="153">
        <v>12362</v>
      </c>
      <c r="K75" s="63">
        <f>+I75/J75</f>
        <v>8.3560103543116</v>
      </c>
    </row>
    <row r="76" spans="1:11" s="181" customFormat="1" ht="14.25" customHeight="1">
      <c r="A76" s="180">
        <v>73</v>
      </c>
      <c r="B76" s="362"/>
      <c r="C76" s="383" t="s">
        <v>186</v>
      </c>
      <c r="D76" s="39">
        <v>38779</v>
      </c>
      <c r="E76" s="141" t="s">
        <v>98</v>
      </c>
      <c r="F76" s="141" t="s">
        <v>187</v>
      </c>
      <c r="G76" s="111">
        <v>10</v>
      </c>
      <c r="H76" s="51">
        <v>10</v>
      </c>
      <c r="I76" s="277">
        <v>94942</v>
      </c>
      <c r="J76" s="284">
        <v>11838</v>
      </c>
      <c r="K76" s="62">
        <f>IF(I76&lt;&gt;0,I76/J76,"")</f>
        <v>8.02010474742355</v>
      </c>
    </row>
    <row r="77" spans="1:11" s="181" customFormat="1" ht="14.25" customHeight="1">
      <c r="A77" s="180">
        <v>74</v>
      </c>
      <c r="B77" s="362"/>
      <c r="C77" s="378" t="s">
        <v>147</v>
      </c>
      <c r="D77" s="39">
        <v>38814</v>
      </c>
      <c r="E77" s="269" t="s">
        <v>131</v>
      </c>
      <c r="F77" s="143" t="s">
        <v>148</v>
      </c>
      <c r="G77" s="127" t="s">
        <v>232</v>
      </c>
      <c r="H77" s="128">
        <v>9</v>
      </c>
      <c r="I77" s="138">
        <f>43111+13278+6067.5+7325+7474+6516.5+154+328+3068</f>
        <v>87322</v>
      </c>
      <c r="J77" s="116">
        <f>4620+1821+1003+1445+1813+1225+30+68+737</f>
        <v>12762</v>
      </c>
      <c r="K77" s="341">
        <f>IF(I77&lt;&gt;0,I77/J77,"")</f>
        <v>6.842344460115969</v>
      </c>
    </row>
    <row r="78" spans="1:11" s="181" customFormat="1" ht="14.25" customHeight="1">
      <c r="A78" s="180">
        <v>75</v>
      </c>
      <c r="B78" s="362"/>
      <c r="C78" s="372" t="s">
        <v>188</v>
      </c>
      <c r="D78" s="27">
        <v>38779</v>
      </c>
      <c r="E78" s="52" t="s">
        <v>189</v>
      </c>
      <c r="F78" s="202" t="s">
        <v>190</v>
      </c>
      <c r="G78" s="51">
        <v>8</v>
      </c>
      <c r="H78" s="51">
        <v>9</v>
      </c>
      <c r="I78" s="203">
        <v>82351.4</v>
      </c>
      <c r="J78" s="65">
        <v>9780</v>
      </c>
      <c r="K78" s="63">
        <f>+I78/J78</f>
        <v>8.42038854805726</v>
      </c>
    </row>
    <row r="79" spans="1:11" s="181" customFormat="1" ht="14.25" customHeight="1">
      <c r="A79" s="180">
        <v>76</v>
      </c>
      <c r="B79" s="362"/>
      <c r="C79" s="378" t="s">
        <v>135</v>
      </c>
      <c r="D79" s="39">
        <v>38744</v>
      </c>
      <c r="E79" s="269" t="s">
        <v>131</v>
      </c>
      <c r="F79" s="143" t="s">
        <v>136</v>
      </c>
      <c r="G79" s="127" t="s">
        <v>152</v>
      </c>
      <c r="H79" s="128">
        <v>16</v>
      </c>
      <c r="I79" s="138">
        <f>23060.5+7183+3670+700+2376+2273+1430+3390+1771.5+3246+11360+7257.5+2859+2510+4107+155</f>
        <v>77348.5</v>
      </c>
      <c r="J79" s="116">
        <f>2772+1034+467+35+792+451+260+597+327+776+1582+1115+514+499+716+31</f>
        <v>11968</v>
      </c>
      <c r="K79" s="341">
        <f>IF(I79&lt;&gt;0,I79/J79,"")</f>
        <v>6.462942847593583</v>
      </c>
    </row>
    <row r="80" spans="1:11" s="181" customFormat="1" ht="14.25" customHeight="1">
      <c r="A80" s="180">
        <v>77</v>
      </c>
      <c r="B80" s="362"/>
      <c r="C80" s="372" t="s">
        <v>104</v>
      </c>
      <c r="D80" s="27">
        <v>38842</v>
      </c>
      <c r="E80" s="193" t="s">
        <v>60</v>
      </c>
      <c r="F80" s="141" t="s">
        <v>80</v>
      </c>
      <c r="G80" s="51">
        <v>14</v>
      </c>
      <c r="H80" s="51">
        <v>5</v>
      </c>
      <c r="I80" s="134">
        <f>41489.5+21950+1583.5+1943+4071</f>
        <v>71037</v>
      </c>
      <c r="J80" s="151">
        <f>4497+2417+200+294+1148</f>
        <v>8556</v>
      </c>
      <c r="K80" s="342">
        <f>+I80/J80</f>
        <v>8.302594670406732</v>
      </c>
    </row>
    <row r="81" spans="1:11" s="181" customFormat="1" ht="14.25" customHeight="1">
      <c r="A81" s="180">
        <v>78</v>
      </c>
      <c r="B81" s="362"/>
      <c r="C81" s="370" t="s">
        <v>105</v>
      </c>
      <c r="D81" s="39">
        <v>38842</v>
      </c>
      <c r="E81" s="144" t="s">
        <v>63</v>
      </c>
      <c r="F81" s="144" t="s">
        <v>106</v>
      </c>
      <c r="G81" s="183">
        <v>40</v>
      </c>
      <c r="H81" s="183">
        <v>5</v>
      </c>
      <c r="I81" s="138">
        <f>38973.5+16801.5+3724.5+1143.5+878.5</f>
        <v>61521.5</v>
      </c>
      <c r="J81" s="116">
        <f>6538+2897+696+259+197</f>
        <v>10587</v>
      </c>
      <c r="K81" s="341">
        <f>IF(I81&lt;&gt;0,I81/J81,"")</f>
        <v>5.811041843770663</v>
      </c>
    </row>
    <row r="82" spans="1:11" s="181" customFormat="1" ht="14.25" customHeight="1">
      <c r="A82" s="180">
        <v>79</v>
      </c>
      <c r="B82" s="362"/>
      <c r="C82" s="378" t="s">
        <v>139</v>
      </c>
      <c r="D82" s="39">
        <v>38723</v>
      </c>
      <c r="E82" s="269" t="s">
        <v>131</v>
      </c>
      <c r="F82" s="143" t="s">
        <v>140</v>
      </c>
      <c r="G82" s="127" t="s">
        <v>153</v>
      </c>
      <c r="H82" s="128">
        <v>15</v>
      </c>
      <c r="I82" s="138">
        <f>22570+12751+6691+4543+3462+1141+1389+1484.5+48+38+1782+1068+714+1188+2340</f>
        <v>61209.5</v>
      </c>
      <c r="J82" s="116">
        <f>2787+1607+844+585+460+145+463+399+9+7+594+356+238+396+780</f>
        <v>9670</v>
      </c>
      <c r="K82" s="341">
        <f>IF(I82&lt;&gt;0,I82/J82,"")</f>
        <v>6.329834539813858</v>
      </c>
    </row>
    <row r="83" spans="1:11" s="181" customFormat="1" ht="14.25" customHeight="1">
      <c r="A83" s="180">
        <v>80</v>
      </c>
      <c r="B83" s="362"/>
      <c r="C83" s="378" t="s">
        <v>143</v>
      </c>
      <c r="D83" s="39">
        <v>38758</v>
      </c>
      <c r="E83" s="269" t="s">
        <v>131</v>
      </c>
      <c r="F83" s="143" t="s">
        <v>144</v>
      </c>
      <c r="G83" s="127" t="s">
        <v>151</v>
      </c>
      <c r="H83" s="128">
        <v>16</v>
      </c>
      <c r="I83" s="138">
        <f>12456+7990+4147+1031+2942.5+1687.5+5526.5+3841.5+1352.5+925+2425+2735+1963+2610.5+374+1948</f>
        <v>53955</v>
      </c>
      <c r="J83" s="116">
        <f>1552+1090+669+166+430+252+1516+804+308+163+443+768+612+467+81+595</f>
        <v>9916</v>
      </c>
      <c r="K83" s="341">
        <f>IF(I83&lt;&gt;0,I83/J83,"")</f>
        <v>5.441206131504639</v>
      </c>
    </row>
    <row r="84" spans="1:11" s="181" customFormat="1" ht="14.25" customHeight="1">
      <c r="A84" s="180">
        <v>81</v>
      </c>
      <c r="B84" s="362"/>
      <c r="C84" s="378" t="s">
        <v>137</v>
      </c>
      <c r="D84" s="39">
        <v>38779</v>
      </c>
      <c r="E84" s="269" t="s">
        <v>131</v>
      </c>
      <c r="F84" s="143" t="s">
        <v>138</v>
      </c>
      <c r="G84" s="127" t="s">
        <v>234</v>
      </c>
      <c r="H84" s="128">
        <v>14</v>
      </c>
      <c r="I84" s="138">
        <f>19635+7029.5+1939.5+1932.5+1425+2285+846+5995.5+272.5+3026+831+1782+1425+2693.5</f>
        <v>51118</v>
      </c>
      <c r="J84" s="116">
        <f>2548+994+309+438+475+587+190+1491+27+979+277+594+475+870</f>
        <v>10254</v>
      </c>
      <c r="K84" s="341">
        <f>IF(I84&lt;&gt;0,I84/J84,"")</f>
        <v>4.985176516481373</v>
      </c>
    </row>
    <row r="85" spans="1:11" s="181" customFormat="1" ht="14.25" customHeight="1">
      <c r="A85" s="180">
        <v>82</v>
      </c>
      <c r="B85" s="362"/>
      <c r="C85" s="370" t="s">
        <v>191</v>
      </c>
      <c r="D85" s="39">
        <v>38786</v>
      </c>
      <c r="E85" s="58" t="s">
        <v>73</v>
      </c>
      <c r="F85" s="58" t="s">
        <v>134</v>
      </c>
      <c r="G85" s="183">
        <v>4</v>
      </c>
      <c r="H85" s="183">
        <v>10</v>
      </c>
      <c r="I85" s="189">
        <v>50710.15</v>
      </c>
      <c r="J85" s="61">
        <v>6453.333333333333</v>
      </c>
      <c r="K85" s="63">
        <f>+I85/J85</f>
        <v>7.857977789256199</v>
      </c>
    </row>
    <row r="86" spans="1:11" s="181" customFormat="1" ht="14.25" customHeight="1">
      <c r="A86" s="180">
        <v>83</v>
      </c>
      <c r="B86" s="362"/>
      <c r="C86" s="372" t="s">
        <v>116</v>
      </c>
      <c r="D86" s="27">
        <v>38828</v>
      </c>
      <c r="E86" s="141" t="s">
        <v>73</v>
      </c>
      <c r="F86" s="141" t="s">
        <v>97</v>
      </c>
      <c r="G86" s="51">
        <v>5</v>
      </c>
      <c r="H86" s="51">
        <v>5</v>
      </c>
      <c r="I86" s="136">
        <v>46159</v>
      </c>
      <c r="J86" s="152">
        <v>6344</v>
      </c>
      <c r="K86" s="62">
        <f>+I86/J86</f>
        <v>7.276008827238336</v>
      </c>
    </row>
    <row r="87" spans="1:11" s="181" customFormat="1" ht="14.25" customHeight="1">
      <c r="A87" s="180">
        <v>84</v>
      </c>
      <c r="B87" s="362"/>
      <c r="C87" s="372" t="s">
        <v>216</v>
      </c>
      <c r="D87" s="27">
        <v>38863</v>
      </c>
      <c r="E87" s="193" t="s">
        <v>60</v>
      </c>
      <c r="F87" s="141" t="s">
        <v>80</v>
      </c>
      <c r="G87" s="51">
        <v>17</v>
      </c>
      <c r="H87" s="51">
        <v>2</v>
      </c>
      <c r="I87" s="134">
        <f>28731.5+16998</f>
        <v>45729.5</v>
      </c>
      <c r="J87" s="151">
        <f>3778+2334</f>
        <v>6112</v>
      </c>
      <c r="K87" s="342">
        <f>+I87/J87</f>
        <v>7.481920811518324</v>
      </c>
    </row>
    <row r="88" spans="1:11" s="181" customFormat="1" ht="14.25" customHeight="1">
      <c r="A88" s="180">
        <v>85</v>
      </c>
      <c r="B88" s="362"/>
      <c r="C88" s="382" t="s">
        <v>117</v>
      </c>
      <c r="D88" s="39">
        <v>38835</v>
      </c>
      <c r="E88" s="145" t="s">
        <v>98</v>
      </c>
      <c r="F88" s="145" t="s">
        <v>103</v>
      </c>
      <c r="G88" s="335" t="s">
        <v>247</v>
      </c>
      <c r="H88" s="335">
        <v>6</v>
      </c>
      <c r="I88" s="139">
        <v>40827</v>
      </c>
      <c r="J88" s="153">
        <v>5276</v>
      </c>
      <c r="K88" s="341">
        <f>IF(I88&lt;&gt;0,I88/J88,"")</f>
        <v>7.738248673237301</v>
      </c>
    </row>
    <row r="89" spans="1:11" s="181" customFormat="1" ht="14.25" customHeight="1">
      <c r="A89" s="180">
        <v>86</v>
      </c>
      <c r="B89" s="362"/>
      <c r="C89" s="378" t="s">
        <v>133</v>
      </c>
      <c r="D89" s="39">
        <v>38849</v>
      </c>
      <c r="E89" s="269" t="s">
        <v>131</v>
      </c>
      <c r="F89" s="143" t="s">
        <v>134</v>
      </c>
      <c r="G89" s="127" t="s">
        <v>151</v>
      </c>
      <c r="H89" s="128">
        <v>4</v>
      </c>
      <c r="I89" s="138">
        <f>12183.25+8569+5406+1833+4570</f>
        <v>32561.25</v>
      </c>
      <c r="J89" s="116">
        <f>1678+1149+734+247+1506</f>
        <v>5314</v>
      </c>
      <c r="K89" s="341">
        <f>IF(I89&lt;&gt;0,I89/J89,"")</f>
        <v>6.127446368084305</v>
      </c>
    </row>
    <row r="90" spans="1:11" s="181" customFormat="1" ht="14.25" customHeight="1">
      <c r="A90" s="180">
        <v>87</v>
      </c>
      <c r="B90" s="362"/>
      <c r="C90" s="372" t="s">
        <v>114</v>
      </c>
      <c r="D90" s="27">
        <v>38849</v>
      </c>
      <c r="E90" s="193" t="s">
        <v>60</v>
      </c>
      <c r="F90" s="141" t="s">
        <v>73</v>
      </c>
      <c r="G90" s="51">
        <v>20</v>
      </c>
      <c r="H90" s="51">
        <v>4</v>
      </c>
      <c r="I90" s="134">
        <f>28036+3671+205.5+163</f>
        <v>32075.5</v>
      </c>
      <c r="J90" s="151">
        <f>3110+476+42+29</f>
        <v>3657</v>
      </c>
      <c r="K90" s="342">
        <f>+I90/J90</f>
        <v>8.770987147935466</v>
      </c>
    </row>
    <row r="91" spans="1:11" s="181" customFormat="1" ht="14.25" customHeight="1">
      <c r="A91" s="180">
        <v>88</v>
      </c>
      <c r="B91" s="362"/>
      <c r="C91" s="372" t="s">
        <v>192</v>
      </c>
      <c r="D91" s="27">
        <v>38793</v>
      </c>
      <c r="E91" s="52" t="s">
        <v>43</v>
      </c>
      <c r="F91" s="52" t="s">
        <v>193</v>
      </c>
      <c r="G91" s="51">
        <v>2</v>
      </c>
      <c r="H91" s="51">
        <v>7</v>
      </c>
      <c r="I91" s="198">
        <f>21147.5+3690+1708+783+1453+1727.5+1306.5</f>
        <v>31815.5</v>
      </c>
      <c r="J91" s="61">
        <f>2248+452+253+99+248+260+197</f>
        <v>3757</v>
      </c>
      <c r="K91" s="62">
        <f>+I91/J91</f>
        <v>8.468325791855204</v>
      </c>
    </row>
    <row r="92" spans="1:11" s="181" customFormat="1" ht="14.25" customHeight="1">
      <c r="A92" s="180">
        <v>89</v>
      </c>
      <c r="B92" s="362"/>
      <c r="C92" s="378" t="s">
        <v>132</v>
      </c>
      <c r="D92" s="39">
        <v>38856</v>
      </c>
      <c r="E92" s="269" t="s">
        <v>131</v>
      </c>
      <c r="F92" s="143" t="s">
        <v>103</v>
      </c>
      <c r="G92" s="127" t="s">
        <v>234</v>
      </c>
      <c r="H92" s="128">
        <v>3</v>
      </c>
      <c r="I92" s="138">
        <f>21534.5+7198.5+1602</f>
        <v>30335</v>
      </c>
      <c r="J92" s="116">
        <f>3022+1231+222</f>
        <v>4475</v>
      </c>
      <c r="K92" s="341">
        <f>IF(I92&lt;&gt;0,I92/J92,"")</f>
        <v>6.778770949720671</v>
      </c>
    </row>
    <row r="93" spans="1:11" s="181" customFormat="1" ht="14.25" customHeight="1">
      <c r="A93" s="180">
        <v>90</v>
      </c>
      <c r="B93" s="362"/>
      <c r="C93" s="378" t="s">
        <v>231</v>
      </c>
      <c r="D93" s="39">
        <v>38870</v>
      </c>
      <c r="E93" s="269" t="s">
        <v>131</v>
      </c>
      <c r="F93" s="143" t="s">
        <v>148</v>
      </c>
      <c r="G93" s="127" t="s">
        <v>155</v>
      </c>
      <c r="H93" s="128">
        <v>1</v>
      </c>
      <c r="I93" s="138">
        <f>20882.25+8209.5</f>
        <v>29091.75</v>
      </c>
      <c r="J93" s="116">
        <f>2709+885</f>
        <v>3594</v>
      </c>
      <c r="K93" s="341">
        <f>IF(I93&lt;&gt;0,I93/J93,"")</f>
        <v>8.094532554257095</v>
      </c>
    </row>
    <row r="94" spans="1:11" s="181" customFormat="1" ht="14.25" customHeight="1">
      <c r="A94" s="180">
        <v>91</v>
      </c>
      <c r="B94" s="362"/>
      <c r="C94" s="378" t="s">
        <v>145</v>
      </c>
      <c r="D94" s="39">
        <v>38828</v>
      </c>
      <c r="E94" s="269" t="s">
        <v>131</v>
      </c>
      <c r="F94" s="143" t="s">
        <v>146</v>
      </c>
      <c r="G94" s="127" t="s">
        <v>154</v>
      </c>
      <c r="H94" s="128">
        <v>6</v>
      </c>
      <c r="I94" s="138">
        <f>8964+4246+2175+6296+364+3248</f>
        <v>25293</v>
      </c>
      <c r="J94" s="116">
        <f>1055+574+361+886+56+580</f>
        <v>3512</v>
      </c>
      <c r="K94" s="341">
        <f>IF(I94&lt;&gt;0,I94/J94,"")</f>
        <v>7.201879271070615</v>
      </c>
    </row>
    <row r="95" spans="1:11" s="181" customFormat="1" ht="14.25" customHeight="1">
      <c r="A95" s="180">
        <v>92</v>
      </c>
      <c r="B95" s="362"/>
      <c r="C95" s="372" t="s">
        <v>194</v>
      </c>
      <c r="D95" s="27">
        <v>38786</v>
      </c>
      <c r="E95" s="52" t="s">
        <v>36</v>
      </c>
      <c r="F95" s="52" t="s">
        <v>195</v>
      </c>
      <c r="G95" s="51">
        <v>7</v>
      </c>
      <c r="H95" s="51">
        <v>9</v>
      </c>
      <c r="I95" s="203">
        <v>25057.5</v>
      </c>
      <c r="J95" s="65">
        <v>4796</v>
      </c>
      <c r="K95" s="63">
        <f>+I95/J95</f>
        <v>5.224666388657214</v>
      </c>
    </row>
    <row r="96" spans="1:11" s="181" customFormat="1" ht="14.25" customHeight="1">
      <c r="A96" s="180">
        <v>93</v>
      </c>
      <c r="B96" s="362"/>
      <c r="C96" s="378" t="s">
        <v>196</v>
      </c>
      <c r="D96" s="39">
        <v>38751</v>
      </c>
      <c r="E96" s="269" t="s">
        <v>131</v>
      </c>
      <c r="F96" s="143" t="s">
        <v>197</v>
      </c>
      <c r="G96" s="183">
        <v>1</v>
      </c>
      <c r="H96" s="128">
        <v>10</v>
      </c>
      <c r="I96" s="138">
        <f>6339+5656+3753+2609+448+675+1816+2430+1068+117</f>
        <v>24911</v>
      </c>
      <c r="J96" s="116">
        <f>796+708+467+329+60+87+264+364+356+20</f>
        <v>3451</v>
      </c>
      <c r="K96" s="63">
        <f>+I96/J96</f>
        <v>7.218487394957983</v>
      </c>
    </row>
    <row r="97" spans="1:11" s="181" customFormat="1" ht="14.25" customHeight="1">
      <c r="A97" s="180">
        <v>94</v>
      </c>
      <c r="B97" s="362"/>
      <c r="C97" s="382" t="s">
        <v>229</v>
      </c>
      <c r="D97" s="39">
        <v>38870</v>
      </c>
      <c r="E97" s="145" t="s">
        <v>98</v>
      </c>
      <c r="F97" s="145" t="s">
        <v>230</v>
      </c>
      <c r="G97" s="335" t="s">
        <v>155</v>
      </c>
      <c r="H97" s="335">
        <v>1</v>
      </c>
      <c r="I97" s="139">
        <v>20208</v>
      </c>
      <c r="J97" s="153">
        <v>2163</v>
      </c>
      <c r="K97" s="341">
        <f>IF(I97&lt;&gt;0,I97/J97,"")</f>
        <v>9.34257975034674</v>
      </c>
    </row>
    <row r="98" spans="1:11" s="181" customFormat="1" ht="14.25" customHeight="1">
      <c r="A98" s="180">
        <v>95</v>
      </c>
      <c r="B98" s="362"/>
      <c r="C98" s="374" t="s">
        <v>198</v>
      </c>
      <c r="D98" s="39">
        <v>38772</v>
      </c>
      <c r="E98" s="52" t="s">
        <v>80</v>
      </c>
      <c r="F98" s="52" t="s">
        <v>199</v>
      </c>
      <c r="G98" s="205">
        <v>1</v>
      </c>
      <c r="H98" s="200">
        <v>6</v>
      </c>
      <c r="I98" s="203">
        <v>14052</v>
      </c>
      <c r="J98" s="65">
        <v>1802</v>
      </c>
      <c r="K98" s="63">
        <f>+I98/J98</f>
        <v>7.798002219755827</v>
      </c>
    </row>
    <row r="99" spans="1:11" s="181" customFormat="1" ht="14.25" customHeight="1">
      <c r="A99" s="180">
        <v>96</v>
      </c>
      <c r="B99" s="362"/>
      <c r="C99" s="370" t="s">
        <v>200</v>
      </c>
      <c r="D99" s="39">
        <v>38786</v>
      </c>
      <c r="E99" s="204" t="s">
        <v>131</v>
      </c>
      <c r="F99" s="58" t="s">
        <v>201</v>
      </c>
      <c r="G99" s="183">
        <v>6</v>
      </c>
      <c r="H99" s="183">
        <v>4</v>
      </c>
      <c r="I99" s="189">
        <f>9397.5+2137+188+1545</f>
        <v>13267.5</v>
      </c>
      <c r="J99" s="61">
        <f>1039+275+26+515</f>
        <v>1855</v>
      </c>
      <c r="K99" s="62">
        <f>+I99/J99</f>
        <v>7.152291105121294</v>
      </c>
    </row>
    <row r="100" spans="1:11" s="181" customFormat="1" ht="14.25" customHeight="1">
      <c r="A100" s="180">
        <v>97</v>
      </c>
      <c r="B100" s="362"/>
      <c r="C100" s="378" t="s">
        <v>149</v>
      </c>
      <c r="D100" s="39">
        <v>38835</v>
      </c>
      <c r="E100" s="269" t="s">
        <v>131</v>
      </c>
      <c r="F100" s="143" t="s">
        <v>150</v>
      </c>
      <c r="G100" s="127" t="s">
        <v>155</v>
      </c>
      <c r="H100" s="128">
        <v>5</v>
      </c>
      <c r="I100" s="138">
        <f>497.5+5960+2567+1138+75+2686</f>
        <v>12923.5</v>
      </c>
      <c r="J100" s="116">
        <f>103+657+317+178+15+682</f>
        <v>1952</v>
      </c>
      <c r="K100" s="341">
        <f>IF(I100&lt;&gt;0,I100/J100,"")</f>
        <v>6.620645491803279</v>
      </c>
    </row>
    <row r="101" spans="1:11" s="181" customFormat="1" ht="14.25" customHeight="1">
      <c r="A101" s="180">
        <v>98</v>
      </c>
      <c r="B101" s="362"/>
      <c r="C101" s="370" t="s">
        <v>202</v>
      </c>
      <c r="D101" s="39">
        <v>38723</v>
      </c>
      <c r="E101" s="204" t="s">
        <v>131</v>
      </c>
      <c r="F101" s="58" t="s">
        <v>203</v>
      </c>
      <c r="G101" s="183">
        <v>5</v>
      </c>
      <c r="H101" s="183">
        <v>8</v>
      </c>
      <c r="I101" s="189">
        <f>7149+2747+756+1338+270+74+91+462</f>
        <v>12887</v>
      </c>
      <c r="J101" s="61">
        <f>932+357+92+247+90+24+25+88</f>
        <v>1855</v>
      </c>
      <c r="K101" s="63">
        <f>+I101/J101</f>
        <v>6.947169811320754</v>
      </c>
    </row>
    <row r="102" spans="1:11" s="186" customFormat="1" ht="14.25" customHeight="1">
      <c r="A102" s="180">
        <v>99</v>
      </c>
      <c r="B102" s="362"/>
      <c r="C102" s="372" t="s">
        <v>204</v>
      </c>
      <c r="D102" s="201">
        <v>38821</v>
      </c>
      <c r="E102" s="144" t="s">
        <v>98</v>
      </c>
      <c r="F102" s="144" t="s">
        <v>205</v>
      </c>
      <c r="G102" s="183">
        <v>5</v>
      </c>
      <c r="H102" s="183">
        <v>5</v>
      </c>
      <c r="I102" s="185">
        <v>6450.5</v>
      </c>
      <c r="J102" s="100">
        <v>1115</v>
      </c>
      <c r="K102" s="62">
        <f>+I102/J102</f>
        <v>5.785201793721973</v>
      </c>
    </row>
    <row r="103" spans="1:11" s="186" customFormat="1" ht="14.25" customHeight="1">
      <c r="A103" s="180">
        <v>100</v>
      </c>
      <c r="B103" s="362"/>
      <c r="C103" s="384" t="s">
        <v>206</v>
      </c>
      <c r="D103" s="27">
        <v>38758</v>
      </c>
      <c r="E103" s="58" t="s">
        <v>80</v>
      </c>
      <c r="F103" s="58" t="s">
        <v>207</v>
      </c>
      <c r="G103" s="183">
        <v>4</v>
      </c>
      <c r="H103" s="183">
        <v>10</v>
      </c>
      <c r="I103" s="194">
        <v>6143</v>
      </c>
      <c r="J103" s="66">
        <v>976</v>
      </c>
      <c r="K103" s="63">
        <f>+I103/J103</f>
        <v>6.29405737704918</v>
      </c>
    </row>
    <row r="104" spans="1:11" s="186" customFormat="1" ht="14.25" customHeight="1">
      <c r="A104" s="180">
        <v>101</v>
      </c>
      <c r="B104" s="362"/>
      <c r="C104" s="383" t="s">
        <v>208</v>
      </c>
      <c r="D104" s="39">
        <v>38807</v>
      </c>
      <c r="E104" s="141" t="s">
        <v>98</v>
      </c>
      <c r="F104" s="141" t="s">
        <v>187</v>
      </c>
      <c r="G104" s="111">
        <v>8</v>
      </c>
      <c r="H104" s="51">
        <v>5</v>
      </c>
      <c r="I104" s="277">
        <v>4628.5</v>
      </c>
      <c r="J104" s="284">
        <v>707</v>
      </c>
      <c r="K104" s="62">
        <f>IF(I104&lt;&gt;0,I104/J104,"")</f>
        <v>6.546676096181047</v>
      </c>
    </row>
    <row r="105" spans="1:11" s="186" customFormat="1" ht="14.25" customHeight="1" thickBot="1">
      <c r="A105" s="180">
        <v>102</v>
      </c>
      <c r="B105" s="385"/>
      <c r="C105" s="386" t="s">
        <v>141</v>
      </c>
      <c r="D105" s="387">
        <v>38849</v>
      </c>
      <c r="E105" s="388" t="s">
        <v>131</v>
      </c>
      <c r="F105" s="389" t="s">
        <v>142</v>
      </c>
      <c r="G105" s="390">
        <v>1</v>
      </c>
      <c r="H105" s="391">
        <v>3</v>
      </c>
      <c r="I105" s="392">
        <f>3427.5+602+330+168</f>
        <v>4527.5</v>
      </c>
      <c r="J105" s="393">
        <f>772+80+66+24</f>
        <v>942</v>
      </c>
      <c r="K105" s="394">
        <f>+I105/J105</f>
        <v>4.806263269639066</v>
      </c>
    </row>
    <row r="106" spans="1:11" s="186" customFormat="1" ht="15">
      <c r="A106" s="206"/>
      <c r="B106" s="395"/>
      <c r="C106" s="396" t="s">
        <v>45</v>
      </c>
      <c r="D106" s="396"/>
      <c r="E106" s="397"/>
      <c r="F106" s="397"/>
      <c r="G106" s="398">
        <f>SUM(G4:G105)</f>
        <v>5124</v>
      </c>
      <c r="H106" s="396"/>
      <c r="I106" s="399">
        <f>SUM(I4:I105)</f>
        <v>112262235.31000002</v>
      </c>
      <c r="J106" s="400">
        <f>SUM(J4:J105)</f>
        <v>16434177.333333336</v>
      </c>
      <c r="K106" s="401">
        <f>I106/J106</f>
        <v>6.831022510770846</v>
      </c>
    </row>
    <row r="107" spans="1:11" s="186" customFormat="1" ht="15.75" thickBot="1">
      <c r="A107" s="206"/>
      <c r="B107" s="207"/>
      <c r="C107" s="36" t="s">
        <v>78</v>
      </c>
      <c r="D107" s="36"/>
      <c r="E107" s="38"/>
      <c r="F107" s="38"/>
      <c r="G107" s="37">
        <v>4725</v>
      </c>
      <c r="H107" s="36"/>
      <c r="I107" s="42">
        <v>86525849.59</v>
      </c>
      <c r="J107" s="208">
        <v>13378568</v>
      </c>
      <c r="K107" s="209">
        <f>I107/J107</f>
        <v>6.467497088627124</v>
      </c>
    </row>
    <row r="108" spans="1:11" s="186" customFormat="1" ht="13.5" thickBot="1">
      <c r="A108" s="210"/>
      <c r="C108" s="211"/>
      <c r="D108" s="212"/>
      <c r="E108" s="212"/>
      <c r="F108" s="212"/>
      <c r="G108" s="212"/>
      <c r="H108" s="212"/>
      <c r="I108" s="213"/>
      <c r="J108" s="214"/>
      <c r="K108" s="215"/>
    </row>
    <row r="109" spans="1:11" s="218" customFormat="1" ht="12.75">
      <c r="A109" s="216"/>
      <c r="B109" s="217"/>
      <c r="C109" s="323" t="s">
        <v>13</v>
      </c>
      <c r="D109" s="323"/>
      <c r="E109" s="295" t="s">
        <v>209</v>
      </c>
      <c r="F109" s="107"/>
      <c r="G109" s="295" t="s">
        <v>210</v>
      </c>
      <c r="H109" s="295"/>
      <c r="I109" s="295" t="s">
        <v>17</v>
      </c>
      <c r="J109" s="295"/>
      <c r="K109" s="317" t="s">
        <v>159</v>
      </c>
    </row>
    <row r="110" spans="1:11" s="218" customFormat="1" ht="26.25" customHeight="1" thickBot="1">
      <c r="A110" s="219"/>
      <c r="B110" s="220"/>
      <c r="C110" s="324"/>
      <c r="D110" s="324"/>
      <c r="E110" s="325"/>
      <c r="F110" s="221"/>
      <c r="G110" s="325"/>
      <c r="H110" s="316"/>
      <c r="I110" s="162" t="s">
        <v>160</v>
      </c>
      <c r="J110" s="222" t="s">
        <v>4</v>
      </c>
      <c r="K110" s="318"/>
    </row>
    <row r="111" spans="1:11" ht="15">
      <c r="A111" s="180">
        <v>1</v>
      </c>
      <c r="B111" s="223"/>
      <c r="C111" s="224" t="s">
        <v>211</v>
      </c>
      <c r="D111" s="225"/>
      <c r="E111" s="225">
        <v>12</v>
      </c>
      <c r="F111" s="225"/>
      <c r="G111" s="226">
        <f>G4+G5+G6+G9+G10+G15+G24+G33+G63+G67+G78+G90</f>
        <v>1367</v>
      </c>
      <c r="H111" s="225"/>
      <c r="I111" s="227">
        <f>I4+I5+I6+I9+I10+I15+I25+I26+I66+I69+I81+I95</f>
        <v>58492513.720000006</v>
      </c>
      <c r="J111" s="228">
        <f>J4+J5+J6+J9+J10+J15+J25+J26+J66+J69+J81+J95</f>
        <v>9114727.000000002</v>
      </c>
      <c r="K111" s="229">
        <f>I111/J111</f>
        <v>6.417363210110406</v>
      </c>
    </row>
    <row r="112" spans="1:11" ht="15.75" thickBot="1">
      <c r="A112" s="180">
        <v>2</v>
      </c>
      <c r="B112" s="231"/>
      <c r="C112" s="232" t="s">
        <v>212</v>
      </c>
      <c r="D112" s="233"/>
      <c r="E112" s="233">
        <v>78</v>
      </c>
      <c r="F112" s="233"/>
      <c r="G112" s="234">
        <f>G106-G111</f>
        <v>3757</v>
      </c>
      <c r="H112" s="233"/>
      <c r="I112" s="235">
        <f>I106-I111</f>
        <v>53769721.59000001</v>
      </c>
      <c r="J112" s="236">
        <f>J106-J111</f>
        <v>7319450.333333334</v>
      </c>
      <c r="K112" s="237">
        <f>I112/J112</f>
        <v>7.346142010845897</v>
      </c>
    </row>
    <row r="113" spans="2:11" ht="15.75" thickBot="1">
      <c r="B113" s="238"/>
      <c r="C113" s="239"/>
      <c r="D113" s="240"/>
      <c r="E113" s="240">
        <f>SUM(E111:E112)</f>
        <v>90</v>
      </c>
      <c r="F113" s="240"/>
      <c r="G113" s="241">
        <f>SUM(G111:G112)</f>
        <v>5124</v>
      </c>
      <c r="H113" s="240"/>
      <c r="I113" s="242">
        <f>SUM(I111:I112)</f>
        <v>112262235.31000002</v>
      </c>
      <c r="J113" s="243">
        <f>SUM(J111:J112)</f>
        <v>16434177.333333336</v>
      </c>
      <c r="K113" s="244">
        <f>I113/J113</f>
        <v>6.831022510770846</v>
      </c>
    </row>
    <row r="115" ht="14.25" customHeight="1" thickBot="1"/>
    <row r="116" spans="1:9" ht="15">
      <c r="A116" s="249"/>
      <c r="B116" s="67"/>
      <c r="C116" s="68" t="s">
        <v>46</v>
      </c>
      <c r="D116" s="319" t="s">
        <v>213</v>
      </c>
      <c r="E116" s="320"/>
      <c r="F116" s="320"/>
      <c r="G116" s="320"/>
      <c r="H116" s="321"/>
      <c r="I116" s="322"/>
    </row>
    <row r="118" spans="1:13" ht="14.25" customHeight="1">
      <c r="A118" s="250">
        <v>1</v>
      </c>
      <c r="B118" s="67"/>
      <c r="C118" s="251" t="s">
        <v>35</v>
      </c>
      <c r="D118" s="252">
        <v>4</v>
      </c>
      <c r="E118" s="253">
        <v>38290306.9</v>
      </c>
      <c r="F118" s="254">
        <v>5911736</v>
      </c>
      <c r="G118" s="255">
        <v>673</v>
      </c>
      <c r="H118" s="256">
        <f aca="true" t="shared" si="0" ref="H118:H129">E118/G118</f>
        <v>56894.95824665676</v>
      </c>
      <c r="I118" s="257">
        <f aca="true" t="shared" si="1" ref="I118:I129">E118/F118</f>
        <v>6.47699878681998</v>
      </c>
      <c r="J118" s="245"/>
      <c r="K118" s="246"/>
      <c r="L118" s="247"/>
      <c r="M118" s="248"/>
    </row>
    <row r="119" spans="1:13" ht="14.25" customHeight="1">
      <c r="A119" s="250">
        <v>2</v>
      </c>
      <c r="B119" s="67"/>
      <c r="C119" s="85" t="s">
        <v>33</v>
      </c>
      <c r="D119" s="86">
        <v>20</v>
      </c>
      <c r="E119" s="87">
        <v>29566064.62</v>
      </c>
      <c r="F119" s="88">
        <v>4513946</v>
      </c>
      <c r="G119" s="258">
        <v>1218</v>
      </c>
      <c r="H119" s="258">
        <f t="shared" si="0"/>
        <v>24274.273087027916</v>
      </c>
      <c r="I119" s="259">
        <f t="shared" si="1"/>
        <v>6.549937597835686</v>
      </c>
      <c r="J119" s="245"/>
      <c r="K119" s="246"/>
      <c r="L119" s="247"/>
      <c r="M119" s="248"/>
    </row>
    <row r="120" spans="1:13" ht="14.25" customHeight="1">
      <c r="A120" s="250">
        <v>3</v>
      </c>
      <c r="B120" s="67"/>
      <c r="C120" s="85" t="s">
        <v>32</v>
      </c>
      <c r="D120" s="261">
        <v>23</v>
      </c>
      <c r="E120" s="87">
        <v>20178938.75</v>
      </c>
      <c r="F120" s="88">
        <v>2684255</v>
      </c>
      <c r="G120" s="258">
        <v>1336</v>
      </c>
      <c r="H120" s="258">
        <f t="shared" si="0"/>
        <v>15103.99607035928</v>
      </c>
      <c r="I120" s="259">
        <f t="shared" si="1"/>
        <v>7.517519293062693</v>
      </c>
      <c r="J120" s="245"/>
      <c r="K120" s="246"/>
      <c r="L120" s="247"/>
      <c r="M120" s="248"/>
    </row>
    <row r="121" spans="1:13" ht="14.25" customHeight="1">
      <c r="A121" s="250">
        <v>4</v>
      </c>
      <c r="B121" s="67"/>
      <c r="C121" s="85" t="s">
        <v>34</v>
      </c>
      <c r="D121" s="86">
        <v>20</v>
      </c>
      <c r="E121" s="87">
        <v>18878619</v>
      </c>
      <c r="F121" s="88">
        <v>2560889</v>
      </c>
      <c r="G121" s="260">
        <v>1460</v>
      </c>
      <c r="H121" s="258">
        <f t="shared" si="0"/>
        <v>12930.560958904109</v>
      </c>
      <c r="I121" s="259">
        <f t="shared" si="1"/>
        <v>7.371900539226807</v>
      </c>
      <c r="J121" s="245"/>
      <c r="K121" s="246"/>
      <c r="L121" s="247"/>
      <c r="M121" s="248"/>
    </row>
    <row r="122" spans="1:13" ht="14.25" customHeight="1">
      <c r="A122" s="250">
        <v>5</v>
      </c>
      <c r="B122" s="67"/>
      <c r="C122" s="85" t="s">
        <v>79</v>
      </c>
      <c r="D122" s="86">
        <v>2</v>
      </c>
      <c r="E122" s="87">
        <v>2233966</v>
      </c>
      <c r="F122" s="88">
        <v>311132</v>
      </c>
      <c r="G122" s="258">
        <v>160</v>
      </c>
      <c r="H122" s="258">
        <f t="shared" si="0"/>
        <v>13962.2875</v>
      </c>
      <c r="I122" s="259">
        <f t="shared" si="1"/>
        <v>7.180122906033452</v>
      </c>
      <c r="J122" s="245"/>
      <c r="K122" s="246"/>
      <c r="L122" s="247"/>
      <c r="M122" s="248"/>
    </row>
    <row r="123" spans="1:13" ht="14.25" customHeight="1">
      <c r="A123" s="250">
        <v>6</v>
      </c>
      <c r="B123" s="67"/>
      <c r="C123" s="85" t="s">
        <v>43</v>
      </c>
      <c r="D123" s="86">
        <v>4</v>
      </c>
      <c r="E123" s="87">
        <v>1502803.5</v>
      </c>
      <c r="F123" s="88">
        <v>228140</v>
      </c>
      <c r="G123" s="258">
        <v>187</v>
      </c>
      <c r="H123" s="258">
        <f t="shared" si="0"/>
        <v>8036.382352941177</v>
      </c>
      <c r="I123" s="259">
        <f t="shared" si="1"/>
        <v>6.587198649951784</v>
      </c>
      <c r="J123" s="245"/>
      <c r="K123" s="246"/>
      <c r="L123" s="247"/>
      <c r="M123" s="248"/>
    </row>
    <row r="124" spans="1:13" ht="14.25" customHeight="1">
      <c r="A124" s="250">
        <v>7</v>
      </c>
      <c r="B124" s="67"/>
      <c r="C124" s="85" t="s">
        <v>131</v>
      </c>
      <c r="D124" s="86">
        <v>16</v>
      </c>
      <c r="E124" s="87">
        <v>916945.5</v>
      </c>
      <c r="F124" s="88">
        <v>136925</v>
      </c>
      <c r="G124" s="258">
        <v>125</v>
      </c>
      <c r="H124" s="258">
        <f t="shared" si="0"/>
        <v>7335.564</v>
      </c>
      <c r="I124" s="259">
        <f t="shared" si="1"/>
        <v>6.696698922767939</v>
      </c>
      <c r="J124" s="245"/>
      <c r="K124" s="246"/>
      <c r="L124" s="247"/>
      <c r="M124" s="248"/>
    </row>
    <row r="125" spans="1:13" ht="14.25" customHeight="1">
      <c r="A125" s="250">
        <v>8</v>
      </c>
      <c r="B125" s="67"/>
      <c r="C125" s="85" t="s">
        <v>98</v>
      </c>
      <c r="D125" s="86">
        <v>6</v>
      </c>
      <c r="E125" s="87">
        <v>270353</v>
      </c>
      <c r="F125" s="88">
        <v>33461</v>
      </c>
      <c r="G125" s="258">
        <v>40</v>
      </c>
      <c r="H125" s="258">
        <f t="shared" si="0"/>
        <v>6758.825</v>
      </c>
      <c r="I125" s="259">
        <f t="shared" si="1"/>
        <v>8.07964495980395</v>
      </c>
      <c r="J125" s="245"/>
      <c r="K125" s="246"/>
      <c r="L125" s="247"/>
      <c r="M125" s="248"/>
    </row>
    <row r="126" spans="1:13" ht="14.25" customHeight="1">
      <c r="A126" s="250">
        <v>9</v>
      </c>
      <c r="B126" s="67"/>
      <c r="C126" s="85" t="s">
        <v>36</v>
      </c>
      <c r="D126" s="86">
        <v>2</v>
      </c>
      <c r="E126" s="87">
        <v>223822.79</v>
      </c>
      <c r="F126" s="88">
        <v>28338</v>
      </c>
      <c r="G126" s="258">
        <v>28</v>
      </c>
      <c r="H126" s="258">
        <f t="shared" si="0"/>
        <v>7993.671071428572</v>
      </c>
      <c r="I126" s="259">
        <f t="shared" si="1"/>
        <v>7.898326981438352</v>
      </c>
      <c r="J126" s="245"/>
      <c r="K126" s="246"/>
      <c r="L126" s="247"/>
      <c r="M126" s="248"/>
    </row>
    <row r="127" spans="1:13" ht="14.25" customHeight="1">
      <c r="A127" s="250">
        <v>10</v>
      </c>
      <c r="B127" s="67"/>
      <c r="C127" s="85" t="s">
        <v>37</v>
      </c>
      <c r="D127" s="86">
        <v>2</v>
      </c>
      <c r="E127" s="87">
        <v>96869.15</v>
      </c>
      <c r="F127" s="88">
        <v>12797</v>
      </c>
      <c r="G127" s="258">
        <v>9</v>
      </c>
      <c r="H127" s="258">
        <f t="shared" si="0"/>
        <v>10763.238888888889</v>
      </c>
      <c r="I127" s="259">
        <f t="shared" si="1"/>
        <v>7.569676486676564</v>
      </c>
      <c r="J127" s="245"/>
      <c r="K127" s="246"/>
      <c r="L127" s="247"/>
      <c r="M127" s="248"/>
    </row>
    <row r="128" spans="1:13" ht="14.25" customHeight="1">
      <c r="A128" s="250">
        <v>11</v>
      </c>
      <c r="B128" s="67"/>
      <c r="C128" s="85" t="s">
        <v>189</v>
      </c>
      <c r="D128" s="86">
        <v>1</v>
      </c>
      <c r="E128" s="87">
        <v>82351.4</v>
      </c>
      <c r="F128" s="88">
        <v>9780</v>
      </c>
      <c r="G128" s="258">
        <v>8</v>
      </c>
      <c r="H128" s="258">
        <f t="shared" si="0"/>
        <v>10293.925</v>
      </c>
      <c r="I128" s="262">
        <f t="shared" si="1"/>
        <v>8.42038854805726</v>
      </c>
      <c r="J128" s="245"/>
      <c r="K128" s="246"/>
      <c r="L128" s="247"/>
      <c r="M128" s="248"/>
    </row>
    <row r="129" spans="1:13" ht="14.25" customHeight="1" thickBot="1">
      <c r="A129" s="250">
        <v>12</v>
      </c>
      <c r="B129" s="67"/>
      <c r="C129" s="90" t="s">
        <v>80</v>
      </c>
      <c r="D129" s="93">
        <v>2</v>
      </c>
      <c r="E129" s="263">
        <v>20195</v>
      </c>
      <c r="F129" s="264">
        <v>2778</v>
      </c>
      <c r="G129" s="265">
        <v>5</v>
      </c>
      <c r="H129" s="265">
        <f t="shared" si="0"/>
        <v>4039</v>
      </c>
      <c r="I129" s="266">
        <f t="shared" si="1"/>
        <v>7.269618430525558</v>
      </c>
      <c r="J129" s="245"/>
      <c r="K129" s="246"/>
      <c r="L129" s="247"/>
      <c r="M129" s="248"/>
    </row>
    <row r="130" spans="5:6" ht="14.25" customHeight="1">
      <c r="E130" s="402"/>
      <c r="F130" s="403"/>
    </row>
  </sheetData>
  <mergeCells count="17">
    <mergeCell ref="B1:K1"/>
    <mergeCell ref="C2:C3"/>
    <mergeCell ref="D2:D3"/>
    <mergeCell ref="E2:E3"/>
    <mergeCell ref="F2:F3"/>
    <mergeCell ref="G2:G3"/>
    <mergeCell ref="H2:H3"/>
    <mergeCell ref="I2:J2"/>
    <mergeCell ref="K2:K3"/>
    <mergeCell ref="C109:C110"/>
    <mergeCell ref="D109:D110"/>
    <mergeCell ref="E109:E110"/>
    <mergeCell ref="G109:G110"/>
    <mergeCell ref="H109:H110"/>
    <mergeCell ref="I109:J109"/>
    <mergeCell ref="K109:K110"/>
    <mergeCell ref="D116:I116"/>
  </mergeCells>
  <printOptions/>
  <pageMargins left="0.75" right="0.75" top="0.9" bottom="0.49" header="0.21" footer="0.46"/>
  <pageSetup orientation="portrait" paperSize="9" scale="40" r:id="rId1"/>
  <ignoredErrors>
    <ignoredError sqref="H118:I129 I7:I25 J7:J25 I32:I50 K58 J32:J58 I59:I78 J59 J60:J78 I80:J90" unlockedFormula="1"/>
    <ignoredError sqref="K5:K29 K79:K80 K97:K104" formula="1"/>
    <ignoredError sqref="K32:K57 K60:K78 K59" formula="1" unlockedFormula="1"/>
    <ignoredError sqref="G53 G72:G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.</cp:lastModifiedBy>
  <cp:lastPrinted>2006-06-09T16:45:28Z</cp:lastPrinted>
  <dcterms:created xsi:type="dcterms:W3CDTF">2006-03-17T12:24:26Z</dcterms:created>
  <dcterms:modified xsi:type="dcterms:W3CDTF">2006-06-09T16:45:38Z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