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09 - 15 Jun' (WK 24)" sheetId="1" r:id="rId1"/>
    <sheet name="30 Dec' - 15 Jun' (Annual)" sheetId="2" r:id="rId2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'09 - 15 Jun'' (WK 24)'!$A$1:$P$95</definedName>
  </definedNames>
  <calcPr fullCalcOnLoad="1"/>
</workbook>
</file>

<file path=xl/sharedStrings.xml><?xml version="1.0" encoding="utf-8"?>
<sst xmlns="http://schemas.openxmlformats.org/spreadsheetml/2006/main" count="646" uniqueCount="261">
  <si>
    <t>HACIVAT KARAGOZ NEDEN OLDURULDU?</t>
  </si>
  <si>
    <t>KURTLAR VADISI IRAK</t>
  </si>
  <si>
    <t>This Week's Total</t>
  </si>
  <si>
    <t>Films</t>
  </si>
  <si>
    <t>Admission</t>
  </si>
  <si>
    <t>EXCHANGE RATES</t>
  </si>
  <si>
    <t>Buying</t>
  </si>
  <si>
    <t>Selling</t>
  </si>
  <si>
    <t>Avg. Ticket</t>
  </si>
  <si>
    <t>USD</t>
  </si>
  <si>
    <t>EUR</t>
  </si>
  <si>
    <t>GBP</t>
  </si>
  <si>
    <t>CHF</t>
  </si>
  <si>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</si>
  <si>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</si>
  <si>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</si>
  <si>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</si>
  <si>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</si>
  <si>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</si>
  <si>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</si>
  <si>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</si>
  <si>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</si>
  <si>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HOSTEL</t>
  </si>
  <si>
    <t>FUN WITH DICK &amp; JANE</t>
  </si>
  <si>
    <t>RUMOR HAS IT</t>
  </si>
  <si>
    <t>DABBE</t>
  </si>
  <si>
    <t>WALK THE LINE</t>
  </si>
  <si>
    <t>ZATHURA</t>
  </si>
  <si>
    <t># of
Screen</t>
  </si>
  <si>
    <t>Weeks in      Release</t>
  </si>
  <si>
    <t># of Last Weeks New Releases</t>
  </si>
  <si>
    <t>Total Admission of New Releases</t>
  </si>
  <si>
    <t>WARNER BROS.</t>
  </si>
  <si>
    <t>OZEN FILM</t>
  </si>
  <si>
    <t>U.I.P.</t>
  </si>
  <si>
    <t>KENDA</t>
  </si>
  <si>
    <t>UMUT SANAT</t>
  </si>
  <si>
    <t>CHANTIER FILMS</t>
  </si>
  <si>
    <t>CHICKEN LITTLE</t>
  </si>
  <si>
    <t>BAMBI 2</t>
  </si>
  <si>
    <t>*Sorted according to Week Total G.B.O. - Haftalık toplam hasılat sütununa göre sıralanmıştır.</t>
  </si>
  <si>
    <t>KORKUYORUM ANNE</t>
  </si>
  <si>
    <t>BEYZA'NIN KADINLARI</t>
  </si>
  <si>
    <t>MEDYAVIZYON</t>
  </si>
  <si>
    <t>LAST WEEK</t>
  </si>
  <si>
    <t>TOTAL</t>
  </si>
  <si>
    <t>DISTRIBUTORS CHART</t>
  </si>
  <si>
    <t>THIS WEEKS</t>
  </si>
  <si>
    <t>BROKEBACK MOUNTAIN</t>
  </si>
  <si>
    <t>CAPOTE</t>
  </si>
  <si>
    <t>HOODWINKED</t>
  </si>
  <si>
    <t>CRY_WOLF</t>
  </si>
  <si>
    <t>16 BLOCKS</t>
  </si>
  <si>
    <t>PINK PANTHER</t>
  </si>
  <si>
    <t>Company</t>
  </si>
  <si>
    <t>Distributor</t>
  </si>
  <si>
    <t>BASIC INSTINCT 2</t>
  </si>
  <si>
    <t>UNP</t>
  </si>
  <si>
    <t>C2 PICTURES</t>
  </si>
  <si>
    <t>V FOR VENDETTA</t>
  </si>
  <si>
    <t>WB</t>
  </si>
  <si>
    <t>UIP</t>
  </si>
  <si>
    <t>ALTIOKLAR</t>
  </si>
  <si>
    <t>OZEN</t>
  </si>
  <si>
    <t>FOX</t>
  </si>
  <si>
    <t>CASANOVA</t>
  </si>
  <si>
    <t>BUENA VISTA</t>
  </si>
  <si>
    <t>COLUMBIA</t>
  </si>
  <si>
    <t>J PLAN</t>
  </si>
  <si>
    <t>PANA</t>
  </si>
  <si>
    <t>FOCUS</t>
  </si>
  <si>
    <t>ATLANTIK</t>
  </si>
  <si>
    <t>UNIVERSAL</t>
  </si>
  <si>
    <t>CHANTIER</t>
  </si>
  <si>
    <t>PRA</t>
  </si>
  <si>
    <t>PARAMOUNT</t>
  </si>
  <si>
    <t>OZEN - UMUT</t>
  </si>
  <si>
    <t>DREAMWORKS</t>
  </si>
  <si>
    <t>SAME PERIOD LAST YEAR</t>
  </si>
  <si>
    <t>U.N.P.</t>
  </si>
  <si>
    <t>R FILM</t>
  </si>
  <si>
    <t>GEN</t>
  </si>
  <si>
    <t>TIGLON</t>
  </si>
  <si>
    <t>WOLF CREEK</t>
  </si>
  <si>
    <t>WEINSTEIN CO.</t>
  </si>
  <si>
    <t>IFR</t>
  </si>
  <si>
    <t>FIDA</t>
  </si>
  <si>
    <t>ASK THE DUST</t>
  </si>
  <si>
    <t>PHANTOM OF THE OPERA, THE</t>
  </si>
  <si>
    <t>BABAM VE OGLUM</t>
  </si>
  <si>
    <t>MADAGASCAR</t>
  </si>
  <si>
    <t>Weekly Movie Magazine Antrakt Presents - Haftalık Antrakt Sinema Gazetesi Sunar</t>
  </si>
  <si>
    <t>LUCKY NUMBER SLEVIN</t>
  </si>
  <si>
    <t>DESCENT, THE</t>
  </si>
  <si>
    <t>EIGHT BELOW</t>
  </si>
  <si>
    <t>WHEN A STRANGER CALLS</t>
  </si>
  <si>
    <t>SLITHER</t>
  </si>
  <si>
    <t>REZZO</t>
  </si>
  <si>
    <t>35 MILIM</t>
  </si>
  <si>
    <t>INSIDE MAN</t>
  </si>
  <si>
    <t>FINAL DESTINATION 3</t>
  </si>
  <si>
    <t>TWO FOR THE MONEY</t>
  </si>
  <si>
    <t>DATE MOVIE</t>
  </si>
  <si>
    <t>PI FILM</t>
  </si>
  <si>
    <t>MATADOR</t>
  </si>
  <si>
    <t>ANNE YA DA LEYLA</t>
  </si>
  <si>
    <t>SINEMA AJANS</t>
  </si>
  <si>
    <t>ORGANIZE ISLER</t>
  </si>
  <si>
    <t>BKM</t>
  </si>
  <si>
    <t>AVSAR FILM</t>
  </si>
  <si>
    <t>HILL HAVE EYES, THE</t>
  </si>
  <si>
    <t>MERCHANT OF VENICE</t>
  </si>
  <si>
    <t>NEW FILMS</t>
  </si>
  <si>
    <t>WILD, THE</t>
  </si>
  <si>
    <t>WORLD'S FASTEST INDIAN</t>
  </si>
  <si>
    <t>FILMPOP</t>
  </si>
  <si>
    <t>JE NE SUIS PAS LE POUR ETRE AIME</t>
  </si>
  <si>
    <t>ROAD TO GUANTANAMO, THE</t>
  </si>
  <si>
    <t>ODYSSEY</t>
  </si>
  <si>
    <t>PRIDE&amp;PREJUDICE</t>
  </si>
  <si>
    <t>NANNY  MCHPEE</t>
  </si>
  <si>
    <t>DA VINCI CODE</t>
  </si>
  <si>
    <t>KISIK ATESTE 15 DAKIKA</t>
  </si>
  <si>
    <t>ICE AGE 2: THE MELTDOWN</t>
  </si>
  <si>
    <t>COMBIEN TU M'AMIES</t>
  </si>
  <si>
    <t>VIZYON</t>
  </si>
  <si>
    <t>WEATHER MAN</t>
  </si>
  <si>
    <t>MATCH POINT</t>
  </si>
  <si>
    <t>WHAT THE BLEEP DO WE KNOW?</t>
  </si>
  <si>
    <t>BEE SEESON</t>
  </si>
  <si>
    <t>BIR FILM</t>
  </si>
  <si>
    <t>LE TEMPS QUI RESTE</t>
  </si>
  <si>
    <t>ALLEGRO</t>
  </si>
  <si>
    <t>CELLULOID</t>
  </si>
  <si>
    <t>DANDELION</t>
  </si>
  <si>
    <t>SUGARWORKZ</t>
  </si>
  <si>
    <t>LE GRAND VOYAGE</t>
  </si>
  <si>
    <t>ASKD</t>
  </si>
  <si>
    <t>DARK HORSE</t>
  </si>
  <si>
    <t>TRUST</t>
  </si>
  <si>
    <t>FALSCHER BEKENNER</t>
  </si>
  <si>
    <t>TRUST FILMS</t>
  </si>
  <si>
    <t>STOLEN EYES</t>
  </si>
  <si>
    <t>YAKA FILM</t>
  </si>
  <si>
    <t>MON ANGE</t>
  </si>
  <si>
    <t>MK2</t>
  </si>
  <si>
    <t>JOYEUX NOEL</t>
  </si>
  <si>
    <t>FILMS DIST.</t>
  </si>
  <si>
    <t>ENTRE SES MAINS</t>
  </si>
  <si>
    <t>ERMAN</t>
  </si>
  <si>
    <t>4</t>
  </si>
  <si>
    <t>7</t>
  </si>
  <si>
    <t>3</t>
  </si>
  <si>
    <t>6</t>
  </si>
  <si>
    <t>5</t>
  </si>
  <si>
    <t>Screen Avg. (Adm.)</t>
  </si>
  <si>
    <t>Release Date</t>
  </si>
  <si>
    <t>Week in Release</t>
  </si>
  <si>
    <t>Avg. Ticket Price</t>
  </si>
  <si>
    <t>G.B.O. YTL</t>
  </si>
  <si>
    <t>HABABAM SINIFI UCBUCUK</t>
  </si>
  <si>
    <t>ARZU - FIDA</t>
  </si>
  <si>
    <t>KELOGLAN KARA PRENS'E KARSI</t>
  </si>
  <si>
    <t>ENERGY</t>
  </si>
  <si>
    <t>NARNIA</t>
  </si>
  <si>
    <t>MUNICH</t>
  </si>
  <si>
    <t>MEMOIRS OF A GEISHA</t>
  </si>
  <si>
    <t>FOG, THE</t>
  </si>
  <si>
    <t>NEW WORLD, THE</t>
  </si>
  <si>
    <t>TIGER AND THE SNOW, THE</t>
  </si>
  <si>
    <t>SYRIANA</t>
  </si>
  <si>
    <t>PROOF</t>
  </si>
  <si>
    <t>METRO</t>
  </si>
  <si>
    <t>AEON FLUX</t>
  </si>
  <si>
    <t>BIG MOMMA'S HOUSE 2</t>
  </si>
  <si>
    <t>FAMILY STONE,THE</t>
  </si>
  <si>
    <t>DREAMER</t>
  </si>
  <si>
    <t>PINEMA</t>
  </si>
  <si>
    <t>SAINT ANGE</t>
  </si>
  <si>
    <t>JARHEAD</t>
  </si>
  <si>
    <t>DUN GECE BIR RUYA GORDUM</t>
  </si>
  <si>
    <t>TRAVMA</t>
  </si>
  <si>
    <t>GOOD NIGHT &amp; GOOD LUCK</t>
  </si>
  <si>
    <t>RED SHOES</t>
  </si>
  <si>
    <t>CINECLICK ASIA</t>
  </si>
  <si>
    <t>CACHE</t>
  </si>
  <si>
    <t>BELGE FILM</t>
  </si>
  <si>
    <t>SQUID AND THE WHALE, THE</t>
  </si>
  <si>
    <t>BARBAR FILM</t>
  </si>
  <si>
    <t>SONY PICTURES</t>
  </si>
  <si>
    <t>ME AND YOU AND EVERYONE WE KNOW</t>
  </si>
  <si>
    <t>LADIES IN LAVENDER</t>
  </si>
  <si>
    <t>LAKESHORE</t>
  </si>
  <si>
    <t>OYUN</t>
  </si>
  <si>
    <t>SINE FILM</t>
  </si>
  <si>
    <t>SEX &amp; PHILOSOPHY</t>
  </si>
  <si>
    <t>WILD BUNCH</t>
  </si>
  <si>
    <t>LES TEMPS QUI CHANGENT</t>
  </si>
  <si>
    <t>FRANCE</t>
  </si>
  <si>
    <t>FATELESS</t>
  </si>
  <si>
    <t>H20</t>
  </si>
  <si>
    <t>RABBIT ON THE MOON</t>
  </si>
  <si>
    <t>LIMON - CAPITOL</t>
  </si>
  <si>
    <t>ZOZO</t>
  </si>
  <si>
    <t>HAYALEVI</t>
  </si>
  <si>
    <t>ENEL MUNDO E CADA RATO</t>
  </si>
  <si>
    <t>UNICEF</t>
  </si>
  <si>
    <t>CERTI BAMBINI</t>
  </si>
  <si>
    <t># of Films</t>
  </si>
  <si>
    <t># of Total
Prints</t>
  </si>
  <si>
    <t>LOCAL FILMS</t>
  </si>
  <si>
    <t>FOREIGN FILMS</t>
  </si>
  <si>
    <t>All Week's Total in 2006</t>
  </si>
  <si>
    <t>SHE'S THE MAN</t>
  </si>
  <si>
    <t>DERAILED</t>
  </si>
  <si>
    <t>ETERNAL SUNSHINE OF THE SPOTLESS MIND</t>
  </si>
  <si>
    <t>X MEN: THE LAST STAND</t>
  </si>
  <si>
    <t>OMEN 666</t>
  </si>
  <si>
    <t>SHAGGY DOG</t>
  </si>
  <si>
    <t>CINEMEDYA</t>
  </si>
  <si>
    <t>CONSTANT GARDENER</t>
  </si>
  <si>
    <t>PEINDRE OU FAIRE L'AMOUR</t>
  </si>
  <si>
    <t>SUGAR WORKZ</t>
  </si>
  <si>
    <t>C.R.A.Z.Y.</t>
  </si>
  <si>
    <t>10</t>
  </si>
  <si>
    <t>2</t>
  </si>
  <si>
    <t>8</t>
  </si>
  <si>
    <t>RING FINGER, THE</t>
  </si>
  <si>
    <t>ERMAN FILM</t>
  </si>
  <si>
    <t>9</t>
  </si>
  <si>
    <t>72 FILMS SHOWN</t>
  </si>
  <si>
    <t>15.06.2006 - 15.30</t>
  </si>
  <si>
    <t>1,5921</t>
  </si>
  <si>
    <t>1,5844</t>
  </si>
  <si>
    <t>1,9992</t>
  </si>
  <si>
    <t>2,0088</t>
  </si>
  <si>
    <t>2,9253</t>
  </si>
  <si>
    <t>2,9406</t>
  </si>
  <si>
    <t>1,2849</t>
  </si>
  <si>
    <t>1,2932</t>
  </si>
  <si>
    <t>80 FILMS SHOWN</t>
  </si>
  <si>
    <t>2006 Türkiye Annual Box Office Report / 30 Dec' - 15 Jun' '06</t>
  </si>
  <si>
    <t>64 FILMS SHOWN</t>
  </si>
  <si>
    <t>FAILURE TO LAUNCH</t>
  </si>
  <si>
    <t>FIREWALL</t>
  </si>
  <si>
    <t>BANDIDAS</t>
  </si>
  <si>
    <t>HOWL'S MOVING CASTLE</t>
  </si>
  <si>
    <t>MED YAPIM</t>
  </si>
  <si>
    <t>TRANSAMERICA</t>
  </si>
  <si>
    <t>BELLA DONNA</t>
  </si>
  <si>
    <t>12</t>
  </si>
  <si>
    <t>1</t>
  </si>
  <si>
    <t>MISSION IMPOSSIBLE 3</t>
  </si>
  <si>
    <t>58</t>
  </si>
  <si>
    <t>JE NE SUIS PAS LA POUR ETRE AIME</t>
  </si>
  <si>
    <t>REZO</t>
  </si>
  <si>
    <t>SAW 2</t>
  </si>
  <si>
    <t>GREAT CHALLANGE, THE</t>
  </si>
  <si>
    <t>TF1</t>
  </si>
  <si>
    <t>11</t>
  </si>
  <si>
    <t>13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</si>
</sst>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b/>
      <sz val="8"/>
      <name val="Trebuchet MS"/>
      <family val="0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sz val="20"/>
      <color indexed="44"/>
      <name val="GoudyLight"/>
      <family val="0"/>
    </font>
    <font>
      <i/>
      <sz val="9"/>
      <name val="Arial"/>
      <family val="2"/>
    </font>
    <font>
      <b/>
      <sz val="10"/>
      <color indexed="9"/>
      <name val="Trebuchet MS"/>
      <family val="2"/>
    </font>
    <font>
      <b/>
      <sz val="10"/>
      <color indexed="10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Verdana"/>
      <family val="0"/>
    </font>
    <font>
      <b/>
      <sz val="10"/>
      <color indexed="18"/>
      <name val="Trebuchet MS"/>
      <family val="0"/>
    </font>
    <font>
      <sz val="8"/>
      <color indexed="10"/>
      <name val="Trebuchet MS"/>
      <family val="0"/>
    </font>
    <font>
      <sz val="10"/>
      <name val="Century Gothic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8"/>
      <name val="Albertus Extra Bold"/>
      <family val="0"/>
    </font>
    <font>
      <sz val="25"/>
      <color indexed="9"/>
      <name val="Impact"/>
      <family val="0"/>
    </font>
    <font>
      <sz val="8"/>
      <name val="Arial"/>
      <family val="2"/>
    </font>
    <font>
      <b/>
      <sz val="10"/>
      <color indexed="9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43" fontId="3" fillId="0" borderId="0" xfId="15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92" fontId="13" fillId="0" borderId="0" xfId="15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13" fillId="0" borderId="3" xfId="0" applyFont="1" applyFill="1" applyBorder="1" applyAlignment="1" applyProtection="1">
      <alignment horizontal="right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Fill="1" applyBorder="1" applyAlignment="1" applyProtection="1">
      <alignment horizontal="left" vertical="center" indent="1"/>
      <protection locked="0"/>
    </xf>
    <xf numFmtId="0" fontId="13" fillId="0" borderId="4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horizontal="center" vertical="center"/>
      <protection locked="0"/>
    </xf>
    <xf numFmtId="184" fontId="19" fillId="0" borderId="9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13" fillId="0" borderId="0" xfId="0" applyNumberFormat="1" applyFont="1" applyFill="1" applyBorder="1" applyAlignment="1" applyProtection="1">
      <alignment horizontal="center" vertical="center"/>
      <protection locked="0"/>
    </xf>
    <xf numFmtId="18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2" fillId="2" borderId="10" xfId="0" applyFont="1" applyFill="1" applyBorder="1" applyAlignment="1">
      <alignment horizontal="center" vertical="center"/>
    </xf>
    <xf numFmtId="3" fontId="22" fillId="2" borderId="10" xfId="0" applyNumberFormat="1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vertical="center"/>
    </xf>
    <xf numFmtId="184" fontId="19" fillId="0" borderId="9" xfId="0" applyNumberFormat="1" applyFont="1" applyFill="1" applyBorder="1" applyAlignment="1">
      <alignment horizontal="center" vertical="center"/>
    </xf>
    <xf numFmtId="184" fontId="13" fillId="0" borderId="7" xfId="0" applyNumberFormat="1" applyFont="1" applyFill="1" applyBorder="1" applyAlignment="1" applyProtection="1">
      <alignment horizontal="center" vertical="center"/>
      <protection locked="0"/>
    </xf>
    <xf numFmtId="184" fontId="13" fillId="0" borderId="4" xfId="0" applyNumberFormat="1" applyFont="1" applyFill="1" applyBorder="1" applyAlignment="1" applyProtection="1">
      <alignment horizontal="center" vertical="center"/>
      <protection locked="0"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horizontal="right" vertical="center"/>
      <protection locked="0"/>
    </xf>
    <xf numFmtId="187" fontId="7" fillId="0" borderId="0" xfId="0" applyNumberFormat="1" applyFont="1" applyFill="1" applyBorder="1" applyAlignment="1" applyProtection="1">
      <alignment horizontal="right" vertical="center"/>
      <protection locked="0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192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vertical="center" wrapText="1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Fill="1" applyBorder="1" applyAlignment="1" applyProtection="1">
      <alignment horizontal="right" vertical="center"/>
      <protection/>
    </xf>
    <xf numFmtId="187" fontId="25" fillId="0" borderId="0" xfId="0" applyNumberFormat="1" applyFont="1" applyFill="1" applyBorder="1" applyAlignment="1" applyProtection="1">
      <alignment horizontal="right" vertical="center"/>
      <protection locked="0"/>
    </xf>
    <xf numFmtId="187" fontId="26" fillId="0" borderId="0" xfId="0" applyNumberFormat="1" applyFont="1" applyFill="1" applyBorder="1" applyAlignment="1" applyProtection="1">
      <alignment horizontal="right" vertical="center"/>
      <protection locked="0"/>
    </xf>
    <xf numFmtId="187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center"/>
    </xf>
    <xf numFmtId="192" fontId="3" fillId="0" borderId="0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Border="1" applyAlignment="1" applyProtection="1">
      <alignment vertical="center"/>
      <protection locked="0"/>
    </xf>
    <xf numFmtId="193" fontId="19" fillId="0" borderId="9" xfId="0" applyNumberFormat="1" applyFont="1" applyFill="1" applyBorder="1" applyAlignment="1">
      <alignment vertical="center"/>
    </xf>
    <xf numFmtId="192" fontId="19" fillId="0" borderId="12" xfId="22" applyNumberFormat="1" applyFont="1" applyFill="1" applyBorder="1" applyAlignment="1" applyProtection="1">
      <alignment vertical="center"/>
      <protection/>
    </xf>
    <xf numFmtId="192" fontId="19" fillId="0" borderId="12" xfId="15" applyNumberFormat="1" applyFont="1" applyFill="1" applyBorder="1" applyAlignment="1" applyProtection="1">
      <alignment vertical="center"/>
      <protection/>
    </xf>
    <xf numFmtId="193" fontId="19" fillId="0" borderId="9" xfId="15" applyNumberFormat="1" applyFont="1" applyFill="1" applyBorder="1" applyAlignment="1">
      <alignment vertical="center"/>
    </xf>
    <xf numFmtId="193" fontId="19" fillId="0" borderId="9" xfId="0" applyNumberFormat="1" applyFont="1" applyFill="1" applyBorder="1" applyAlignment="1" applyProtection="1">
      <alignment vertical="center"/>
      <protection locked="0"/>
    </xf>
    <xf numFmtId="193" fontId="19" fillId="0" borderId="9" xfId="15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187" fontId="29" fillId="0" borderId="0" xfId="0" applyNumberFormat="1" applyFont="1" applyFill="1" applyBorder="1" applyAlignment="1" applyProtection="1">
      <alignment horizontal="right" vertical="center"/>
      <protection locked="0"/>
    </xf>
    <xf numFmtId="192" fontId="19" fillId="0" borderId="0" xfId="0" applyNumberFormat="1" applyFont="1" applyFill="1" applyBorder="1" applyAlignment="1" applyProtection="1">
      <alignment vertical="center"/>
      <protection locked="0"/>
    </xf>
    <xf numFmtId="187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84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right" vertical="center"/>
      <protection locked="0"/>
    </xf>
    <xf numFmtId="0" fontId="19" fillId="0" borderId="6" xfId="0" applyNumberFormat="1" applyFont="1" applyFill="1" applyBorder="1" applyAlignment="1" applyProtection="1">
      <alignment horizontal="center" vertical="center"/>
      <protection locked="0"/>
    </xf>
    <xf numFmtId="4" fontId="18" fillId="0" borderId="6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6" xfId="0" applyNumberFormat="1" applyFont="1" applyFill="1" applyBorder="1" applyAlignment="1" applyProtection="1">
      <alignment horizontal="right" vertical="center" indent="1"/>
      <protection locked="0"/>
    </xf>
    <xf numFmtId="192" fontId="19" fillId="0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right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4" fontId="18" fillId="0" borderId="7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7" xfId="0" applyNumberFormat="1" applyFont="1" applyFill="1" applyBorder="1" applyAlignment="1" applyProtection="1">
      <alignment horizontal="right" vertical="center" indent="1"/>
      <protection locked="0"/>
    </xf>
    <xf numFmtId="192" fontId="19" fillId="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right" vertical="center"/>
      <protection locked="0"/>
    </xf>
    <xf numFmtId="49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left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193" fontId="19" fillId="0" borderId="9" xfId="0" applyNumberFormat="1" applyFont="1" applyBorder="1" applyAlignment="1">
      <alignment vertical="center"/>
    </xf>
    <xf numFmtId="49" fontId="19" fillId="0" borderId="9" xfId="0" applyNumberFormat="1" applyFont="1" applyFill="1" applyBorder="1" applyAlignment="1">
      <alignment vertical="center"/>
    </xf>
    <xf numFmtId="193" fontId="19" fillId="3" borderId="9" xfId="15" applyNumberFormat="1" applyFont="1" applyFill="1" applyBorder="1" applyAlignment="1">
      <alignment vertical="center"/>
    </xf>
    <xf numFmtId="184" fontId="19" fillId="3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19" fillId="3" borderId="9" xfId="0" applyFont="1" applyFill="1" applyBorder="1" applyAlignment="1">
      <alignment horizontal="center" vertical="center"/>
    </xf>
    <xf numFmtId="49" fontId="19" fillId="0" borderId="9" xfId="15" applyNumberFormat="1" applyFont="1" applyFill="1" applyBorder="1" applyAlignment="1">
      <alignment vertical="center"/>
    </xf>
    <xf numFmtId="184" fontId="19" fillId="0" borderId="9" xfId="15" applyNumberFormat="1" applyFont="1" applyFill="1" applyBorder="1" applyAlignment="1">
      <alignment horizontal="center" vertical="center"/>
    </xf>
    <xf numFmtId="184" fontId="19" fillId="0" borderId="20" xfId="0" applyNumberFormat="1" applyFont="1" applyFill="1" applyBorder="1" applyAlignment="1" applyProtection="1">
      <alignment horizontal="center" vertical="center"/>
      <protection locked="0"/>
    </xf>
    <xf numFmtId="193" fontId="5" fillId="0" borderId="21" xfId="0" applyNumberFormat="1" applyFont="1" applyFill="1" applyBorder="1" applyAlignment="1" applyProtection="1">
      <alignment horizontal="center" vertical="center" wrapText="1"/>
      <protection/>
    </xf>
    <xf numFmtId="192" fontId="5" fillId="0" borderId="21" xfId="0" applyNumberFormat="1" applyFont="1" applyFill="1" applyBorder="1" applyAlignment="1" applyProtection="1">
      <alignment horizontal="center" vertical="center" wrapText="1"/>
      <protection/>
    </xf>
    <xf numFmtId="192" fontId="5" fillId="0" borderId="22" xfId="0" applyNumberFormat="1" applyFont="1" applyFill="1" applyBorder="1" applyAlignment="1" applyProtection="1">
      <alignment horizontal="center" vertical="center" wrapText="1"/>
      <protection/>
    </xf>
    <xf numFmtId="49" fontId="19" fillId="0" borderId="9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vertical="center"/>
    </xf>
    <xf numFmtId="184" fontId="33" fillId="2" borderId="9" xfId="0" applyNumberFormat="1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3" fontId="33" fillId="2" borderId="9" xfId="0" applyNumberFormat="1" applyFont="1" applyFill="1" applyBorder="1" applyAlignment="1">
      <alignment horizontal="center" vertical="center"/>
    </xf>
    <xf numFmtId="192" fontId="33" fillId="2" borderId="9" xfId="0" applyNumberFormat="1" applyFont="1" applyFill="1" applyBorder="1" applyAlignment="1">
      <alignment vertical="center"/>
    </xf>
    <xf numFmtId="49" fontId="19" fillId="0" borderId="9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 applyProtection="1">
      <alignment horizontal="left" vertical="center"/>
      <protection locked="0"/>
    </xf>
    <xf numFmtId="0" fontId="19" fillId="3" borderId="9" xfId="0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49" fontId="19" fillId="0" borderId="9" xfId="15" applyNumberFormat="1" applyFont="1" applyFill="1" applyBorder="1" applyAlignment="1">
      <alignment horizontal="left" vertical="center"/>
    </xf>
    <xf numFmtId="193" fontId="12" fillId="0" borderId="0" xfId="0" applyNumberFormat="1" applyFont="1" applyFill="1" applyBorder="1" applyAlignment="1" applyProtection="1">
      <alignment horizontal="right" vertical="center"/>
      <protection locked="0"/>
    </xf>
    <xf numFmtId="193" fontId="13" fillId="0" borderId="0" xfId="0" applyNumberFormat="1" applyFont="1" applyFill="1" applyBorder="1" applyAlignment="1" applyProtection="1">
      <alignment horizontal="right" vertical="center"/>
      <protection locked="0"/>
    </xf>
    <xf numFmtId="193" fontId="3" fillId="0" borderId="0" xfId="0" applyNumberFormat="1" applyFont="1" applyFill="1" applyBorder="1" applyAlignment="1" applyProtection="1">
      <alignment horizontal="right" vertical="center"/>
      <protection/>
    </xf>
    <xf numFmtId="193" fontId="33" fillId="2" borderId="9" xfId="0" applyNumberFormat="1" applyFont="1" applyFill="1" applyBorder="1" applyAlignment="1">
      <alignment horizontal="right" vertical="center"/>
    </xf>
    <xf numFmtId="193" fontId="19" fillId="0" borderId="0" xfId="0" applyNumberFormat="1" applyFont="1" applyFill="1" applyBorder="1" applyAlignment="1" applyProtection="1">
      <alignment horizontal="right" vertical="center"/>
      <protection locked="0"/>
    </xf>
    <xf numFmtId="193" fontId="7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187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/>
      <protection/>
    </xf>
    <xf numFmtId="0" fontId="31" fillId="0" borderId="8" xfId="0" applyFont="1" applyFill="1" applyBorder="1" applyAlignment="1" applyProtection="1">
      <alignment vertical="center"/>
      <protection/>
    </xf>
    <xf numFmtId="0" fontId="19" fillId="2" borderId="8" xfId="0" applyFont="1" applyFill="1" applyBorder="1" applyAlignment="1" applyProtection="1">
      <alignment vertical="center"/>
      <protection locked="0"/>
    </xf>
    <xf numFmtId="0" fontId="19" fillId="2" borderId="11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>
      <alignment vertical="center"/>
    </xf>
    <xf numFmtId="184" fontId="33" fillId="2" borderId="10" xfId="0" applyNumberFormat="1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3" fontId="33" fillId="2" borderId="10" xfId="0" applyNumberFormat="1" applyFont="1" applyFill="1" applyBorder="1" applyAlignment="1">
      <alignment horizontal="center" vertical="center"/>
    </xf>
    <xf numFmtId="193" fontId="33" fillId="2" borderId="10" xfId="0" applyNumberFormat="1" applyFont="1" applyFill="1" applyBorder="1" applyAlignment="1">
      <alignment horizontal="right" vertical="center"/>
    </xf>
    <xf numFmtId="192" fontId="33" fillId="2" borderId="10" xfId="0" applyNumberFormat="1" applyFont="1" applyFill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4" fontId="19" fillId="0" borderId="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193" fontId="27" fillId="0" borderId="9" xfId="0" applyNumberFormat="1" applyFont="1" applyFill="1" applyBorder="1" applyAlignment="1">
      <alignment vertical="center"/>
    </xf>
    <xf numFmtId="184" fontId="19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right" vertical="center"/>
    </xf>
    <xf numFmtId="192" fontId="19" fillId="0" borderId="12" xfId="0" applyNumberFormat="1" applyFont="1" applyFill="1" applyBorder="1" applyAlignment="1">
      <alignment vertical="center"/>
    </xf>
    <xf numFmtId="0" fontId="19" fillId="0" borderId="9" xfId="0" applyNumberFormat="1" applyFont="1" applyFill="1" applyBorder="1" applyAlignment="1" applyProtection="1">
      <alignment horizontal="center" vertical="center"/>
      <protection locked="0"/>
    </xf>
    <xf numFmtId="184" fontId="19" fillId="3" borderId="9" xfId="15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right" vertical="center"/>
    </xf>
    <xf numFmtId="0" fontId="23" fillId="2" borderId="11" xfId="0" applyFont="1" applyFill="1" applyBorder="1" applyAlignment="1">
      <alignment vertical="center"/>
    </xf>
    <xf numFmtId="3" fontId="22" fillId="2" borderId="10" xfId="0" applyNumberFormat="1" applyFont="1" applyFill="1" applyBorder="1" applyAlignment="1">
      <alignment horizontal="right" vertical="center" indent="1"/>
    </xf>
    <xf numFmtId="2" fontId="22" fillId="2" borderId="26" xfId="0" applyNumberFormat="1" applyFont="1" applyFill="1" applyBorder="1" applyAlignment="1">
      <alignment horizontal="right" vertical="center" indent="1"/>
    </xf>
    <xf numFmtId="0" fontId="3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right" vertical="center" indent="1"/>
    </xf>
    <xf numFmtId="2" fontId="0" fillId="0" borderId="0" xfId="0" applyNumberFormat="1" applyFont="1" applyFill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0" fontId="5" fillId="0" borderId="2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8" fillId="0" borderId="0" xfId="0" applyFont="1" applyFill="1" applyAlignment="1">
      <alignment horizontal="right" vertical="center"/>
    </xf>
    <xf numFmtId="0" fontId="5" fillId="0" borderId="24" xfId="0" applyNumberFormat="1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center" wrapText="1"/>
    </xf>
    <xf numFmtId="3" fontId="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5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right" vertical="center" indent="1"/>
    </xf>
    <xf numFmtId="2" fontId="19" fillId="0" borderId="27" xfId="0" applyNumberFormat="1" applyFon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29" xfId="0" applyFont="1" applyBorder="1" applyAlignment="1">
      <alignment horizontal="center" vertical="center"/>
    </xf>
    <xf numFmtId="3" fontId="19" fillId="0" borderId="29" xfId="0" applyNumberFormat="1" applyFont="1" applyBorder="1" applyAlignment="1">
      <alignment horizontal="center" vertical="center"/>
    </xf>
    <xf numFmtId="3" fontId="19" fillId="0" borderId="29" xfId="0" applyNumberFormat="1" applyFont="1" applyBorder="1" applyAlignment="1">
      <alignment horizontal="right" vertical="center" indent="1"/>
    </xf>
    <xf numFmtId="2" fontId="19" fillId="0" borderId="30" xfId="0" applyNumberFormat="1" applyFont="1" applyBorder="1" applyAlignment="1">
      <alignment horizontal="right" vertical="center" indent="1"/>
    </xf>
    <xf numFmtId="0" fontId="22" fillId="2" borderId="31" xfId="0" applyFont="1" applyFill="1" applyBorder="1" applyAlignment="1">
      <alignment vertical="center"/>
    </xf>
    <xf numFmtId="0" fontId="22" fillId="2" borderId="32" xfId="0" applyFont="1" applyFill="1" applyBorder="1" applyAlignment="1">
      <alignment vertical="center"/>
    </xf>
    <xf numFmtId="0" fontId="22" fillId="2" borderId="32" xfId="0" applyFont="1" applyFill="1" applyBorder="1" applyAlignment="1">
      <alignment horizontal="center" vertical="center"/>
    </xf>
    <xf numFmtId="3" fontId="22" fillId="2" borderId="32" xfId="0" applyNumberFormat="1" applyFont="1" applyFill="1" applyBorder="1" applyAlignment="1">
      <alignment horizontal="center" vertical="center"/>
    </xf>
    <xf numFmtId="3" fontId="22" fillId="2" borderId="32" xfId="0" applyNumberFormat="1" applyFont="1" applyFill="1" applyBorder="1" applyAlignment="1">
      <alignment horizontal="right" vertical="center" indent="1"/>
    </xf>
    <xf numFmtId="2" fontId="22" fillId="2" borderId="33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187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/>
    </xf>
    <xf numFmtId="0" fontId="19" fillId="0" borderId="13" xfId="0" applyFont="1" applyFill="1" applyBorder="1" applyAlignment="1" applyProtection="1">
      <alignment horizontal="right" vertical="center"/>
      <protection locked="0"/>
    </xf>
    <xf numFmtId="0" fontId="19" fillId="0" borderId="19" xfId="0" applyNumberFormat="1" applyFont="1" applyFill="1" applyBorder="1" applyAlignment="1" applyProtection="1">
      <alignment horizontal="center" vertical="center"/>
      <protection locked="0"/>
    </xf>
    <xf numFmtId="4" fontId="22" fillId="4" borderId="19" xfId="0" applyNumberFormat="1" applyFont="1" applyFill="1" applyBorder="1" applyAlignment="1" applyProtection="1">
      <alignment horizontal="right" vertical="center" indent="1"/>
      <protection locked="0"/>
    </xf>
    <xf numFmtId="193" fontId="22" fillId="4" borderId="19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34" xfId="0" applyNumberFormat="1" applyFont="1" applyFill="1" applyBorder="1" applyAlignment="1" applyProtection="1">
      <alignment horizontal="right" vertical="center" indent="1"/>
      <protection locked="0"/>
    </xf>
    <xf numFmtId="193" fontId="22" fillId="4" borderId="34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35" xfId="0" applyNumberFormat="1" applyFont="1" applyFill="1" applyBorder="1" applyAlignment="1" applyProtection="1">
      <alignment horizontal="right" vertical="center" indent="1"/>
      <protection locked="0"/>
    </xf>
    <xf numFmtId="193" fontId="22" fillId="4" borderId="35" xfId="0" applyNumberFormat="1" applyFont="1" applyFill="1" applyBorder="1" applyAlignment="1" applyProtection="1">
      <alignment horizontal="right" vertical="center" indent="1"/>
      <protection locked="0"/>
    </xf>
    <xf numFmtId="0" fontId="22" fillId="4" borderId="7" xfId="0" applyNumberFormat="1" applyFont="1" applyFill="1" applyBorder="1" applyAlignment="1" applyProtection="1">
      <alignment horizontal="center" vertical="center"/>
      <protection locked="0"/>
    </xf>
    <xf numFmtId="4" fontId="18" fillId="0" borderId="4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4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36" xfId="0" applyNumberFormat="1" applyFont="1" applyFill="1" applyBorder="1" applyAlignment="1" applyProtection="1">
      <alignment horizontal="right" vertical="center" indent="1"/>
      <protection locked="0"/>
    </xf>
    <xf numFmtId="197" fontId="19" fillId="0" borderId="9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187" fontId="22" fillId="2" borderId="9" xfId="0" applyNumberFormat="1" applyFont="1" applyFill="1" applyBorder="1" applyAlignment="1">
      <alignment horizontal="right" vertical="center"/>
    </xf>
    <xf numFmtId="187" fontId="22" fillId="2" borderId="10" xfId="0" applyNumberFormat="1" applyFont="1" applyFill="1" applyBorder="1" applyAlignment="1">
      <alignment horizontal="right" vertical="center"/>
    </xf>
    <xf numFmtId="187" fontId="33" fillId="2" borderId="9" xfId="0" applyNumberFormat="1" applyFont="1" applyFill="1" applyBorder="1" applyAlignment="1">
      <alignment horizontal="right" vertical="center"/>
    </xf>
    <xf numFmtId="187" fontId="33" fillId="2" borderId="10" xfId="0" applyNumberFormat="1" applyFont="1" applyFill="1" applyBorder="1" applyAlignment="1">
      <alignment horizontal="right" vertical="center"/>
    </xf>
    <xf numFmtId="187" fontId="13" fillId="0" borderId="0" xfId="15" applyNumberFormat="1" applyFont="1" applyFill="1" applyBorder="1" applyAlignment="1" applyProtection="1">
      <alignment horizontal="right" vertical="center"/>
      <protection/>
    </xf>
    <xf numFmtId="192" fontId="3" fillId="0" borderId="0" xfId="0" applyNumberFormat="1" applyFont="1" applyFill="1" applyBorder="1" applyAlignment="1" applyProtection="1">
      <alignment horizontal="right" vertical="center"/>
      <protection/>
    </xf>
    <xf numFmtId="192" fontId="33" fillId="2" borderId="12" xfId="0" applyNumberFormat="1" applyFont="1" applyFill="1" applyBorder="1" applyAlignment="1">
      <alignment horizontal="right" vertical="center"/>
    </xf>
    <xf numFmtId="192" fontId="33" fillId="2" borderId="26" xfId="0" applyNumberFormat="1" applyFont="1" applyFill="1" applyBorder="1" applyAlignment="1">
      <alignment horizontal="right" vertical="center"/>
    </xf>
    <xf numFmtId="192" fontId="13" fillId="0" borderId="0" xfId="0" applyNumberFormat="1" applyFont="1" applyFill="1" applyBorder="1" applyAlignment="1" applyProtection="1">
      <alignment horizontal="right" vertical="center"/>
      <protection locked="0"/>
    </xf>
    <xf numFmtId="192" fontId="19" fillId="0" borderId="0" xfId="0" applyNumberFormat="1" applyFont="1" applyFill="1" applyBorder="1" applyAlignment="1" applyProtection="1">
      <alignment horizontal="right" vertical="center"/>
      <protection locked="0"/>
    </xf>
    <xf numFmtId="192" fontId="7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4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>
      <alignment horizontal="center" vertical="center"/>
    </xf>
    <xf numFmtId="184" fontId="19" fillId="0" borderId="10" xfId="0" applyNumberFormat="1" applyFont="1" applyFill="1" applyBorder="1" applyAlignment="1">
      <alignment horizontal="center" vertical="center"/>
    </xf>
    <xf numFmtId="184" fontId="0" fillId="0" borderId="21" xfId="0" applyNumberFormat="1" applyBorder="1" applyAlignment="1">
      <alignment horizontal="center" wrapText="1"/>
    </xf>
    <xf numFmtId="0" fontId="36" fillId="5" borderId="37" xfId="0" applyFont="1" applyFill="1" applyBorder="1" applyAlignment="1">
      <alignment horizontal="center" vertical="center" wrapText="1"/>
    </xf>
    <xf numFmtId="193" fontId="33" fillId="2" borderId="38" xfId="0" applyNumberFormat="1" applyFont="1" applyFill="1" applyBorder="1" applyAlignment="1">
      <alignment horizontal="right" vertical="center"/>
    </xf>
    <xf numFmtId="49" fontId="19" fillId="0" borderId="9" xfId="15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32" fillId="2" borderId="25" xfId="0" applyFont="1" applyFill="1" applyBorder="1" applyAlignment="1" applyProtection="1">
      <alignment vertical="center"/>
      <protection locked="0"/>
    </xf>
    <xf numFmtId="0" fontId="32" fillId="2" borderId="20" xfId="0" applyFont="1" applyFill="1" applyBorder="1" applyAlignment="1">
      <alignment vertical="center"/>
    </xf>
    <xf numFmtId="184" fontId="32" fillId="2" borderId="20" xfId="0" applyNumberFormat="1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3" fontId="32" fillId="2" borderId="20" xfId="0" applyNumberFormat="1" applyFont="1" applyFill="1" applyBorder="1" applyAlignment="1">
      <alignment horizontal="center" vertical="center"/>
    </xf>
    <xf numFmtId="187" fontId="23" fillId="2" borderId="20" xfId="0" applyNumberFormat="1" applyFont="1" applyFill="1" applyBorder="1" applyAlignment="1">
      <alignment horizontal="right" vertical="center"/>
    </xf>
    <xf numFmtId="193" fontId="32" fillId="2" borderId="20" xfId="0" applyNumberFormat="1" applyFont="1" applyFill="1" applyBorder="1" applyAlignment="1">
      <alignment horizontal="right" vertical="center"/>
    </xf>
    <xf numFmtId="192" fontId="32" fillId="2" borderId="20" xfId="0" applyNumberFormat="1" applyFont="1" applyFill="1" applyBorder="1" applyAlignment="1">
      <alignment vertical="center"/>
    </xf>
    <xf numFmtId="187" fontId="32" fillId="2" borderId="20" xfId="0" applyNumberFormat="1" applyFont="1" applyFill="1" applyBorder="1" applyAlignment="1">
      <alignment horizontal="right" vertical="center"/>
    </xf>
    <xf numFmtId="192" fontId="32" fillId="2" borderId="27" xfId="0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9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vertical="center"/>
    </xf>
    <xf numFmtId="0" fontId="13" fillId="0" borderId="40" xfId="0" applyFont="1" applyFill="1" applyBorder="1" applyAlignment="1" applyProtection="1">
      <alignment vertical="center"/>
      <protection/>
    </xf>
    <xf numFmtId="184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vertical="center"/>
    </xf>
    <xf numFmtId="0" fontId="23" fillId="2" borderId="25" xfId="0" applyFont="1" applyFill="1" applyBorder="1" applyAlignment="1">
      <alignment vertical="center"/>
    </xf>
    <xf numFmtId="0" fontId="23" fillId="2" borderId="20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vertical="center"/>
    </xf>
    <xf numFmtId="3" fontId="23" fillId="2" borderId="20" xfId="0" applyNumberFormat="1" applyFont="1" applyFill="1" applyBorder="1" applyAlignment="1">
      <alignment horizontal="center" vertical="center"/>
    </xf>
    <xf numFmtId="3" fontId="23" fillId="2" borderId="20" xfId="0" applyNumberFormat="1" applyFont="1" applyFill="1" applyBorder="1" applyAlignment="1">
      <alignment horizontal="right" vertical="center" indent="1"/>
    </xf>
    <xf numFmtId="2" fontId="23" fillId="2" borderId="27" xfId="0" applyNumberFormat="1" applyFont="1" applyFill="1" applyBorder="1" applyAlignment="1">
      <alignment horizontal="right" vertical="center" indent="1"/>
    </xf>
    <xf numFmtId="4" fontId="0" fillId="0" borderId="0" xfId="0" applyNumberFormat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84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/>
    </xf>
    <xf numFmtId="0" fontId="0" fillId="0" borderId="42" xfId="0" applyFont="1" applyBorder="1" applyAlignment="1">
      <alignment/>
    </xf>
    <xf numFmtId="0" fontId="20" fillId="2" borderId="0" xfId="0" applyFont="1" applyFill="1" applyBorder="1" applyAlignment="1" applyProtection="1">
      <alignment horizontal="center" vertical="center"/>
      <protection/>
    </xf>
    <xf numFmtId="0" fontId="20" fillId="2" borderId="0" xfId="0" applyFont="1" applyFill="1" applyAlignment="1">
      <alignment horizontal="center" vertical="center"/>
    </xf>
    <xf numFmtId="184" fontId="12" fillId="0" borderId="23" xfId="0" applyNumberFormat="1" applyFont="1" applyFill="1" applyBorder="1" applyAlignment="1" applyProtection="1">
      <alignment horizontal="center" vertical="center"/>
      <protection locked="0"/>
    </xf>
    <xf numFmtId="184" fontId="0" fillId="0" borderId="43" xfId="0" applyNumberFormat="1" applyBorder="1" applyAlignment="1">
      <alignment horizontal="center" vertical="center"/>
    </xf>
    <xf numFmtId="184" fontId="0" fillId="0" borderId="44" xfId="0" applyNumberFormat="1" applyBorder="1" applyAlignment="1">
      <alignment horizontal="center" vertical="center"/>
    </xf>
    <xf numFmtId="184" fontId="0" fillId="0" borderId="45" xfId="0" applyNumberFormat="1" applyBorder="1" applyAlignment="1">
      <alignment horizontal="center" vertical="center"/>
    </xf>
    <xf numFmtId="0" fontId="21" fillId="0" borderId="0" xfId="0" applyFont="1" applyBorder="1" applyAlignment="1" applyProtection="1">
      <alignment vertical="center" wrapText="1"/>
      <protection locked="0"/>
    </xf>
    <xf numFmtId="181" fontId="5" fillId="0" borderId="19" xfId="0" applyNumberFormat="1" applyFont="1" applyFill="1" applyBorder="1" applyAlignment="1" applyProtection="1">
      <alignment horizontal="center" vertical="center" wrapText="1"/>
      <protection/>
    </xf>
    <xf numFmtId="181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43" fontId="5" fillId="0" borderId="19" xfId="15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wrapText="1"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184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5" borderId="46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2" fontId="5" fillId="0" borderId="42" xfId="0" applyNumberFormat="1" applyFont="1" applyFill="1" applyBorder="1" applyAlignment="1" applyProtection="1">
      <alignment horizontal="center" vertical="center" wrapText="1"/>
      <protection/>
    </xf>
    <xf numFmtId="2" fontId="5" fillId="0" borderId="22" xfId="0" applyNumberFormat="1" applyFont="1" applyFill="1" applyBorder="1" applyAlignment="1" applyProtection="1">
      <alignment horizontal="center" vertical="center" wrapText="1"/>
      <protection/>
    </xf>
    <xf numFmtId="2" fontId="5" fillId="0" borderId="42" xfId="0" applyNumberFormat="1" applyFont="1" applyFill="1" applyBorder="1" applyAlignment="1" applyProtection="1">
      <alignment horizontal="right" vertical="center" wrapText="1" indent="1"/>
      <protection/>
    </xf>
    <xf numFmtId="2" fontId="5" fillId="0" borderId="22" xfId="0" applyNumberFormat="1" applyFont="1" applyFill="1" applyBorder="1" applyAlignment="1" applyProtection="1">
      <alignment horizontal="right" vertical="center" wrapText="1" indent="1"/>
      <protection/>
    </xf>
    <xf numFmtId="184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30" fillId="0" borderId="6" xfId="0" applyNumberFormat="1" applyFont="1" applyFill="1" applyBorder="1" applyAlignment="1" applyProtection="1">
      <alignment horizontal="center" vertical="center"/>
      <protection locked="0"/>
    </xf>
    <xf numFmtId="49" fontId="30" fillId="0" borderId="16" xfId="0" applyNumberFormat="1" applyFont="1" applyFill="1" applyBorder="1" applyAlignment="1" applyProtection="1">
      <alignment horizontal="center" vertical="center"/>
      <protection locked="0"/>
    </xf>
    <xf numFmtId="49" fontId="30" fillId="0" borderId="7" xfId="0" applyNumberFormat="1" applyFont="1" applyFill="1" applyBorder="1" applyAlignment="1" applyProtection="1">
      <alignment horizontal="center" vertical="center"/>
      <protection locked="0"/>
    </xf>
    <xf numFmtId="49" fontId="30" fillId="0" borderId="18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center"/>
      <protection locked="0"/>
    </xf>
    <xf numFmtId="200" fontId="19" fillId="0" borderId="9" xfId="15" applyNumberFormat="1" applyFont="1" applyFill="1" applyBorder="1" applyAlignment="1" applyProtection="1">
      <alignment horizontal="right" vertical="center"/>
      <protection locked="0"/>
    </xf>
    <xf numFmtId="193" fontId="19" fillId="0" borderId="9" xfId="15" applyNumberFormat="1" applyFont="1" applyFill="1" applyBorder="1" applyAlignment="1" applyProtection="1">
      <alignment vertical="center"/>
      <protection/>
    </xf>
    <xf numFmtId="192" fontId="19" fillId="0" borderId="9" xfId="15" applyNumberFormat="1" applyFont="1" applyFill="1" applyBorder="1" applyAlignment="1" applyProtection="1">
      <alignment vertical="center"/>
      <protection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200" fontId="19" fillId="0" borderId="9" xfId="0" applyNumberFormat="1" applyFont="1" applyBorder="1" applyAlignment="1">
      <alignment horizontal="right" vertical="center"/>
    </xf>
    <xf numFmtId="193" fontId="19" fillId="0" borderId="9" xfId="22" applyNumberFormat="1" applyFont="1" applyFill="1" applyBorder="1" applyAlignment="1" applyProtection="1">
      <alignment vertical="center"/>
      <protection/>
    </xf>
    <xf numFmtId="192" fontId="19" fillId="0" borderId="9" xfId="22" applyNumberFormat="1" applyFont="1" applyFill="1" applyBorder="1" applyAlignment="1" applyProtection="1">
      <alignment vertical="center"/>
      <protection/>
    </xf>
    <xf numFmtId="200" fontId="19" fillId="0" borderId="9" xfId="0" applyNumberFormat="1" applyFont="1" applyFill="1" applyBorder="1" applyAlignment="1">
      <alignment horizontal="right" vertical="center"/>
    </xf>
    <xf numFmtId="200" fontId="27" fillId="0" borderId="9" xfId="15" applyNumberFormat="1" applyFont="1" applyFill="1" applyBorder="1" applyAlignment="1">
      <alignment horizontal="right" vertical="center"/>
    </xf>
    <xf numFmtId="200" fontId="19" fillId="0" borderId="9" xfId="15" applyNumberFormat="1" applyFont="1" applyFill="1" applyBorder="1" applyAlignment="1">
      <alignment horizontal="right" vertical="center"/>
    </xf>
    <xf numFmtId="14" fontId="19" fillId="0" borderId="9" xfId="0" applyNumberFormat="1" applyFont="1" applyFill="1" applyBorder="1" applyAlignment="1">
      <alignment horizontal="left" vertical="center"/>
    </xf>
    <xf numFmtId="0" fontId="27" fillId="0" borderId="9" xfId="0" applyFont="1" applyFill="1" applyBorder="1" applyAlignment="1">
      <alignment vertical="center"/>
    </xf>
    <xf numFmtId="184" fontId="27" fillId="0" borderId="9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 applyProtection="1">
      <alignment vertical="center"/>
      <protection locked="0"/>
    </xf>
    <xf numFmtId="49" fontId="19" fillId="0" borderId="20" xfId="0" applyNumberFormat="1" applyFont="1" applyFill="1" applyBorder="1" applyAlignment="1" applyProtection="1">
      <alignment horizontal="left" vertical="center"/>
      <protection locked="0"/>
    </xf>
    <xf numFmtId="49" fontId="19" fillId="0" borderId="20" xfId="0" applyNumberFormat="1" applyFont="1" applyFill="1" applyBorder="1" applyAlignment="1" applyProtection="1">
      <alignment horizontal="center" vertical="center"/>
      <protection locked="0"/>
    </xf>
    <xf numFmtId="200" fontId="19" fillId="0" borderId="20" xfId="15" applyNumberFormat="1" applyFont="1" applyFill="1" applyBorder="1" applyAlignment="1" applyProtection="1">
      <alignment horizontal="right" vertical="center"/>
      <protection locked="0"/>
    </xf>
    <xf numFmtId="193" fontId="19" fillId="0" borderId="20" xfId="15" applyNumberFormat="1" applyFont="1" applyFill="1" applyBorder="1" applyAlignment="1" applyProtection="1">
      <alignment vertical="center"/>
      <protection locked="0"/>
    </xf>
    <xf numFmtId="193" fontId="19" fillId="0" borderId="20" xfId="15" applyNumberFormat="1" applyFont="1" applyFill="1" applyBorder="1" applyAlignment="1" applyProtection="1">
      <alignment vertical="center"/>
      <protection/>
    </xf>
    <xf numFmtId="192" fontId="19" fillId="0" borderId="20" xfId="15" applyNumberFormat="1" applyFont="1" applyFill="1" applyBorder="1" applyAlignment="1" applyProtection="1">
      <alignment vertical="center"/>
      <protection/>
    </xf>
    <xf numFmtId="192" fontId="19" fillId="0" borderId="27" xfId="15" applyNumberFormat="1" applyFont="1" applyFill="1" applyBorder="1" applyAlignment="1" applyProtection="1">
      <alignment vertical="center"/>
      <protection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200" fontId="19" fillId="0" borderId="10" xfId="0" applyNumberFormat="1" applyFont="1" applyFill="1" applyBorder="1" applyAlignment="1">
      <alignment horizontal="right" vertical="center"/>
    </xf>
    <xf numFmtId="193" fontId="27" fillId="0" borderId="10" xfId="0" applyNumberFormat="1" applyFont="1" applyFill="1" applyBorder="1" applyAlignment="1">
      <alignment vertical="center"/>
    </xf>
    <xf numFmtId="193" fontId="19" fillId="0" borderId="10" xfId="22" applyNumberFormat="1" applyFont="1" applyFill="1" applyBorder="1" applyAlignment="1" applyProtection="1">
      <alignment vertical="center"/>
      <protection/>
    </xf>
    <xf numFmtId="192" fontId="19" fillId="0" borderId="10" xfId="22" applyNumberFormat="1" applyFont="1" applyFill="1" applyBorder="1" applyAlignment="1" applyProtection="1">
      <alignment vertical="center"/>
      <protection/>
    </xf>
    <xf numFmtId="192" fontId="19" fillId="0" borderId="26" xfId="22" applyNumberFormat="1" applyFont="1" applyFill="1" applyBorder="1" applyAlignment="1" applyProtection="1">
      <alignment vertical="center"/>
      <protection/>
    </xf>
    <xf numFmtId="200" fontId="18" fillId="0" borderId="20" xfId="15" applyNumberFormat="1" applyFont="1" applyFill="1" applyBorder="1" applyAlignment="1" applyProtection="1">
      <alignment horizontal="right" vertical="center"/>
      <protection locked="0"/>
    </xf>
    <xf numFmtId="200" fontId="18" fillId="0" borderId="9" xfId="0" applyNumberFormat="1" applyFont="1" applyBorder="1" applyAlignment="1">
      <alignment horizontal="right" vertical="center"/>
    </xf>
    <xf numFmtId="200" fontId="18" fillId="0" borderId="9" xfId="0" applyNumberFormat="1" applyFont="1" applyFill="1" applyBorder="1" applyAlignment="1">
      <alignment horizontal="right" vertical="center"/>
    </xf>
    <xf numFmtId="200" fontId="18" fillId="0" borderId="9" xfId="15" applyNumberFormat="1" applyFont="1" applyFill="1" applyBorder="1" applyAlignment="1" applyProtection="1">
      <alignment horizontal="right" vertical="center"/>
      <protection locked="0"/>
    </xf>
    <xf numFmtId="200" fontId="34" fillId="0" borderId="9" xfId="15" applyNumberFormat="1" applyFont="1" applyFill="1" applyBorder="1" applyAlignment="1">
      <alignment horizontal="right" vertical="center"/>
    </xf>
    <xf numFmtId="200" fontId="18" fillId="0" borderId="9" xfId="15" applyNumberFormat="1" applyFont="1" applyFill="1" applyBorder="1" applyAlignment="1">
      <alignment horizontal="right" vertical="center"/>
    </xf>
    <xf numFmtId="200" fontId="18" fillId="0" borderId="10" xfId="0" applyNumberFormat="1" applyFont="1" applyFill="1" applyBorder="1" applyAlignment="1">
      <alignment horizontal="right" vertical="center"/>
    </xf>
    <xf numFmtId="204" fontId="19" fillId="0" borderId="9" xfId="0" applyNumberFormat="1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19" fillId="0" borderId="9" xfId="0" applyNumberFormat="1" applyFont="1" applyFill="1" applyBorder="1" applyAlignment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  <protection locked="0"/>
    </xf>
    <xf numFmtId="0" fontId="19" fillId="0" borderId="9" xfId="19" applyFont="1" applyFill="1" applyBorder="1" applyAlignment="1" applyProtection="1">
      <alignment horizontal="left" vertical="center"/>
      <protection locked="0"/>
    </xf>
    <xf numFmtId="193" fontId="19" fillId="0" borderId="20" xfId="15" applyNumberFormat="1" applyFont="1" applyFill="1" applyBorder="1" applyAlignment="1">
      <alignment vertical="center"/>
    </xf>
    <xf numFmtId="192" fontId="19" fillId="0" borderId="27" xfId="22" applyNumberFormat="1" applyFont="1" applyFill="1" applyBorder="1" applyAlignment="1" applyProtection="1">
      <alignment vertical="center"/>
      <protection/>
    </xf>
    <xf numFmtId="0" fontId="13" fillId="0" borderId="50" xfId="0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left" vertical="center"/>
    </xf>
    <xf numFmtId="197" fontId="19" fillId="0" borderId="10" xfId="0" applyNumberFormat="1" applyFont="1" applyFill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center" vertical="center"/>
    </xf>
    <xf numFmtId="193" fontId="19" fillId="0" borderId="10" xfId="0" applyNumberFormat="1" applyFont="1" applyFill="1" applyBorder="1" applyAlignment="1">
      <alignment vertical="center"/>
    </xf>
    <xf numFmtId="192" fontId="19" fillId="0" borderId="26" xfId="15" applyNumberFormat="1" applyFont="1" applyFill="1" applyBorder="1" applyAlignment="1" applyProtection="1">
      <alignment vertical="center"/>
      <protection/>
    </xf>
    <xf numFmtId="200" fontId="18" fillId="0" borderId="9" xfId="15" applyNumberFormat="1" applyFont="1" applyFill="1" applyBorder="1" applyAlignment="1" applyProtection="1">
      <alignment vertical="center"/>
      <protection locked="0"/>
    </xf>
    <xf numFmtId="200" fontId="18" fillId="0" borderId="9" xfId="0" applyNumberFormat="1" applyFont="1" applyBorder="1" applyAlignment="1">
      <alignment vertical="center"/>
    </xf>
    <xf numFmtId="200" fontId="18" fillId="0" borderId="9" xfId="0" applyNumberFormat="1" applyFont="1" applyFill="1" applyBorder="1" applyAlignment="1">
      <alignment vertical="center"/>
    </xf>
    <xf numFmtId="200" fontId="18" fillId="0" borderId="9" xfId="15" applyNumberFormat="1" applyFont="1" applyFill="1" applyBorder="1" applyAlignment="1">
      <alignment vertical="center"/>
    </xf>
    <xf numFmtId="200" fontId="34" fillId="0" borderId="9" xfId="15" applyNumberFormat="1" applyFont="1" applyFill="1" applyBorder="1" applyAlignment="1">
      <alignment vertical="center"/>
    </xf>
    <xf numFmtId="200" fontId="5" fillId="0" borderId="21" xfId="0" applyNumberFormat="1" applyFont="1" applyFill="1" applyBorder="1" applyAlignment="1" applyProtection="1">
      <alignment horizontal="center" vertical="center" wrapText="1"/>
      <protection/>
    </xf>
    <xf numFmtId="200" fontId="18" fillId="0" borderId="20" xfId="15" applyNumberFormat="1" applyFont="1" applyFill="1" applyBorder="1" applyAlignment="1">
      <alignment vertical="center"/>
    </xf>
    <xf numFmtId="200" fontId="18" fillId="3" borderId="9" xfId="15" applyNumberFormat="1" applyFont="1" applyFill="1" applyBorder="1" applyAlignment="1">
      <alignment vertical="center"/>
    </xf>
    <xf numFmtId="200" fontId="18" fillId="0" borderId="9" xfId="0" applyNumberFormat="1" applyFont="1" applyFill="1" applyBorder="1" applyAlignment="1" applyProtection="1">
      <alignment vertical="center"/>
      <protection locked="0"/>
    </xf>
    <xf numFmtId="200" fontId="18" fillId="0" borderId="9" xfId="15" applyNumberFormat="1" applyFont="1" applyFill="1" applyBorder="1" applyAlignment="1" applyProtection="1">
      <alignment vertical="center"/>
      <protection/>
    </xf>
    <xf numFmtId="200" fontId="18" fillId="0" borderId="10" xfId="0" applyNumberFormat="1" applyFont="1" applyFill="1" applyBorder="1" applyAlignment="1">
      <alignment vertical="center"/>
    </xf>
    <xf numFmtId="200" fontId="23" fillId="2" borderId="20" xfId="0" applyNumberFormat="1" applyFont="1" applyFill="1" applyBorder="1" applyAlignment="1">
      <alignment vertical="center"/>
    </xf>
    <xf numFmtId="200" fontId="22" fillId="2" borderId="10" xfId="0" applyNumberFormat="1" applyFont="1" applyFill="1" applyBorder="1" applyAlignment="1">
      <alignment vertical="center"/>
    </xf>
    <xf numFmtId="200" fontId="14" fillId="0" borderId="0" xfId="0" applyNumberFormat="1" applyFont="1" applyFill="1" applyAlignment="1">
      <alignment vertical="center"/>
    </xf>
    <xf numFmtId="200" fontId="18" fillId="0" borderId="20" xfId="0" applyNumberFormat="1" applyFont="1" applyBorder="1" applyAlignment="1">
      <alignment vertical="center"/>
    </xf>
    <xf numFmtId="200" fontId="18" fillId="0" borderId="29" xfId="0" applyNumberFormat="1" applyFont="1" applyBorder="1" applyAlignment="1">
      <alignment vertical="center"/>
    </xf>
    <xf numFmtId="200" fontId="22" fillId="2" borderId="32" xfId="0" applyNumberFormat="1" applyFont="1" applyFill="1" applyBorder="1" applyAlignment="1">
      <alignment vertical="center"/>
    </xf>
    <xf numFmtId="200" fontId="14" fillId="0" borderId="0" xfId="0" applyNumberFormat="1" applyFont="1" applyAlignment="1">
      <alignment vertical="center"/>
    </xf>
    <xf numFmtId="200" fontId="18" fillId="0" borderId="42" xfId="0" applyNumberFormat="1" applyFont="1" applyFill="1" applyBorder="1" applyAlignment="1" applyProtection="1">
      <alignment horizontal="center" vertical="center"/>
      <protection locked="0"/>
    </xf>
    <xf numFmtId="200" fontId="18" fillId="0" borderId="18" xfId="0" applyNumberFormat="1" applyFont="1" applyFill="1" applyBorder="1" applyAlignment="1" applyProtection="1">
      <alignment horizontal="center" vertical="center"/>
      <protection locked="0"/>
    </xf>
    <xf numFmtId="200" fontId="22" fillId="4" borderId="18" xfId="0" applyNumberFormat="1" applyFont="1" applyFill="1" applyBorder="1" applyAlignment="1" applyProtection="1">
      <alignment horizontal="center" vertical="center"/>
      <protection locked="0"/>
    </xf>
    <xf numFmtId="200" fontId="18" fillId="0" borderId="1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5349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466725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372725" y="466725"/>
          <a:ext cx="2152650" cy="6000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24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09 - 15  JUN'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2"/>
  <sheetViews>
    <sheetView showGridLines="0" tabSelected="1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:C4"/>
    </sheetView>
  </sheetViews>
  <sheetFormatPr defaultColWidth="9.140625" defaultRowHeight="12.75"/>
  <cols>
    <col min="1" max="1" width="4.00390625" style="100" bestFit="1" customWidth="1"/>
    <col min="2" max="2" width="1.28515625" style="6" customWidth="1"/>
    <col min="3" max="3" width="40.140625" style="5" bestFit="1" customWidth="1"/>
    <col min="4" max="4" width="9.7109375" style="30" customWidth="1"/>
    <col min="5" max="5" width="16.28125" style="35" bestFit="1" customWidth="1"/>
    <col min="6" max="6" width="14.57421875" style="35" bestFit="1" customWidth="1"/>
    <col min="7" max="7" width="12.57421875" style="8" customWidth="1"/>
    <col min="8" max="8" width="7.7109375" style="8" bestFit="1" customWidth="1"/>
    <col min="9" max="9" width="8.7109375" style="8" customWidth="1"/>
    <col min="10" max="10" width="15.7109375" style="53" bestFit="1" customWidth="1"/>
    <col min="11" max="11" width="8.421875" style="127" customWidth="1"/>
    <col min="12" max="12" width="9.8515625" style="127" customWidth="1"/>
    <col min="13" max="13" width="6.57421875" style="58" bestFit="1" customWidth="1"/>
    <col min="14" max="14" width="15.00390625" style="44" bestFit="1" customWidth="1"/>
    <col min="15" max="15" width="11.28125" style="127" bestFit="1" customWidth="1"/>
    <col min="16" max="16" width="6.421875" style="227" bestFit="1" customWidth="1"/>
    <col min="17" max="16384" width="9.140625" style="5" customWidth="1"/>
  </cols>
  <sheetData>
    <row r="1" spans="1:16" s="3" customFormat="1" ht="95.25" customHeight="1">
      <c r="A1" s="96"/>
      <c r="B1" s="1"/>
      <c r="C1" s="2"/>
      <c r="D1" s="28"/>
      <c r="E1" s="33"/>
      <c r="F1" s="33"/>
      <c r="G1" s="7"/>
      <c r="H1" s="7"/>
      <c r="I1" s="7"/>
      <c r="J1" s="51"/>
      <c r="K1" s="124"/>
      <c r="L1" s="124"/>
      <c r="M1" s="57"/>
      <c r="N1" s="42"/>
      <c r="O1" s="45"/>
      <c r="P1" s="222"/>
    </row>
    <row r="2" spans="1:16" s="24" customFormat="1" ht="39.75" customHeight="1" thickBot="1">
      <c r="A2" s="269" t="s">
        <v>91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</row>
    <row r="3" spans="1:16" s="130" customFormat="1" ht="14.25">
      <c r="A3" s="128"/>
      <c r="B3" s="129"/>
      <c r="C3" s="280" t="s">
        <v>13</v>
      </c>
      <c r="D3" s="284" t="s">
        <v>14</v>
      </c>
      <c r="E3" s="281" t="s">
        <v>55</v>
      </c>
      <c r="F3" s="281" t="s">
        <v>54</v>
      </c>
      <c r="G3" s="278" t="s">
        <v>15</v>
      </c>
      <c r="H3" s="278" t="s">
        <v>28</v>
      </c>
      <c r="I3" s="278" t="s">
        <v>29</v>
      </c>
      <c r="J3" s="283" t="s">
        <v>16</v>
      </c>
      <c r="K3" s="283"/>
      <c r="L3" s="283"/>
      <c r="M3" s="283"/>
      <c r="N3" s="276" t="s">
        <v>17</v>
      </c>
      <c r="O3" s="276"/>
      <c r="P3" s="277"/>
    </row>
    <row r="4" spans="1:16" s="130" customFormat="1" ht="51.75" customHeight="1" thickBot="1">
      <c r="A4" s="131"/>
      <c r="B4" s="132"/>
      <c r="C4" s="279"/>
      <c r="D4" s="232"/>
      <c r="E4" s="282"/>
      <c r="F4" s="282"/>
      <c r="G4" s="279"/>
      <c r="H4" s="279"/>
      <c r="I4" s="279"/>
      <c r="J4" s="133" t="s">
        <v>18</v>
      </c>
      <c r="K4" s="106" t="s">
        <v>19</v>
      </c>
      <c r="L4" s="106" t="s">
        <v>155</v>
      </c>
      <c r="M4" s="107" t="s">
        <v>20</v>
      </c>
      <c r="N4" s="133" t="s">
        <v>18</v>
      </c>
      <c r="O4" s="106" t="s">
        <v>19</v>
      </c>
      <c r="P4" s="108" t="s">
        <v>21</v>
      </c>
    </row>
    <row r="5" spans="1:16" s="4" customFormat="1" ht="15">
      <c r="A5" s="97">
        <v>1</v>
      </c>
      <c r="B5" s="134"/>
      <c r="C5" s="319" t="s">
        <v>121</v>
      </c>
      <c r="D5" s="105">
        <v>38856</v>
      </c>
      <c r="E5" s="320" t="s">
        <v>60</v>
      </c>
      <c r="F5" s="320" t="s">
        <v>67</v>
      </c>
      <c r="G5" s="321">
        <v>195</v>
      </c>
      <c r="H5" s="321">
        <v>174</v>
      </c>
      <c r="I5" s="321">
        <v>4</v>
      </c>
      <c r="J5" s="334">
        <f>642057+1962.5</f>
        <v>644019.5</v>
      </c>
      <c r="K5" s="323">
        <f>93991+244</f>
        <v>94235</v>
      </c>
      <c r="L5" s="324">
        <f>K5/H5</f>
        <v>541.580459770115</v>
      </c>
      <c r="M5" s="325">
        <f>J5/K5</f>
        <v>6.834185812065581</v>
      </c>
      <c r="N5" s="322">
        <f>3570701+1526862+890553+1110.5+642057+1962.5</f>
        <v>6633246</v>
      </c>
      <c r="O5" s="323">
        <f>473308+203407+120258+125+93991+244</f>
        <v>891333</v>
      </c>
      <c r="P5" s="326">
        <f>+N5/O5</f>
        <v>7.441939207905463</v>
      </c>
    </row>
    <row r="6" spans="1:16" s="4" customFormat="1" ht="15">
      <c r="A6" s="97">
        <v>2</v>
      </c>
      <c r="B6" s="135"/>
      <c r="C6" s="308" t="s">
        <v>217</v>
      </c>
      <c r="D6" s="153">
        <v>38874</v>
      </c>
      <c r="E6" s="154" t="s">
        <v>63</v>
      </c>
      <c r="F6" s="154" t="s">
        <v>64</v>
      </c>
      <c r="G6" s="309">
        <v>66</v>
      </c>
      <c r="H6" s="309">
        <v>66</v>
      </c>
      <c r="I6" s="309">
        <v>1</v>
      </c>
      <c r="J6" s="335">
        <v>498557</v>
      </c>
      <c r="K6" s="92">
        <v>67227</v>
      </c>
      <c r="L6" s="311">
        <f>+K6/H6</f>
        <v>1018.5909090909091</v>
      </c>
      <c r="M6" s="312">
        <f>+J6/K6</f>
        <v>7.416023323962099</v>
      </c>
      <c r="N6" s="310">
        <f>298281+498557</f>
        <v>796838</v>
      </c>
      <c r="O6" s="92">
        <f>42602+67227</f>
        <v>109829</v>
      </c>
      <c r="P6" s="60">
        <f>+N6/O6</f>
        <v>7.255260450336432</v>
      </c>
    </row>
    <row r="7" spans="1:16" s="4" customFormat="1" ht="15">
      <c r="A7" s="97">
        <v>3</v>
      </c>
      <c r="B7" s="135"/>
      <c r="C7" s="56" t="s">
        <v>243</v>
      </c>
      <c r="D7" s="39">
        <v>38877</v>
      </c>
      <c r="E7" s="120" t="s">
        <v>61</v>
      </c>
      <c r="F7" s="154" t="s">
        <v>66</v>
      </c>
      <c r="G7" s="309">
        <v>60</v>
      </c>
      <c r="H7" s="151">
        <v>63</v>
      </c>
      <c r="I7" s="151">
        <v>1</v>
      </c>
      <c r="J7" s="336">
        <v>280793</v>
      </c>
      <c r="K7" s="155">
        <v>31594</v>
      </c>
      <c r="L7" s="311">
        <f>+K7/H7</f>
        <v>501.4920634920635</v>
      </c>
      <c r="M7" s="312">
        <f>+J7/K7</f>
        <v>8.887541938342723</v>
      </c>
      <c r="N7" s="313">
        <v>280793</v>
      </c>
      <c r="O7" s="155">
        <v>31594</v>
      </c>
      <c r="P7" s="60">
        <f>+N7/O7</f>
        <v>8.887541938342723</v>
      </c>
    </row>
    <row r="8" spans="1:16" s="4" customFormat="1" ht="15">
      <c r="A8" s="97">
        <v>4</v>
      </c>
      <c r="B8" s="135"/>
      <c r="C8" s="308" t="s">
        <v>216</v>
      </c>
      <c r="D8" s="153">
        <v>38863</v>
      </c>
      <c r="E8" s="154" t="s">
        <v>63</v>
      </c>
      <c r="F8" s="154" t="s">
        <v>64</v>
      </c>
      <c r="G8" s="309">
        <v>61</v>
      </c>
      <c r="H8" s="309">
        <v>61</v>
      </c>
      <c r="I8" s="309">
        <v>3</v>
      </c>
      <c r="J8" s="335">
        <v>225072</v>
      </c>
      <c r="K8" s="92">
        <v>29986</v>
      </c>
      <c r="L8" s="311">
        <f>+K8/H8</f>
        <v>491.57377049180326</v>
      </c>
      <c r="M8" s="312">
        <f>+J8/K8</f>
        <v>7.505902754618822</v>
      </c>
      <c r="N8" s="310">
        <f>666456+404849+225072</f>
        <v>1296377</v>
      </c>
      <c r="O8" s="92">
        <f>83759+51381+29986</f>
        <v>165126</v>
      </c>
      <c r="P8" s="60">
        <f>+N8/O8</f>
        <v>7.850835119847874</v>
      </c>
    </row>
    <row r="9" spans="1:16" s="10" customFormat="1" ht="15">
      <c r="A9" s="97">
        <v>5</v>
      </c>
      <c r="B9" s="25"/>
      <c r="C9" s="303" t="s">
        <v>244</v>
      </c>
      <c r="D9" s="27">
        <v>38877</v>
      </c>
      <c r="E9" s="116" t="s">
        <v>60</v>
      </c>
      <c r="F9" s="116" t="s">
        <v>32</v>
      </c>
      <c r="G9" s="304">
        <v>55</v>
      </c>
      <c r="H9" s="304">
        <v>55</v>
      </c>
      <c r="I9" s="304">
        <v>1</v>
      </c>
      <c r="J9" s="337">
        <v>146528</v>
      </c>
      <c r="K9" s="64">
        <v>18308</v>
      </c>
      <c r="L9" s="306">
        <f>K9/H9</f>
        <v>332.8727272727273</v>
      </c>
      <c r="M9" s="307">
        <f>J9/K9</f>
        <v>8.003495739567402</v>
      </c>
      <c r="N9" s="305">
        <v>146528</v>
      </c>
      <c r="O9" s="64">
        <v>18308</v>
      </c>
      <c r="P9" s="61">
        <f>+N9/O9</f>
        <v>8.003495739567402</v>
      </c>
    </row>
    <row r="10" spans="1:16" s="10" customFormat="1" ht="15">
      <c r="A10" s="97">
        <v>6</v>
      </c>
      <c r="B10" s="25"/>
      <c r="C10" s="56" t="s">
        <v>218</v>
      </c>
      <c r="D10" s="39">
        <v>38870</v>
      </c>
      <c r="E10" s="120" t="s">
        <v>61</v>
      </c>
      <c r="F10" s="154" t="s">
        <v>66</v>
      </c>
      <c r="G10" s="309">
        <v>82</v>
      </c>
      <c r="H10" s="151">
        <v>81</v>
      </c>
      <c r="I10" s="151">
        <v>2</v>
      </c>
      <c r="J10" s="336">
        <v>141981</v>
      </c>
      <c r="K10" s="155">
        <v>19368</v>
      </c>
      <c r="L10" s="311">
        <f>+K10/H10</f>
        <v>239.11111111111111</v>
      </c>
      <c r="M10" s="312">
        <f>+J10/K10</f>
        <v>7.330700123915737</v>
      </c>
      <c r="N10" s="313">
        <v>277941</v>
      </c>
      <c r="O10" s="155">
        <v>36975</v>
      </c>
      <c r="P10" s="60">
        <f>+N10/O10</f>
        <v>7.516997971602434</v>
      </c>
    </row>
    <row r="11" spans="1:16" s="10" customFormat="1" ht="15">
      <c r="A11" s="97">
        <v>7</v>
      </c>
      <c r="B11" s="25"/>
      <c r="C11" s="308" t="s">
        <v>245</v>
      </c>
      <c r="D11" s="153">
        <v>38877</v>
      </c>
      <c r="E11" s="154" t="s">
        <v>63</v>
      </c>
      <c r="F11" s="154" t="s">
        <v>76</v>
      </c>
      <c r="G11" s="309">
        <v>50</v>
      </c>
      <c r="H11" s="309">
        <v>50</v>
      </c>
      <c r="I11" s="309">
        <v>1</v>
      </c>
      <c r="J11" s="335">
        <v>105526.5</v>
      </c>
      <c r="K11" s="92">
        <v>13528</v>
      </c>
      <c r="L11" s="311">
        <f>+K11/H11</f>
        <v>270.56</v>
      </c>
      <c r="M11" s="312">
        <f>+J11/K11</f>
        <v>7.800598758131283</v>
      </c>
      <c r="N11" s="310">
        <f>105526.5</f>
        <v>105526.5</v>
      </c>
      <c r="O11" s="92">
        <f>13528</f>
        <v>13528</v>
      </c>
      <c r="P11" s="60">
        <f>+N11/O11</f>
        <v>7.800598758131283</v>
      </c>
    </row>
    <row r="12" spans="1:16" s="10" customFormat="1" ht="15">
      <c r="A12" s="97">
        <v>8</v>
      </c>
      <c r="B12" s="25"/>
      <c r="C12" s="303" t="s">
        <v>220</v>
      </c>
      <c r="D12" s="27">
        <v>38870</v>
      </c>
      <c r="E12" s="116" t="s">
        <v>60</v>
      </c>
      <c r="F12" s="116" t="s">
        <v>115</v>
      </c>
      <c r="G12" s="304">
        <v>40</v>
      </c>
      <c r="H12" s="304">
        <v>41</v>
      </c>
      <c r="I12" s="304">
        <v>2</v>
      </c>
      <c r="J12" s="337">
        <v>96383.5</v>
      </c>
      <c r="K12" s="64">
        <v>11433</v>
      </c>
      <c r="L12" s="306">
        <f>K12/H12</f>
        <v>278.8536585365854</v>
      </c>
      <c r="M12" s="307">
        <f>J12/K12</f>
        <v>8.430289512813784</v>
      </c>
      <c r="N12" s="305">
        <f>123140+96383.5</f>
        <v>219523.5</v>
      </c>
      <c r="O12" s="64">
        <f>14489+11433</f>
        <v>25922</v>
      </c>
      <c r="P12" s="61">
        <f>+N12/O12</f>
        <v>8.468617390633439</v>
      </c>
    </row>
    <row r="13" spans="1:16" s="10" customFormat="1" ht="15">
      <c r="A13" s="97">
        <v>9</v>
      </c>
      <c r="B13" s="25"/>
      <c r="C13" s="93" t="s">
        <v>246</v>
      </c>
      <c r="D13" s="39">
        <v>38877</v>
      </c>
      <c r="E13" s="119" t="s">
        <v>130</v>
      </c>
      <c r="F13" s="119" t="s">
        <v>196</v>
      </c>
      <c r="G13" s="309">
        <v>64</v>
      </c>
      <c r="H13" s="110">
        <v>66</v>
      </c>
      <c r="I13" s="110">
        <v>1</v>
      </c>
      <c r="J13" s="336">
        <v>94169.5</v>
      </c>
      <c r="K13" s="59">
        <v>14426</v>
      </c>
      <c r="L13" s="311">
        <f>+K13/H13</f>
        <v>218.57575757575756</v>
      </c>
      <c r="M13" s="312">
        <f>+J13/K13</f>
        <v>6.527762373492306</v>
      </c>
      <c r="N13" s="313">
        <f>94169.5</f>
        <v>94169.5</v>
      </c>
      <c r="O13" s="59">
        <f>14426</f>
        <v>14426</v>
      </c>
      <c r="P13" s="60">
        <f>+N13/O13</f>
        <v>6.527762373492306</v>
      </c>
    </row>
    <row r="14" spans="1:16" s="10" customFormat="1" ht="15">
      <c r="A14" s="97">
        <v>10</v>
      </c>
      <c r="B14" s="25"/>
      <c r="C14" s="56" t="s">
        <v>122</v>
      </c>
      <c r="D14" s="39">
        <v>38856</v>
      </c>
      <c r="E14" s="120" t="s">
        <v>61</v>
      </c>
      <c r="F14" s="154" t="s">
        <v>247</v>
      </c>
      <c r="G14" s="309">
        <v>160</v>
      </c>
      <c r="H14" s="151">
        <v>94</v>
      </c>
      <c r="I14" s="151">
        <v>4</v>
      </c>
      <c r="J14" s="336">
        <v>83682</v>
      </c>
      <c r="K14" s="155">
        <v>16355</v>
      </c>
      <c r="L14" s="311">
        <f>+K14/H14</f>
        <v>173.98936170212767</v>
      </c>
      <c r="M14" s="312">
        <f>+J14/K14</f>
        <v>5.116600428003669</v>
      </c>
      <c r="N14" s="313">
        <v>1087088</v>
      </c>
      <c r="O14" s="155">
        <v>165552</v>
      </c>
      <c r="P14" s="60">
        <f>+N14/O14</f>
        <v>6.566444380013531</v>
      </c>
    </row>
    <row r="15" spans="1:16" s="10" customFormat="1" ht="15">
      <c r="A15" s="97">
        <v>11</v>
      </c>
      <c r="B15" s="25"/>
      <c r="C15" s="93" t="s">
        <v>215</v>
      </c>
      <c r="D15" s="39">
        <v>38863</v>
      </c>
      <c r="E15" s="119" t="s">
        <v>130</v>
      </c>
      <c r="F15" s="119" t="s">
        <v>219</v>
      </c>
      <c r="G15" s="309">
        <v>35</v>
      </c>
      <c r="H15" s="110">
        <v>35</v>
      </c>
      <c r="I15" s="110">
        <v>3</v>
      </c>
      <c r="J15" s="336">
        <v>82301.5</v>
      </c>
      <c r="K15" s="59">
        <v>11309</v>
      </c>
      <c r="L15" s="311">
        <f>+K15/H15</f>
        <v>323.1142857142857</v>
      </c>
      <c r="M15" s="312">
        <f>+J15/K15</f>
        <v>7.277522327349899</v>
      </c>
      <c r="N15" s="313">
        <f>149883.5+135641.5+82301.5</f>
        <v>367826.5</v>
      </c>
      <c r="O15" s="59">
        <f>19608+17668+11309</f>
        <v>48585</v>
      </c>
      <c r="P15" s="60">
        <f>+N15/O15</f>
        <v>7.570783163527838</v>
      </c>
    </row>
    <row r="16" spans="1:16" s="10" customFormat="1" ht="15">
      <c r="A16" s="97">
        <v>12</v>
      </c>
      <c r="B16" s="25"/>
      <c r="C16" s="308" t="s">
        <v>123</v>
      </c>
      <c r="D16" s="153">
        <v>38821</v>
      </c>
      <c r="E16" s="154" t="s">
        <v>63</v>
      </c>
      <c r="F16" s="154" t="s">
        <v>64</v>
      </c>
      <c r="G16" s="309">
        <v>118</v>
      </c>
      <c r="H16" s="309">
        <v>62</v>
      </c>
      <c r="I16" s="309">
        <v>9</v>
      </c>
      <c r="J16" s="335">
        <v>70567</v>
      </c>
      <c r="K16" s="92">
        <v>15604</v>
      </c>
      <c r="L16" s="311">
        <f>+K16/H16</f>
        <v>251.67741935483872</v>
      </c>
      <c r="M16" s="312">
        <f>+J16/K16</f>
        <v>4.522366059984619</v>
      </c>
      <c r="N16" s="310">
        <f>1908861+1583540+976953.5+606582.5+358386.5+257458.5+154619+107195+70567</f>
        <v>6024163</v>
      </c>
      <c r="O16" s="92">
        <f>267837+226672+141343+93283+56706+48660+34140+24736+15604</f>
        <v>908981</v>
      </c>
      <c r="P16" s="60">
        <f>+N16/O16</f>
        <v>6.627380550308533</v>
      </c>
    </row>
    <row r="17" spans="1:16" s="10" customFormat="1" ht="15">
      <c r="A17" s="97">
        <v>13</v>
      </c>
      <c r="B17" s="25"/>
      <c r="C17" s="56" t="s">
        <v>214</v>
      </c>
      <c r="D17" s="39">
        <v>38863</v>
      </c>
      <c r="E17" s="120" t="s">
        <v>61</v>
      </c>
      <c r="F17" s="154" t="s">
        <v>66</v>
      </c>
      <c r="G17" s="309">
        <v>46</v>
      </c>
      <c r="H17" s="151">
        <v>45</v>
      </c>
      <c r="I17" s="151">
        <v>3</v>
      </c>
      <c r="J17" s="336">
        <v>53212</v>
      </c>
      <c r="K17" s="155">
        <v>8382</v>
      </c>
      <c r="L17" s="311">
        <f>+K17/H17</f>
        <v>186.26666666666668</v>
      </c>
      <c r="M17" s="312">
        <f>+J17/K17</f>
        <v>6.348365545215939</v>
      </c>
      <c r="N17" s="313">
        <v>316588</v>
      </c>
      <c r="O17" s="155">
        <v>37542</v>
      </c>
      <c r="P17" s="60">
        <f>+N17/O17</f>
        <v>8.43290181663204</v>
      </c>
    </row>
    <row r="18" spans="1:16" s="10" customFormat="1" ht="15">
      <c r="A18" s="97">
        <v>14</v>
      </c>
      <c r="B18" s="25"/>
      <c r="C18" s="308" t="s">
        <v>110</v>
      </c>
      <c r="D18" s="153">
        <v>38849</v>
      </c>
      <c r="E18" s="154" t="s">
        <v>63</v>
      </c>
      <c r="F18" s="154" t="s">
        <v>64</v>
      </c>
      <c r="G18" s="309">
        <v>51</v>
      </c>
      <c r="H18" s="309">
        <v>50</v>
      </c>
      <c r="I18" s="309">
        <v>5</v>
      </c>
      <c r="J18" s="335">
        <v>45263</v>
      </c>
      <c r="K18" s="92">
        <v>9442</v>
      </c>
      <c r="L18" s="311">
        <f>+K18/H18</f>
        <v>188.84</v>
      </c>
      <c r="M18" s="312">
        <f>+J18/K18</f>
        <v>4.793793687778013</v>
      </c>
      <c r="N18" s="310">
        <f>165448.5+80304.5+33898+25466.5+45263</f>
        <v>350380.5</v>
      </c>
      <c r="O18" s="92">
        <f>23339+10797+5046+5061+9442</f>
        <v>53685</v>
      </c>
      <c r="P18" s="60">
        <f>+N18/O18</f>
        <v>6.526599608829282</v>
      </c>
    </row>
    <row r="19" spans="1:16" s="10" customFormat="1" ht="15">
      <c r="A19" s="97">
        <v>15</v>
      </c>
      <c r="B19" s="25"/>
      <c r="C19" s="303" t="s">
        <v>248</v>
      </c>
      <c r="D19" s="27">
        <v>38877</v>
      </c>
      <c r="E19" s="116" t="s">
        <v>188</v>
      </c>
      <c r="F19" s="116" t="s">
        <v>249</v>
      </c>
      <c r="G19" s="304" t="s">
        <v>250</v>
      </c>
      <c r="H19" s="304" t="s">
        <v>250</v>
      </c>
      <c r="I19" s="304" t="s">
        <v>251</v>
      </c>
      <c r="J19" s="338">
        <v>44173</v>
      </c>
      <c r="K19" s="155">
        <v>5633</v>
      </c>
      <c r="L19" s="311">
        <f>+K19/H19</f>
        <v>469.4166666666667</v>
      </c>
      <c r="M19" s="312">
        <f>+J19/K19</f>
        <v>7.841824960056808</v>
      </c>
      <c r="N19" s="314">
        <v>44173</v>
      </c>
      <c r="O19" s="155">
        <v>5633</v>
      </c>
      <c r="P19" s="60">
        <f>+N19/O19</f>
        <v>7.841824960056808</v>
      </c>
    </row>
    <row r="20" spans="1:16" s="10" customFormat="1" ht="15">
      <c r="A20" s="97">
        <v>16</v>
      </c>
      <c r="B20" s="25"/>
      <c r="C20" s="56" t="s">
        <v>252</v>
      </c>
      <c r="D20" s="39">
        <v>38842</v>
      </c>
      <c r="E20" s="120" t="s">
        <v>61</v>
      </c>
      <c r="F20" s="154" t="s">
        <v>75</v>
      </c>
      <c r="G20" s="309">
        <v>173</v>
      </c>
      <c r="H20" s="151">
        <v>45</v>
      </c>
      <c r="I20" s="151">
        <v>6</v>
      </c>
      <c r="J20" s="336">
        <v>30083</v>
      </c>
      <c r="K20" s="155">
        <v>7193</v>
      </c>
      <c r="L20" s="311">
        <f>+K20/H20</f>
        <v>159.84444444444443</v>
      </c>
      <c r="M20" s="312">
        <f>+J20/K20</f>
        <v>4.182260531071876</v>
      </c>
      <c r="N20" s="313">
        <v>2805037</v>
      </c>
      <c r="O20" s="155">
        <v>374761</v>
      </c>
      <c r="P20" s="60">
        <f>+N20/O20</f>
        <v>7.484869023190781</v>
      </c>
    </row>
    <row r="21" spans="1:16" s="10" customFormat="1" ht="15">
      <c r="A21" s="97">
        <v>17</v>
      </c>
      <c r="B21" s="25"/>
      <c r="C21" s="308" t="s">
        <v>100</v>
      </c>
      <c r="D21" s="153">
        <v>38835</v>
      </c>
      <c r="E21" s="154" t="s">
        <v>63</v>
      </c>
      <c r="F21" s="154" t="s">
        <v>109</v>
      </c>
      <c r="G21" s="309">
        <v>65</v>
      </c>
      <c r="H21" s="309">
        <v>27</v>
      </c>
      <c r="I21" s="309">
        <v>7</v>
      </c>
      <c r="J21" s="335">
        <v>21463.5</v>
      </c>
      <c r="K21" s="92">
        <v>4731</v>
      </c>
      <c r="L21" s="311">
        <f>+K21/H21</f>
        <v>175.22222222222223</v>
      </c>
      <c r="M21" s="312">
        <f>+J21/K21</f>
        <v>4.536778693722257</v>
      </c>
      <c r="N21" s="310">
        <f>381578+253958+149731.5+45908+33467.5+30819+21463.5</f>
        <v>916925.5</v>
      </c>
      <c r="O21" s="92">
        <f>51957+35225+20957+7725+6499+6734+4731</f>
        <v>133828</v>
      </c>
      <c r="P21" s="60">
        <f>+N21/O21</f>
        <v>6.851522102997878</v>
      </c>
    </row>
    <row r="22" spans="1:16" s="10" customFormat="1" ht="15">
      <c r="A22" s="97">
        <v>18</v>
      </c>
      <c r="B22" s="25"/>
      <c r="C22" s="93" t="s">
        <v>107</v>
      </c>
      <c r="D22" s="39">
        <v>38709</v>
      </c>
      <c r="E22" s="119" t="s">
        <v>35</v>
      </c>
      <c r="F22" s="119" t="s">
        <v>108</v>
      </c>
      <c r="G22" s="109">
        <v>24</v>
      </c>
      <c r="H22" s="109">
        <v>233</v>
      </c>
      <c r="I22" s="109">
        <v>51</v>
      </c>
      <c r="J22" s="339">
        <v>13023</v>
      </c>
      <c r="K22" s="62">
        <v>4345</v>
      </c>
      <c r="L22" s="311">
        <f>+K22/H22</f>
        <v>18.6480686695279</v>
      </c>
      <c r="M22" s="312">
        <f>+J22/K22</f>
        <v>2.9972382048331414</v>
      </c>
      <c r="N22" s="315">
        <v>17087456.5</v>
      </c>
      <c r="O22" s="62">
        <v>2581288</v>
      </c>
      <c r="P22" s="60">
        <f>+N22/O22</f>
        <v>6.619740416412272</v>
      </c>
    </row>
    <row r="23" spans="1:16" s="10" customFormat="1" ht="15">
      <c r="A23" s="97">
        <v>19</v>
      </c>
      <c r="B23" s="25"/>
      <c r="C23" s="56" t="s">
        <v>99</v>
      </c>
      <c r="D23" s="39">
        <v>38835</v>
      </c>
      <c r="E23" s="120" t="s">
        <v>61</v>
      </c>
      <c r="F23" s="154" t="s">
        <v>72</v>
      </c>
      <c r="G23" s="309">
        <v>71</v>
      </c>
      <c r="H23" s="151">
        <v>17</v>
      </c>
      <c r="I23" s="151">
        <v>7</v>
      </c>
      <c r="J23" s="336">
        <v>10606</v>
      </c>
      <c r="K23" s="155">
        <v>2193</v>
      </c>
      <c r="L23" s="311">
        <f>+K23/H23</f>
        <v>129</v>
      </c>
      <c r="M23" s="312">
        <f>+J23/K23</f>
        <v>4.836297309621523</v>
      </c>
      <c r="N23" s="313">
        <v>991123</v>
      </c>
      <c r="O23" s="155">
        <v>120690</v>
      </c>
      <c r="P23" s="60">
        <f>+N23/O23</f>
        <v>8.212138536747037</v>
      </c>
    </row>
    <row r="24" spans="1:16" s="10" customFormat="1" ht="15">
      <c r="A24" s="97">
        <v>20</v>
      </c>
      <c r="B24" s="25"/>
      <c r="C24" s="103" t="s">
        <v>221</v>
      </c>
      <c r="D24" s="104">
        <v>38870</v>
      </c>
      <c r="E24" s="121" t="s">
        <v>98</v>
      </c>
      <c r="F24" s="121" t="s">
        <v>222</v>
      </c>
      <c r="G24" s="235" t="s">
        <v>154</v>
      </c>
      <c r="H24" s="235">
        <v>5</v>
      </c>
      <c r="I24" s="235">
        <v>2</v>
      </c>
      <c r="J24" s="339">
        <v>9857</v>
      </c>
      <c r="K24" s="62">
        <v>1211</v>
      </c>
      <c r="L24" s="311">
        <f>+K24/H24</f>
        <v>242.2</v>
      </c>
      <c r="M24" s="312">
        <f>+J24/K24</f>
        <v>8.139554087530966</v>
      </c>
      <c r="N24" s="315">
        <v>30065</v>
      </c>
      <c r="O24" s="62">
        <v>3374</v>
      </c>
      <c r="P24" s="60">
        <f>+N24/O24</f>
        <v>8.910788381742739</v>
      </c>
    </row>
    <row r="25" spans="1:16" s="10" customFormat="1" ht="15">
      <c r="A25" s="97">
        <v>21</v>
      </c>
      <c r="B25" s="25"/>
      <c r="C25" s="303" t="s">
        <v>111</v>
      </c>
      <c r="D25" s="27">
        <v>38849</v>
      </c>
      <c r="E25" s="116" t="s">
        <v>60</v>
      </c>
      <c r="F25" s="116" t="s">
        <v>112</v>
      </c>
      <c r="G25" s="304">
        <v>14</v>
      </c>
      <c r="H25" s="304">
        <v>9</v>
      </c>
      <c r="I25" s="304">
        <v>5</v>
      </c>
      <c r="J25" s="337">
        <v>8167</v>
      </c>
      <c r="K25" s="64">
        <v>1476</v>
      </c>
      <c r="L25" s="306">
        <f>K25/H25</f>
        <v>164</v>
      </c>
      <c r="M25" s="307">
        <f>J25/K25</f>
        <v>5.5331978319783195</v>
      </c>
      <c r="N25" s="305">
        <f>93564+52250+16170+13446.5+8167</f>
        <v>183597.5</v>
      </c>
      <c r="O25" s="64">
        <f>10662+5936+2085+2265+1476</f>
        <v>22424</v>
      </c>
      <c r="P25" s="61">
        <f>+N25/O25</f>
        <v>8.187544595076703</v>
      </c>
    </row>
    <row r="26" spans="1:16" s="10" customFormat="1" ht="15">
      <c r="A26" s="97">
        <v>22</v>
      </c>
      <c r="B26" s="25"/>
      <c r="C26" s="308" t="s">
        <v>89</v>
      </c>
      <c r="D26" s="153">
        <v>38674</v>
      </c>
      <c r="E26" s="154" t="s">
        <v>63</v>
      </c>
      <c r="F26" s="154" t="s">
        <v>109</v>
      </c>
      <c r="G26" s="309">
        <v>135</v>
      </c>
      <c r="H26" s="309">
        <v>4</v>
      </c>
      <c r="I26" s="309">
        <v>30</v>
      </c>
      <c r="J26" s="335">
        <v>7529</v>
      </c>
      <c r="K26" s="92">
        <v>2435</v>
      </c>
      <c r="L26" s="311">
        <f>+K26/H26</f>
        <v>608.75</v>
      </c>
      <c r="M26" s="312">
        <f>+J26/K26</f>
        <v>3.0919917864476387</v>
      </c>
      <c r="N26" s="310">
        <f>574568+1404261+2751877+3258896.5+2619095+1721177.5+1470030+1888546+1731654+1414026+1497050.5+996634+787201+777126+643480+509219.5+398974.5+275448+165366.5+73833.5+34414.5+18373+9776.5+10959.5+18948+5394+25647+638+416+7529</f>
        <v>25090560</v>
      </c>
      <c r="O26" s="92">
        <f>74406+182802+367017+453161+369242+239307+216443+244832+235512+212084+230729+167361+134787+155924+132040+97910+71996+60438+31787+16691+9973+5959+2986+3569+5752+1319+6383+116+74+2435</f>
        <v>3733035</v>
      </c>
      <c r="P26" s="60">
        <f>+N26/O26</f>
        <v>6.7212228120014945</v>
      </c>
    </row>
    <row r="27" spans="1:16" s="10" customFormat="1" ht="15">
      <c r="A27" s="97">
        <v>23</v>
      </c>
      <c r="B27" s="25"/>
      <c r="C27" s="303" t="s">
        <v>213</v>
      </c>
      <c r="D27" s="27">
        <v>38863</v>
      </c>
      <c r="E27" s="116" t="s">
        <v>60</v>
      </c>
      <c r="F27" s="116" t="s">
        <v>80</v>
      </c>
      <c r="G27" s="304">
        <v>17</v>
      </c>
      <c r="H27" s="304">
        <v>9</v>
      </c>
      <c r="I27" s="304">
        <v>3</v>
      </c>
      <c r="J27" s="337">
        <v>5846.5</v>
      </c>
      <c r="K27" s="64">
        <v>1022</v>
      </c>
      <c r="L27" s="306">
        <f>K27/H27</f>
        <v>113.55555555555556</v>
      </c>
      <c r="M27" s="307">
        <f>J27/K27</f>
        <v>5.720645792563601</v>
      </c>
      <c r="N27" s="305">
        <f>28731.5+16998+5846.5</f>
        <v>51576</v>
      </c>
      <c r="O27" s="64">
        <f>3778+2334+1022</f>
        <v>7134</v>
      </c>
      <c r="P27" s="61">
        <f>+N27/O27</f>
        <v>7.229604709840202</v>
      </c>
    </row>
    <row r="28" spans="1:16" s="10" customFormat="1" ht="15">
      <c r="A28" s="97">
        <v>24</v>
      </c>
      <c r="B28" s="25"/>
      <c r="C28" s="303" t="s">
        <v>50</v>
      </c>
      <c r="D28" s="27">
        <v>38800</v>
      </c>
      <c r="E28" s="116" t="s">
        <v>43</v>
      </c>
      <c r="F28" s="116" t="s">
        <v>84</v>
      </c>
      <c r="G28" s="304" t="s">
        <v>253</v>
      </c>
      <c r="H28" s="304" t="s">
        <v>150</v>
      </c>
      <c r="I28" s="304" t="s">
        <v>250</v>
      </c>
      <c r="J28" s="339">
        <v>3952</v>
      </c>
      <c r="K28" s="62">
        <v>758</v>
      </c>
      <c r="L28" s="311">
        <f>+K28/H28</f>
        <v>189.5</v>
      </c>
      <c r="M28" s="312">
        <f>+J28/K28</f>
        <v>5.213720316622691</v>
      </c>
      <c r="N28" s="315">
        <v>855321</v>
      </c>
      <c r="O28" s="62">
        <v>130074</v>
      </c>
      <c r="P28" s="60">
        <f>+N28/O28</f>
        <v>6.5756492458139215</v>
      </c>
    </row>
    <row r="29" spans="1:16" s="10" customFormat="1" ht="15">
      <c r="A29" s="97">
        <v>25</v>
      </c>
      <c r="B29" s="25"/>
      <c r="C29" s="93" t="s">
        <v>223</v>
      </c>
      <c r="D29" s="39">
        <v>38870</v>
      </c>
      <c r="E29" s="119" t="s">
        <v>130</v>
      </c>
      <c r="F29" s="119" t="s">
        <v>147</v>
      </c>
      <c r="G29" s="309">
        <v>5</v>
      </c>
      <c r="H29" s="110">
        <v>5</v>
      </c>
      <c r="I29" s="110">
        <v>2</v>
      </c>
      <c r="J29" s="336">
        <v>3896</v>
      </c>
      <c r="K29" s="59">
        <v>473</v>
      </c>
      <c r="L29" s="311">
        <f>+K29/H29</f>
        <v>94.6</v>
      </c>
      <c r="M29" s="312">
        <f>+J29/K29</f>
        <v>8.236786469344608</v>
      </c>
      <c r="N29" s="313">
        <f>20882.25+8209.5+3896</f>
        <v>32987.75</v>
      </c>
      <c r="O29" s="59">
        <f>2709+885+473</f>
        <v>4067</v>
      </c>
      <c r="P29" s="60">
        <f>+N29/O29</f>
        <v>8.111076960904844</v>
      </c>
    </row>
    <row r="30" spans="1:16" s="10" customFormat="1" ht="15">
      <c r="A30" s="97">
        <v>26</v>
      </c>
      <c r="B30" s="25"/>
      <c r="C30" s="303" t="s">
        <v>104</v>
      </c>
      <c r="D30" s="27">
        <v>38842</v>
      </c>
      <c r="E30" s="116" t="s">
        <v>60</v>
      </c>
      <c r="F30" s="116" t="s">
        <v>80</v>
      </c>
      <c r="G30" s="304">
        <v>14</v>
      </c>
      <c r="H30" s="304">
        <v>6</v>
      </c>
      <c r="I30" s="304">
        <v>6</v>
      </c>
      <c r="J30" s="337">
        <v>3569</v>
      </c>
      <c r="K30" s="64">
        <v>867</v>
      </c>
      <c r="L30" s="306">
        <f>K30/H30</f>
        <v>144.5</v>
      </c>
      <c r="M30" s="307">
        <f>J30/K30</f>
        <v>4.1164936562860435</v>
      </c>
      <c r="N30" s="305">
        <f>41489.5+21950+1583.5+1943+4071+3569</f>
        <v>74606</v>
      </c>
      <c r="O30" s="64">
        <f>4497+2417+200+294+1148+867</f>
        <v>9423</v>
      </c>
      <c r="P30" s="61">
        <f>+N30/O30</f>
        <v>7.917436060702537</v>
      </c>
    </row>
    <row r="31" spans="1:16" s="10" customFormat="1" ht="15">
      <c r="A31" s="97">
        <v>27</v>
      </c>
      <c r="B31" s="25"/>
      <c r="C31" s="308" t="s">
        <v>93</v>
      </c>
      <c r="D31" s="153">
        <v>38828</v>
      </c>
      <c r="E31" s="154" t="s">
        <v>63</v>
      </c>
      <c r="F31" s="154" t="s">
        <v>76</v>
      </c>
      <c r="G31" s="309">
        <v>43</v>
      </c>
      <c r="H31" s="309">
        <v>8</v>
      </c>
      <c r="I31" s="309">
        <v>8</v>
      </c>
      <c r="J31" s="335">
        <v>3291</v>
      </c>
      <c r="K31" s="92">
        <v>919</v>
      </c>
      <c r="L31" s="311">
        <f>+K31/H31</f>
        <v>114.875</v>
      </c>
      <c r="M31" s="312">
        <f>+J31/K31</f>
        <v>3.5810663764961914</v>
      </c>
      <c r="N31" s="310">
        <f>221837.5+151726+100334.5+58293.5+26175.5+11161+17463.5+3291</f>
        <v>590282.5</v>
      </c>
      <c r="O31" s="92">
        <f>31465+21243+15047+11409+5192+2380+3862+919</f>
        <v>91517</v>
      </c>
      <c r="P31" s="60">
        <f>+N31/O31</f>
        <v>6.449976507097042</v>
      </c>
    </row>
    <row r="32" spans="1:16" s="10" customFormat="1" ht="15">
      <c r="A32" s="97">
        <v>28</v>
      </c>
      <c r="B32" s="25"/>
      <c r="C32" s="56" t="s">
        <v>113</v>
      </c>
      <c r="D32" s="39">
        <v>38821</v>
      </c>
      <c r="E32" s="120" t="s">
        <v>61</v>
      </c>
      <c r="F32" s="154" t="s">
        <v>66</v>
      </c>
      <c r="G32" s="309">
        <v>94</v>
      </c>
      <c r="H32" s="151">
        <v>11</v>
      </c>
      <c r="I32" s="151">
        <v>10</v>
      </c>
      <c r="J32" s="336">
        <v>2812</v>
      </c>
      <c r="K32" s="155">
        <v>633</v>
      </c>
      <c r="L32" s="311">
        <f>+K32/H32</f>
        <v>57.54545454545455</v>
      </c>
      <c r="M32" s="312">
        <f>+J32/K32</f>
        <v>4.442338072669826</v>
      </c>
      <c r="N32" s="313">
        <v>980466</v>
      </c>
      <c r="O32" s="155">
        <v>144317</v>
      </c>
      <c r="P32" s="60">
        <f>+N32/O32</f>
        <v>6.793835792041132</v>
      </c>
    </row>
    <row r="33" spans="1:16" s="10" customFormat="1" ht="15">
      <c r="A33" s="97">
        <v>29</v>
      </c>
      <c r="B33" s="25"/>
      <c r="C33" s="56" t="s">
        <v>39</v>
      </c>
      <c r="D33" s="39">
        <v>38779</v>
      </c>
      <c r="E33" s="120" t="s">
        <v>61</v>
      </c>
      <c r="F33" s="154" t="s">
        <v>66</v>
      </c>
      <c r="G33" s="309">
        <v>72</v>
      </c>
      <c r="H33" s="151">
        <v>4</v>
      </c>
      <c r="I33" s="151">
        <v>15</v>
      </c>
      <c r="J33" s="336">
        <v>2637</v>
      </c>
      <c r="K33" s="155">
        <v>574</v>
      </c>
      <c r="L33" s="311">
        <f>+K33/H33</f>
        <v>143.5</v>
      </c>
      <c r="M33" s="312">
        <f>+J33/K33</f>
        <v>4.594076655052265</v>
      </c>
      <c r="N33" s="313">
        <v>972444</v>
      </c>
      <c r="O33" s="155">
        <v>144811</v>
      </c>
      <c r="P33" s="60">
        <f>+N33/O33</f>
        <v>6.7152633432543105</v>
      </c>
    </row>
    <row r="34" spans="1:16" s="10" customFormat="1" ht="15">
      <c r="A34" s="97">
        <v>30</v>
      </c>
      <c r="B34" s="25"/>
      <c r="C34" s="303" t="s">
        <v>101</v>
      </c>
      <c r="D34" s="27">
        <v>38835</v>
      </c>
      <c r="E34" s="116" t="s">
        <v>60</v>
      </c>
      <c r="F34" s="116" t="s">
        <v>115</v>
      </c>
      <c r="G34" s="304">
        <v>40</v>
      </c>
      <c r="H34" s="304">
        <v>7</v>
      </c>
      <c r="I34" s="304">
        <v>7</v>
      </c>
      <c r="J34" s="337">
        <v>2589.5</v>
      </c>
      <c r="K34" s="64">
        <v>550</v>
      </c>
      <c r="L34" s="306">
        <f>K34/H34</f>
        <v>78.57142857142857</v>
      </c>
      <c r="M34" s="307">
        <f>J34/K34</f>
        <v>4.708181818181818</v>
      </c>
      <c r="N34" s="305">
        <f>140527+60007+17227+3041.5+24+5449.5+8065.5+2589.5</f>
        <v>236931</v>
      </c>
      <c r="O34" s="64">
        <f>16242+7267+2760+627+1138+1358+550</f>
        <v>29942</v>
      </c>
      <c r="P34" s="61">
        <f>+N34/O34</f>
        <v>7.91299846369648</v>
      </c>
    </row>
    <row r="35" spans="1:16" s="10" customFormat="1" ht="15">
      <c r="A35" s="97">
        <v>31</v>
      </c>
      <c r="B35" s="25"/>
      <c r="C35" s="303" t="s">
        <v>81</v>
      </c>
      <c r="D35" s="27">
        <v>38814</v>
      </c>
      <c r="E35" s="116" t="s">
        <v>60</v>
      </c>
      <c r="F35" s="116" t="s">
        <v>82</v>
      </c>
      <c r="G35" s="304">
        <v>124</v>
      </c>
      <c r="H35" s="304">
        <v>4</v>
      </c>
      <c r="I35" s="304">
        <v>10</v>
      </c>
      <c r="J35" s="337">
        <v>2424</v>
      </c>
      <c r="K35" s="64">
        <v>596</v>
      </c>
      <c r="L35" s="306">
        <f>K35/H35</f>
        <v>149</v>
      </c>
      <c r="M35" s="307">
        <f>J35/K35</f>
        <v>4.067114093959732</v>
      </c>
      <c r="N35" s="305">
        <f>439414+274192+192421+64.5+69171.5+43293.5-3918+20352-1014+12440+194+1138+1592+2424</f>
        <v>1051764.5</v>
      </c>
      <c r="O35" s="64">
        <f>65914+42392+32259+2+13519+9474-1031+5275-202+2638+58+320+376+596</f>
        <v>171590</v>
      </c>
      <c r="P35" s="61">
        <f>+N35/O35</f>
        <v>6.129520951104377</v>
      </c>
    </row>
    <row r="36" spans="1:16" s="10" customFormat="1" ht="15">
      <c r="A36" s="97">
        <v>32</v>
      </c>
      <c r="B36" s="25"/>
      <c r="C36" s="93" t="s">
        <v>56</v>
      </c>
      <c r="D36" s="39">
        <v>38807</v>
      </c>
      <c r="E36" s="119" t="s">
        <v>57</v>
      </c>
      <c r="F36" s="119" t="s">
        <v>58</v>
      </c>
      <c r="G36" s="109">
        <v>115</v>
      </c>
      <c r="H36" s="109">
        <v>1</v>
      </c>
      <c r="I36" s="109">
        <v>11</v>
      </c>
      <c r="J36" s="336">
        <v>2282</v>
      </c>
      <c r="K36" s="59">
        <v>460</v>
      </c>
      <c r="L36" s="311">
        <f>+K36/H36</f>
        <v>460</v>
      </c>
      <c r="M36" s="312">
        <f>+J36/K36</f>
        <v>4.960869565217391</v>
      </c>
      <c r="N36" s="313">
        <v>2090646</v>
      </c>
      <c r="O36" s="59">
        <v>291036</v>
      </c>
      <c r="P36" s="60">
        <f>+N36/O36</f>
        <v>7.1834618397723995</v>
      </c>
    </row>
    <row r="37" spans="1:16" s="10" customFormat="1" ht="15">
      <c r="A37" s="97">
        <v>33</v>
      </c>
      <c r="B37" s="25"/>
      <c r="C37" s="303" t="s">
        <v>92</v>
      </c>
      <c r="D37" s="27">
        <v>38828</v>
      </c>
      <c r="E37" s="116" t="s">
        <v>60</v>
      </c>
      <c r="F37" s="116" t="s">
        <v>74</v>
      </c>
      <c r="G37" s="304">
        <v>59</v>
      </c>
      <c r="H37" s="304">
        <v>4</v>
      </c>
      <c r="I37" s="304">
        <v>8</v>
      </c>
      <c r="J37" s="337">
        <v>1947</v>
      </c>
      <c r="K37" s="64">
        <v>463</v>
      </c>
      <c r="L37" s="306">
        <f>K37/H37</f>
        <v>115.75</v>
      </c>
      <c r="M37" s="307">
        <f>J37/K37</f>
        <v>4.205183585313175</v>
      </c>
      <c r="N37" s="305">
        <f>365673.5+242198.5+102288+967.5+39022+4819.5+5052.5+2597+1947</f>
        <v>764565.5</v>
      </c>
      <c r="O37" s="64">
        <f>45213+29847+13085+1+6124+1313+1025+532+463</f>
        <v>97603</v>
      </c>
      <c r="P37" s="61">
        <f>+N37/O37</f>
        <v>7.833422128418184</v>
      </c>
    </row>
    <row r="38" spans="1:16" s="10" customFormat="1" ht="15">
      <c r="A38" s="97">
        <v>34</v>
      </c>
      <c r="B38" s="25"/>
      <c r="C38" s="93" t="s">
        <v>131</v>
      </c>
      <c r="D38" s="39">
        <v>38856</v>
      </c>
      <c r="E38" s="119" t="s">
        <v>130</v>
      </c>
      <c r="F38" s="119" t="s">
        <v>103</v>
      </c>
      <c r="G38" s="309">
        <v>10</v>
      </c>
      <c r="H38" s="110">
        <v>3</v>
      </c>
      <c r="I38" s="110">
        <v>4</v>
      </c>
      <c r="J38" s="336">
        <v>1559</v>
      </c>
      <c r="K38" s="59">
        <v>243</v>
      </c>
      <c r="L38" s="311">
        <f>+K38/H38</f>
        <v>81</v>
      </c>
      <c r="M38" s="312">
        <f>+J38/K38</f>
        <v>6.415637860082304</v>
      </c>
      <c r="N38" s="313">
        <f>21534.5+7198.5+1602+1559</f>
        <v>31894</v>
      </c>
      <c r="O38" s="59">
        <f>3022+1231+222+243</f>
        <v>4718</v>
      </c>
      <c r="P38" s="60">
        <f>+N38/O38</f>
        <v>6.760067825349725</v>
      </c>
    </row>
    <row r="39" spans="1:16" s="10" customFormat="1" ht="15">
      <c r="A39" s="97">
        <v>35</v>
      </c>
      <c r="B39" s="25"/>
      <c r="C39" s="308" t="s">
        <v>105</v>
      </c>
      <c r="D39" s="153">
        <v>38842</v>
      </c>
      <c r="E39" s="154" t="s">
        <v>63</v>
      </c>
      <c r="F39" s="154" t="s">
        <v>106</v>
      </c>
      <c r="G39" s="309">
        <v>40</v>
      </c>
      <c r="H39" s="309">
        <v>8</v>
      </c>
      <c r="I39" s="309">
        <v>6</v>
      </c>
      <c r="J39" s="335">
        <v>1522</v>
      </c>
      <c r="K39" s="92">
        <v>344</v>
      </c>
      <c r="L39" s="311">
        <f>+K39/H39</f>
        <v>43</v>
      </c>
      <c r="M39" s="312">
        <f>+J39/K39</f>
        <v>4.424418604651163</v>
      </c>
      <c r="N39" s="310">
        <f>38973.5+16801.5+3724.5+1143.5+878.5+1522</f>
        <v>63043.5</v>
      </c>
      <c r="O39" s="92">
        <f>6538+2897+696+259+197+344</f>
        <v>10931</v>
      </c>
      <c r="P39" s="60">
        <f>+N39/O39</f>
        <v>5.767404629036685</v>
      </c>
    </row>
    <row r="40" spans="1:16" s="10" customFormat="1" ht="15">
      <c r="A40" s="97">
        <v>36</v>
      </c>
      <c r="B40" s="25"/>
      <c r="C40" s="93" t="s">
        <v>199</v>
      </c>
      <c r="D40" s="39">
        <v>38779</v>
      </c>
      <c r="E40" s="119" t="s">
        <v>130</v>
      </c>
      <c r="F40" s="119" t="s">
        <v>200</v>
      </c>
      <c r="G40" s="309">
        <v>6</v>
      </c>
      <c r="H40" s="110">
        <v>2</v>
      </c>
      <c r="I40" s="110">
        <v>5</v>
      </c>
      <c r="J40" s="336">
        <v>1416</v>
      </c>
      <c r="K40" s="59">
        <v>419</v>
      </c>
      <c r="L40" s="311">
        <f>+K40/H40</f>
        <v>209.5</v>
      </c>
      <c r="M40" s="312">
        <f>+J40/K40</f>
        <v>3.379474940334129</v>
      </c>
      <c r="N40" s="313">
        <f>9397.5+2137+188+1545+1416</f>
        <v>14683.5</v>
      </c>
      <c r="O40" s="59">
        <f>1039+275+26+515+419</f>
        <v>2274</v>
      </c>
      <c r="P40" s="60">
        <f>+N40/O40</f>
        <v>6.4571240105540895</v>
      </c>
    </row>
    <row r="41" spans="1:16" s="10" customFormat="1" ht="15">
      <c r="A41" s="97">
        <v>37</v>
      </c>
      <c r="B41" s="25"/>
      <c r="C41" s="308" t="s">
        <v>169</v>
      </c>
      <c r="D41" s="153">
        <v>38737</v>
      </c>
      <c r="E41" s="154" t="s">
        <v>63</v>
      </c>
      <c r="F41" s="154" t="s">
        <v>76</v>
      </c>
      <c r="G41" s="309">
        <v>43</v>
      </c>
      <c r="H41" s="309">
        <v>1</v>
      </c>
      <c r="I41" s="309">
        <v>15</v>
      </c>
      <c r="J41" s="335">
        <v>1345</v>
      </c>
      <c r="K41" s="92">
        <v>240</v>
      </c>
      <c r="L41" s="311">
        <f>+K41/H41</f>
        <v>240</v>
      </c>
      <c r="M41" s="312">
        <f>+J41/K41</f>
        <v>5.604166666666667</v>
      </c>
      <c r="N41" s="310">
        <f>396203.5+294727+144308+39007.5+20845+13381+3440+5237.5+6333+2618+1285+5683+2376+297+2376+1345</f>
        <v>939462.5</v>
      </c>
      <c r="O41" s="92">
        <f>47896+35851+17460+6558+3746+4007+1374+1611+1950+556+169+1830+1188+72+792+240</f>
        <v>125300</v>
      </c>
      <c r="P41" s="60">
        <f>+N41/O41</f>
        <v>7.497705506783719</v>
      </c>
    </row>
    <row r="42" spans="1:16" s="10" customFormat="1" ht="15">
      <c r="A42" s="97">
        <v>38</v>
      </c>
      <c r="B42" s="25"/>
      <c r="C42" s="303" t="s">
        <v>114</v>
      </c>
      <c r="D42" s="27">
        <v>38849</v>
      </c>
      <c r="E42" s="116" t="s">
        <v>60</v>
      </c>
      <c r="F42" s="116" t="s">
        <v>73</v>
      </c>
      <c r="G42" s="304">
        <v>20</v>
      </c>
      <c r="H42" s="304">
        <v>4</v>
      </c>
      <c r="I42" s="304">
        <v>5</v>
      </c>
      <c r="J42" s="337">
        <v>1253</v>
      </c>
      <c r="K42" s="64">
        <v>189</v>
      </c>
      <c r="L42" s="306">
        <f>K42/H42</f>
        <v>47.25</v>
      </c>
      <c r="M42" s="307">
        <f>J42/K42</f>
        <v>6.62962962962963</v>
      </c>
      <c r="N42" s="305">
        <f>28036+3671+205.5+163+1253</f>
        <v>33328.5</v>
      </c>
      <c r="O42" s="64">
        <f>3110+476+42+29+189</f>
        <v>3846</v>
      </c>
      <c r="P42" s="61">
        <f>+N42/O42</f>
        <v>8.66575663026521</v>
      </c>
    </row>
    <row r="43" spans="1:16" s="10" customFormat="1" ht="15">
      <c r="A43" s="97">
        <v>39</v>
      </c>
      <c r="B43" s="25"/>
      <c r="C43" s="56" t="s">
        <v>254</v>
      </c>
      <c r="D43" s="39">
        <v>38625</v>
      </c>
      <c r="E43" s="316" t="s">
        <v>73</v>
      </c>
      <c r="F43" s="120" t="s">
        <v>255</v>
      </c>
      <c r="G43" s="151">
        <v>6</v>
      </c>
      <c r="H43" s="151">
        <v>5</v>
      </c>
      <c r="I43" s="151">
        <v>2</v>
      </c>
      <c r="J43" s="336">
        <v>1190</v>
      </c>
      <c r="K43" s="59">
        <v>217</v>
      </c>
      <c r="L43" s="311">
        <f>+K43/H43</f>
        <v>43.4</v>
      </c>
      <c r="M43" s="312">
        <f>+J43/K43</f>
        <v>5.483870967741935</v>
      </c>
      <c r="N43" s="313">
        <v>47349.4</v>
      </c>
      <c r="O43" s="59">
        <v>6561</v>
      </c>
      <c r="P43" s="60">
        <f>+N43/O43</f>
        <v>7.216796220088401</v>
      </c>
    </row>
    <row r="44" spans="1:16" s="10" customFormat="1" ht="15">
      <c r="A44" s="97">
        <v>40</v>
      </c>
      <c r="B44" s="25"/>
      <c r="C44" s="303" t="s">
        <v>59</v>
      </c>
      <c r="D44" s="27">
        <v>38807</v>
      </c>
      <c r="E44" s="116" t="s">
        <v>60</v>
      </c>
      <c r="F44" s="116" t="s">
        <v>32</v>
      </c>
      <c r="G44" s="304">
        <v>77</v>
      </c>
      <c r="H44" s="304">
        <v>1</v>
      </c>
      <c r="I44" s="304">
        <v>9</v>
      </c>
      <c r="J44" s="337">
        <v>1188</v>
      </c>
      <c r="K44" s="64">
        <v>229</v>
      </c>
      <c r="L44" s="306">
        <f>K44/H44</f>
        <v>229</v>
      </c>
      <c r="M44" s="307">
        <f>J44/K44</f>
        <v>5.187772925764192</v>
      </c>
      <c r="N44" s="305">
        <f>360631+281662+146898.5-10+41732+5+35353+15128+3266+1520+1188</f>
        <v>887373.5</v>
      </c>
      <c r="O44" s="64">
        <f>47208+36381+19166-5+6638+7219+4011+941+529+229</f>
        <v>122317</v>
      </c>
      <c r="P44" s="61">
        <f>+N44/O44</f>
        <v>7.254702943989797</v>
      </c>
    </row>
    <row r="45" spans="1:16" s="10" customFormat="1" ht="15">
      <c r="A45" s="97">
        <v>41</v>
      </c>
      <c r="B45" s="25"/>
      <c r="C45" s="317" t="s">
        <v>119</v>
      </c>
      <c r="D45" s="39">
        <v>38751</v>
      </c>
      <c r="E45" s="120" t="s">
        <v>61</v>
      </c>
      <c r="F45" s="154" t="s">
        <v>72</v>
      </c>
      <c r="G45" s="309">
        <v>51</v>
      </c>
      <c r="H45" s="151">
        <v>2</v>
      </c>
      <c r="I45" s="151">
        <v>19</v>
      </c>
      <c r="J45" s="336">
        <v>1163</v>
      </c>
      <c r="K45" s="155">
        <v>380</v>
      </c>
      <c r="L45" s="311">
        <f>+K45/H45</f>
        <v>190</v>
      </c>
      <c r="M45" s="312">
        <f>+J45/K45</f>
        <v>3.0605263157894735</v>
      </c>
      <c r="N45" s="313">
        <v>1335814</v>
      </c>
      <c r="O45" s="155">
        <v>174639</v>
      </c>
      <c r="P45" s="60">
        <f>+N45/O45</f>
        <v>7.649001654842275</v>
      </c>
    </row>
    <row r="46" spans="1:16" s="10" customFormat="1" ht="15">
      <c r="A46" s="97">
        <v>42</v>
      </c>
      <c r="B46" s="25"/>
      <c r="C46" s="93" t="s">
        <v>142</v>
      </c>
      <c r="D46" s="39">
        <v>38758</v>
      </c>
      <c r="E46" s="119" t="s">
        <v>130</v>
      </c>
      <c r="F46" s="119" t="s">
        <v>143</v>
      </c>
      <c r="G46" s="309">
        <v>4</v>
      </c>
      <c r="H46" s="110">
        <v>2</v>
      </c>
      <c r="I46" s="110">
        <v>17</v>
      </c>
      <c r="J46" s="336">
        <v>1054</v>
      </c>
      <c r="K46" s="59">
        <v>318</v>
      </c>
      <c r="L46" s="311">
        <f>+K46/H46</f>
        <v>159</v>
      </c>
      <c r="M46" s="312">
        <f>+J46/K46</f>
        <v>3.3144654088050314</v>
      </c>
      <c r="N46" s="313">
        <f>12456+7990+4147+1031+2942.5+1687.5+5526.5+3841.5+1352.5+925+2425+2735+1963+2610.5+374+1948+1054</f>
        <v>55009</v>
      </c>
      <c r="O46" s="59">
        <f>1552+1090+669+166+430+252+1516+804+308+163+443+768+612+467+81+595+318</f>
        <v>10234</v>
      </c>
      <c r="P46" s="60">
        <f>+N46/O46</f>
        <v>5.3751221418800075</v>
      </c>
    </row>
    <row r="47" spans="1:16" s="10" customFormat="1" ht="15">
      <c r="A47" s="97">
        <v>43</v>
      </c>
      <c r="B47" s="25"/>
      <c r="C47" s="303" t="s">
        <v>87</v>
      </c>
      <c r="D47" s="27">
        <v>38821</v>
      </c>
      <c r="E47" s="116" t="s">
        <v>60</v>
      </c>
      <c r="F47" s="116" t="s">
        <v>86</v>
      </c>
      <c r="G47" s="304">
        <v>32</v>
      </c>
      <c r="H47" s="304">
        <v>2</v>
      </c>
      <c r="I47" s="304">
        <v>9</v>
      </c>
      <c r="J47" s="337">
        <v>1019</v>
      </c>
      <c r="K47" s="64">
        <v>192</v>
      </c>
      <c r="L47" s="306">
        <f>K47/H47</f>
        <v>96</v>
      </c>
      <c r="M47" s="307">
        <f>J47/K47</f>
        <v>5.307291666666667</v>
      </c>
      <c r="N47" s="305">
        <f>122911+88335.5+16+40828.5+16007.5+37291.5+2997+4262.5+1548.5+1019</f>
        <v>315217</v>
      </c>
      <c r="O47" s="64">
        <f>13093+9562-3+4800+2670+6683+902+881+241+192</f>
        <v>39021</v>
      </c>
      <c r="P47" s="61">
        <f>+N47/O47</f>
        <v>8.07813741318777</v>
      </c>
    </row>
    <row r="48" spans="1:16" s="10" customFormat="1" ht="15">
      <c r="A48" s="97">
        <v>44</v>
      </c>
      <c r="B48" s="25"/>
      <c r="C48" s="93" t="s">
        <v>148</v>
      </c>
      <c r="D48" s="39">
        <v>38835</v>
      </c>
      <c r="E48" s="119" t="s">
        <v>130</v>
      </c>
      <c r="F48" s="119" t="s">
        <v>149</v>
      </c>
      <c r="G48" s="309">
        <v>5</v>
      </c>
      <c r="H48" s="110">
        <v>2</v>
      </c>
      <c r="I48" s="110">
        <v>6</v>
      </c>
      <c r="J48" s="336">
        <v>941.5</v>
      </c>
      <c r="K48" s="59">
        <v>143</v>
      </c>
      <c r="L48" s="311">
        <f>+K48/H48</f>
        <v>71.5</v>
      </c>
      <c r="M48" s="312">
        <f>+J48/K48</f>
        <v>6.583916083916084</v>
      </c>
      <c r="N48" s="313">
        <f>497.5+5960+2567+1138+75+2686+941.5</f>
        <v>13865</v>
      </c>
      <c r="O48" s="59">
        <f>103+657+317+178+15+682+143</f>
        <v>2095</v>
      </c>
      <c r="P48" s="60">
        <f>+N48/O48</f>
        <v>6.6181384248210025</v>
      </c>
    </row>
    <row r="49" spans="1:16" s="10" customFormat="1" ht="15">
      <c r="A49" s="97">
        <v>45</v>
      </c>
      <c r="B49" s="25"/>
      <c r="C49" s="93" t="s">
        <v>96</v>
      </c>
      <c r="D49" s="39">
        <v>38828</v>
      </c>
      <c r="E49" s="119" t="s">
        <v>57</v>
      </c>
      <c r="F49" s="119" t="s">
        <v>72</v>
      </c>
      <c r="G49" s="109">
        <v>45</v>
      </c>
      <c r="H49" s="109">
        <v>2</v>
      </c>
      <c r="I49" s="109">
        <v>8</v>
      </c>
      <c r="J49" s="336">
        <v>843</v>
      </c>
      <c r="K49" s="59">
        <v>162</v>
      </c>
      <c r="L49" s="311">
        <f>+K49/H49</f>
        <v>81</v>
      </c>
      <c r="M49" s="312">
        <f>+J49/K49</f>
        <v>5.203703703703703</v>
      </c>
      <c r="N49" s="313">
        <v>144772</v>
      </c>
      <c r="O49" s="59">
        <v>20388</v>
      </c>
      <c r="P49" s="60">
        <f>+N49/O49</f>
        <v>7.100843633509908</v>
      </c>
    </row>
    <row r="50" spans="1:16" s="10" customFormat="1" ht="15">
      <c r="A50" s="97">
        <v>46</v>
      </c>
      <c r="B50" s="25"/>
      <c r="C50" s="303" t="s">
        <v>256</v>
      </c>
      <c r="D50" s="27">
        <v>38667</v>
      </c>
      <c r="E50" s="116" t="s">
        <v>60</v>
      </c>
      <c r="F50" s="116" t="s">
        <v>86</v>
      </c>
      <c r="G50" s="304">
        <v>76</v>
      </c>
      <c r="H50" s="304">
        <v>1</v>
      </c>
      <c r="I50" s="304">
        <v>20</v>
      </c>
      <c r="J50" s="337">
        <v>832</v>
      </c>
      <c r="K50" s="64">
        <v>206</v>
      </c>
      <c r="L50" s="306">
        <f>K50/H50</f>
        <v>206</v>
      </c>
      <c r="M50" s="307">
        <f>J50/K50</f>
        <v>4.038834951456311</v>
      </c>
      <c r="N50" s="305">
        <f>828966.5+670135+430453.5+252524+172010+102242.5+19433.5-1641+9995.5+1245+1425+1425+1425+1425+1425+1425+1425+1425+1425+1425+832</f>
        <v>2500446.5</v>
      </c>
      <c r="O50" s="64">
        <f>115867+95362-1+63392+42671+33929+21004+4863-421+2356-1+644+363+285+285+285+285+285+285+285+285+285+206</f>
        <v>382799</v>
      </c>
      <c r="P50" s="61">
        <f>+N50/O50</f>
        <v>6.532008965540662</v>
      </c>
    </row>
    <row r="51" spans="1:16" s="10" customFormat="1" ht="15">
      <c r="A51" s="97">
        <v>47</v>
      </c>
      <c r="B51" s="25"/>
      <c r="C51" s="93" t="s">
        <v>136</v>
      </c>
      <c r="D51" s="39">
        <v>38779</v>
      </c>
      <c r="E51" s="119" t="s">
        <v>130</v>
      </c>
      <c r="F51" s="119" t="s">
        <v>137</v>
      </c>
      <c r="G51" s="309">
        <v>10</v>
      </c>
      <c r="H51" s="110">
        <v>1</v>
      </c>
      <c r="I51" s="110">
        <v>15</v>
      </c>
      <c r="J51" s="336">
        <v>831</v>
      </c>
      <c r="K51" s="59">
        <v>277</v>
      </c>
      <c r="L51" s="311">
        <f>+K51/H51</f>
        <v>277</v>
      </c>
      <c r="M51" s="312">
        <f>+J51/K51</f>
        <v>3</v>
      </c>
      <c r="N51" s="313">
        <f>19635+7029.5+1939.5+1932.5+1425+2285+846+5995.5+272.5+3026+831+1782+1425+2693.5+831</f>
        <v>51949</v>
      </c>
      <c r="O51" s="59">
        <f>2548+994+309+438+475+587+190+1491+27+979+277+594+475+870+277</f>
        <v>10531</v>
      </c>
      <c r="P51" s="60">
        <f>+N51/O51</f>
        <v>4.932959832874371</v>
      </c>
    </row>
    <row r="52" spans="1:16" s="10" customFormat="1" ht="15">
      <c r="A52" s="97">
        <v>48</v>
      </c>
      <c r="B52" s="25"/>
      <c r="C52" s="303" t="s">
        <v>95</v>
      </c>
      <c r="D52" s="27">
        <v>38821</v>
      </c>
      <c r="E52" s="116" t="s">
        <v>60</v>
      </c>
      <c r="F52" s="116" t="s">
        <v>67</v>
      </c>
      <c r="G52" s="304">
        <v>53</v>
      </c>
      <c r="H52" s="304">
        <v>1</v>
      </c>
      <c r="I52" s="304">
        <v>9</v>
      </c>
      <c r="J52" s="337">
        <v>805</v>
      </c>
      <c r="K52" s="64">
        <v>149</v>
      </c>
      <c r="L52" s="306">
        <f>K52/H52</f>
        <v>149</v>
      </c>
      <c r="M52" s="307">
        <f>J52/K52</f>
        <v>5.402684563758389</v>
      </c>
      <c r="N52" s="305">
        <f>155465+86253.5+51+32563.5+13957.5+17705+3940.5+3158+2263.5+805</f>
        <v>316162.5</v>
      </c>
      <c r="O52" s="64">
        <f>21109+11912+4921+2568+3792+939+610+410+149</f>
        <v>46410</v>
      </c>
      <c r="P52" s="61">
        <f>+N52/O52</f>
        <v>6.812378797672915</v>
      </c>
    </row>
    <row r="53" spans="1:16" s="10" customFormat="1" ht="15">
      <c r="A53" s="97">
        <v>49</v>
      </c>
      <c r="B53" s="25"/>
      <c r="C53" s="308" t="s">
        <v>102</v>
      </c>
      <c r="D53" s="153">
        <v>38835</v>
      </c>
      <c r="E53" s="154" t="s">
        <v>63</v>
      </c>
      <c r="F53" s="154" t="s">
        <v>64</v>
      </c>
      <c r="G53" s="309">
        <v>15</v>
      </c>
      <c r="H53" s="309">
        <v>4</v>
      </c>
      <c r="I53" s="309">
        <v>7</v>
      </c>
      <c r="J53" s="335">
        <v>711.5</v>
      </c>
      <c r="K53" s="92">
        <v>150</v>
      </c>
      <c r="L53" s="311">
        <f>+K53/H53</f>
        <v>37.5</v>
      </c>
      <c r="M53" s="312">
        <f>+J53/K53</f>
        <v>4.743333333333333</v>
      </c>
      <c r="N53" s="310">
        <f>60845.5+35645.5+5851+2968.5+2340.5+3653.5+711.5</f>
        <v>112016</v>
      </c>
      <c r="O53" s="92">
        <f>6762+4054+1018+542+466+689+150</f>
        <v>13681</v>
      </c>
      <c r="P53" s="60">
        <f>+N53/O53</f>
        <v>8.187705577077699</v>
      </c>
    </row>
    <row r="54" spans="1:16" s="10" customFormat="1" ht="15">
      <c r="A54" s="97">
        <v>50</v>
      </c>
      <c r="B54" s="25"/>
      <c r="C54" s="56" t="s">
        <v>42</v>
      </c>
      <c r="D54" s="39">
        <v>38793</v>
      </c>
      <c r="E54" s="120" t="s">
        <v>61</v>
      </c>
      <c r="F54" s="154" t="s">
        <v>62</v>
      </c>
      <c r="G54" s="309">
        <v>129</v>
      </c>
      <c r="H54" s="151">
        <v>1</v>
      </c>
      <c r="I54" s="151">
        <v>13</v>
      </c>
      <c r="J54" s="336">
        <v>592</v>
      </c>
      <c r="K54" s="155">
        <v>172</v>
      </c>
      <c r="L54" s="311">
        <f>+K54/H54</f>
        <v>172</v>
      </c>
      <c r="M54" s="312">
        <f>+J54/K54</f>
        <v>3.441860465116279</v>
      </c>
      <c r="N54" s="313">
        <v>1786484</v>
      </c>
      <c r="O54" s="155">
        <v>271716</v>
      </c>
      <c r="P54" s="60">
        <f>+N54/O54</f>
        <v>6.574820768743836</v>
      </c>
    </row>
    <row r="55" spans="1:16" s="10" customFormat="1" ht="15">
      <c r="A55" s="97">
        <v>51</v>
      </c>
      <c r="B55" s="25"/>
      <c r="C55" s="93" t="s">
        <v>183</v>
      </c>
      <c r="D55" s="39">
        <v>38716</v>
      </c>
      <c r="E55" s="119" t="s">
        <v>130</v>
      </c>
      <c r="F55" s="119" t="s">
        <v>184</v>
      </c>
      <c r="G55" s="309">
        <v>9</v>
      </c>
      <c r="H55" s="110">
        <v>1</v>
      </c>
      <c r="I55" s="110">
        <v>22</v>
      </c>
      <c r="J55" s="336">
        <v>573</v>
      </c>
      <c r="K55" s="59">
        <v>111</v>
      </c>
      <c r="L55" s="311">
        <f>+K55/H55</f>
        <v>111</v>
      </c>
      <c r="M55" s="312">
        <f>+J55/K55</f>
        <v>5.162162162162162</v>
      </c>
      <c r="N55" s="313">
        <f>41335+22428+10569.5+2994.5+6995.5+477+1541+1030+1308+1168.5+974+1343+1399+1115+913+1257+1859.5+2654.5+10471+2543+294+573</f>
        <v>115243</v>
      </c>
      <c r="O55" s="59">
        <f>5101+2761+1545+448+1608+159+304+206+436+246+162+276+329+246+181+254+303+684+2148+666+66+111</f>
        <v>18240</v>
      </c>
      <c r="P55" s="60">
        <f>+N55/O55</f>
        <v>6.318146929824562</v>
      </c>
    </row>
    <row r="56" spans="1:16" s="10" customFormat="1" ht="15">
      <c r="A56" s="97">
        <v>52</v>
      </c>
      <c r="B56" s="25"/>
      <c r="C56" s="93" t="s">
        <v>146</v>
      </c>
      <c r="D56" s="39">
        <v>38814</v>
      </c>
      <c r="E56" s="119" t="s">
        <v>130</v>
      </c>
      <c r="F56" s="119" t="s">
        <v>147</v>
      </c>
      <c r="G56" s="309">
        <v>14</v>
      </c>
      <c r="H56" s="110">
        <v>2</v>
      </c>
      <c r="I56" s="110">
        <v>10</v>
      </c>
      <c r="J56" s="336">
        <v>571</v>
      </c>
      <c r="K56" s="59">
        <v>144</v>
      </c>
      <c r="L56" s="311">
        <f>+K56/H56</f>
        <v>72</v>
      </c>
      <c r="M56" s="312">
        <f>+J56/K56</f>
        <v>3.9652777777777777</v>
      </c>
      <c r="N56" s="313">
        <f>43111+13278+6067.5+7325+7474+6516.5+154+328+3068+571</f>
        <v>87893</v>
      </c>
      <c r="O56" s="59">
        <f>4620+1821+1003+1445+1813+1225+30+68+737+144</f>
        <v>12906</v>
      </c>
      <c r="P56" s="60">
        <f>+N56/O56</f>
        <v>6.810243297690996</v>
      </c>
    </row>
    <row r="57" spans="1:16" s="10" customFormat="1" ht="15">
      <c r="A57" s="97">
        <v>53</v>
      </c>
      <c r="B57" s="25"/>
      <c r="C57" s="103" t="s">
        <v>117</v>
      </c>
      <c r="D57" s="104">
        <v>38835</v>
      </c>
      <c r="E57" s="121" t="s">
        <v>98</v>
      </c>
      <c r="F57" s="121" t="s">
        <v>103</v>
      </c>
      <c r="G57" s="235" t="s">
        <v>226</v>
      </c>
      <c r="H57" s="235">
        <v>3</v>
      </c>
      <c r="I57" s="235">
        <v>7</v>
      </c>
      <c r="J57" s="339">
        <v>546</v>
      </c>
      <c r="K57" s="62">
        <v>84</v>
      </c>
      <c r="L57" s="311">
        <f>+K57/H57</f>
        <v>28</v>
      </c>
      <c r="M57" s="312">
        <f>+J57/K57</f>
        <v>6.5</v>
      </c>
      <c r="N57" s="315">
        <v>41373</v>
      </c>
      <c r="O57" s="62">
        <v>5360</v>
      </c>
      <c r="P57" s="60">
        <f>+N57/O57</f>
        <v>7.71884328358209</v>
      </c>
    </row>
    <row r="58" spans="1:16" s="10" customFormat="1" ht="15">
      <c r="A58" s="97">
        <v>54</v>
      </c>
      <c r="B58" s="25"/>
      <c r="C58" s="303" t="s">
        <v>168</v>
      </c>
      <c r="D58" s="27">
        <v>38772</v>
      </c>
      <c r="E58" s="116" t="s">
        <v>60</v>
      </c>
      <c r="F58" s="116" t="s">
        <v>74</v>
      </c>
      <c r="G58" s="304">
        <v>83</v>
      </c>
      <c r="H58" s="304">
        <v>1</v>
      </c>
      <c r="I58" s="304">
        <v>11</v>
      </c>
      <c r="J58" s="337">
        <v>493</v>
      </c>
      <c r="K58" s="64">
        <v>111</v>
      </c>
      <c r="L58" s="306">
        <f>K58/H58</f>
        <v>111</v>
      </c>
      <c r="M58" s="307">
        <f>J58/K58</f>
        <v>4.441441441441442</v>
      </c>
      <c r="N58" s="305">
        <f>567539+316479.5+147520.5+33631.5+20525+10752+2179+662+816+695+493</f>
        <v>1101292.5</v>
      </c>
      <c r="O58" s="64">
        <f>70751+40533+20089+5992+4309+2533+671+110+159+161+111</f>
        <v>145419</v>
      </c>
      <c r="P58" s="61">
        <f>+N58/O58</f>
        <v>7.573236647205661</v>
      </c>
    </row>
    <row r="59" spans="1:16" s="10" customFormat="1" ht="15">
      <c r="A59" s="97">
        <v>55</v>
      </c>
      <c r="B59" s="25"/>
      <c r="C59" s="56" t="s">
        <v>65</v>
      </c>
      <c r="D59" s="39">
        <v>38807</v>
      </c>
      <c r="E59" s="120" t="s">
        <v>61</v>
      </c>
      <c r="F59" s="154" t="s">
        <v>66</v>
      </c>
      <c r="G59" s="309">
        <v>62</v>
      </c>
      <c r="H59" s="151">
        <v>1</v>
      </c>
      <c r="I59" s="151">
        <v>11</v>
      </c>
      <c r="J59" s="336">
        <v>446</v>
      </c>
      <c r="K59" s="155">
        <v>106</v>
      </c>
      <c r="L59" s="311">
        <f>+K59/H59</f>
        <v>106</v>
      </c>
      <c r="M59" s="312">
        <f>+J59/K59</f>
        <v>4.2075471698113205</v>
      </c>
      <c r="N59" s="313">
        <v>547666</v>
      </c>
      <c r="O59" s="155">
        <v>71793</v>
      </c>
      <c r="P59" s="60">
        <f>+N59/O59</f>
        <v>7.62840388338696</v>
      </c>
    </row>
    <row r="60" spans="1:16" s="10" customFormat="1" ht="15">
      <c r="A60" s="97">
        <v>56</v>
      </c>
      <c r="B60" s="25"/>
      <c r="C60" s="93" t="s">
        <v>41</v>
      </c>
      <c r="D60" s="39">
        <v>38793</v>
      </c>
      <c r="E60" s="119" t="s">
        <v>35</v>
      </c>
      <c r="F60" s="119" t="s">
        <v>71</v>
      </c>
      <c r="G60" s="109">
        <v>13</v>
      </c>
      <c r="H60" s="109">
        <v>33</v>
      </c>
      <c r="I60" s="109">
        <v>2</v>
      </c>
      <c r="J60" s="339">
        <v>340</v>
      </c>
      <c r="K60" s="62">
        <v>68</v>
      </c>
      <c r="L60" s="311">
        <f>+K60/H60</f>
        <v>2.0606060606060606</v>
      </c>
      <c r="M60" s="312">
        <f>+J60/K60</f>
        <v>5</v>
      </c>
      <c r="N60" s="315">
        <v>159640</v>
      </c>
      <c r="O60" s="62">
        <v>32140.333333333336</v>
      </c>
      <c r="P60" s="60">
        <f>+N60/O60</f>
        <v>4.966967776729136</v>
      </c>
    </row>
    <row r="61" spans="1:16" s="10" customFormat="1" ht="15">
      <c r="A61" s="97">
        <v>57</v>
      </c>
      <c r="B61" s="25"/>
      <c r="C61" s="308" t="s">
        <v>257</v>
      </c>
      <c r="D61" s="153">
        <v>38709</v>
      </c>
      <c r="E61" s="154" t="s">
        <v>63</v>
      </c>
      <c r="F61" s="154" t="s">
        <v>258</v>
      </c>
      <c r="G61" s="309">
        <v>25</v>
      </c>
      <c r="H61" s="309">
        <v>1</v>
      </c>
      <c r="I61" s="309">
        <v>11</v>
      </c>
      <c r="J61" s="335">
        <v>312</v>
      </c>
      <c r="K61" s="92">
        <v>76</v>
      </c>
      <c r="L61" s="311">
        <f>+K61/H61</f>
        <v>76</v>
      </c>
      <c r="M61" s="312">
        <f>+J61/K61</f>
        <v>4.105263157894737</v>
      </c>
      <c r="N61" s="310">
        <f>27995+15676+1060+481+3765.5+1154+109+68+616+388+312</f>
        <v>51624.5</v>
      </c>
      <c r="O61" s="92">
        <f>3480+2135+127+92+807+281+34+17+106+61+76</f>
        <v>7216</v>
      </c>
      <c r="P61" s="60">
        <f>+N61/O61</f>
        <v>7.154171286031042</v>
      </c>
    </row>
    <row r="62" spans="1:16" s="10" customFormat="1" ht="15">
      <c r="A62" s="97">
        <v>58</v>
      </c>
      <c r="B62" s="25"/>
      <c r="C62" s="103" t="s">
        <v>227</v>
      </c>
      <c r="D62" s="104">
        <v>38674</v>
      </c>
      <c r="E62" s="121" t="s">
        <v>98</v>
      </c>
      <c r="F62" s="121" t="s">
        <v>228</v>
      </c>
      <c r="G62" s="235" t="s">
        <v>154</v>
      </c>
      <c r="H62" s="235">
        <v>1</v>
      </c>
      <c r="I62" s="235">
        <v>8</v>
      </c>
      <c r="J62" s="339">
        <v>282.5</v>
      </c>
      <c r="K62" s="62">
        <v>45</v>
      </c>
      <c r="L62" s="311">
        <f>+K62/H62</f>
        <v>45</v>
      </c>
      <c r="M62" s="312">
        <f>+J62/K62</f>
        <v>6.277777777777778</v>
      </c>
      <c r="N62" s="315">
        <v>25242</v>
      </c>
      <c r="O62" s="62">
        <v>3153</v>
      </c>
      <c r="P62" s="60">
        <f>+N62/O62</f>
        <v>8.005708848715509</v>
      </c>
    </row>
    <row r="63" spans="1:16" s="10" customFormat="1" ht="15">
      <c r="A63" s="97">
        <v>59</v>
      </c>
      <c r="B63" s="25"/>
      <c r="C63" s="308" t="s">
        <v>25</v>
      </c>
      <c r="D63" s="153">
        <v>38758</v>
      </c>
      <c r="E63" s="154" t="s">
        <v>63</v>
      </c>
      <c r="F63" s="154" t="s">
        <v>68</v>
      </c>
      <c r="G63" s="309">
        <v>80</v>
      </c>
      <c r="H63" s="309">
        <v>1</v>
      </c>
      <c r="I63" s="309">
        <v>18</v>
      </c>
      <c r="J63" s="335">
        <v>198</v>
      </c>
      <c r="K63" s="92">
        <v>66</v>
      </c>
      <c r="L63" s="311">
        <f>+K63/H63</f>
        <v>66</v>
      </c>
      <c r="M63" s="312">
        <f>+J63/K63</f>
        <v>3</v>
      </c>
      <c r="N63" s="310">
        <f>1046144.5+776147+471268+342390+240709.5+167344+96416.5+41350+35967.5+31795.5+14506+10028+6242+3523+4463+5109+150+198</f>
        <v>3293751.5</v>
      </c>
      <c r="O63" s="92">
        <f>153560+115584+70079+59336+46681+34549+19625+8318+8035+8705+3661+2044+1179+753+1488+1703+50+66</f>
        <v>535416</v>
      </c>
      <c r="P63" s="60">
        <f>+N63/O63</f>
        <v>6.15176143409984</v>
      </c>
    </row>
    <row r="64" spans="1:16" s="10" customFormat="1" ht="15">
      <c r="A64" s="97">
        <v>60</v>
      </c>
      <c r="B64" s="25"/>
      <c r="C64" s="93" t="s">
        <v>144</v>
      </c>
      <c r="D64" s="39">
        <v>38828</v>
      </c>
      <c r="E64" s="119" t="s">
        <v>130</v>
      </c>
      <c r="F64" s="119" t="s">
        <v>145</v>
      </c>
      <c r="G64" s="309">
        <v>6</v>
      </c>
      <c r="H64" s="110">
        <v>1</v>
      </c>
      <c r="I64" s="110">
        <v>7</v>
      </c>
      <c r="J64" s="336">
        <v>189</v>
      </c>
      <c r="K64" s="59">
        <v>32</v>
      </c>
      <c r="L64" s="311">
        <f>+K64/H64</f>
        <v>32</v>
      </c>
      <c r="M64" s="312">
        <f>+J64/K64</f>
        <v>5.90625</v>
      </c>
      <c r="N64" s="313">
        <f>8964+4246+2175+6296+364+3248+189</f>
        <v>25482</v>
      </c>
      <c r="O64" s="59">
        <f>1055+574+361+886+56+580+32</f>
        <v>3544</v>
      </c>
      <c r="P64" s="60">
        <f>+N64/O64</f>
        <v>7.1901805869074495</v>
      </c>
    </row>
    <row r="65" spans="1:16" s="10" customFormat="1" ht="15">
      <c r="A65" s="97">
        <v>61</v>
      </c>
      <c r="B65" s="25"/>
      <c r="C65" s="93" t="s">
        <v>134</v>
      </c>
      <c r="D65" s="39">
        <v>38744</v>
      </c>
      <c r="E65" s="119" t="s">
        <v>130</v>
      </c>
      <c r="F65" s="119" t="s">
        <v>135</v>
      </c>
      <c r="G65" s="309">
        <v>7</v>
      </c>
      <c r="H65" s="110">
        <v>1</v>
      </c>
      <c r="I65" s="110">
        <v>17</v>
      </c>
      <c r="J65" s="336">
        <v>170</v>
      </c>
      <c r="K65" s="59">
        <v>45</v>
      </c>
      <c r="L65" s="311">
        <f>+K65/H65</f>
        <v>45</v>
      </c>
      <c r="M65" s="312">
        <f>+J65/K65</f>
        <v>3.7777777777777777</v>
      </c>
      <c r="N65" s="313">
        <f>23060.5+7183+3670+700+2376+2273+1430+3390+1771.5+3246+11360+7257.5+2859+2510+4107+155+170</f>
        <v>77518.5</v>
      </c>
      <c r="O65" s="59">
        <f>2772+1034+467+35+792+451+260+597+327+776+1582+1115+514+499+716+31+45</f>
        <v>12013</v>
      </c>
      <c r="P65" s="60">
        <f>+N65/O65</f>
        <v>6.452884375260135</v>
      </c>
    </row>
    <row r="66" spans="1:16" s="10" customFormat="1" ht="15">
      <c r="A66" s="97">
        <v>62</v>
      </c>
      <c r="B66" s="25"/>
      <c r="C66" s="56" t="s">
        <v>90</v>
      </c>
      <c r="D66" s="318">
        <v>38499</v>
      </c>
      <c r="E66" s="120" t="s">
        <v>61</v>
      </c>
      <c r="F66" s="154" t="s">
        <v>77</v>
      </c>
      <c r="G66" s="309">
        <v>106</v>
      </c>
      <c r="H66" s="151">
        <v>1</v>
      </c>
      <c r="I66" s="151">
        <v>54</v>
      </c>
      <c r="J66" s="338">
        <v>24</v>
      </c>
      <c r="K66" s="155">
        <v>4</v>
      </c>
      <c r="L66" s="311">
        <f>+K66/H66</f>
        <v>4</v>
      </c>
      <c r="M66" s="312">
        <f>+J66/K66</f>
        <v>6</v>
      </c>
      <c r="N66" s="314">
        <v>1517675</v>
      </c>
      <c r="O66" s="155">
        <v>236680</v>
      </c>
      <c r="P66" s="60">
        <f>+N66/O66</f>
        <v>6.412350008450228</v>
      </c>
    </row>
    <row r="67" spans="1:16" s="10" customFormat="1" ht="15">
      <c r="A67" s="97">
        <v>63</v>
      </c>
      <c r="B67" s="25"/>
      <c r="C67" s="317" t="s">
        <v>38</v>
      </c>
      <c r="D67" s="318">
        <v>38695</v>
      </c>
      <c r="E67" s="120" t="s">
        <v>61</v>
      </c>
      <c r="F67" s="154" t="s">
        <v>66</v>
      </c>
      <c r="G67" s="309">
        <v>81</v>
      </c>
      <c r="H67" s="151">
        <v>1</v>
      </c>
      <c r="I67" s="151">
        <v>27</v>
      </c>
      <c r="J67" s="338">
        <v>12</v>
      </c>
      <c r="K67" s="155">
        <v>2</v>
      </c>
      <c r="L67" s="311">
        <f>+K67/H67</f>
        <v>2</v>
      </c>
      <c r="M67" s="312">
        <f>+J67/K67</f>
        <v>6</v>
      </c>
      <c r="N67" s="314">
        <v>1926137</v>
      </c>
      <c r="O67" s="155">
        <v>282166</v>
      </c>
      <c r="P67" s="60">
        <f>+N67/O67</f>
        <v>6.826254757837585</v>
      </c>
    </row>
    <row r="68" spans="1:16" s="10" customFormat="1" ht="15.75" thickBot="1">
      <c r="A68" s="97">
        <v>64</v>
      </c>
      <c r="B68" s="49"/>
      <c r="C68" s="236" t="s">
        <v>94</v>
      </c>
      <c r="D68" s="231">
        <v>38828</v>
      </c>
      <c r="E68" s="237" t="s">
        <v>61</v>
      </c>
      <c r="F68" s="327" t="s">
        <v>66</v>
      </c>
      <c r="G68" s="328">
        <v>46</v>
      </c>
      <c r="H68" s="216">
        <v>1</v>
      </c>
      <c r="I68" s="216">
        <v>8</v>
      </c>
      <c r="J68" s="340">
        <v>8</v>
      </c>
      <c r="K68" s="330">
        <v>2</v>
      </c>
      <c r="L68" s="331">
        <f>+K68/H68</f>
        <v>2</v>
      </c>
      <c r="M68" s="332">
        <f>+J68/K68</f>
        <v>4</v>
      </c>
      <c r="N68" s="329">
        <v>284903</v>
      </c>
      <c r="O68" s="330">
        <v>36123</v>
      </c>
      <c r="P68" s="333">
        <f>+N68/O68</f>
        <v>7.887024887190987</v>
      </c>
    </row>
    <row r="69" spans="1:16" s="31" customFormat="1" ht="15">
      <c r="A69" s="98"/>
      <c r="B69" s="238"/>
      <c r="C69" s="239" t="s">
        <v>45</v>
      </c>
      <c r="D69" s="240"/>
      <c r="E69" s="239" t="s">
        <v>242</v>
      </c>
      <c r="F69" s="239"/>
      <c r="G69" s="241"/>
      <c r="H69" s="242">
        <f>SUM(H5:H68)</f>
        <v>1433</v>
      </c>
      <c r="I69" s="241"/>
      <c r="J69" s="243">
        <f>SUM(J5:J68)</f>
        <v>2770632.5</v>
      </c>
      <c r="K69" s="244">
        <f>SUM(K5:K68)</f>
        <v>402655</v>
      </c>
      <c r="L69" s="244">
        <f>K69/H69</f>
        <v>280.9874389392882</v>
      </c>
      <c r="M69" s="245">
        <f>J69/K69</f>
        <v>6.880909215084874</v>
      </c>
      <c r="N69" s="246"/>
      <c r="O69" s="244"/>
      <c r="P69" s="247"/>
    </row>
    <row r="70" spans="1:16" s="31" customFormat="1" ht="15">
      <c r="A70" s="98"/>
      <c r="B70" s="136"/>
      <c r="C70" s="111" t="s">
        <v>44</v>
      </c>
      <c r="D70" s="112"/>
      <c r="E70" s="111" t="s">
        <v>230</v>
      </c>
      <c r="F70" s="111"/>
      <c r="G70" s="113"/>
      <c r="H70" s="114">
        <v>1299</v>
      </c>
      <c r="I70" s="113"/>
      <c r="J70" s="217">
        <v>2769466</v>
      </c>
      <c r="K70" s="125">
        <v>402926</v>
      </c>
      <c r="L70" s="234">
        <f>K70/H70</f>
        <v>310.1816782140108</v>
      </c>
      <c r="M70" s="115">
        <f>J70/K70</f>
        <v>6.873386180092623</v>
      </c>
      <c r="N70" s="219"/>
      <c r="O70" s="125"/>
      <c r="P70" s="223"/>
    </row>
    <row r="71" spans="1:16" s="31" customFormat="1" ht="15.75" thickBot="1">
      <c r="A71" s="98"/>
      <c r="B71" s="137"/>
      <c r="C71" s="138" t="s">
        <v>78</v>
      </c>
      <c r="D71" s="139"/>
      <c r="E71" s="138" t="s">
        <v>240</v>
      </c>
      <c r="F71" s="138"/>
      <c r="G71" s="140"/>
      <c r="H71" s="141">
        <v>1088</v>
      </c>
      <c r="I71" s="140"/>
      <c r="J71" s="218">
        <v>2649590</v>
      </c>
      <c r="K71" s="142">
        <v>395030</v>
      </c>
      <c r="L71" s="142">
        <f>K71/H71</f>
        <v>363.0790441176471</v>
      </c>
      <c r="M71" s="143">
        <f>J71/K71</f>
        <v>6.7073133686049164</v>
      </c>
      <c r="N71" s="220"/>
      <c r="O71" s="142"/>
      <c r="P71" s="224"/>
    </row>
    <row r="72" spans="1:17" s="10" customFormat="1" ht="15.75" thickBot="1">
      <c r="A72" s="99"/>
      <c r="B72" s="9"/>
      <c r="D72" s="29"/>
      <c r="E72" s="34"/>
      <c r="F72" s="34"/>
      <c r="G72" s="11"/>
      <c r="H72" s="11"/>
      <c r="I72" s="11"/>
      <c r="J72" s="52"/>
      <c r="K72" s="122"/>
      <c r="L72" s="123"/>
      <c r="M72" s="46"/>
      <c r="N72" s="221"/>
      <c r="O72" s="123"/>
      <c r="P72" s="225"/>
      <c r="Q72" s="12"/>
    </row>
    <row r="73" spans="1:17" s="10" customFormat="1" ht="13.5" customHeight="1">
      <c r="A73" s="99"/>
      <c r="B73" s="9"/>
      <c r="C73" s="271" t="s">
        <v>47</v>
      </c>
      <c r="D73" s="272"/>
      <c r="E73" s="263" t="s">
        <v>5</v>
      </c>
      <c r="F73" s="264"/>
      <c r="G73" s="265"/>
      <c r="H73" s="47"/>
      <c r="I73" s="11"/>
      <c r="J73" s="52"/>
      <c r="K73" s="122"/>
      <c r="L73" s="275" t="s">
        <v>40</v>
      </c>
      <c r="M73" s="275"/>
      <c r="N73" s="275"/>
      <c r="O73" s="275"/>
      <c r="P73" s="275"/>
      <c r="Q73" s="48"/>
    </row>
    <row r="74" spans="1:16" s="10" customFormat="1" ht="15.75" thickBot="1">
      <c r="A74" s="99"/>
      <c r="B74" s="9"/>
      <c r="C74" s="273"/>
      <c r="D74" s="274"/>
      <c r="E74" s="17" t="s">
        <v>231</v>
      </c>
      <c r="F74" s="19" t="s">
        <v>6</v>
      </c>
      <c r="G74" s="20" t="s">
        <v>7</v>
      </c>
      <c r="H74" s="11"/>
      <c r="I74" s="54"/>
      <c r="J74" s="52"/>
      <c r="K74" s="123"/>
      <c r="L74" s="275"/>
      <c r="M74" s="275"/>
      <c r="N74" s="275"/>
      <c r="O74" s="275"/>
      <c r="P74" s="275"/>
    </row>
    <row r="75" spans="1:16" s="10" customFormat="1" ht="15">
      <c r="A75" s="99"/>
      <c r="B75" s="9"/>
      <c r="C75" s="18" t="s">
        <v>30</v>
      </c>
      <c r="D75" s="32" t="s">
        <v>154</v>
      </c>
      <c r="E75" s="21" t="s">
        <v>9</v>
      </c>
      <c r="F75" s="299" t="s">
        <v>233</v>
      </c>
      <c r="G75" s="300" t="s">
        <v>232</v>
      </c>
      <c r="H75" s="11"/>
      <c r="I75" s="54"/>
      <c r="J75" s="52"/>
      <c r="K75" s="123"/>
      <c r="L75" s="275"/>
      <c r="M75" s="275"/>
      <c r="N75" s="275"/>
      <c r="O75" s="275"/>
      <c r="P75" s="275"/>
    </row>
    <row r="76" spans="1:16" s="10" customFormat="1" ht="15">
      <c r="A76" s="99"/>
      <c r="B76" s="9"/>
      <c r="C76" s="14" t="s">
        <v>31</v>
      </c>
      <c r="D76" s="26">
        <v>83489</v>
      </c>
      <c r="E76" s="22" t="s">
        <v>10</v>
      </c>
      <c r="F76" s="301" t="s">
        <v>234</v>
      </c>
      <c r="G76" s="302" t="s">
        <v>235</v>
      </c>
      <c r="H76" s="11"/>
      <c r="I76" s="54"/>
      <c r="J76" s="52"/>
      <c r="K76" s="123"/>
      <c r="L76" s="123"/>
      <c r="M76" s="46"/>
      <c r="N76" s="43"/>
      <c r="O76" s="123"/>
      <c r="P76" s="46"/>
    </row>
    <row r="77" spans="1:16" s="10" customFormat="1" ht="15">
      <c r="A77" s="99"/>
      <c r="B77" s="9"/>
      <c r="C77" s="14"/>
      <c r="D77" s="40"/>
      <c r="E77" s="22" t="s">
        <v>11</v>
      </c>
      <c r="F77" s="301" t="s">
        <v>236</v>
      </c>
      <c r="G77" s="302" t="s">
        <v>237</v>
      </c>
      <c r="H77" s="11"/>
      <c r="I77" s="54"/>
      <c r="J77" s="52"/>
      <c r="K77" s="123"/>
      <c r="L77" s="123"/>
      <c r="M77" s="46"/>
      <c r="N77" s="43"/>
      <c r="O77" s="123"/>
      <c r="P77" s="46"/>
    </row>
    <row r="78" spans="1:16" s="10" customFormat="1" ht="15">
      <c r="A78" s="99"/>
      <c r="B78" s="9"/>
      <c r="C78" s="14"/>
      <c r="D78" s="40"/>
      <c r="E78" s="22" t="s">
        <v>12</v>
      </c>
      <c r="F78" s="301" t="s">
        <v>238</v>
      </c>
      <c r="G78" s="302" t="s">
        <v>239</v>
      </c>
      <c r="H78" s="11"/>
      <c r="I78" s="54"/>
      <c r="J78" s="52"/>
      <c r="K78" s="123"/>
      <c r="L78" s="123"/>
      <c r="M78" s="46"/>
      <c r="N78" s="43"/>
      <c r="O78" s="123"/>
      <c r="P78" s="46"/>
    </row>
    <row r="79" spans="1:16" s="10" customFormat="1" ht="15.75" thickBot="1">
      <c r="A79" s="99"/>
      <c r="B79" s="9"/>
      <c r="C79" s="15"/>
      <c r="D79" s="41"/>
      <c r="E79" s="23"/>
      <c r="F79" s="16"/>
      <c r="G79" s="13"/>
      <c r="H79" s="11"/>
      <c r="I79" s="54"/>
      <c r="J79" s="52"/>
      <c r="K79" s="123"/>
      <c r="L79" s="123"/>
      <c r="M79" s="46"/>
      <c r="N79" s="43"/>
      <c r="O79" s="123"/>
      <c r="P79" s="225"/>
    </row>
    <row r="80" spans="1:16" s="10" customFormat="1" ht="15.75" thickBot="1">
      <c r="A80" s="99"/>
      <c r="B80" s="9"/>
      <c r="D80" s="29"/>
      <c r="E80" s="34"/>
      <c r="F80" s="34"/>
      <c r="G80" s="11"/>
      <c r="H80" s="11"/>
      <c r="I80" s="11"/>
      <c r="J80" s="52"/>
      <c r="K80" s="123"/>
      <c r="L80" s="123"/>
      <c r="M80" s="46"/>
      <c r="N80" s="43"/>
      <c r="O80" s="123"/>
      <c r="P80" s="225"/>
    </row>
    <row r="81" spans="1:16" s="72" customFormat="1" ht="21.75" customHeight="1">
      <c r="A81" s="99"/>
      <c r="B81" s="65"/>
      <c r="C81" s="66" t="s">
        <v>46</v>
      </c>
      <c r="D81" s="266" t="s">
        <v>2</v>
      </c>
      <c r="E81" s="267"/>
      <c r="F81" s="267"/>
      <c r="G81" s="268"/>
      <c r="H81" s="67"/>
      <c r="I81" s="68"/>
      <c r="J81" s="69"/>
      <c r="K81" s="126"/>
      <c r="L81" s="126"/>
      <c r="M81" s="70"/>
      <c r="N81" s="71"/>
      <c r="O81" s="126"/>
      <c r="P81" s="226"/>
    </row>
    <row r="82" spans="1:16" s="72" customFormat="1" ht="15.75" thickBot="1">
      <c r="A82" s="99"/>
      <c r="B82" s="65"/>
      <c r="C82" s="73"/>
      <c r="D82" s="74" t="s">
        <v>3</v>
      </c>
      <c r="E82" s="75" t="s">
        <v>18</v>
      </c>
      <c r="F82" s="75" t="s">
        <v>4</v>
      </c>
      <c r="G82" s="248" t="s">
        <v>8</v>
      </c>
      <c r="H82" s="68"/>
      <c r="I82" s="77"/>
      <c r="J82" s="69"/>
      <c r="K82" s="126"/>
      <c r="L82" s="126"/>
      <c r="M82" s="70"/>
      <c r="N82" s="71"/>
      <c r="O82" s="126"/>
      <c r="P82" s="226"/>
    </row>
    <row r="83" spans="1:16" s="72" customFormat="1" ht="15">
      <c r="A83" s="97">
        <v>1</v>
      </c>
      <c r="B83" s="65"/>
      <c r="C83" s="78" t="s">
        <v>33</v>
      </c>
      <c r="D83" s="79">
        <v>13</v>
      </c>
      <c r="E83" s="80">
        <v>981357.5</v>
      </c>
      <c r="F83" s="81">
        <v>144748</v>
      </c>
      <c r="G83" s="82">
        <f>E83/F83</f>
        <v>6.77976552353055</v>
      </c>
      <c r="H83" s="68"/>
      <c r="I83" s="77"/>
      <c r="J83" s="69"/>
      <c r="K83" s="126"/>
      <c r="L83" s="126"/>
      <c r="M83" s="70"/>
      <c r="N83" s="71"/>
      <c r="O83" s="126"/>
      <c r="P83" s="226"/>
    </row>
    <row r="84" spans="1:16" s="72" customFormat="1" ht="15">
      <c r="A84" s="97">
        <v>2</v>
      </c>
      <c r="B84" s="65"/>
      <c r="C84" s="83" t="s">
        <v>32</v>
      </c>
      <c r="D84" s="84">
        <v>15</v>
      </c>
      <c r="E84" s="85">
        <v>917064</v>
      </c>
      <c r="F84" s="86">
        <v>130026</v>
      </c>
      <c r="G84" s="87">
        <f>E84/F84</f>
        <v>7.0529278759632685</v>
      </c>
      <c r="H84" s="68"/>
      <c r="I84" s="77"/>
      <c r="J84" s="69"/>
      <c r="K84" s="126"/>
      <c r="L84" s="126"/>
      <c r="M84" s="70"/>
      <c r="N84" s="71"/>
      <c r="O84" s="126"/>
      <c r="P84" s="226"/>
    </row>
    <row r="85" spans="1:16" s="72" customFormat="1" ht="15">
      <c r="A85" s="97">
        <v>3</v>
      </c>
      <c r="B85" s="65"/>
      <c r="C85" s="83" t="s">
        <v>34</v>
      </c>
      <c r="D85" s="84">
        <v>14</v>
      </c>
      <c r="E85" s="85">
        <v>608051</v>
      </c>
      <c r="F85" s="86">
        <v>86958</v>
      </c>
      <c r="G85" s="87">
        <f>E85/F85</f>
        <v>6.992467628050323</v>
      </c>
      <c r="H85" s="68"/>
      <c r="I85" s="77"/>
      <c r="J85" s="69"/>
      <c r="K85" s="126"/>
      <c r="L85" s="126"/>
      <c r="M85" s="70"/>
      <c r="N85" s="71"/>
      <c r="O85" s="126"/>
      <c r="P85" s="226"/>
    </row>
    <row r="86" spans="1:16" s="72" customFormat="1" ht="15">
      <c r="A86" s="97">
        <v>4</v>
      </c>
      <c r="B86" s="65"/>
      <c r="C86" s="83" t="s">
        <v>130</v>
      </c>
      <c r="D86" s="84">
        <v>12</v>
      </c>
      <c r="E86" s="85">
        <v>187671.5</v>
      </c>
      <c r="F86" s="86">
        <v>27940</v>
      </c>
      <c r="G86" s="87">
        <f>E86/F86</f>
        <v>6.716947029348604</v>
      </c>
      <c r="H86" s="68"/>
      <c r="I86" s="77"/>
      <c r="J86" s="69"/>
      <c r="K86" s="126"/>
      <c r="L86" s="126"/>
      <c r="M86" s="70"/>
      <c r="N86" s="71"/>
      <c r="O86" s="126"/>
      <c r="P86" s="226"/>
    </row>
    <row r="87" spans="1:16" s="72" customFormat="1" ht="15">
      <c r="A87" s="97">
        <v>5</v>
      </c>
      <c r="B87" s="65"/>
      <c r="C87" s="83" t="s">
        <v>188</v>
      </c>
      <c r="D87" s="84">
        <v>1</v>
      </c>
      <c r="E87" s="85">
        <v>44173</v>
      </c>
      <c r="F87" s="86">
        <v>5633</v>
      </c>
      <c r="G87" s="87">
        <f>E87/F87</f>
        <v>7.841824960056808</v>
      </c>
      <c r="H87" s="68"/>
      <c r="I87" s="77"/>
      <c r="J87" s="69"/>
      <c r="K87" s="126"/>
      <c r="L87" s="126"/>
      <c r="M87" s="70"/>
      <c r="N87" s="71"/>
      <c r="O87" s="126"/>
      <c r="P87" s="226"/>
    </row>
    <row r="88" spans="1:16" s="72" customFormat="1" ht="15">
      <c r="A88" s="97">
        <v>6</v>
      </c>
      <c r="B88" s="65"/>
      <c r="C88" s="83" t="s">
        <v>35</v>
      </c>
      <c r="D88" s="84">
        <v>2</v>
      </c>
      <c r="E88" s="85">
        <v>13363</v>
      </c>
      <c r="F88" s="86">
        <v>4413</v>
      </c>
      <c r="G88" s="87">
        <f>E88/F88</f>
        <v>3.028098799002946</v>
      </c>
      <c r="H88" s="68"/>
      <c r="I88" s="77"/>
      <c r="J88" s="69"/>
      <c r="K88" s="126"/>
      <c r="L88" s="126"/>
      <c r="M88" s="70"/>
      <c r="N88" s="71"/>
      <c r="O88" s="126"/>
      <c r="P88" s="226"/>
    </row>
    <row r="89" spans="1:16" s="72" customFormat="1" ht="15">
      <c r="A89" s="97">
        <v>7</v>
      </c>
      <c r="B89" s="65"/>
      <c r="C89" s="83" t="s">
        <v>98</v>
      </c>
      <c r="D89" s="84">
        <v>3</v>
      </c>
      <c r="E89" s="85">
        <v>10686</v>
      </c>
      <c r="F89" s="86">
        <v>1340</v>
      </c>
      <c r="G89" s="87">
        <f>E89/F89</f>
        <v>7.974626865671642</v>
      </c>
      <c r="H89" s="68"/>
      <c r="I89" s="77"/>
      <c r="J89" s="69"/>
      <c r="K89" s="126"/>
      <c r="L89" s="126"/>
      <c r="M89" s="70"/>
      <c r="N89" s="71"/>
      <c r="O89" s="126"/>
      <c r="P89" s="226"/>
    </row>
    <row r="90" spans="1:16" s="72" customFormat="1" ht="15">
      <c r="A90" s="97">
        <v>8</v>
      </c>
      <c r="B90" s="65"/>
      <c r="C90" s="83" t="s">
        <v>36</v>
      </c>
      <c r="D90" s="84">
        <v>1</v>
      </c>
      <c r="E90" s="85">
        <v>6601</v>
      </c>
      <c r="F90" s="86">
        <v>1233</v>
      </c>
      <c r="G90" s="87">
        <f>E90/F90</f>
        <v>5.3536090835360906</v>
      </c>
      <c r="H90" s="68"/>
      <c r="I90" s="77"/>
      <c r="J90" s="69"/>
      <c r="K90" s="126"/>
      <c r="L90" s="126"/>
      <c r="M90" s="70"/>
      <c r="N90" s="71"/>
      <c r="O90" s="126"/>
      <c r="P90" s="226"/>
    </row>
    <row r="91" spans="1:16" s="72" customFormat="1" ht="15">
      <c r="A91" s="97">
        <v>9</v>
      </c>
      <c r="B91" s="65"/>
      <c r="C91" s="83" t="s">
        <v>43</v>
      </c>
      <c r="D91" s="84">
        <v>1</v>
      </c>
      <c r="E91" s="85">
        <v>3952</v>
      </c>
      <c r="F91" s="86">
        <v>758</v>
      </c>
      <c r="G91" s="87">
        <f>E91/F91</f>
        <v>5.213720316622691</v>
      </c>
      <c r="H91" s="68"/>
      <c r="I91" s="77"/>
      <c r="J91" s="69"/>
      <c r="K91" s="126"/>
      <c r="L91" s="126"/>
      <c r="M91" s="70"/>
      <c r="N91" s="71"/>
      <c r="O91" s="126"/>
      <c r="P91" s="226"/>
    </row>
    <row r="92" spans="1:16" s="72" customFormat="1" ht="15">
      <c r="A92" s="97">
        <v>10</v>
      </c>
      <c r="B92" s="65"/>
      <c r="C92" s="83" t="s">
        <v>79</v>
      </c>
      <c r="D92" s="84">
        <v>2</v>
      </c>
      <c r="E92" s="85">
        <v>3125</v>
      </c>
      <c r="F92" s="86">
        <v>622</v>
      </c>
      <c r="G92" s="87">
        <f>E92/F92</f>
        <v>5.02411575562701</v>
      </c>
      <c r="H92" s="68"/>
      <c r="I92" s="77"/>
      <c r="J92" s="69"/>
      <c r="K92" s="126"/>
      <c r="L92" s="126"/>
      <c r="M92" s="70"/>
      <c r="N92" s="71"/>
      <c r="O92" s="126"/>
      <c r="P92" s="226"/>
    </row>
    <row r="93" spans="1:16" s="72" customFormat="1" ht="15">
      <c r="A93" s="97">
        <v>11</v>
      </c>
      <c r="B93" s="65"/>
      <c r="C93" s="83" t="s">
        <v>73</v>
      </c>
      <c r="D93" s="84">
        <v>1</v>
      </c>
      <c r="E93" s="85">
        <v>1190</v>
      </c>
      <c r="F93" s="86">
        <v>217</v>
      </c>
      <c r="G93" s="87">
        <f>E93/F93</f>
        <v>5.483870967741935</v>
      </c>
      <c r="H93" s="68"/>
      <c r="I93" s="77"/>
      <c r="J93" s="69"/>
      <c r="K93" s="126"/>
      <c r="L93" s="126"/>
      <c r="M93" s="70"/>
      <c r="N93" s="71"/>
      <c r="O93" s="126"/>
      <c r="P93" s="226"/>
    </row>
    <row r="94" spans="1:16" s="72" customFormat="1" ht="15.75" thickBot="1">
      <c r="A94" s="99"/>
      <c r="B94" s="65"/>
      <c r="C94" s="88"/>
      <c r="D94" s="89"/>
      <c r="E94" s="90"/>
      <c r="F94" s="91"/>
      <c r="G94" s="76"/>
      <c r="H94" s="68"/>
      <c r="I94" s="77"/>
      <c r="J94" s="69"/>
      <c r="K94" s="126"/>
      <c r="L94" s="126"/>
      <c r="M94" s="70"/>
      <c r="N94" s="71"/>
      <c r="O94" s="126"/>
      <c r="P94" s="226"/>
    </row>
    <row r="95" spans="1:16" s="10" customFormat="1" ht="15">
      <c r="A95" s="99"/>
      <c r="B95" s="9"/>
      <c r="D95" s="29"/>
      <c r="E95" s="34"/>
      <c r="F95" s="34"/>
      <c r="G95" s="11"/>
      <c r="H95" s="11"/>
      <c r="I95" s="11"/>
      <c r="J95" s="52"/>
      <c r="K95" s="123"/>
      <c r="L95" s="123"/>
      <c r="M95" s="46"/>
      <c r="N95" s="43"/>
      <c r="O95" s="123"/>
      <c r="P95" s="225"/>
    </row>
    <row r="96" spans="1:16" s="10" customFormat="1" ht="15">
      <c r="A96" s="99"/>
      <c r="B96" s="9"/>
      <c r="D96" s="29"/>
      <c r="E96" s="34"/>
      <c r="F96" s="34"/>
      <c r="G96" s="11"/>
      <c r="H96" s="11"/>
      <c r="I96" s="11"/>
      <c r="J96" s="52"/>
      <c r="K96" s="123"/>
      <c r="L96" s="123"/>
      <c r="M96" s="46"/>
      <c r="N96" s="43"/>
      <c r="O96" s="123"/>
      <c r="P96" s="225"/>
    </row>
    <row r="97" spans="1:16" s="10" customFormat="1" ht="15">
      <c r="A97" s="99"/>
      <c r="B97" s="9"/>
      <c r="D97" s="29"/>
      <c r="E97" s="34"/>
      <c r="F97" s="34"/>
      <c r="G97" s="11"/>
      <c r="H97" s="11"/>
      <c r="I97" s="11"/>
      <c r="J97" s="52"/>
      <c r="K97" s="123"/>
      <c r="L97" s="123"/>
      <c r="M97" s="46"/>
      <c r="N97" s="43"/>
      <c r="O97" s="123"/>
      <c r="P97" s="225"/>
    </row>
    <row r="98" spans="1:16" s="10" customFormat="1" ht="15">
      <c r="A98" s="99"/>
      <c r="B98" s="9"/>
      <c r="D98" s="29"/>
      <c r="E98" s="34"/>
      <c r="F98" s="34"/>
      <c r="G98" s="11"/>
      <c r="H98" s="11"/>
      <c r="I98" s="11"/>
      <c r="J98" s="52"/>
      <c r="K98" s="123"/>
      <c r="L98" s="123"/>
      <c r="M98" s="46"/>
      <c r="N98" s="43"/>
      <c r="O98" s="123"/>
      <c r="P98" s="225"/>
    </row>
    <row r="99" spans="1:16" s="10" customFormat="1" ht="15">
      <c r="A99" s="99"/>
      <c r="B99" s="9"/>
      <c r="D99" s="29"/>
      <c r="E99" s="34"/>
      <c r="F99" s="34"/>
      <c r="G99" s="11"/>
      <c r="H99" s="11"/>
      <c r="I99" s="11"/>
      <c r="J99" s="52"/>
      <c r="K99" s="123"/>
      <c r="L99" s="123"/>
      <c r="M99" s="46"/>
      <c r="N99" s="43"/>
      <c r="O99" s="123"/>
      <c r="P99" s="225"/>
    </row>
    <row r="100" spans="1:16" s="10" customFormat="1" ht="15">
      <c r="A100" s="99"/>
      <c r="B100" s="9"/>
      <c r="D100" s="29"/>
      <c r="E100" s="34"/>
      <c r="F100" s="34"/>
      <c r="G100" s="11"/>
      <c r="H100" s="11"/>
      <c r="I100" s="11"/>
      <c r="J100" s="52"/>
      <c r="K100" s="123"/>
      <c r="L100" s="123"/>
      <c r="M100" s="46"/>
      <c r="N100" s="43"/>
      <c r="O100" s="123"/>
      <c r="P100" s="225"/>
    </row>
    <row r="101" spans="1:16" s="10" customFormat="1" ht="15">
      <c r="A101" s="99"/>
      <c r="B101" s="9"/>
      <c r="D101" s="29"/>
      <c r="E101" s="34"/>
      <c r="F101" s="34"/>
      <c r="G101" s="11"/>
      <c r="H101" s="11"/>
      <c r="I101" s="11"/>
      <c r="J101" s="52"/>
      <c r="K101" s="123"/>
      <c r="L101" s="123"/>
      <c r="M101" s="46"/>
      <c r="N101" s="43"/>
      <c r="O101" s="123"/>
      <c r="P101" s="225"/>
    </row>
    <row r="102" spans="1:16" s="10" customFormat="1" ht="15">
      <c r="A102" s="99"/>
      <c r="B102" s="9"/>
      <c r="D102" s="29"/>
      <c r="E102" s="34"/>
      <c r="F102" s="34"/>
      <c r="G102" s="11"/>
      <c r="H102" s="11"/>
      <c r="I102" s="11"/>
      <c r="J102" s="52"/>
      <c r="K102" s="123"/>
      <c r="L102" s="123"/>
      <c r="M102" s="46"/>
      <c r="N102" s="43"/>
      <c r="O102" s="123"/>
      <c r="P102" s="225"/>
    </row>
    <row r="103" spans="1:16" s="10" customFormat="1" ht="15">
      <c r="A103" s="99"/>
      <c r="B103" s="9"/>
      <c r="D103" s="29"/>
      <c r="E103" s="34"/>
      <c r="F103" s="34"/>
      <c r="G103" s="11"/>
      <c r="H103" s="11"/>
      <c r="I103" s="11"/>
      <c r="J103" s="52"/>
      <c r="K103" s="123"/>
      <c r="L103" s="123"/>
      <c r="M103" s="46"/>
      <c r="N103" s="43"/>
      <c r="O103" s="123"/>
      <c r="P103" s="225"/>
    </row>
    <row r="104" spans="1:16" s="10" customFormat="1" ht="15">
      <c r="A104" s="99"/>
      <c r="B104" s="9"/>
      <c r="D104" s="29"/>
      <c r="E104" s="34"/>
      <c r="F104" s="34"/>
      <c r="G104" s="11"/>
      <c r="H104" s="11"/>
      <c r="I104" s="11"/>
      <c r="J104" s="52"/>
      <c r="K104" s="123"/>
      <c r="L104" s="123"/>
      <c r="M104" s="46"/>
      <c r="N104" s="43"/>
      <c r="O104" s="123"/>
      <c r="P104" s="225"/>
    </row>
    <row r="105" spans="1:16" s="10" customFormat="1" ht="15">
      <c r="A105" s="99"/>
      <c r="B105" s="9"/>
      <c r="D105" s="29"/>
      <c r="E105" s="34"/>
      <c r="F105" s="34"/>
      <c r="G105" s="11"/>
      <c r="H105" s="11"/>
      <c r="I105" s="11"/>
      <c r="J105" s="52"/>
      <c r="K105" s="123"/>
      <c r="L105" s="123"/>
      <c r="M105" s="46"/>
      <c r="N105" s="43"/>
      <c r="O105" s="123"/>
      <c r="P105" s="225"/>
    </row>
    <row r="106" spans="1:16" s="10" customFormat="1" ht="15">
      <c r="A106" s="99"/>
      <c r="B106" s="9"/>
      <c r="D106" s="29"/>
      <c r="E106" s="34"/>
      <c r="F106" s="34"/>
      <c r="G106" s="11"/>
      <c r="H106" s="11"/>
      <c r="I106" s="11"/>
      <c r="J106" s="52"/>
      <c r="K106" s="123"/>
      <c r="L106" s="123"/>
      <c r="M106" s="46"/>
      <c r="N106" s="43"/>
      <c r="O106" s="123"/>
      <c r="P106" s="225"/>
    </row>
    <row r="107" spans="1:16" s="10" customFormat="1" ht="15">
      <c r="A107" s="99"/>
      <c r="B107" s="9"/>
      <c r="D107" s="29"/>
      <c r="E107" s="34"/>
      <c r="F107" s="34"/>
      <c r="G107" s="11"/>
      <c r="H107" s="11"/>
      <c r="I107" s="11"/>
      <c r="J107" s="52"/>
      <c r="K107" s="123"/>
      <c r="L107" s="123"/>
      <c r="M107" s="46"/>
      <c r="N107" s="43"/>
      <c r="O107" s="123"/>
      <c r="P107" s="225"/>
    </row>
    <row r="108" spans="1:16" s="10" customFormat="1" ht="15">
      <c r="A108" s="99"/>
      <c r="B108" s="9"/>
      <c r="D108" s="29"/>
      <c r="E108" s="34"/>
      <c r="F108" s="34"/>
      <c r="G108" s="11"/>
      <c r="H108" s="11"/>
      <c r="I108" s="11"/>
      <c r="J108" s="52"/>
      <c r="K108" s="123"/>
      <c r="L108" s="123"/>
      <c r="M108" s="46"/>
      <c r="N108" s="43"/>
      <c r="O108" s="123"/>
      <c r="P108" s="225"/>
    </row>
    <row r="109" spans="1:16" s="10" customFormat="1" ht="15">
      <c r="A109" s="99"/>
      <c r="B109" s="9"/>
      <c r="D109" s="29"/>
      <c r="E109" s="34"/>
      <c r="F109" s="34"/>
      <c r="G109" s="11"/>
      <c r="H109" s="11"/>
      <c r="I109" s="11"/>
      <c r="J109" s="52"/>
      <c r="K109" s="123"/>
      <c r="L109" s="123"/>
      <c r="M109" s="46"/>
      <c r="N109" s="43"/>
      <c r="O109" s="123"/>
      <c r="P109" s="225"/>
    </row>
    <row r="110" spans="1:16" s="10" customFormat="1" ht="15">
      <c r="A110" s="99"/>
      <c r="B110" s="9"/>
      <c r="D110" s="29"/>
      <c r="E110" s="34"/>
      <c r="F110" s="34"/>
      <c r="G110" s="11"/>
      <c r="H110" s="11"/>
      <c r="I110" s="11"/>
      <c r="J110" s="52"/>
      <c r="K110" s="123"/>
      <c r="L110" s="123"/>
      <c r="M110" s="46"/>
      <c r="N110" s="43"/>
      <c r="O110" s="123"/>
      <c r="P110" s="225"/>
    </row>
    <row r="111" spans="1:16" s="10" customFormat="1" ht="15">
      <c r="A111" s="99"/>
      <c r="B111" s="9"/>
      <c r="D111" s="29"/>
      <c r="E111" s="34"/>
      <c r="F111" s="34"/>
      <c r="G111" s="11"/>
      <c r="H111" s="11"/>
      <c r="I111" s="11"/>
      <c r="J111" s="52"/>
      <c r="K111" s="123"/>
      <c r="L111" s="123"/>
      <c r="M111" s="46"/>
      <c r="N111" s="43"/>
      <c r="O111" s="123"/>
      <c r="P111" s="225"/>
    </row>
    <row r="112" spans="1:16" s="10" customFormat="1" ht="15">
      <c r="A112" s="99"/>
      <c r="B112" s="9"/>
      <c r="D112" s="29"/>
      <c r="E112" s="34"/>
      <c r="F112" s="34"/>
      <c r="G112" s="11"/>
      <c r="H112" s="11"/>
      <c r="I112" s="11"/>
      <c r="J112" s="52"/>
      <c r="K112" s="123"/>
      <c r="L112" s="123"/>
      <c r="M112" s="46"/>
      <c r="N112" s="43"/>
      <c r="O112" s="123"/>
      <c r="P112" s="225"/>
    </row>
    <row r="113" spans="1:16" s="10" customFormat="1" ht="15">
      <c r="A113" s="99"/>
      <c r="B113" s="9"/>
      <c r="D113" s="29"/>
      <c r="E113" s="34"/>
      <c r="F113" s="34"/>
      <c r="G113" s="11"/>
      <c r="H113" s="11"/>
      <c r="I113" s="11"/>
      <c r="J113" s="52"/>
      <c r="K113" s="123"/>
      <c r="L113" s="123"/>
      <c r="M113" s="46"/>
      <c r="N113" s="43"/>
      <c r="O113" s="123"/>
      <c r="P113" s="225"/>
    </row>
    <row r="114" spans="1:16" s="10" customFormat="1" ht="15">
      <c r="A114" s="99"/>
      <c r="B114" s="9"/>
      <c r="D114" s="29"/>
      <c r="E114" s="34"/>
      <c r="F114" s="34"/>
      <c r="G114" s="11"/>
      <c r="H114" s="11"/>
      <c r="I114" s="11"/>
      <c r="J114" s="52"/>
      <c r="K114" s="123"/>
      <c r="L114" s="123"/>
      <c r="M114" s="46"/>
      <c r="N114" s="43"/>
      <c r="O114" s="123"/>
      <c r="P114" s="225"/>
    </row>
    <row r="115" spans="1:16" s="10" customFormat="1" ht="15">
      <c r="A115" s="99"/>
      <c r="B115" s="9"/>
      <c r="D115" s="29"/>
      <c r="E115" s="34"/>
      <c r="F115" s="34"/>
      <c r="G115" s="11"/>
      <c r="H115" s="11"/>
      <c r="I115" s="11"/>
      <c r="J115" s="52"/>
      <c r="K115" s="123"/>
      <c r="L115" s="123"/>
      <c r="M115" s="46"/>
      <c r="N115" s="43"/>
      <c r="O115" s="123"/>
      <c r="P115" s="225"/>
    </row>
    <row r="116" spans="1:16" s="10" customFormat="1" ht="15">
      <c r="A116" s="99"/>
      <c r="B116" s="9"/>
      <c r="D116" s="29"/>
      <c r="E116" s="34"/>
      <c r="F116" s="34"/>
      <c r="G116" s="11"/>
      <c r="H116" s="11"/>
      <c r="I116" s="11"/>
      <c r="J116" s="52"/>
      <c r="K116" s="123"/>
      <c r="L116" s="123"/>
      <c r="M116" s="46"/>
      <c r="N116" s="43"/>
      <c r="O116" s="123"/>
      <c r="P116" s="225"/>
    </row>
    <row r="117" spans="1:16" s="10" customFormat="1" ht="15">
      <c r="A117" s="99"/>
      <c r="B117" s="9"/>
      <c r="D117" s="29"/>
      <c r="E117" s="34"/>
      <c r="F117" s="34"/>
      <c r="G117" s="11"/>
      <c r="H117" s="11"/>
      <c r="I117" s="11"/>
      <c r="J117" s="52"/>
      <c r="K117" s="123"/>
      <c r="L117" s="123"/>
      <c r="M117" s="46"/>
      <c r="N117" s="43"/>
      <c r="O117" s="123"/>
      <c r="P117" s="225"/>
    </row>
    <row r="118" spans="1:16" s="10" customFormat="1" ht="15">
      <c r="A118" s="99"/>
      <c r="B118" s="9"/>
      <c r="D118" s="29"/>
      <c r="E118" s="34"/>
      <c r="F118" s="34"/>
      <c r="G118" s="11"/>
      <c r="H118" s="11"/>
      <c r="I118" s="11"/>
      <c r="J118" s="52"/>
      <c r="K118" s="123"/>
      <c r="L118" s="123"/>
      <c r="M118" s="46"/>
      <c r="N118" s="43"/>
      <c r="O118" s="123"/>
      <c r="P118" s="225"/>
    </row>
    <row r="119" spans="1:16" s="10" customFormat="1" ht="15">
      <c r="A119" s="99"/>
      <c r="B119" s="9"/>
      <c r="D119" s="29"/>
      <c r="E119" s="34"/>
      <c r="F119" s="34"/>
      <c r="G119" s="11"/>
      <c r="H119" s="11"/>
      <c r="I119" s="11"/>
      <c r="J119" s="52"/>
      <c r="K119" s="123"/>
      <c r="L119" s="123"/>
      <c r="M119" s="46"/>
      <c r="N119" s="43"/>
      <c r="O119" s="123"/>
      <c r="P119" s="225"/>
    </row>
    <row r="120" spans="1:16" s="10" customFormat="1" ht="15">
      <c r="A120" s="99"/>
      <c r="B120" s="9"/>
      <c r="D120" s="29"/>
      <c r="E120" s="34"/>
      <c r="F120" s="34"/>
      <c r="G120" s="11"/>
      <c r="H120" s="11"/>
      <c r="I120" s="11"/>
      <c r="J120" s="52"/>
      <c r="K120" s="123"/>
      <c r="L120" s="123"/>
      <c r="M120" s="46"/>
      <c r="N120" s="43"/>
      <c r="O120" s="123"/>
      <c r="P120" s="225"/>
    </row>
    <row r="121" spans="1:16" s="10" customFormat="1" ht="15">
      <c r="A121" s="99"/>
      <c r="B121" s="9"/>
      <c r="D121" s="29"/>
      <c r="E121" s="34"/>
      <c r="F121" s="34"/>
      <c r="G121" s="11"/>
      <c r="H121" s="11"/>
      <c r="I121" s="11"/>
      <c r="J121" s="52"/>
      <c r="K121" s="123"/>
      <c r="L121" s="123"/>
      <c r="M121" s="46"/>
      <c r="N121" s="43"/>
      <c r="O121" s="123"/>
      <c r="P121" s="225"/>
    </row>
    <row r="122" spans="1:16" s="10" customFormat="1" ht="15">
      <c r="A122" s="99"/>
      <c r="B122" s="9"/>
      <c r="D122" s="29"/>
      <c r="E122" s="34"/>
      <c r="F122" s="34"/>
      <c r="G122" s="11"/>
      <c r="H122" s="11"/>
      <c r="I122" s="11"/>
      <c r="J122" s="52"/>
      <c r="K122" s="123"/>
      <c r="L122" s="123"/>
      <c r="M122" s="46"/>
      <c r="N122" s="43"/>
      <c r="O122" s="123"/>
      <c r="P122" s="225"/>
    </row>
    <row r="123" spans="1:16" s="10" customFormat="1" ht="15">
      <c r="A123" s="99"/>
      <c r="B123" s="9"/>
      <c r="D123" s="29"/>
      <c r="E123" s="34"/>
      <c r="F123" s="34"/>
      <c r="G123" s="11"/>
      <c r="H123" s="11"/>
      <c r="I123" s="11"/>
      <c r="J123" s="52"/>
      <c r="K123" s="123"/>
      <c r="L123" s="123"/>
      <c r="M123" s="46"/>
      <c r="N123" s="43"/>
      <c r="O123" s="123"/>
      <c r="P123" s="225"/>
    </row>
    <row r="124" spans="1:16" s="10" customFormat="1" ht="15">
      <c r="A124" s="99"/>
      <c r="B124" s="9"/>
      <c r="D124" s="29"/>
      <c r="E124" s="34"/>
      <c r="F124" s="34"/>
      <c r="G124" s="11"/>
      <c r="H124" s="11"/>
      <c r="I124" s="11"/>
      <c r="J124" s="52"/>
      <c r="K124" s="123"/>
      <c r="L124" s="123"/>
      <c r="M124" s="46"/>
      <c r="N124" s="43"/>
      <c r="O124" s="123"/>
      <c r="P124" s="225"/>
    </row>
    <row r="125" spans="1:16" s="10" customFormat="1" ht="15">
      <c r="A125" s="99"/>
      <c r="B125" s="9"/>
      <c r="D125" s="29"/>
      <c r="E125" s="34"/>
      <c r="F125" s="34"/>
      <c r="G125" s="11"/>
      <c r="H125" s="11"/>
      <c r="I125" s="11"/>
      <c r="J125" s="52"/>
      <c r="K125" s="123"/>
      <c r="L125" s="123"/>
      <c r="M125" s="46"/>
      <c r="N125" s="43"/>
      <c r="O125" s="123"/>
      <c r="P125" s="225"/>
    </row>
    <row r="126" spans="1:16" s="10" customFormat="1" ht="15">
      <c r="A126" s="99"/>
      <c r="B126" s="9"/>
      <c r="D126" s="29"/>
      <c r="E126" s="34"/>
      <c r="F126" s="34"/>
      <c r="G126" s="11"/>
      <c r="H126" s="11"/>
      <c r="I126" s="11"/>
      <c r="J126" s="52"/>
      <c r="K126" s="123"/>
      <c r="L126" s="123"/>
      <c r="M126" s="46"/>
      <c r="N126" s="43"/>
      <c r="O126" s="123"/>
      <c r="P126" s="225"/>
    </row>
    <row r="127" spans="1:16" s="10" customFormat="1" ht="15">
      <c r="A127" s="99"/>
      <c r="B127" s="9"/>
      <c r="D127" s="29"/>
      <c r="E127" s="34"/>
      <c r="F127" s="34"/>
      <c r="G127" s="11"/>
      <c r="H127" s="11"/>
      <c r="I127" s="11"/>
      <c r="J127" s="52"/>
      <c r="K127" s="123"/>
      <c r="L127" s="123"/>
      <c r="M127" s="46"/>
      <c r="N127" s="43"/>
      <c r="O127" s="123"/>
      <c r="P127" s="225"/>
    </row>
    <row r="128" spans="1:16" s="10" customFormat="1" ht="15">
      <c r="A128" s="99"/>
      <c r="B128" s="9"/>
      <c r="D128" s="29"/>
      <c r="E128" s="34"/>
      <c r="F128" s="34"/>
      <c r="G128" s="11"/>
      <c r="H128" s="11"/>
      <c r="I128" s="11"/>
      <c r="J128" s="52"/>
      <c r="K128" s="123"/>
      <c r="L128" s="123"/>
      <c r="M128" s="46"/>
      <c r="N128" s="43"/>
      <c r="O128" s="123"/>
      <c r="P128" s="225"/>
    </row>
    <row r="129" spans="1:16" s="10" customFormat="1" ht="15">
      <c r="A129" s="99"/>
      <c r="B129" s="9"/>
      <c r="D129" s="29"/>
      <c r="E129" s="34"/>
      <c r="F129" s="34"/>
      <c r="G129" s="11"/>
      <c r="H129" s="11"/>
      <c r="I129" s="11"/>
      <c r="J129" s="52"/>
      <c r="K129" s="123"/>
      <c r="L129" s="123"/>
      <c r="M129" s="46"/>
      <c r="N129" s="43"/>
      <c r="O129" s="123"/>
      <c r="P129" s="225"/>
    </row>
    <row r="130" spans="1:16" s="10" customFormat="1" ht="15">
      <c r="A130" s="99"/>
      <c r="B130" s="9"/>
      <c r="D130" s="29"/>
      <c r="E130" s="34"/>
      <c r="F130" s="34"/>
      <c r="G130" s="11"/>
      <c r="H130" s="11"/>
      <c r="I130" s="11"/>
      <c r="J130" s="52"/>
      <c r="K130" s="123"/>
      <c r="L130" s="123"/>
      <c r="M130" s="46"/>
      <c r="N130" s="43"/>
      <c r="O130" s="123"/>
      <c r="P130" s="225"/>
    </row>
    <row r="131" spans="1:16" s="10" customFormat="1" ht="15">
      <c r="A131" s="99"/>
      <c r="B131" s="9"/>
      <c r="D131" s="29"/>
      <c r="E131" s="34"/>
      <c r="F131" s="34"/>
      <c r="G131" s="11"/>
      <c r="H131" s="11"/>
      <c r="I131" s="11"/>
      <c r="J131" s="52"/>
      <c r="K131" s="123"/>
      <c r="L131" s="123"/>
      <c r="M131" s="46"/>
      <c r="N131" s="43"/>
      <c r="O131" s="123"/>
      <c r="P131" s="225"/>
    </row>
    <row r="132" spans="1:16" s="10" customFormat="1" ht="15">
      <c r="A132" s="99"/>
      <c r="B132" s="9"/>
      <c r="D132" s="29"/>
      <c r="E132" s="34"/>
      <c r="F132" s="34"/>
      <c r="G132" s="11"/>
      <c r="H132" s="11"/>
      <c r="I132" s="11"/>
      <c r="J132" s="52"/>
      <c r="K132" s="123"/>
      <c r="L132" s="123"/>
      <c r="M132" s="46"/>
      <c r="N132" s="43"/>
      <c r="O132" s="123"/>
      <c r="P132" s="225"/>
    </row>
    <row r="133" spans="1:16" s="10" customFormat="1" ht="15">
      <c r="A133" s="99"/>
      <c r="B133" s="9"/>
      <c r="D133" s="29"/>
      <c r="E133" s="34"/>
      <c r="F133" s="34"/>
      <c r="G133" s="11"/>
      <c r="H133" s="11"/>
      <c r="I133" s="11"/>
      <c r="J133" s="52"/>
      <c r="K133" s="123"/>
      <c r="L133" s="123"/>
      <c r="M133" s="46"/>
      <c r="N133" s="43"/>
      <c r="O133" s="123"/>
      <c r="P133" s="225"/>
    </row>
    <row r="134" spans="1:16" s="10" customFormat="1" ht="15">
      <c r="A134" s="99"/>
      <c r="B134" s="9"/>
      <c r="D134" s="29"/>
      <c r="E134" s="34"/>
      <c r="F134" s="34"/>
      <c r="G134" s="11"/>
      <c r="H134" s="11"/>
      <c r="I134" s="11"/>
      <c r="J134" s="52"/>
      <c r="K134" s="123"/>
      <c r="L134" s="123"/>
      <c r="M134" s="46"/>
      <c r="N134" s="43"/>
      <c r="O134" s="123"/>
      <c r="P134" s="225"/>
    </row>
    <row r="135" spans="1:16" s="10" customFormat="1" ht="15">
      <c r="A135" s="99"/>
      <c r="B135" s="9"/>
      <c r="D135" s="29"/>
      <c r="E135" s="34"/>
      <c r="F135" s="34"/>
      <c r="G135" s="11"/>
      <c r="H135" s="11"/>
      <c r="I135" s="11"/>
      <c r="J135" s="52"/>
      <c r="K135" s="123"/>
      <c r="L135" s="123"/>
      <c r="M135" s="46"/>
      <c r="N135" s="43"/>
      <c r="O135" s="123"/>
      <c r="P135" s="225"/>
    </row>
    <row r="136" spans="1:16" s="10" customFormat="1" ht="15">
      <c r="A136" s="99"/>
      <c r="B136" s="9"/>
      <c r="D136" s="29"/>
      <c r="E136" s="34"/>
      <c r="F136" s="34"/>
      <c r="G136" s="11"/>
      <c r="H136" s="11"/>
      <c r="I136" s="11"/>
      <c r="J136" s="52"/>
      <c r="K136" s="123"/>
      <c r="L136" s="123"/>
      <c r="M136" s="46"/>
      <c r="N136" s="43"/>
      <c r="O136" s="123"/>
      <c r="P136" s="225"/>
    </row>
    <row r="137" spans="1:16" s="10" customFormat="1" ht="15">
      <c r="A137" s="99"/>
      <c r="B137" s="9"/>
      <c r="D137" s="29"/>
      <c r="E137" s="34"/>
      <c r="F137" s="34"/>
      <c r="G137" s="11"/>
      <c r="H137" s="11"/>
      <c r="I137" s="11"/>
      <c r="J137" s="52"/>
      <c r="K137" s="123"/>
      <c r="L137" s="123"/>
      <c r="M137" s="46"/>
      <c r="N137" s="43"/>
      <c r="O137" s="123"/>
      <c r="P137" s="225"/>
    </row>
    <row r="138" spans="1:16" s="10" customFormat="1" ht="15">
      <c r="A138" s="99"/>
      <c r="B138" s="9"/>
      <c r="D138" s="29"/>
      <c r="E138" s="34"/>
      <c r="F138" s="34"/>
      <c r="G138" s="11"/>
      <c r="H138" s="11"/>
      <c r="I138" s="11"/>
      <c r="J138" s="52"/>
      <c r="K138" s="123"/>
      <c r="L138" s="123"/>
      <c r="M138" s="46"/>
      <c r="N138" s="43"/>
      <c r="O138" s="123"/>
      <c r="P138" s="225"/>
    </row>
    <row r="139" spans="1:16" s="10" customFormat="1" ht="15">
      <c r="A139" s="99"/>
      <c r="B139" s="9"/>
      <c r="D139" s="29"/>
      <c r="E139" s="34"/>
      <c r="F139" s="34"/>
      <c r="G139" s="11"/>
      <c r="H139" s="11"/>
      <c r="I139" s="11"/>
      <c r="J139" s="52"/>
      <c r="K139" s="123"/>
      <c r="L139" s="123"/>
      <c r="M139" s="46"/>
      <c r="N139" s="43"/>
      <c r="O139" s="123"/>
      <c r="P139" s="225"/>
    </row>
    <row r="140" spans="1:16" s="10" customFormat="1" ht="15">
      <c r="A140" s="99"/>
      <c r="B140" s="9"/>
      <c r="D140" s="29"/>
      <c r="E140" s="34"/>
      <c r="F140" s="34"/>
      <c r="G140" s="11"/>
      <c r="H140" s="11"/>
      <c r="I140" s="11"/>
      <c r="J140" s="52"/>
      <c r="K140" s="123"/>
      <c r="L140" s="123"/>
      <c r="M140" s="46"/>
      <c r="N140" s="43"/>
      <c r="O140" s="123"/>
      <c r="P140" s="225"/>
    </row>
    <row r="141" spans="1:16" s="10" customFormat="1" ht="15">
      <c r="A141" s="99"/>
      <c r="B141" s="9"/>
      <c r="D141" s="29"/>
      <c r="E141" s="34"/>
      <c r="F141" s="34"/>
      <c r="G141" s="11"/>
      <c r="H141" s="11"/>
      <c r="I141" s="11"/>
      <c r="J141" s="52"/>
      <c r="K141" s="123"/>
      <c r="L141" s="123"/>
      <c r="M141" s="46"/>
      <c r="N141" s="43"/>
      <c r="O141" s="123"/>
      <c r="P141" s="225"/>
    </row>
    <row r="142" spans="1:16" s="10" customFormat="1" ht="15">
      <c r="A142" s="99"/>
      <c r="B142" s="9"/>
      <c r="D142" s="29"/>
      <c r="E142" s="34"/>
      <c r="F142" s="34"/>
      <c r="G142" s="11"/>
      <c r="H142" s="11"/>
      <c r="I142" s="11"/>
      <c r="J142" s="52"/>
      <c r="K142" s="123"/>
      <c r="L142" s="123"/>
      <c r="M142" s="46"/>
      <c r="N142" s="43"/>
      <c r="O142" s="123"/>
      <c r="P142" s="225"/>
    </row>
    <row r="143" spans="1:16" s="10" customFormat="1" ht="15">
      <c r="A143" s="99"/>
      <c r="B143" s="9"/>
      <c r="D143" s="29"/>
      <c r="E143" s="34"/>
      <c r="F143" s="34"/>
      <c r="G143" s="11"/>
      <c r="H143" s="11"/>
      <c r="I143" s="11"/>
      <c r="J143" s="52"/>
      <c r="K143" s="123"/>
      <c r="L143" s="123"/>
      <c r="M143" s="46"/>
      <c r="N143" s="43"/>
      <c r="O143" s="123"/>
      <c r="P143" s="225"/>
    </row>
    <row r="144" spans="1:16" s="10" customFormat="1" ht="15">
      <c r="A144" s="99"/>
      <c r="B144" s="9"/>
      <c r="D144" s="29"/>
      <c r="E144" s="34"/>
      <c r="F144" s="34"/>
      <c r="G144" s="11"/>
      <c r="H144" s="11"/>
      <c r="I144" s="11"/>
      <c r="J144" s="52"/>
      <c r="K144" s="123"/>
      <c r="L144" s="123"/>
      <c r="M144" s="46"/>
      <c r="N144" s="43"/>
      <c r="O144" s="123"/>
      <c r="P144" s="225"/>
    </row>
    <row r="145" spans="1:16" s="10" customFormat="1" ht="15">
      <c r="A145" s="99"/>
      <c r="B145" s="9"/>
      <c r="D145" s="29"/>
      <c r="E145" s="34"/>
      <c r="F145" s="34"/>
      <c r="G145" s="11"/>
      <c r="H145" s="11"/>
      <c r="I145" s="11"/>
      <c r="J145" s="52"/>
      <c r="K145" s="123"/>
      <c r="L145" s="123"/>
      <c r="M145" s="46"/>
      <c r="N145" s="43"/>
      <c r="O145" s="123"/>
      <c r="P145" s="225"/>
    </row>
    <row r="146" spans="1:16" s="10" customFormat="1" ht="15">
      <c r="A146" s="99"/>
      <c r="B146" s="9"/>
      <c r="D146" s="29"/>
      <c r="E146" s="34"/>
      <c r="F146" s="34"/>
      <c r="G146" s="11"/>
      <c r="H146" s="11"/>
      <c r="I146" s="11"/>
      <c r="J146" s="52"/>
      <c r="K146" s="123"/>
      <c r="L146" s="123"/>
      <c r="M146" s="46"/>
      <c r="N146" s="43"/>
      <c r="O146" s="123"/>
      <c r="P146" s="225"/>
    </row>
    <row r="147" spans="1:16" s="10" customFormat="1" ht="15">
      <c r="A147" s="99"/>
      <c r="B147" s="9"/>
      <c r="D147" s="29"/>
      <c r="E147" s="34"/>
      <c r="F147" s="34"/>
      <c r="G147" s="11"/>
      <c r="H147" s="11"/>
      <c r="I147" s="11"/>
      <c r="J147" s="52"/>
      <c r="K147" s="123"/>
      <c r="L147" s="123"/>
      <c r="M147" s="46"/>
      <c r="N147" s="43"/>
      <c r="O147" s="123"/>
      <c r="P147" s="225"/>
    </row>
    <row r="148" spans="1:16" s="10" customFormat="1" ht="15">
      <c r="A148" s="99"/>
      <c r="B148" s="9"/>
      <c r="D148" s="29"/>
      <c r="E148" s="34"/>
      <c r="F148" s="34"/>
      <c r="G148" s="11"/>
      <c r="H148" s="11"/>
      <c r="I148" s="11"/>
      <c r="J148" s="52"/>
      <c r="K148" s="123"/>
      <c r="L148" s="123"/>
      <c r="M148" s="46"/>
      <c r="N148" s="43"/>
      <c r="O148" s="123"/>
      <c r="P148" s="225"/>
    </row>
    <row r="149" spans="1:16" s="10" customFormat="1" ht="15">
      <c r="A149" s="99"/>
      <c r="B149" s="9"/>
      <c r="D149" s="29"/>
      <c r="E149" s="34"/>
      <c r="F149" s="34"/>
      <c r="G149" s="11"/>
      <c r="H149" s="11"/>
      <c r="I149" s="11"/>
      <c r="J149" s="52"/>
      <c r="K149" s="123"/>
      <c r="L149" s="123"/>
      <c r="M149" s="46"/>
      <c r="N149" s="43"/>
      <c r="O149" s="123"/>
      <c r="P149" s="225"/>
    </row>
    <row r="150" spans="1:16" s="10" customFormat="1" ht="15">
      <c r="A150" s="99"/>
      <c r="B150" s="9"/>
      <c r="D150" s="29"/>
      <c r="E150" s="34"/>
      <c r="F150" s="34"/>
      <c r="G150" s="11"/>
      <c r="H150" s="11"/>
      <c r="I150" s="11"/>
      <c r="J150" s="52"/>
      <c r="K150" s="123"/>
      <c r="L150" s="123"/>
      <c r="M150" s="46"/>
      <c r="N150" s="43"/>
      <c r="O150" s="123"/>
      <c r="P150" s="225"/>
    </row>
    <row r="151" spans="1:16" s="10" customFormat="1" ht="15">
      <c r="A151" s="99"/>
      <c r="B151" s="9"/>
      <c r="D151" s="29"/>
      <c r="E151" s="34"/>
      <c r="F151" s="34"/>
      <c r="G151" s="11"/>
      <c r="H151" s="11"/>
      <c r="I151" s="11"/>
      <c r="J151" s="52"/>
      <c r="K151" s="123"/>
      <c r="L151" s="123"/>
      <c r="M151" s="46"/>
      <c r="N151" s="43"/>
      <c r="O151" s="123"/>
      <c r="P151" s="225"/>
    </row>
    <row r="152" spans="1:16" s="10" customFormat="1" ht="15">
      <c r="A152" s="99"/>
      <c r="B152" s="9"/>
      <c r="D152" s="29"/>
      <c r="E152" s="34"/>
      <c r="F152" s="34"/>
      <c r="G152" s="11"/>
      <c r="H152" s="11"/>
      <c r="I152" s="11"/>
      <c r="J152" s="52"/>
      <c r="K152" s="123"/>
      <c r="L152" s="123"/>
      <c r="M152" s="46"/>
      <c r="N152" s="43"/>
      <c r="O152" s="123"/>
      <c r="P152" s="225"/>
    </row>
  </sheetData>
  <sheetProtection insertRows="0" deleteRows="0" sort="0"/>
  <mergeCells count="14">
    <mergeCell ref="I3:I4"/>
    <mergeCell ref="J3:M3"/>
    <mergeCell ref="D3:D4"/>
    <mergeCell ref="F3:F4"/>
    <mergeCell ref="E73:G73"/>
    <mergeCell ref="D81:G81"/>
    <mergeCell ref="A2:P2"/>
    <mergeCell ref="C73:D74"/>
    <mergeCell ref="L73:P75"/>
    <mergeCell ref="N3:P3"/>
    <mergeCell ref="H3:H4"/>
    <mergeCell ref="G3:G4"/>
    <mergeCell ref="C3:C4"/>
    <mergeCell ref="E3:E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portrait" paperSize="9" scale="46" r:id="rId2"/>
  <ignoredErrors>
    <ignoredError sqref="G80 F79:G79 D77:D80 H80:H81 E76:E80 D82:G82 G83:G93 M5:N8 O5:O18 L5:L8 J5:K18" unlockedFormula="1"/>
    <ignoredError sqref="M9:N18 L9:L18 O38:O52 N38:N52 N58:O58 M30 L30 L31:L37 M31:M37 M19:N29 L19:L28 N30 O31:O37 O30 N31:N37 O19:O29 L29 J19:K29" formula="1" unlockedFormula="1"/>
    <ignoredError sqref="O53 L38:L53 M38:M53 N53 L58:M58" formula="1"/>
    <ignoredError sqref="F75:G78 D75 J30:K37 G19:I37 G57:G62" numberStoredAsText="1"/>
    <ignoredError sqref="M30 L30 L31:L37 M31:M37" numberStoredAsText="1" formula="1"/>
    <ignoredError sqref="M19:N29 L19:L28 N30 O31:O37 O30 N31:N37" numberStoredAsText="1" formula="1" unlockedFormula="1"/>
    <ignoredError sqref="O19:O29 L29 J19:K29" numberStoredAsText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6"/>
  <sheetViews>
    <sheetView zoomScale="85" zoomScaleNormal="85" workbookViewId="0" topLeftCell="A1">
      <selection activeCell="C2" sqref="C2:C3"/>
    </sheetView>
  </sheetViews>
  <sheetFormatPr defaultColWidth="9.140625" defaultRowHeight="14.25" customHeight="1"/>
  <cols>
    <col min="1" max="1" width="4.421875" style="144" bestFit="1" customWidth="1"/>
    <col min="2" max="2" width="1.7109375" style="184" customWidth="1"/>
    <col min="3" max="3" width="39.28125" style="184" bestFit="1" customWidth="1"/>
    <col min="4" max="4" width="9.421875" style="197" customWidth="1"/>
    <col min="5" max="5" width="16.8515625" style="197" bestFit="1" customWidth="1"/>
    <col min="6" max="6" width="15.8515625" style="197" bestFit="1" customWidth="1"/>
    <col min="7" max="7" width="9.421875" style="197" bestFit="1" customWidth="1"/>
    <col min="8" max="8" width="10.00390625" style="197" customWidth="1"/>
    <col min="9" max="9" width="16.57421875" style="371" bestFit="1" customWidth="1"/>
    <col min="10" max="10" width="13.421875" style="199" bestFit="1" customWidth="1"/>
    <col min="11" max="11" width="9.28125" style="200" customWidth="1"/>
    <col min="12" max="16384" width="9.140625" style="184" customWidth="1"/>
  </cols>
  <sheetData>
    <row r="1" spans="1:11" s="145" customFormat="1" ht="42" customHeight="1" thickBot="1">
      <c r="A1" s="144"/>
      <c r="B1" s="233" t="s">
        <v>241</v>
      </c>
      <c r="C1" s="285"/>
      <c r="D1" s="285"/>
      <c r="E1" s="285"/>
      <c r="F1" s="285"/>
      <c r="G1" s="285"/>
      <c r="H1" s="285"/>
      <c r="I1" s="285"/>
      <c r="J1" s="285"/>
      <c r="K1" s="286"/>
    </row>
    <row r="2" spans="2:11" s="146" customFormat="1" ht="14.25" customHeight="1">
      <c r="B2" s="147"/>
      <c r="C2" s="287" t="s">
        <v>13</v>
      </c>
      <c r="D2" s="287" t="s">
        <v>156</v>
      </c>
      <c r="E2" s="287" t="s">
        <v>55</v>
      </c>
      <c r="F2" s="287" t="s">
        <v>54</v>
      </c>
      <c r="G2" s="278" t="s">
        <v>15</v>
      </c>
      <c r="H2" s="278" t="s">
        <v>157</v>
      </c>
      <c r="I2" s="278" t="s">
        <v>17</v>
      </c>
      <c r="J2" s="278"/>
      <c r="K2" s="291" t="s">
        <v>158</v>
      </c>
    </row>
    <row r="3" spans="1:11" s="146" customFormat="1" ht="34.5" customHeight="1" thickBot="1">
      <c r="A3" s="148"/>
      <c r="B3" s="228"/>
      <c r="C3" s="288"/>
      <c r="D3" s="288"/>
      <c r="E3" s="288"/>
      <c r="F3" s="288"/>
      <c r="G3" s="289"/>
      <c r="H3" s="290"/>
      <c r="I3" s="359" t="s">
        <v>159</v>
      </c>
      <c r="J3" s="229" t="s">
        <v>4</v>
      </c>
      <c r="K3" s="292"/>
    </row>
    <row r="4" spans="1:11" s="146" customFormat="1" ht="15">
      <c r="A4" s="149">
        <v>1</v>
      </c>
      <c r="B4" s="249"/>
      <c r="C4" s="253" t="s">
        <v>1</v>
      </c>
      <c r="D4" s="252">
        <v>38751</v>
      </c>
      <c r="E4" s="253" t="s">
        <v>35</v>
      </c>
      <c r="F4" s="253" t="s">
        <v>69</v>
      </c>
      <c r="G4" s="230">
        <v>277</v>
      </c>
      <c r="H4" s="230">
        <v>18</v>
      </c>
      <c r="I4" s="360">
        <v>27412380</v>
      </c>
      <c r="J4" s="346">
        <v>4243293.666666667</v>
      </c>
      <c r="K4" s="347">
        <f>+I4/J4</f>
        <v>6.4601656527661175</v>
      </c>
    </row>
    <row r="5" spans="1:11" s="150" customFormat="1" ht="14.25" customHeight="1">
      <c r="A5" s="149">
        <v>2</v>
      </c>
      <c r="B5" s="250"/>
      <c r="C5" s="120" t="s">
        <v>160</v>
      </c>
      <c r="D5" s="39">
        <v>38723</v>
      </c>
      <c r="E5" s="341" t="s">
        <v>63</v>
      </c>
      <c r="F5" s="120" t="s">
        <v>161</v>
      </c>
      <c r="G5" s="151">
        <v>280</v>
      </c>
      <c r="H5" s="151">
        <v>15</v>
      </c>
      <c r="I5" s="355">
        <f>5592380+3880622.5+1673082.62+1119075.5+434517.5+130151.5+6347.5+744.5+27+2593+460+255+1561+9584+3764</f>
        <v>12855165.620000001</v>
      </c>
      <c r="J5" s="92">
        <f>871283+621889+270076+179456+67736+23058+1452+132+6+608+92+51+376+3188+1672</f>
        <v>2041075</v>
      </c>
      <c r="K5" s="60">
        <f>IF(I5&lt;&gt;0,I5/J5,"")</f>
        <v>6.29823285278591</v>
      </c>
    </row>
    <row r="6" spans="1:11" s="150" customFormat="1" ht="14.25" customHeight="1">
      <c r="A6" s="149">
        <v>3</v>
      </c>
      <c r="B6" s="250"/>
      <c r="C6" s="116" t="s">
        <v>121</v>
      </c>
      <c r="D6" s="27">
        <v>38856</v>
      </c>
      <c r="E6" s="116" t="s">
        <v>60</v>
      </c>
      <c r="F6" s="116" t="s">
        <v>67</v>
      </c>
      <c r="G6" s="304">
        <v>195</v>
      </c>
      <c r="H6" s="304" t="s">
        <v>150</v>
      </c>
      <c r="I6" s="354">
        <f>3570701+1526862+890553+1110.5+642057+1962.5</f>
        <v>6633246</v>
      </c>
      <c r="J6" s="64">
        <f>473308+203407+120258+125+93991+244</f>
        <v>891333</v>
      </c>
      <c r="K6" s="61">
        <f>+I6/J6</f>
        <v>7.441939207905463</v>
      </c>
    </row>
    <row r="7" spans="1:11" s="152" customFormat="1" ht="14.25" customHeight="1">
      <c r="A7" s="149">
        <v>4</v>
      </c>
      <c r="B7" s="251"/>
      <c r="C7" s="118" t="s">
        <v>162</v>
      </c>
      <c r="D7" s="95">
        <v>38723</v>
      </c>
      <c r="E7" s="118" t="s">
        <v>35</v>
      </c>
      <c r="F7" s="118" t="s">
        <v>163</v>
      </c>
      <c r="G7" s="151">
        <v>199</v>
      </c>
      <c r="H7" s="151">
        <v>19</v>
      </c>
      <c r="I7" s="361">
        <v>6508885.1</v>
      </c>
      <c r="J7" s="94">
        <v>995000</v>
      </c>
      <c r="K7" s="60">
        <f>+I7/J7</f>
        <v>6.541593065326633</v>
      </c>
    </row>
    <row r="8" spans="1:11" s="152" customFormat="1" ht="14.25" customHeight="1">
      <c r="A8" s="149">
        <v>5</v>
      </c>
      <c r="B8" s="251"/>
      <c r="C8" s="154" t="s">
        <v>123</v>
      </c>
      <c r="D8" s="153">
        <v>38821</v>
      </c>
      <c r="E8" s="154" t="s">
        <v>63</v>
      </c>
      <c r="F8" s="154" t="s">
        <v>64</v>
      </c>
      <c r="G8" s="309">
        <v>118</v>
      </c>
      <c r="H8" s="309">
        <v>9</v>
      </c>
      <c r="I8" s="355">
        <f>1908861+1583540+976953.5+606582.5+358386.5+257458.5+154619+107195+70567</f>
        <v>6024163</v>
      </c>
      <c r="J8" s="92">
        <f>267837+226672+141343+93283+56706+48660+34140+24736+15604</f>
        <v>908981</v>
      </c>
      <c r="K8" s="60">
        <f>+I8/J8</f>
        <v>6.627380550308533</v>
      </c>
    </row>
    <row r="9" spans="1:11" s="152" customFormat="1" ht="14.25" customHeight="1">
      <c r="A9" s="149">
        <v>6</v>
      </c>
      <c r="B9" s="251"/>
      <c r="C9" s="120" t="s">
        <v>0</v>
      </c>
      <c r="D9" s="39">
        <v>38765</v>
      </c>
      <c r="E9" s="120" t="s">
        <v>35</v>
      </c>
      <c r="F9" s="120" t="s">
        <v>85</v>
      </c>
      <c r="G9" s="151">
        <v>164</v>
      </c>
      <c r="H9" s="151">
        <v>16</v>
      </c>
      <c r="I9" s="357">
        <v>4209741.5</v>
      </c>
      <c r="J9" s="62">
        <v>641370</v>
      </c>
      <c r="K9" s="60">
        <f>+I9/J9</f>
        <v>6.563670736080578</v>
      </c>
    </row>
    <row r="10" spans="1:11" s="152" customFormat="1" ht="14.25" customHeight="1">
      <c r="A10" s="149">
        <v>7</v>
      </c>
      <c r="B10" s="251"/>
      <c r="C10" s="154" t="s">
        <v>25</v>
      </c>
      <c r="D10" s="153">
        <v>38758</v>
      </c>
      <c r="E10" s="154" t="s">
        <v>63</v>
      </c>
      <c r="F10" s="154" t="s">
        <v>68</v>
      </c>
      <c r="G10" s="309">
        <v>80</v>
      </c>
      <c r="H10" s="309">
        <v>18</v>
      </c>
      <c r="I10" s="355">
        <f>1046144.5+776147+471268+342390+240709.5+167344+96416.5+41350+35967.5+31795.5+14506+10028+6242+3523+4463+5109+150+198</f>
        <v>3293751.5</v>
      </c>
      <c r="J10" s="92">
        <f>153560+115584+70079+59336+46681+34549+19625+8318+8035+8705+3661+2044+1179+753+1488+1703+50+66</f>
        <v>535416</v>
      </c>
      <c r="K10" s="60">
        <f>+I10/J10</f>
        <v>6.15176143409984</v>
      </c>
    </row>
    <row r="11" spans="1:11" s="152" customFormat="1" ht="14.25" customHeight="1">
      <c r="A11" s="149">
        <v>8</v>
      </c>
      <c r="B11" s="251"/>
      <c r="C11" s="120" t="s">
        <v>164</v>
      </c>
      <c r="D11" s="39">
        <v>38730</v>
      </c>
      <c r="E11" s="120" t="s">
        <v>61</v>
      </c>
      <c r="F11" s="120" t="s">
        <v>66</v>
      </c>
      <c r="G11" s="151">
        <v>116</v>
      </c>
      <c r="H11" s="151">
        <v>21</v>
      </c>
      <c r="I11" s="356">
        <v>3277540</v>
      </c>
      <c r="J11" s="59">
        <v>466610</v>
      </c>
      <c r="K11" s="60">
        <f>+I11/J11</f>
        <v>7.024152932856133</v>
      </c>
    </row>
    <row r="12" spans="1:11" s="152" customFormat="1" ht="14.25" customHeight="1">
      <c r="A12" s="149">
        <v>9</v>
      </c>
      <c r="B12" s="251"/>
      <c r="C12" s="120" t="s">
        <v>252</v>
      </c>
      <c r="D12" s="39">
        <v>38842</v>
      </c>
      <c r="E12" s="120" t="s">
        <v>61</v>
      </c>
      <c r="F12" s="154" t="s">
        <v>75</v>
      </c>
      <c r="G12" s="309">
        <v>173</v>
      </c>
      <c r="H12" s="309">
        <v>6</v>
      </c>
      <c r="I12" s="356">
        <v>2805037</v>
      </c>
      <c r="J12" s="155">
        <v>374761</v>
      </c>
      <c r="K12" s="60">
        <f>+I12/J12</f>
        <v>7.484869023190781</v>
      </c>
    </row>
    <row r="13" spans="1:11" s="152" customFormat="1" ht="14.25" customHeight="1">
      <c r="A13" s="149">
        <v>10</v>
      </c>
      <c r="B13" s="251"/>
      <c r="C13" s="119" t="s">
        <v>56</v>
      </c>
      <c r="D13" s="39">
        <v>38807</v>
      </c>
      <c r="E13" s="119" t="s">
        <v>57</v>
      </c>
      <c r="F13" s="119" t="s">
        <v>58</v>
      </c>
      <c r="G13" s="109">
        <v>115</v>
      </c>
      <c r="H13" s="109" t="s">
        <v>259</v>
      </c>
      <c r="I13" s="356">
        <v>2090646</v>
      </c>
      <c r="J13" s="59">
        <v>291036</v>
      </c>
      <c r="K13" s="60">
        <f>+I13/J13</f>
        <v>7.1834618397723995</v>
      </c>
    </row>
    <row r="14" spans="1:11" s="152" customFormat="1" ht="14.25" customHeight="1">
      <c r="A14" s="149">
        <v>11</v>
      </c>
      <c r="B14" s="251"/>
      <c r="C14" s="117" t="s">
        <v>165</v>
      </c>
      <c r="D14" s="27">
        <v>38744</v>
      </c>
      <c r="E14" s="117" t="s">
        <v>61</v>
      </c>
      <c r="F14" s="117" t="s">
        <v>77</v>
      </c>
      <c r="G14" s="50">
        <v>71</v>
      </c>
      <c r="H14" s="50">
        <v>14</v>
      </c>
      <c r="I14" s="356">
        <v>1845007</v>
      </c>
      <c r="J14" s="59">
        <v>228970</v>
      </c>
      <c r="K14" s="60">
        <f>+I14/J14</f>
        <v>8.057854740795737</v>
      </c>
    </row>
    <row r="15" spans="1:11" s="152" customFormat="1" ht="14.25" customHeight="1">
      <c r="A15" s="149">
        <v>12</v>
      </c>
      <c r="B15" s="251"/>
      <c r="C15" s="120" t="s">
        <v>42</v>
      </c>
      <c r="D15" s="39">
        <v>38793</v>
      </c>
      <c r="E15" s="120" t="s">
        <v>61</v>
      </c>
      <c r="F15" s="154" t="s">
        <v>62</v>
      </c>
      <c r="G15" s="309">
        <v>129</v>
      </c>
      <c r="H15" s="309">
        <v>13</v>
      </c>
      <c r="I15" s="356">
        <v>1786484</v>
      </c>
      <c r="J15" s="155">
        <v>271716</v>
      </c>
      <c r="K15" s="60">
        <f>+I15/J15</f>
        <v>6.574820768743836</v>
      </c>
    </row>
    <row r="16" spans="1:11" s="152" customFormat="1" ht="14.25" customHeight="1">
      <c r="A16" s="149">
        <v>13</v>
      </c>
      <c r="B16" s="251"/>
      <c r="C16" s="117" t="s">
        <v>22</v>
      </c>
      <c r="D16" s="27">
        <v>38786</v>
      </c>
      <c r="E16" s="116" t="s">
        <v>60</v>
      </c>
      <c r="F16" s="117" t="s">
        <v>67</v>
      </c>
      <c r="G16" s="50">
        <v>88</v>
      </c>
      <c r="H16" s="50">
        <v>11</v>
      </c>
      <c r="I16" s="354">
        <f>766172.5+426876.5+722.5+265870+79562.5+40+30203.5+20801+7671+6348+3330+1374+273</f>
        <v>1609244.5</v>
      </c>
      <c r="J16" s="64">
        <f>104283+58908+78+37818+14443+4+6768+4620+1770+1277+711+322+66</f>
        <v>231068</v>
      </c>
      <c r="K16" s="61">
        <f>+I16/J16</f>
        <v>6.964376287499784</v>
      </c>
    </row>
    <row r="17" spans="1:13" s="152" customFormat="1" ht="14.25" customHeight="1">
      <c r="A17" s="149">
        <v>14</v>
      </c>
      <c r="B17" s="251"/>
      <c r="C17" s="342" t="s">
        <v>119</v>
      </c>
      <c r="D17" s="39">
        <v>38751</v>
      </c>
      <c r="E17" s="120" t="s">
        <v>61</v>
      </c>
      <c r="F17" s="154" t="s">
        <v>72</v>
      </c>
      <c r="G17" s="309">
        <v>51</v>
      </c>
      <c r="H17" s="309">
        <v>17</v>
      </c>
      <c r="I17" s="356">
        <v>1335814</v>
      </c>
      <c r="J17" s="155">
        <v>174639</v>
      </c>
      <c r="K17" s="60">
        <f>+I17/J17</f>
        <v>7.649001654842275</v>
      </c>
      <c r="M17" s="157"/>
    </row>
    <row r="18" spans="1:11" s="152" customFormat="1" ht="14.25" customHeight="1">
      <c r="A18" s="149">
        <v>15</v>
      </c>
      <c r="B18" s="251"/>
      <c r="C18" s="154" t="s">
        <v>216</v>
      </c>
      <c r="D18" s="153">
        <v>38863</v>
      </c>
      <c r="E18" s="154" t="s">
        <v>63</v>
      </c>
      <c r="F18" s="154" t="s">
        <v>64</v>
      </c>
      <c r="G18" s="309">
        <v>61</v>
      </c>
      <c r="H18" s="309">
        <v>3</v>
      </c>
      <c r="I18" s="355">
        <f>666456+404849+225072</f>
        <v>1296377</v>
      </c>
      <c r="J18" s="92">
        <f>83759+51381+29986</f>
        <v>165126</v>
      </c>
      <c r="K18" s="60">
        <f>+I18/J18</f>
        <v>7.850835119847874</v>
      </c>
    </row>
    <row r="19" spans="1:11" s="152" customFormat="1" ht="14.25" customHeight="1">
      <c r="A19" s="149">
        <v>16</v>
      </c>
      <c r="B19" s="251"/>
      <c r="C19" s="117" t="s">
        <v>166</v>
      </c>
      <c r="D19" s="27">
        <v>38758</v>
      </c>
      <c r="E19" s="156" t="s">
        <v>60</v>
      </c>
      <c r="F19" s="117" t="s">
        <v>67</v>
      </c>
      <c r="G19" s="50">
        <v>61</v>
      </c>
      <c r="H19" s="50">
        <v>14</v>
      </c>
      <c r="I19" s="354">
        <f>532455+375378.5+1288+209157.5+74302.5+38855.5+4630+21016.5+13072+2309+5106+4417+5902+1814.5+1188+1188</f>
        <v>1292080</v>
      </c>
      <c r="J19" s="64">
        <f>61952+44929+104+25802+9625+5738+693+3941-2+1998+265+605+699+1165+276+358+341</f>
        <v>158489</v>
      </c>
      <c r="K19" s="61">
        <f>+I19/J19</f>
        <v>8.152490078175772</v>
      </c>
    </row>
    <row r="20" spans="1:11" s="152" customFormat="1" ht="14.25" customHeight="1">
      <c r="A20" s="149">
        <v>17</v>
      </c>
      <c r="B20" s="251"/>
      <c r="C20" s="117" t="s">
        <v>24</v>
      </c>
      <c r="D20" s="27">
        <v>38730</v>
      </c>
      <c r="E20" s="116" t="s">
        <v>60</v>
      </c>
      <c r="F20" s="117" t="s">
        <v>32</v>
      </c>
      <c r="G20" s="50">
        <v>62</v>
      </c>
      <c r="H20" s="50">
        <v>18</v>
      </c>
      <c r="I20" s="354">
        <f>620634.5+342052.5+188118+10733+4394+3499+5130.5+267+2707.5+1265.5+1567+387+1177+148+551+59+124+2376</f>
        <v>1185190.5</v>
      </c>
      <c r="J20" s="64">
        <f>71532+39787+22209+1403+667+665+1174+78+545+187+307+74+286+21+88+9+19+475</f>
        <v>139526</v>
      </c>
      <c r="K20" s="61">
        <f>+I20/J20</f>
        <v>8.494406060519186</v>
      </c>
    </row>
    <row r="21" spans="1:11" s="152" customFormat="1" ht="14.25" customHeight="1">
      <c r="A21" s="149">
        <v>18</v>
      </c>
      <c r="B21" s="251"/>
      <c r="C21" s="117" t="s">
        <v>167</v>
      </c>
      <c r="D21" s="27">
        <v>38737</v>
      </c>
      <c r="E21" s="156" t="s">
        <v>60</v>
      </c>
      <c r="F21" s="117" t="s">
        <v>67</v>
      </c>
      <c r="G21" s="50">
        <v>59</v>
      </c>
      <c r="H21" s="50">
        <v>13</v>
      </c>
      <c r="I21" s="354">
        <f>608427+380282+114207+9532.5+267+10793+13396.5+5792+7887+5035.5+7591+2654+5417+339</f>
        <v>1171620.5</v>
      </c>
      <c r="J21" s="64">
        <f>84958+53848+16688+1589+36+2247+2850+1209+1697+1120+1428+513+1135+61</f>
        <v>169379</v>
      </c>
      <c r="K21" s="158">
        <f>I21/J21</f>
        <v>6.917153248041375</v>
      </c>
    </row>
    <row r="22" spans="1:11" s="152" customFormat="1" ht="14.25" customHeight="1">
      <c r="A22" s="149">
        <v>19</v>
      </c>
      <c r="B22" s="251"/>
      <c r="C22" s="120" t="s">
        <v>53</v>
      </c>
      <c r="D22" s="39">
        <v>38800</v>
      </c>
      <c r="E22" s="120" t="s">
        <v>63</v>
      </c>
      <c r="F22" s="120" t="s">
        <v>64</v>
      </c>
      <c r="G22" s="151">
        <v>92</v>
      </c>
      <c r="H22" s="151">
        <v>11</v>
      </c>
      <c r="I22" s="356">
        <f>481751.5+308419.5+242119.5+52953+38471.5+16408.5+18127+1517+5096+60+3053</f>
        <v>1167976.5</v>
      </c>
      <c r="J22" s="59">
        <f>67910+40806+32344+8727+9142+4213+4473+313+1639+13+1011</f>
        <v>170591</v>
      </c>
      <c r="K22" s="60">
        <f>IF(I22&lt;&gt;0,I22/J22,"")</f>
        <v>6.846647830190339</v>
      </c>
    </row>
    <row r="23" spans="1:11" s="152" customFormat="1" ht="14.25" customHeight="1">
      <c r="A23" s="149">
        <v>20</v>
      </c>
      <c r="B23" s="251"/>
      <c r="C23" s="116" t="s">
        <v>168</v>
      </c>
      <c r="D23" s="27">
        <v>38772</v>
      </c>
      <c r="E23" s="116" t="s">
        <v>60</v>
      </c>
      <c r="F23" s="116" t="s">
        <v>74</v>
      </c>
      <c r="G23" s="304">
        <v>83</v>
      </c>
      <c r="H23" s="304" t="s">
        <v>259</v>
      </c>
      <c r="I23" s="354">
        <f>567539+316479.5+147520.5+33631.5+20525+10752+2179+662+816+695+493</f>
        <v>1101292.5</v>
      </c>
      <c r="J23" s="64">
        <f>70751+40533+20089+5992+4309+2533+671+110+159+161+111</f>
        <v>145419</v>
      </c>
      <c r="K23" s="61">
        <f>+I23/J23</f>
        <v>7.573236647205661</v>
      </c>
    </row>
    <row r="24" spans="1:11" s="152" customFormat="1" ht="14.25" customHeight="1">
      <c r="A24" s="149">
        <v>21</v>
      </c>
      <c r="B24" s="251"/>
      <c r="C24" s="117" t="s">
        <v>23</v>
      </c>
      <c r="D24" s="27">
        <v>38779</v>
      </c>
      <c r="E24" s="116" t="s">
        <v>60</v>
      </c>
      <c r="F24" s="117" t="s">
        <v>67</v>
      </c>
      <c r="G24" s="50">
        <v>96</v>
      </c>
      <c r="H24" s="50">
        <v>12</v>
      </c>
      <c r="I24" s="354">
        <f>548794+335797+701.5+148448.5+3571+32617.5+14092-3800+4657-453+614+455+1282.5+769+847+550</f>
        <v>1088943</v>
      </c>
      <c r="J24" s="64">
        <f>69211+43223+82+20305+51+6206+3183-272+1252-105+122+156+265+127+180+266</f>
        <v>144252</v>
      </c>
      <c r="K24" s="61">
        <f>+I24/J24</f>
        <v>7.548893602861659</v>
      </c>
    </row>
    <row r="25" spans="1:11" s="152" customFormat="1" ht="14.25" customHeight="1">
      <c r="A25" s="149">
        <v>22</v>
      </c>
      <c r="B25" s="251"/>
      <c r="C25" s="120" t="s">
        <v>122</v>
      </c>
      <c r="D25" s="39">
        <v>38856</v>
      </c>
      <c r="E25" s="120" t="s">
        <v>61</v>
      </c>
      <c r="F25" s="154" t="s">
        <v>247</v>
      </c>
      <c r="G25" s="309">
        <v>160</v>
      </c>
      <c r="H25" s="309">
        <v>4</v>
      </c>
      <c r="I25" s="356">
        <v>1087088</v>
      </c>
      <c r="J25" s="155">
        <v>165552</v>
      </c>
      <c r="K25" s="60">
        <f>+I25/J25</f>
        <v>6.566444380013531</v>
      </c>
    </row>
    <row r="26" spans="1:11" s="152" customFormat="1" ht="14.25" customHeight="1">
      <c r="A26" s="149">
        <v>23</v>
      </c>
      <c r="B26" s="251"/>
      <c r="C26" s="116" t="s">
        <v>81</v>
      </c>
      <c r="D26" s="27">
        <v>38814</v>
      </c>
      <c r="E26" s="116" t="s">
        <v>60</v>
      </c>
      <c r="F26" s="116" t="s">
        <v>82</v>
      </c>
      <c r="G26" s="304">
        <v>124</v>
      </c>
      <c r="H26" s="304" t="s">
        <v>224</v>
      </c>
      <c r="I26" s="354">
        <f>439414+274192+192421+64.5+69171.5+43293.5-3918+20352-1014+12440+194+1138+1592+2424</f>
        <v>1051764.5</v>
      </c>
      <c r="J26" s="64">
        <f>65914+42392+32259+2+13519+9474-1031+5275-202+2638+58+320+376+596</f>
        <v>171590</v>
      </c>
      <c r="K26" s="61">
        <f>+I26/J26</f>
        <v>6.129520951104377</v>
      </c>
    </row>
    <row r="27" spans="1:11" s="152" customFormat="1" ht="14.25" customHeight="1">
      <c r="A27" s="149">
        <v>24</v>
      </c>
      <c r="B27" s="251"/>
      <c r="C27" s="120" t="s">
        <v>99</v>
      </c>
      <c r="D27" s="39">
        <v>38835</v>
      </c>
      <c r="E27" s="120" t="s">
        <v>61</v>
      </c>
      <c r="F27" s="154" t="s">
        <v>72</v>
      </c>
      <c r="G27" s="309">
        <v>71</v>
      </c>
      <c r="H27" s="309">
        <v>7</v>
      </c>
      <c r="I27" s="356">
        <v>991123</v>
      </c>
      <c r="J27" s="155">
        <v>120690</v>
      </c>
      <c r="K27" s="60">
        <f>+I27/J27</f>
        <v>8.212138536747037</v>
      </c>
    </row>
    <row r="28" spans="1:11" s="152" customFormat="1" ht="14.25" customHeight="1">
      <c r="A28" s="149">
        <v>25</v>
      </c>
      <c r="B28" s="251"/>
      <c r="C28" s="120" t="s">
        <v>113</v>
      </c>
      <c r="D28" s="39">
        <v>38821</v>
      </c>
      <c r="E28" s="120" t="s">
        <v>61</v>
      </c>
      <c r="F28" s="154" t="s">
        <v>66</v>
      </c>
      <c r="G28" s="309">
        <v>94</v>
      </c>
      <c r="H28" s="309">
        <v>10</v>
      </c>
      <c r="I28" s="356">
        <v>980466</v>
      </c>
      <c r="J28" s="155">
        <v>144317</v>
      </c>
      <c r="K28" s="60">
        <f>+I28/J28</f>
        <v>6.793835792041132</v>
      </c>
    </row>
    <row r="29" spans="1:11" s="152" customFormat="1" ht="14.25" customHeight="1">
      <c r="A29" s="149">
        <v>26</v>
      </c>
      <c r="B29" s="251"/>
      <c r="C29" s="120" t="s">
        <v>39</v>
      </c>
      <c r="D29" s="39">
        <v>38779</v>
      </c>
      <c r="E29" s="120" t="s">
        <v>61</v>
      </c>
      <c r="F29" s="154" t="s">
        <v>66</v>
      </c>
      <c r="G29" s="309">
        <v>72</v>
      </c>
      <c r="H29" s="309">
        <v>15</v>
      </c>
      <c r="I29" s="356">
        <v>972444</v>
      </c>
      <c r="J29" s="155">
        <v>144811</v>
      </c>
      <c r="K29" s="60">
        <f>+I29/J29</f>
        <v>6.7152633432543105</v>
      </c>
    </row>
    <row r="30" spans="1:11" s="152" customFormat="1" ht="14.25" customHeight="1">
      <c r="A30" s="149">
        <v>27</v>
      </c>
      <c r="B30" s="251"/>
      <c r="C30" s="154" t="s">
        <v>169</v>
      </c>
      <c r="D30" s="153">
        <v>38737</v>
      </c>
      <c r="E30" s="154" t="s">
        <v>63</v>
      </c>
      <c r="F30" s="154" t="s">
        <v>76</v>
      </c>
      <c r="G30" s="309">
        <v>43</v>
      </c>
      <c r="H30" s="309">
        <v>16</v>
      </c>
      <c r="I30" s="355">
        <f>396203.5+294727+144308+39007.5+20845+13381+3440+5237.5+6333+2618+1285+5683+2376+297+2376+1345</f>
        <v>939462.5</v>
      </c>
      <c r="J30" s="92">
        <f>47896+35851+17460+6558+3746+4007+1374+1611+1950+556+169+1830+1188+72+792+240</f>
        <v>125300</v>
      </c>
      <c r="K30" s="60">
        <f>+I30/J30</f>
        <v>7.497705506783719</v>
      </c>
    </row>
    <row r="31" spans="1:11" s="152" customFormat="1" ht="14.25" customHeight="1">
      <c r="A31" s="149">
        <v>28</v>
      </c>
      <c r="B31" s="251"/>
      <c r="C31" s="154" t="s">
        <v>100</v>
      </c>
      <c r="D31" s="153">
        <v>38835</v>
      </c>
      <c r="E31" s="154" t="s">
        <v>63</v>
      </c>
      <c r="F31" s="154" t="s">
        <v>109</v>
      </c>
      <c r="G31" s="309">
        <v>65</v>
      </c>
      <c r="H31" s="309">
        <v>7</v>
      </c>
      <c r="I31" s="355">
        <f>381578+253958+149731.5+45908+33467.5+30819+21463.5</f>
        <v>916925.5</v>
      </c>
      <c r="J31" s="92">
        <f>51957+35225+20957+7725+6499+6734+4731</f>
        <v>133828</v>
      </c>
      <c r="K31" s="60">
        <f>+I31/J31</f>
        <v>6.851522102997878</v>
      </c>
    </row>
    <row r="32" spans="1:11" s="152" customFormat="1" ht="14.25" customHeight="1">
      <c r="A32" s="149">
        <v>29</v>
      </c>
      <c r="B32" s="251"/>
      <c r="C32" s="116" t="s">
        <v>59</v>
      </c>
      <c r="D32" s="27">
        <v>38807</v>
      </c>
      <c r="E32" s="116" t="s">
        <v>60</v>
      </c>
      <c r="F32" s="116" t="s">
        <v>32</v>
      </c>
      <c r="G32" s="304">
        <v>77</v>
      </c>
      <c r="H32" s="304" t="s">
        <v>229</v>
      </c>
      <c r="I32" s="354">
        <f>360631+281662+146898.5-10+41732+5+35353+15128+3266+1520+1188</f>
        <v>887373.5</v>
      </c>
      <c r="J32" s="64">
        <f>47208+36381+19166-5+6638+7219+4011+941+529+229</f>
        <v>122317</v>
      </c>
      <c r="K32" s="61">
        <f>+I32/J32</f>
        <v>7.254702943989797</v>
      </c>
    </row>
    <row r="33" spans="1:11" s="152" customFormat="1" ht="14.25" customHeight="1">
      <c r="A33" s="149">
        <v>30</v>
      </c>
      <c r="B33" s="251"/>
      <c r="C33" s="116" t="s">
        <v>50</v>
      </c>
      <c r="D33" s="27">
        <v>38800</v>
      </c>
      <c r="E33" s="116" t="s">
        <v>43</v>
      </c>
      <c r="F33" s="116" t="s">
        <v>84</v>
      </c>
      <c r="G33" s="304" t="s">
        <v>253</v>
      </c>
      <c r="H33" s="304" t="s">
        <v>250</v>
      </c>
      <c r="I33" s="357">
        <v>855321</v>
      </c>
      <c r="J33" s="62">
        <v>130074</v>
      </c>
      <c r="K33" s="60">
        <f>+I33/J33</f>
        <v>6.5756492458139215</v>
      </c>
    </row>
    <row r="34" spans="1:11" s="152" customFormat="1" ht="14.25" customHeight="1">
      <c r="A34" s="149">
        <v>31</v>
      </c>
      <c r="B34" s="251"/>
      <c r="C34" s="342" t="s">
        <v>120</v>
      </c>
      <c r="D34" s="39">
        <v>38772</v>
      </c>
      <c r="E34" s="120" t="s">
        <v>61</v>
      </c>
      <c r="F34" s="120" t="s">
        <v>72</v>
      </c>
      <c r="G34" s="151">
        <v>62</v>
      </c>
      <c r="H34" s="151">
        <v>13</v>
      </c>
      <c r="I34" s="356">
        <v>821746</v>
      </c>
      <c r="J34" s="155">
        <v>108247</v>
      </c>
      <c r="K34" s="60">
        <f>+I34/J34</f>
        <v>7.591397452123385</v>
      </c>
    </row>
    <row r="35" spans="1:11" s="152" customFormat="1" ht="14.25" customHeight="1">
      <c r="A35" s="149">
        <v>32</v>
      </c>
      <c r="B35" s="251"/>
      <c r="C35" s="154" t="s">
        <v>217</v>
      </c>
      <c r="D35" s="153">
        <v>38874</v>
      </c>
      <c r="E35" s="154" t="s">
        <v>63</v>
      </c>
      <c r="F35" s="154" t="s">
        <v>64</v>
      </c>
      <c r="G35" s="309">
        <v>66</v>
      </c>
      <c r="H35" s="309">
        <v>1</v>
      </c>
      <c r="I35" s="355">
        <f>298281+498557</f>
        <v>796838</v>
      </c>
      <c r="J35" s="92">
        <f>42602+67227</f>
        <v>109829</v>
      </c>
      <c r="K35" s="60">
        <f>+I35/J35</f>
        <v>7.255260450336432</v>
      </c>
    </row>
    <row r="36" spans="1:11" s="152" customFormat="1" ht="14.25" customHeight="1">
      <c r="A36" s="149">
        <v>33</v>
      </c>
      <c r="B36" s="251"/>
      <c r="C36" s="116" t="s">
        <v>92</v>
      </c>
      <c r="D36" s="27">
        <v>38828</v>
      </c>
      <c r="E36" s="116" t="s">
        <v>60</v>
      </c>
      <c r="F36" s="116" t="s">
        <v>74</v>
      </c>
      <c r="G36" s="304">
        <v>59</v>
      </c>
      <c r="H36" s="304" t="s">
        <v>226</v>
      </c>
      <c r="I36" s="354">
        <f>365673.5+242198.5+102288+967.5+39022+4819.5+5052.5+2597+1947</f>
        <v>764565.5</v>
      </c>
      <c r="J36" s="64">
        <f>45213+29847+13085+1+6124+1313+1025+532+463</f>
        <v>97603</v>
      </c>
      <c r="K36" s="61">
        <f>+I36/J36</f>
        <v>7.833422128418184</v>
      </c>
    </row>
    <row r="37" spans="1:11" s="152" customFormat="1" ht="14.25" customHeight="1">
      <c r="A37" s="149">
        <v>34</v>
      </c>
      <c r="B37" s="251"/>
      <c r="C37" s="117" t="s">
        <v>170</v>
      </c>
      <c r="D37" s="27">
        <v>38793</v>
      </c>
      <c r="E37" s="156" t="s">
        <v>60</v>
      </c>
      <c r="F37" s="117" t="s">
        <v>32</v>
      </c>
      <c r="G37" s="50">
        <v>61</v>
      </c>
      <c r="H37" s="50">
        <v>11</v>
      </c>
      <c r="I37" s="354">
        <f>382650.25+216772+80793+19622+15213+10279+6237+3281.5+545+179+1009</f>
        <v>736580.75</v>
      </c>
      <c r="J37" s="64">
        <f>44423+25158+2+10694+4081+3731+2440+1502+538+87+42+240</f>
        <v>92938</v>
      </c>
      <c r="K37" s="61">
        <f>+I37/J37</f>
        <v>7.925506789472552</v>
      </c>
    </row>
    <row r="38" spans="1:11" s="152" customFormat="1" ht="14.25" customHeight="1">
      <c r="A38" s="149">
        <v>35</v>
      </c>
      <c r="B38" s="251"/>
      <c r="C38" s="117" t="s">
        <v>127</v>
      </c>
      <c r="D38" s="27">
        <v>38765</v>
      </c>
      <c r="E38" s="116" t="s">
        <v>60</v>
      </c>
      <c r="F38" s="117" t="s">
        <v>73</v>
      </c>
      <c r="G38" s="50">
        <v>23</v>
      </c>
      <c r="H38" s="50">
        <v>12</v>
      </c>
      <c r="I38" s="354">
        <f>233855.5+204363.5+128310.5+63025+34881+574.5+33654+11641+7934+7483+300+4766+188+102</f>
        <v>731078</v>
      </c>
      <c r="J38" s="64">
        <f>23969+21050+14093+7549+5203+51+5592+2578+1510+1129+34+863+23</f>
        <v>83644</v>
      </c>
      <c r="K38" s="61">
        <f>+I38/J38</f>
        <v>8.740351967863804</v>
      </c>
    </row>
    <row r="39" spans="1:11" s="152" customFormat="1" ht="14.25" customHeight="1">
      <c r="A39" s="149">
        <v>36</v>
      </c>
      <c r="B39" s="251"/>
      <c r="C39" s="154" t="s">
        <v>93</v>
      </c>
      <c r="D39" s="153">
        <v>38828</v>
      </c>
      <c r="E39" s="154" t="s">
        <v>63</v>
      </c>
      <c r="F39" s="154" t="s">
        <v>76</v>
      </c>
      <c r="G39" s="309">
        <v>43</v>
      </c>
      <c r="H39" s="309">
        <v>8</v>
      </c>
      <c r="I39" s="355">
        <f>221837.5+151726+100334.5+58293.5+26175.5+11161+17463.5+3291</f>
        <v>590282.5</v>
      </c>
      <c r="J39" s="92">
        <f>31465+21243+15047+11409+5192+2380+3862+919</f>
        <v>91517</v>
      </c>
      <c r="K39" s="60">
        <f>+I39/J39</f>
        <v>6.449976507097042</v>
      </c>
    </row>
    <row r="40" spans="1:11" s="152" customFormat="1" ht="14.25" customHeight="1">
      <c r="A40" s="149">
        <v>37</v>
      </c>
      <c r="B40" s="251"/>
      <c r="C40" s="117" t="s">
        <v>27</v>
      </c>
      <c r="D40" s="27">
        <v>38716</v>
      </c>
      <c r="E40" s="156" t="s">
        <v>60</v>
      </c>
      <c r="F40" s="117" t="s">
        <v>67</v>
      </c>
      <c r="G40" s="50">
        <v>60</v>
      </c>
      <c r="H40" s="50">
        <v>16</v>
      </c>
      <c r="I40" s="354">
        <f>585119+1780+1044+82.5+240</f>
        <v>588265.5</v>
      </c>
      <c r="J40" s="64">
        <f>83689+369+235+15+48</f>
        <v>84356</v>
      </c>
      <c r="K40" s="61">
        <f>+I40/J40</f>
        <v>6.973605908293423</v>
      </c>
    </row>
    <row r="41" spans="1:11" s="152" customFormat="1" ht="14.25" customHeight="1">
      <c r="A41" s="149">
        <v>38</v>
      </c>
      <c r="B41" s="251"/>
      <c r="C41" s="120" t="s">
        <v>65</v>
      </c>
      <c r="D41" s="39">
        <v>38807</v>
      </c>
      <c r="E41" s="120" t="s">
        <v>61</v>
      </c>
      <c r="F41" s="154" t="s">
        <v>66</v>
      </c>
      <c r="G41" s="309">
        <v>62</v>
      </c>
      <c r="H41" s="309">
        <v>10</v>
      </c>
      <c r="I41" s="356">
        <v>547666</v>
      </c>
      <c r="J41" s="155">
        <v>71793</v>
      </c>
      <c r="K41" s="60">
        <f>+I41/J41</f>
        <v>7.62840388338696</v>
      </c>
    </row>
    <row r="42" spans="1:11" s="152" customFormat="1" ht="14.25" customHeight="1">
      <c r="A42" s="149">
        <v>39</v>
      </c>
      <c r="B42" s="251"/>
      <c r="C42" s="120" t="s">
        <v>126</v>
      </c>
      <c r="D42" s="39">
        <v>38786</v>
      </c>
      <c r="E42" s="120" t="s">
        <v>61</v>
      </c>
      <c r="F42" s="120" t="s">
        <v>75</v>
      </c>
      <c r="G42" s="151">
        <v>63</v>
      </c>
      <c r="H42" s="151">
        <v>11</v>
      </c>
      <c r="I42" s="356">
        <v>508013</v>
      </c>
      <c r="J42" s="155">
        <v>64201</v>
      </c>
      <c r="K42" s="60">
        <f>+I42/J42</f>
        <v>7.912851824737932</v>
      </c>
    </row>
    <row r="43" spans="1:11" s="152" customFormat="1" ht="14.25" customHeight="1">
      <c r="A43" s="149">
        <v>40</v>
      </c>
      <c r="B43" s="251"/>
      <c r="C43" s="117" t="s">
        <v>48</v>
      </c>
      <c r="D43" s="27">
        <v>38800</v>
      </c>
      <c r="E43" s="156" t="s">
        <v>60</v>
      </c>
      <c r="F43" s="117" t="s">
        <v>115</v>
      </c>
      <c r="G43" s="50">
        <v>42</v>
      </c>
      <c r="H43" s="50">
        <v>10</v>
      </c>
      <c r="I43" s="354">
        <f>288395.5+117307+73357+9936.5+3180.5+6040+3145+3698+425+75+340</f>
        <v>505899.5</v>
      </c>
      <c r="J43" s="64">
        <f>32591+13752+9420+1407+573+1208+527+673+68+34</f>
        <v>60253</v>
      </c>
      <c r="K43" s="61">
        <f>+I43/J43</f>
        <v>8.396254128425142</v>
      </c>
    </row>
    <row r="44" spans="1:11" s="152" customFormat="1" ht="14.25" customHeight="1">
      <c r="A44" s="149">
        <v>41</v>
      </c>
      <c r="B44" s="251"/>
      <c r="C44" s="342" t="s">
        <v>171</v>
      </c>
      <c r="D44" s="39">
        <v>38751</v>
      </c>
      <c r="E44" s="120" t="s">
        <v>61</v>
      </c>
      <c r="F44" s="120" t="s">
        <v>172</v>
      </c>
      <c r="G44" s="151">
        <v>27</v>
      </c>
      <c r="H44" s="151">
        <v>15</v>
      </c>
      <c r="I44" s="356">
        <v>479686</v>
      </c>
      <c r="J44" s="155">
        <v>55874</v>
      </c>
      <c r="K44" s="60">
        <f>+I44/J44</f>
        <v>8.585137989046784</v>
      </c>
    </row>
    <row r="45" spans="1:11" s="152" customFormat="1" ht="14.25" customHeight="1">
      <c r="A45" s="149">
        <v>42</v>
      </c>
      <c r="B45" s="251"/>
      <c r="C45" s="117" t="s">
        <v>52</v>
      </c>
      <c r="D45" s="27">
        <v>38793</v>
      </c>
      <c r="E45" s="116" t="s">
        <v>63</v>
      </c>
      <c r="F45" s="117" t="s">
        <v>125</v>
      </c>
      <c r="G45" s="50">
        <v>50</v>
      </c>
      <c r="H45" s="50">
        <v>10</v>
      </c>
      <c r="I45" s="362">
        <v>434672.5</v>
      </c>
      <c r="J45" s="63">
        <v>64392</v>
      </c>
      <c r="K45" s="60">
        <f>+I45/J45</f>
        <v>6.750411541806436</v>
      </c>
    </row>
    <row r="46" spans="1:11" s="152" customFormat="1" ht="14.25" customHeight="1">
      <c r="A46" s="149">
        <v>43</v>
      </c>
      <c r="B46" s="251"/>
      <c r="C46" s="117" t="s">
        <v>83</v>
      </c>
      <c r="D46" s="27">
        <v>38814</v>
      </c>
      <c r="E46" s="117" t="s">
        <v>43</v>
      </c>
      <c r="F46" s="117" t="s">
        <v>84</v>
      </c>
      <c r="G46" s="50">
        <v>56</v>
      </c>
      <c r="H46" s="50">
        <v>8</v>
      </c>
      <c r="I46" s="363">
        <f>217941.5+99459+32613+17816.5+8424.5+3203+531+1188</f>
        <v>381176.5</v>
      </c>
      <c r="J46" s="59">
        <f>30137+15034+5570+3956+2001+658+128+237</f>
        <v>57721</v>
      </c>
      <c r="K46" s="60">
        <f>IF(I46&lt;&gt;0,I46/J46,"")</f>
        <v>6.603775055872213</v>
      </c>
    </row>
    <row r="47" spans="1:11" s="152" customFormat="1" ht="14.25" customHeight="1">
      <c r="A47" s="149">
        <v>44</v>
      </c>
      <c r="B47" s="251"/>
      <c r="C47" s="154" t="s">
        <v>88</v>
      </c>
      <c r="D47" s="153">
        <v>38814</v>
      </c>
      <c r="E47" s="154" t="s">
        <v>63</v>
      </c>
      <c r="F47" s="154" t="s">
        <v>118</v>
      </c>
      <c r="G47" s="151">
        <v>50</v>
      </c>
      <c r="H47" s="309">
        <v>8</v>
      </c>
      <c r="I47" s="355">
        <f>159204+117003.5+55112+26308.5+8703+2820+3475+32</f>
        <v>372658</v>
      </c>
      <c r="J47" s="92">
        <f>19860+13877+7175+4316+1437+527+1077+4</f>
        <v>48273</v>
      </c>
      <c r="K47" s="60">
        <f>IF(I47&lt;&gt;0,I47/J47,"")</f>
        <v>7.71980195968761</v>
      </c>
    </row>
    <row r="48" spans="1:11" s="152" customFormat="1" ht="14.25" customHeight="1">
      <c r="A48" s="149">
        <v>45</v>
      </c>
      <c r="B48" s="251"/>
      <c r="C48" s="119" t="s">
        <v>215</v>
      </c>
      <c r="D48" s="39">
        <v>38863</v>
      </c>
      <c r="E48" s="119" t="s">
        <v>130</v>
      </c>
      <c r="F48" s="119" t="s">
        <v>219</v>
      </c>
      <c r="G48" s="309">
        <v>35</v>
      </c>
      <c r="H48" s="309">
        <v>3</v>
      </c>
      <c r="I48" s="356">
        <f>149883.5+135641.5+82301.5</f>
        <v>367826.5</v>
      </c>
      <c r="J48" s="59">
        <f>19608+17668+11309</f>
        <v>48585</v>
      </c>
      <c r="K48" s="60">
        <f>+I48/J48</f>
        <v>7.570783163527838</v>
      </c>
    </row>
    <row r="49" spans="1:11" s="152" customFormat="1" ht="14.25" customHeight="1">
      <c r="A49" s="149">
        <v>46</v>
      </c>
      <c r="B49" s="251"/>
      <c r="C49" s="154" t="s">
        <v>110</v>
      </c>
      <c r="D49" s="153">
        <v>38849</v>
      </c>
      <c r="E49" s="154" t="s">
        <v>63</v>
      </c>
      <c r="F49" s="154" t="s">
        <v>64</v>
      </c>
      <c r="G49" s="309">
        <v>51</v>
      </c>
      <c r="H49" s="309">
        <v>5</v>
      </c>
      <c r="I49" s="355">
        <f>165448.5+80304.5+33898+25466.5+45263</f>
        <v>350380.5</v>
      </c>
      <c r="J49" s="92">
        <f>23339+10797+5046+5061+9442</f>
        <v>53685</v>
      </c>
      <c r="K49" s="60">
        <f>+I49/J49</f>
        <v>6.526599608829282</v>
      </c>
    </row>
    <row r="50" spans="1:11" s="152" customFormat="1" ht="14.25" customHeight="1">
      <c r="A50" s="149">
        <v>47</v>
      </c>
      <c r="B50" s="251"/>
      <c r="C50" s="120" t="s">
        <v>173</v>
      </c>
      <c r="D50" s="39">
        <v>38765</v>
      </c>
      <c r="E50" s="120" t="s">
        <v>61</v>
      </c>
      <c r="F50" s="120" t="s">
        <v>75</v>
      </c>
      <c r="G50" s="151">
        <v>41</v>
      </c>
      <c r="H50" s="151">
        <v>13</v>
      </c>
      <c r="I50" s="358">
        <v>334857</v>
      </c>
      <c r="J50" s="155">
        <v>45706</v>
      </c>
      <c r="K50" s="60">
        <f>+I50/J50</f>
        <v>7.32632477136481</v>
      </c>
    </row>
    <row r="51" spans="1:11" s="150" customFormat="1" ht="14.25" customHeight="1">
      <c r="A51" s="149">
        <v>48</v>
      </c>
      <c r="B51" s="251"/>
      <c r="C51" s="120" t="s">
        <v>174</v>
      </c>
      <c r="D51" s="39">
        <v>38772</v>
      </c>
      <c r="E51" s="120" t="s">
        <v>63</v>
      </c>
      <c r="F51" s="120" t="s">
        <v>64</v>
      </c>
      <c r="G51" s="151">
        <v>49</v>
      </c>
      <c r="H51" s="151">
        <v>11</v>
      </c>
      <c r="I51" s="356">
        <f>151711.5+80204.5+40498+22773.5+10013.5+8954+2475+789.5+1863+538.5+173</f>
        <v>319994</v>
      </c>
      <c r="J51" s="59">
        <f>20342+10373+5841+6919+2082+2313+566+196+713+99+43</f>
        <v>49487</v>
      </c>
      <c r="K51" s="61">
        <f>+I51/J51</f>
        <v>6.466223452623922</v>
      </c>
    </row>
    <row r="52" spans="1:11" s="150" customFormat="1" ht="14.25" customHeight="1">
      <c r="A52" s="149">
        <v>49</v>
      </c>
      <c r="B52" s="251"/>
      <c r="C52" s="120" t="s">
        <v>214</v>
      </c>
      <c r="D52" s="39">
        <v>38863</v>
      </c>
      <c r="E52" s="120" t="s">
        <v>61</v>
      </c>
      <c r="F52" s="154" t="s">
        <v>66</v>
      </c>
      <c r="G52" s="309">
        <v>46</v>
      </c>
      <c r="H52" s="309">
        <v>3</v>
      </c>
      <c r="I52" s="356">
        <v>316588</v>
      </c>
      <c r="J52" s="155">
        <v>37542</v>
      </c>
      <c r="K52" s="60">
        <f>+I52/J52</f>
        <v>8.43290181663204</v>
      </c>
    </row>
    <row r="53" spans="1:11" s="150" customFormat="1" ht="14.25" customHeight="1">
      <c r="A53" s="149">
        <v>50</v>
      </c>
      <c r="B53" s="251"/>
      <c r="C53" s="116" t="s">
        <v>95</v>
      </c>
      <c r="D53" s="27">
        <v>38821</v>
      </c>
      <c r="E53" s="116" t="s">
        <v>60</v>
      </c>
      <c r="F53" s="116" t="s">
        <v>67</v>
      </c>
      <c r="G53" s="304">
        <v>53</v>
      </c>
      <c r="H53" s="304" t="s">
        <v>224</v>
      </c>
      <c r="I53" s="354">
        <f>155465+86253.5+51+32563.5+13957.5+17705+3940.5+3158+2263.5+805</f>
        <v>316162.5</v>
      </c>
      <c r="J53" s="64">
        <f>21109+11912+4921+2568+3792+939+610+410+149</f>
        <v>46410</v>
      </c>
      <c r="K53" s="61">
        <f>+I53/J53</f>
        <v>6.812378797672915</v>
      </c>
    </row>
    <row r="54" spans="1:11" s="150" customFormat="1" ht="14.25" customHeight="1">
      <c r="A54" s="149">
        <v>51</v>
      </c>
      <c r="B54" s="251"/>
      <c r="C54" s="116" t="s">
        <v>87</v>
      </c>
      <c r="D54" s="27">
        <v>38821</v>
      </c>
      <c r="E54" s="116" t="s">
        <v>60</v>
      </c>
      <c r="F54" s="116" t="s">
        <v>86</v>
      </c>
      <c r="G54" s="304">
        <v>32</v>
      </c>
      <c r="H54" s="304" t="s">
        <v>229</v>
      </c>
      <c r="I54" s="354">
        <f>122911+88335.5+16+40828.5+16007.5+37291.5+2997+4262.5+1548.5+1019</f>
        <v>315217</v>
      </c>
      <c r="J54" s="64">
        <f>13093+9562-3+4800+2670+6683+902+881+241+192</f>
        <v>39021</v>
      </c>
      <c r="K54" s="61">
        <f>+I54/J54</f>
        <v>8.07813741318777</v>
      </c>
    </row>
    <row r="55" spans="1:11" s="150" customFormat="1" ht="14.25" customHeight="1">
      <c r="A55" s="149">
        <v>52</v>
      </c>
      <c r="B55" s="251"/>
      <c r="C55" s="120" t="s">
        <v>94</v>
      </c>
      <c r="D55" s="39">
        <v>38828</v>
      </c>
      <c r="E55" s="120" t="s">
        <v>61</v>
      </c>
      <c r="F55" s="154" t="s">
        <v>66</v>
      </c>
      <c r="G55" s="309">
        <v>46</v>
      </c>
      <c r="H55" s="309">
        <v>8</v>
      </c>
      <c r="I55" s="356">
        <v>284903</v>
      </c>
      <c r="J55" s="155">
        <v>36123</v>
      </c>
      <c r="K55" s="60">
        <f>+I55/J55</f>
        <v>7.887024887190987</v>
      </c>
    </row>
    <row r="56" spans="1:11" s="150" customFormat="1" ht="14.25" customHeight="1">
      <c r="A56" s="149">
        <v>53</v>
      </c>
      <c r="B56" s="251"/>
      <c r="C56" s="120" t="s">
        <v>243</v>
      </c>
      <c r="D56" s="39">
        <v>38877</v>
      </c>
      <c r="E56" s="120" t="s">
        <v>61</v>
      </c>
      <c r="F56" s="154" t="s">
        <v>66</v>
      </c>
      <c r="G56" s="309">
        <v>60</v>
      </c>
      <c r="H56" s="309">
        <v>1</v>
      </c>
      <c r="I56" s="356">
        <v>280793</v>
      </c>
      <c r="J56" s="155">
        <v>31594</v>
      </c>
      <c r="K56" s="60">
        <f>+I56/J56</f>
        <v>8.887541938342723</v>
      </c>
    </row>
    <row r="57" spans="1:11" s="152" customFormat="1" ht="14.25" customHeight="1">
      <c r="A57" s="149">
        <v>54</v>
      </c>
      <c r="B57" s="250"/>
      <c r="C57" s="120" t="s">
        <v>218</v>
      </c>
      <c r="D57" s="39">
        <v>38870</v>
      </c>
      <c r="E57" s="120" t="s">
        <v>61</v>
      </c>
      <c r="F57" s="154" t="s">
        <v>66</v>
      </c>
      <c r="G57" s="309">
        <v>82</v>
      </c>
      <c r="H57" s="309">
        <v>2</v>
      </c>
      <c r="I57" s="356">
        <v>277941</v>
      </c>
      <c r="J57" s="155">
        <v>36975</v>
      </c>
      <c r="K57" s="60">
        <f>+I57/J57</f>
        <v>7.516997971602434</v>
      </c>
    </row>
    <row r="58" spans="1:11" s="152" customFormat="1" ht="14.25" customHeight="1">
      <c r="A58" s="149">
        <v>55</v>
      </c>
      <c r="B58" s="250"/>
      <c r="C58" s="343" t="s">
        <v>175</v>
      </c>
      <c r="D58" s="39">
        <v>38751</v>
      </c>
      <c r="E58" s="343" t="s">
        <v>63</v>
      </c>
      <c r="F58" s="343" t="s">
        <v>64</v>
      </c>
      <c r="G58" s="55">
        <v>25</v>
      </c>
      <c r="H58" s="55">
        <v>9</v>
      </c>
      <c r="I58" s="357">
        <v>275432.5</v>
      </c>
      <c r="J58" s="62">
        <v>29916</v>
      </c>
      <c r="K58" s="60">
        <f>I58/J58</f>
        <v>9.206862548469047</v>
      </c>
    </row>
    <row r="59" spans="1:11" s="152" customFormat="1" ht="14.25" customHeight="1">
      <c r="A59" s="149">
        <v>56</v>
      </c>
      <c r="B59" s="250"/>
      <c r="C59" s="117" t="s">
        <v>176</v>
      </c>
      <c r="D59" s="27">
        <v>38737</v>
      </c>
      <c r="E59" s="156" t="s">
        <v>61</v>
      </c>
      <c r="F59" s="117" t="s">
        <v>177</v>
      </c>
      <c r="G59" s="50">
        <v>28</v>
      </c>
      <c r="H59" s="50">
        <v>12</v>
      </c>
      <c r="I59" s="358">
        <v>246387</v>
      </c>
      <c r="J59" s="155">
        <v>30377</v>
      </c>
      <c r="K59" s="60">
        <f>IF(I59&lt;&gt;0,I59/J59,"")</f>
        <v>8.110972117062252</v>
      </c>
    </row>
    <row r="60" spans="1:11" s="152" customFormat="1" ht="14.25" customHeight="1">
      <c r="A60" s="149">
        <v>57</v>
      </c>
      <c r="B60" s="250"/>
      <c r="C60" s="117" t="s">
        <v>51</v>
      </c>
      <c r="D60" s="27">
        <v>38793</v>
      </c>
      <c r="E60" s="117" t="s">
        <v>43</v>
      </c>
      <c r="F60" s="117" t="s">
        <v>70</v>
      </c>
      <c r="G60" s="50">
        <v>71</v>
      </c>
      <c r="H60" s="50">
        <v>12</v>
      </c>
      <c r="I60" s="363">
        <f>139188.5+65126.5+15320+6439+3617+3772+4116+209.5+299+80+130+145</f>
        <v>238442.5</v>
      </c>
      <c r="J60" s="59">
        <f>20151+10232+2945+1343+1021+739+717+69+58+16+26+29</f>
        <v>37346</v>
      </c>
      <c r="K60" s="60">
        <f>IF(I60&lt;&gt;0,I60/J60,"")</f>
        <v>6.384686445670219</v>
      </c>
    </row>
    <row r="61" spans="1:11" s="152" customFormat="1" ht="14.25" customHeight="1">
      <c r="A61" s="149">
        <v>58</v>
      </c>
      <c r="B61" s="250"/>
      <c r="C61" s="116" t="s">
        <v>101</v>
      </c>
      <c r="D61" s="27">
        <v>38835</v>
      </c>
      <c r="E61" s="116" t="s">
        <v>60</v>
      </c>
      <c r="F61" s="116" t="s">
        <v>115</v>
      </c>
      <c r="G61" s="304">
        <v>40</v>
      </c>
      <c r="H61" s="304" t="s">
        <v>151</v>
      </c>
      <c r="I61" s="354">
        <f>140527+60007+17227+3041.5+24+5449.5+8065.5+2589.5</f>
        <v>236931</v>
      </c>
      <c r="J61" s="64">
        <f>16242+7267+2760+627+1138+1358+550</f>
        <v>29942</v>
      </c>
      <c r="K61" s="61">
        <f>+I61/J61</f>
        <v>7.91299846369648</v>
      </c>
    </row>
    <row r="62" spans="1:11" s="152" customFormat="1" ht="14.25" customHeight="1">
      <c r="A62" s="149">
        <v>59</v>
      </c>
      <c r="B62" s="250"/>
      <c r="C62" s="116" t="s">
        <v>220</v>
      </c>
      <c r="D62" s="27">
        <v>38870</v>
      </c>
      <c r="E62" s="116" t="s">
        <v>60</v>
      </c>
      <c r="F62" s="116" t="s">
        <v>115</v>
      </c>
      <c r="G62" s="304">
        <v>40</v>
      </c>
      <c r="H62" s="304" t="s">
        <v>225</v>
      </c>
      <c r="I62" s="354">
        <f>123140+96383.5</f>
        <v>219523.5</v>
      </c>
      <c r="J62" s="64">
        <f>14489+11433</f>
        <v>25922</v>
      </c>
      <c r="K62" s="61">
        <f>+I62/J62</f>
        <v>8.468617390633439</v>
      </c>
    </row>
    <row r="63" spans="1:11" s="152" customFormat="1" ht="14.25" customHeight="1">
      <c r="A63" s="149">
        <v>60</v>
      </c>
      <c r="B63" s="250"/>
      <c r="C63" s="120" t="s">
        <v>124</v>
      </c>
      <c r="D63" s="39">
        <v>38849</v>
      </c>
      <c r="E63" s="120" t="s">
        <v>36</v>
      </c>
      <c r="F63" s="120" t="s">
        <v>76</v>
      </c>
      <c r="G63" s="151">
        <v>21</v>
      </c>
      <c r="H63" s="151">
        <v>4</v>
      </c>
      <c r="I63" s="356">
        <v>198765.29</v>
      </c>
      <c r="J63" s="59">
        <v>23542</v>
      </c>
      <c r="K63" s="60">
        <f>IF(I63&lt;&gt;0,I63/J63,"")</f>
        <v>8.443007815818538</v>
      </c>
    </row>
    <row r="64" spans="1:11" s="152" customFormat="1" ht="14.25" customHeight="1">
      <c r="A64" s="149">
        <v>61</v>
      </c>
      <c r="B64" s="250"/>
      <c r="C64" s="154" t="s">
        <v>178</v>
      </c>
      <c r="D64" s="153">
        <v>38786</v>
      </c>
      <c r="E64" s="154" t="s">
        <v>63</v>
      </c>
      <c r="F64" s="154" t="s">
        <v>70</v>
      </c>
      <c r="G64" s="151">
        <v>30</v>
      </c>
      <c r="H64" s="151">
        <v>10</v>
      </c>
      <c r="I64" s="356">
        <f>94630+42901+16809.5+16862+11072+2518+4525+910+841+1579.5</f>
        <v>192648</v>
      </c>
      <c r="J64" s="92">
        <f>12856+5706+2789+3336+2239+567+1047+161+186+380</f>
        <v>29267</v>
      </c>
      <c r="K64" s="61">
        <f>+I64/J64</f>
        <v>6.582430724023644</v>
      </c>
    </row>
    <row r="65" spans="1:11" s="152" customFormat="1" ht="14.25" customHeight="1">
      <c r="A65" s="149">
        <v>62</v>
      </c>
      <c r="B65" s="250"/>
      <c r="C65" s="117" t="s">
        <v>129</v>
      </c>
      <c r="D65" s="27">
        <v>38807</v>
      </c>
      <c r="E65" s="116" t="s">
        <v>63</v>
      </c>
      <c r="F65" s="117" t="s">
        <v>64</v>
      </c>
      <c r="G65" s="50">
        <v>20</v>
      </c>
      <c r="H65" s="50">
        <v>8</v>
      </c>
      <c r="I65" s="362">
        <v>190448.5</v>
      </c>
      <c r="J65" s="63">
        <v>26188</v>
      </c>
      <c r="K65" s="60">
        <f>+I65/J65</f>
        <v>7.272357568351917</v>
      </c>
    </row>
    <row r="66" spans="1:11" s="152" customFormat="1" ht="14.25" customHeight="1">
      <c r="A66" s="149">
        <v>63</v>
      </c>
      <c r="B66" s="250"/>
      <c r="C66" s="116" t="s">
        <v>111</v>
      </c>
      <c r="D66" s="27">
        <v>38849</v>
      </c>
      <c r="E66" s="116" t="s">
        <v>60</v>
      </c>
      <c r="F66" s="116" t="s">
        <v>112</v>
      </c>
      <c r="G66" s="304">
        <v>14</v>
      </c>
      <c r="H66" s="304" t="s">
        <v>154</v>
      </c>
      <c r="I66" s="354">
        <f>93564+52250+16170+13446.5+8167</f>
        <v>183597.5</v>
      </c>
      <c r="J66" s="64">
        <f>10662+5936+2085+2265+1476</f>
        <v>22424</v>
      </c>
      <c r="K66" s="61">
        <f>+I66/J66</f>
        <v>8.187544595076703</v>
      </c>
    </row>
    <row r="67" spans="1:11" s="152" customFormat="1" ht="14.25" customHeight="1">
      <c r="A67" s="149">
        <v>64</v>
      </c>
      <c r="B67" s="250"/>
      <c r="C67" s="117" t="s">
        <v>179</v>
      </c>
      <c r="D67" s="27">
        <v>38758</v>
      </c>
      <c r="E67" s="156" t="s">
        <v>61</v>
      </c>
      <c r="F67" s="117" t="s">
        <v>72</v>
      </c>
      <c r="G67" s="50">
        <v>46</v>
      </c>
      <c r="H67" s="50">
        <v>12</v>
      </c>
      <c r="I67" s="356">
        <v>181942</v>
      </c>
      <c r="J67" s="155">
        <v>24046</v>
      </c>
      <c r="K67" s="60">
        <f>IF(I67&lt;&gt;0,I67/J67,"")</f>
        <v>7.566414372452799</v>
      </c>
    </row>
    <row r="68" spans="1:11" s="152" customFormat="1" ht="14.25" customHeight="1">
      <c r="A68" s="149">
        <v>65</v>
      </c>
      <c r="B68" s="250"/>
      <c r="C68" s="117" t="s">
        <v>49</v>
      </c>
      <c r="D68" s="27">
        <v>38800</v>
      </c>
      <c r="E68" s="156" t="s">
        <v>60</v>
      </c>
      <c r="F68" s="117" t="s">
        <v>67</v>
      </c>
      <c r="G68" s="50">
        <v>16</v>
      </c>
      <c r="H68" s="50">
        <v>10</v>
      </c>
      <c r="I68" s="354">
        <f>82365.5+56251.5+17508+5415.5+3304+3006+1642+540+283+1164+77</f>
        <v>171556.5</v>
      </c>
      <c r="J68" s="64">
        <f>8878+5706+2045+866+701+556+302+135+56+222+11</f>
        <v>19478</v>
      </c>
      <c r="K68" s="61">
        <f>+I68/J68</f>
        <v>8.807706129992813</v>
      </c>
    </row>
    <row r="69" spans="1:11" s="152" customFormat="1" ht="14.25" customHeight="1">
      <c r="A69" s="149">
        <v>66</v>
      </c>
      <c r="B69" s="250"/>
      <c r="C69" s="119" t="s">
        <v>41</v>
      </c>
      <c r="D69" s="39">
        <v>38793</v>
      </c>
      <c r="E69" s="119" t="s">
        <v>35</v>
      </c>
      <c r="F69" s="119" t="s">
        <v>71</v>
      </c>
      <c r="G69" s="109">
        <v>13</v>
      </c>
      <c r="H69" s="109" t="s">
        <v>260</v>
      </c>
      <c r="I69" s="357">
        <v>159640</v>
      </c>
      <c r="J69" s="62">
        <v>32140.333333333336</v>
      </c>
      <c r="K69" s="60">
        <f>+I69/J69</f>
        <v>4.966967776729136</v>
      </c>
    </row>
    <row r="70" spans="1:11" s="152" customFormat="1" ht="14.25" customHeight="1">
      <c r="A70" s="149">
        <v>67</v>
      </c>
      <c r="B70" s="250"/>
      <c r="C70" s="116" t="s">
        <v>244</v>
      </c>
      <c r="D70" s="27">
        <v>38877</v>
      </c>
      <c r="E70" s="116" t="s">
        <v>60</v>
      </c>
      <c r="F70" s="116" t="s">
        <v>32</v>
      </c>
      <c r="G70" s="304">
        <v>55</v>
      </c>
      <c r="H70" s="304" t="s">
        <v>251</v>
      </c>
      <c r="I70" s="354">
        <v>146528</v>
      </c>
      <c r="J70" s="64">
        <v>18308</v>
      </c>
      <c r="K70" s="61">
        <f>+I70/J70</f>
        <v>8.003495739567402</v>
      </c>
    </row>
    <row r="71" spans="1:11" s="152" customFormat="1" ht="14.25" customHeight="1">
      <c r="A71" s="149">
        <v>68</v>
      </c>
      <c r="B71" s="250"/>
      <c r="C71" s="119" t="s">
        <v>96</v>
      </c>
      <c r="D71" s="39">
        <v>38828</v>
      </c>
      <c r="E71" s="119" t="s">
        <v>57</v>
      </c>
      <c r="F71" s="119" t="s">
        <v>72</v>
      </c>
      <c r="G71" s="109">
        <v>45</v>
      </c>
      <c r="H71" s="109" t="s">
        <v>226</v>
      </c>
      <c r="I71" s="356">
        <v>144772</v>
      </c>
      <c r="J71" s="59">
        <v>20388</v>
      </c>
      <c r="K71" s="60">
        <f>+I71/J71</f>
        <v>7.100843633509908</v>
      </c>
    </row>
    <row r="72" spans="1:11" s="152" customFormat="1" ht="14.25" customHeight="1">
      <c r="A72" s="149">
        <v>69</v>
      </c>
      <c r="B72" s="250"/>
      <c r="C72" s="154" t="s">
        <v>180</v>
      </c>
      <c r="D72" s="153">
        <v>38765</v>
      </c>
      <c r="E72" s="154" t="s">
        <v>63</v>
      </c>
      <c r="F72" s="154" t="s">
        <v>181</v>
      </c>
      <c r="G72" s="151">
        <v>30</v>
      </c>
      <c r="H72" s="151">
        <v>12</v>
      </c>
      <c r="I72" s="356">
        <f>62768+32353+12961+8129+4050.5+1984.5+2460+376+907+1161.5+935+185</f>
        <v>128270.5</v>
      </c>
      <c r="J72" s="92">
        <f>8337+4470+2425+1438+815+505+607+85+187+317+218+44</f>
        <v>19448</v>
      </c>
      <c r="K72" s="61">
        <f>+I72/J72</f>
        <v>6.5955625257095845</v>
      </c>
    </row>
    <row r="73" spans="1:11" s="152" customFormat="1" ht="14.25" customHeight="1">
      <c r="A73" s="149">
        <v>70</v>
      </c>
      <c r="B73" s="250"/>
      <c r="C73" s="344" t="s">
        <v>182</v>
      </c>
      <c r="D73" s="27">
        <v>38765</v>
      </c>
      <c r="E73" s="344" t="s">
        <v>61</v>
      </c>
      <c r="F73" s="344" t="s">
        <v>57</v>
      </c>
      <c r="G73" s="159">
        <v>20</v>
      </c>
      <c r="H73" s="159">
        <v>7</v>
      </c>
      <c r="I73" s="354">
        <v>125109</v>
      </c>
      <c r="J73" s="64">
        <v>13297</v>
      </c>
      <c r="K73" s="60">
        <f>I73/J73</f>
        <v>9.408814018199594</v>
      </c>
    </row>
    <row r="74" spans="1:11" s="152" customFormat="1" ht="14.25" customHeight="1">
      <c r="A74" s="149">
        <v>71</v>
      </c>
      <c r="B74" s="250"/>
      <c r="C74" s="119" t="s">
        <v>183</v>
      </c>
      <c r="D74" s="39">
        <v>38716</v>
      </c>
      <c r="E74" s="119" t="s">
        <v>130</v>
      </c>
      <c r="F74" s="119" t="s">
        <v>184</v>
      </c>
      <c r="G74" s="309">
        <v>9</v>
      </c>
      <c r="H74" s="309">
        <v>22</v>
      </c>
      <c r="I74" s="356">
        <f>41335+22428+10569.5+2994.5+6995.5+477+1541+1030+1308+1168.5+974+1343+1399+1115+913+1257+1859.5+2654.5+10471+2543+294+573</f>
        <v>115243</v>
      </c>
      <c r="J74" s="59">
        <f>5101+2761+1545+448+1608+159+304+206+436+246+162+276+329+246+181+254+303+684+2148+666+66+111</f>
        <v>18240</v>
      </c>
      <c r="K74" s="60">
        <f>+I74/J74</f>
        <v>6.318146929824562</v>
      </c>
    </row>
    <row r="75" spans="1:11" s="152" customFormat="1" ht="14.25" customHeight="1">
      <c r="A75" s="149">
        <v>72</v>
      </c>
      <c r="B75" s="250"/>
      <c r="C75" s="117" t="s">
        <v>26</v>
      </c>
      <c r="D75" s="27">
        <v>38758</v>
      </c>
      <c r="E75" s="116" t="s">
        <v>63</v>
      </c>
      <c r="F75" s="117" t="s">
        <v>64</v>
      </c>
      <c r="G75" s="50">
        <v>10</v>
      </c>
      <c r="H75" s="50">
        <v>13</v>
      </c>
      <c r="I75" s="362">
        <v>113548.5</v>
      </c>
      <c r="J75" s="63">
        <v>15724</v>
      </c>
      <c r="K75" s="60">
        <f>+I75/J75</f>
        <v>7.221349529381837</v>
      </c>
    </row>
    <row r="76" spans="1:11" s="150" customFormat="1" ht="14.25" customHeight="1">
      <c r="A76" s="149">
        <v>73</v>
      </c>
      <c r="B76" s="250"/>
      <c r="C76" s="154" t="s">
        <v>102</v>
      </c>
      <c r="D76" s="153">
        <v>38835</v>
      </c>
      <c r="E76" s="154" t="s">
        <v>63</v>
      </c>
      <c r="F76" s="154" t="s">
        <v>64</v>
      </c>
      <c r="G76" s="309">
        <v>15</v>
      </c>
      <c r="H76" s="309">
        <v>7</v>
      </c>
      <c r="I76" s="355">
        <f>60845.5+35645.5+5851+2968.5+2340.5+3653.5+711.5</f>
        <v>112016</v>
      </c>
      <c r="J76" s="92">
        <f>6762+4054+1018+542+466+689+150</f>
        <v>13681</v>
      </c>
      <c r="K76" s="60">
        <f>+I76/J76</f>
        <v>8.187705577077699</v>
      </c>
    </row>
    <row r="77" spans="1:11" s="150" customFormat="1" ht="14.25" customHeight="1">
      <c r="A77" s="149">
        <v>74</v>
      </c>
      <c r="B77" s="250"/>
      <c r="C77" s="154" t="s">
        <v>245</v>
      </c>
      <c r="D77" s="153">
        <v>38877</v>
      </c>
      <c r="E77" s="154" t="s">
        <v>63</v>
      </c>
      <c r="F77" s="154" t="s">
        <v>76</v>
      </c>
      <c r="G77" s="309">
        <v>50</v>
      </c>
      <c r="H77" s="309">
        <v>1</v>
      </c>
      <c r="I77" s="355">
        <f>105526.5</f>
        <v>105526.5</v>
      </c>
      <c r="J77" s="92">
        <f>13528</f>
        <v>13528</v>
      </c>
      <c r="K77" s="60">
        <f>+I77/J77</f>
        <v>7.800598758131283</v>
      </c>
    </row>
    <row r="78" spans="1:11" s="150" customFormat="1" ht="14.25" customHeight="1">
      <c r="A78" s="149">
        <v>75</v>
      </c>
      <c r="B78" s="250"/>
      <c r="C78" s="121" t="s">
        <v>128</v>
      </c>
      <c r="D78" s="104">
        <v>38793</v>
      </c>
      <c r="E78" s="121" t="s">
        <v>98</v>
      </c>
      <c r="F78" s="121" t="s">
        <v>103</v>
      </c>
      <c r="G78" s="102">
        <v>4</v>
      </c>
      <c r="H78" s="102">
        <v>10</v>
      </c>
      <c r="I78" s="357">
        <v>103297</v>
      </c>
      <c r="J78" s="62">
        <v>12362</v>
      </c>
      <c r="K78" s="61">
        <f>+I78/J78</f>
        <v>8.3560103543116</v>
      </c>
    </row>
    <row r="79" spans="1:11" s="150" customFormat="1" ht="14.25" customHeight="1">
      <c r="A79" s="149">
        <v>76</v>
      </c>
      <c r="B79" s="250"/>
      <c r="C79" s="120" t="s">
        <v>185</v>
      </c>
      <c r="D79" s="39">
        <v>38779</v>
      </c>
      <c r="E79" s="117" t="s">
        <v>98</v>
      </c>
      <c r="F79" s="117" t="s">
        <v>186</v>
      </c>
      <c r="G79" s="151">
        <v>10</v>
      </c>
      <c r="H79" s="50">
        <v>10</v>
      </c>
      <c r="I79" s="357">
        <v>94942</v>
      </c>
      <c r="J79" s="62">
        <v>11838</v>
      </c>
      <c r="K79" s="60">
        <f>IF(I79&lt;&gt;0,I79/J79,"")</f>
        <v>8.02010474742355</v>
      </c>
    </row>
    <row r="80" spans="1:11" s="150" customFormat="1" ht="14.25" customHeight="1">
      <c r="A80" s="149">
        <v>77</v>
      </c>
      <c r="B80" s="250"/>
      <c r="C80" s="119" t="s">
        <v>246</v>
      </c>
      <c r="D80" s="39">
        <v>38877</v>
      </c>
      <c r="E80" s="119" t="s">
        <v>130</v>
      </c>
      <c r="F80" s="119" t="s">
        <v>196</v>
      </c>
      <c r="G80" s="309">
        <v>64</v>
      </c>
      <c r="H80" s="309">
        <v>1</v>
      </c>
      <c r="I80" s="356">
        <f>94169.5</f>
        <v>94169.5</v>
      </c>
      <c r="J80" s="59">
        <f>14426</f>
        <v>14426</v>
      </c>
      <c r="K80" s="60">
        <f>+I80/J80</f>
        <v>6.527762373492306</v>
      </c>
    </row>
    <row r="81" spans="1:11" s="150" customFormat="1" ht="14.25" customHeight="1">
      <c r="A81" s="149">
        <v>78</v>
      </c>
      <c r="B81" s="250"/>
      <c r="C81" s="119" t="s">
        <v>146</v>
      </c>
      <c r="D81" s="39">
        <v>38814</v>
      </c>
      <c r="E81" s="119" t="s">
        <v>130</v>
      </c>
      <c r="F81" s="119" t="s">
        <v>147</v>
      </c>
      <c r="G81" s="309">
        <v>14</v>
      </c>
      <c r="H81" s="309">
        <v>10</v>
      </c>
      <c r="I81" s="356">
        <f>43111+13278+6067.5+7325+7474+6516.5+154+328+3068+571</f>
        <v>87893</v>
      </c>
      <c r="J81" s="59">
        <f>4620+1821+1003+1445+1813+1225+30+68+737+144</f>
        <v>12906</v>
      </c>
      <c r="K81" s="60">
        <f>+I81/J81</f>
        <v>6.810243297690996</v>
      </c>
    </row>
    <row r="82" spans="1:11" s="150" customFormat="1" ht="14.25" customHeight="1">
      <c r="A82" s="149">
        <v>79</v>
      </c>
      <c r="B82" s="250"/>
      <c r="C82" s="117" t="s">
        <v>187</v>
      </c>
      <c r="D82" s="27">
        <v>38779</v>
      </c>
      <c r="E82" s="117" t="s">
        <v>188</v>
      </c>
      <c r="F82" s="345" t="s">
        <v>189</v>
      </c>
      <c r="G82" s="50">
        <v>8</v>
      </c>
      <c r="H82" s="50">
        <v>9</v>
      </c>
      <c r="I82" s="362">
        <v>82351.4</v>
      </c>
      <c r="J82" s="63">
        <v>9780</v>
      </c>
      <c r="K82" s="61">
        <f>+I82/J82</f>
        <v>8.42038854805726</v>
      </c>
    </row>
    <row r="83" spans="1:11" s="150" customFormat="1" ht="14.25" customHeight="1">
      <c r="A83" s="149">
        <v>80</v>
      </c>
      <c r="B83" s="250"/>
      <c r="C83" s="119" t="s">
        <v>134</v>
      </c>
      <c r="D83" s="39">
        <v>38744</v>
      </c>
      <c r="E83" s="119" t="s">
        <v>130</v>
      </c>
      <c r="F83" s="119" t="s">
        <v>135</v>
      </c>
      <c r="G83" s="309">
        <v>7</v>
      </c>
      <c r="H83" s="309">
        <v>17</v>
      </c>
      <c r="I83" s="356">
        <f>23060.5+7183+3670+700+2376+2273+1430+3390+1771.5+3246+11360+7257.5+2859+2510+4107+155+170</f>
        <v>77518.5</v>
      </c>
      <c r="J83" s="59">
        <f>2772+1034+467+35+792+451+260+597+327+776+1582+1115+514+499+716+31+45</f>
        <v>12013</v>
      </c>
      <c r="K83" s="60">
        <f>+I83/J83</f>
        <v>6.452884375260135</v>
      </c>
    </row>
    <row r="84" spans="1:11" s="150" customFormat="1" ht="14.25" customHeight="1">
      <c r="A84" s="149">
        <v>81</v>
      </c>
      <c r="B84" s="250"/>
      <c r="C84" s="116" t="s">
        <v>104</v>
      </c>
      <c r="D84" s="27">
        <v>38842</v>
      </c>
      <c r="E84" s="116" t="s">
        <v>60</v>
      </c>
      <c r="F84" s="116" t="s">
        <v>80</v>
      </c>
      <c r="G84" s="304">
        <v>14</v>
      </c>
      <c r="H84" s="304" t="s">
        <v>153</v>
      </c>
      <c r="I84" s="354">
        <f>41489.5+21950+1583.5+1943+4071+3569</f>
        <v>74606</v>
      </c>
      <c r="J84" s="64">
        <f>4497+2417+200+294+1148+867</f>
        <v>9423</v>
      </c>
      <c r="K84" s="61">
        <f>+I84/J84</f>
        <v>7.917436060702537</v>
      </c>
    </row>
    <row r="85" spans="1:11" s="150" customFormat="1" ht="14.25" customHeight="1">
      <c r="A85" s="149">
        <v>82</v>
      </c>
      <c r="B85" s="250"/>
      <c r="C85" s="154" t="s">
        <v>105</v>
      </c>
      <c r="D85" s="153">
        <v>38842</v>
      </c>
      <c r="E85" s="154" t="s">
        <v>63</v>
      </c>
      <c r="F85" s="154" t="s">
        <v>106</v>
      </c>
      <c r="G85" s="309">
        <v>40</v>
      </c>
      <c r="H85" s="309">
        <v>6</v>
      </c>
      <c r="I85" s="355">
        <f>38973.5+16801.5+3724.5+1143.5+878.5+1522</f>
        <v>63043.5</v>
      </c>
      <c r="J85" s="92">
        <f>6538+2897+696+259+197+344</f>
        <v>10931</v>
      </c>
      <c r="K85" s="60">
        <f>+I85/J85</f>
        <v>5.767404629036685</v>
      </c>
    </row>
    <row r="86" spans="1:11" s="150" customFormat="1" ht="14.25" customHeight="1">
      <c r="A86" s="149">
        <v>83</v>
      </c>
      <c r="B86" s="250"/>
      <c r="C86" s="119" t="s">
        <v>138</v>
      </c>
      <c r="D86" s="39">
        <v>38723</v>
      </c>
      <c r="E86" s="215" t="s">
        <v>130</v>
      </c>
      <c r="F86" s="119" t="s">
        <v>139</v>
      </c>
      <c r="G86" s="109" t="s">
        <v>152</v>
      </c>
      <c r="H86" s="110">
        <v>15</v>
      </c>
      <c r="I86" s="356">
        <f>22570+12751+6691+4543+3462+1141+1389+1484.5+48+38+1782+1068+714+1188+2340</f>
        <v>61209.5</v>
      </c>
      <c r="J86" s="59">
        <f>2787+1607+844+585+460+145+463+399+9+7+594+356+238+396+780</f>
        <v>9670</v>
      </c>
      <c r="K86" s="60">
        <f>IF(I86&lt;&gt;0,I86/J86,"")</f>
        <v>6.329834539813858</v>
      </c>
    </row>
    <row r="87" spans="1:11" s="150" customFormat="1" ht="14.25" customHeight="1">
      <c r="A87" s="149">
        <v>84</v>
      </c>
      <c r="B87" s="250"/>
      <c r="C87" s="119" t="s">
        <v>142</v>
      </c>
      <c r="D87" s="39">
        <v>38758</v>
      </c>
      <c r="E87" s="119" t="s">
        <v>130</v>
      </c>
      <c r="F87" s="119" t="s">
        <v>143</v>
      </c>
      <c r="G87" s="309">
        <v>4</v>
      </c>
      <c r="H87" s="309">
        <v>17</v>
      </c>
      <c r="I87" s="356">
        <f>12456+7990+4147+1031+2942.5+1687.5+5526.5+3841.5+1352.5+925+2425+2735+1963+2610.5+374+1948+1054</f>
        <v>55009</v>
      </c>
      <c r="J87" s="59">
        <f>1552+1090+669+166+430+252+1516+804+308+163+443+768+612+467+81+595+318</f>
        <v>10234</v>
      </c>
      <c r="K87" s="60">
        <f>+I87/J87</f>
        <v>5.3751221418800075</v>
      </c>
    </row>
    <row r="88" spans="1:11" s="150" customFormat="1" ht="14.25" customHeight="1">
      <c r="A88" s="149">
        <v>85</v>
      </c>
      <c r="B88" s="250"/>
      <c r="C88" s="119" t="s">
        <v>136</v>
      </c>
      <c r="D88" s="39">
        <v>38779</v>
      </c>
      <c r="E88" s="119" t="s">
        <v>130</v>
      </c>
      <c r="F88" s="119" t="s">
        <v>137</v>
      </c>
      <c r="G88" s="309">
        <v>10</v>
      </c>
      <c r="H88" s="309">
        <v>15</v>
      </c>
      <c r="I88" s="356">
        <f>19635+7029.5+1939.5+1932.5+1425+2285+846+5995.5+272.5+3026+831+1782+1425+2693.5+831</f>
        <v>51949</v>
      </c>
      <c r="J88" s="59">
        <f>2548+994+309+438+475+587+190+1491+27+979+277+594+475+870+277</f>
        <v>10531</v>
      </c>
      <c r="K88" s="60">
        <f>+I88/J88</f>
        <v>4.932959832874371</v>
      </c>
    </row>
    <row r="89" spans="1:11" s="150" customFormat="1" ht="14.25" customHeight="1">
      <c r="A89" s="149">
        <v>86</v>
      </c>
      <c r="B89" s="250"/>
      <c r="C89" s="116" t="s">
        <v>213</v>
      </c>
      <c r="D89" s="27">
        <v>38863</v>
      </c>
      <c r="E89" s="116" t="s">
        <v>60</v>
      </c>
      <c r="F89" s="116" t="s">
        <v>80</v>
      </c>
      <c r="G89" s="304">
        <v>17</v>
      </c>
      <c r="H89" s="304" t="s">
        <v>152</v>
      </c>
      <c r="I89" s="354">
        <f>28731.5+16998+5846.5</f>
        <v>51576</v>
      </c>
      <c r="J89" s="64">
        <f>3778+2334+1022</f>
        <v>7134</v>
      </c>
      <c r="K89" s="61">
        <f>+I89/J89</f>
        <v>7.229604709840202</v>
      </c>
    </row>
    <row r="90" spans="1:11" s="150" customFormat="1" ht="14.25" customHeight="1">
      <c r="A90" s="149">
        <v>87</v>
      </c>
      <c r="B90" s="250"/>
      <c r="C90" s="120" t="s">
        <v>190</v>
      </c>
      <c r="D90" s="39">
        <v>38786</v>
      </c>
      <c r="E90" s="120" t="s">
        <v>73</v>
      </c>
      <c r="F90" s="120" t="s">
        <v>133</v>
      </c>
      <c r="G90" s="151">
        <v>4</v>
      </c>
      <c r="H90" s="151">
        <v>10</v>
      </c>
      <c r="I90" s="356">
        <v>50710.15</v>
      </c>
      <c r="J90" s="59">
        <v>6453.333333333333</v>
      </c>
      <c r="K90" s="61">
        <f>+I90/J90</f>
        <v>7.857977789256199</v>
      </c>
    </row>
    <row r="91" spans="1:11" s="150" customFormat="1" ht="14.25" customHeight="1">
      <c r="A91" s="149">
        <v>88</v>
      </c>
      <c r="B91" s="250"/>
      <c r="C91" s="117" t="s">
        <v>116</v>
      </c>
      <c r="D91" s="27">
        <v>38828</v>
      </c>
      <c r="E91" s="117" t="s">
        <v>73</v>
      </c>
      <c r="F91" s="117" t="s">
        <v>97</v>
      </c>
      <c r="G91" s="50">
        <v>5</v>
      </c>
      <c r="H91" s="50">
        <v>5</v>
      </c>
      <c r="I91" s="362">
        <v>46159</v>
      </c>
      <c r="J91" s="63">
        <v>6344</v>
      </c>
      <c r="K91" s="60">
        <f>+I91/J91</f>
        <v>7.276008827238336</v>
      </c>
    </row>
    <row r="92" spans="1:11" s="150" customFormat="1" ht="14.25" customHeight="1">
      <c r="A92" s="149">
        <v>89</v>
      </c>
      <c r="B92" s="250"/>
      <c r="C92" s="116" t="s">
        <v>248</v>
      </c>
      <c r="D92" s="27">
        <v>38877</v>
      </c>
      <c r="E92" s="116" t="s">
        <v>188</v>
      </c>
      <c r="F92" s="116" t="s">
        <v>249</v>
      </c>
      <c r="G92" s="304" t="s">
        <v>250</v>
      </c>
      <c r="H92" s="304" t="s">
        <v>251</v>
      </c>
      <c r="I92" s="358">
        <v>44173</v>
      </c>
      <c r="J92" s="155">
        <v>5633</v>
      </c>
      <c r="K92" s="60">
        <f>+I92/J92</f>
        <v>7.841824960056808</v>
      </c>
    </row>
    <row r="93" spans="1:11" s="150" customFormat="1" ht="14.25" customHeight="1">
      <c r="A93" s="149">
        <v>90</v>
      </c>
      <c r="B93" s="250"/>
      <c r="C93" s="121" t="s">
        <v>117</v>
      </c>
      <c r="D93" s="104">
        <v>38835</v>
      </c>
      <c r="E93" s="121" t="s">
        <v>98</v>
      </c>
      <c r="F93" s="121" t="s">
        <v>103</v>
      </c>
      <c r="G93" s="235" t="s">
        <v>226</v>
      </c>
      <c r="H93" s="235" t="s">
        <v>151</v>
      </c>
      <c r="I93" s="357">
        <v>41373</v>
      </c>
      <c r="J93" s="62">
        <v>5360</v>
      </c>
      <c r="K93" s="60">
        <f>+I93/J93</f>
        <v>7.71884328358209</v>
      </c>
    </row>
    <row r="94" spans="1:11" s="150" customFormat="1" ht="14.25" customHeight="1">
      <c r="A94" s="149">
        <v>91</v>
      </c>
      <c r="B94" s="250"/>
      <c r="C94" s="116" t="s">
        <v>114</v>
      </c>
      <c r="D94" s="27">
        <v>38849</v>
      </c>
      <c r="E94" s="116" t="s">
        <v>60</v>
      </c>
      <c r="F94" s="116" t="s">
        <v>73</v>
      </c>
      <c r="G94" s="304">
        <v>20</v>
      </c>
      <c r="H94" s="304" t="s">
        <v>154</v>
      </c>
      <c r="I94" s="354">
        <f>28036+3671+205.5+163+1253</f>
        <v>33328.5</v>
      </c>
      <c r="J94" s="64">
        <f>3110+476+42+29+189</f>
        <v>3846</v>
      </c>
      <c r="K94" s="61">
        <f>+I94/J94</f>
        <v>8.66575663026521</v>
      </c>
    </row>
    <row r="95" spans="1:11" s="150" customFormat="1" ht="14.25" customHeight="1">
      <c r="A95" s="149">
        <v>92</v>
      </c>
      <c r="B95" s="250"/>
      <c r="C95" s="119" t="s">
        <v>223</v>
      </c>
      <c r="D95" s="39">
        <v>38870</v>
      </c>
      <c r="E95" s="119" t="s">
        <v>130</v>
      </c>
      <c r="F95" s="119" t="s">
        <v>147</v>
      </c>
      <c r="G95" s="309">
        <v>5</v>
      </c>
      <c r="H95" s="309">
        <v>2</v>
      </c>
      <c r="I95" s="356">
        <f>20882.25+8209.5+3896</f>
        <v>32987.75</v>
      </c>
      <c r="J95" s="59">
        <f>2709+885+473</f>
        <v>4067</v>
      </c>
      <c r="K95" s="60">
        <f>+I95/J95</f>
        <v>8.111076960904844</v>
      </c>
    </row>
    <row r="96" spans="1:11" s="150" customFormat="1" ht="14.25" customHeight="1">
      <c r="A96" s="149">
        <v>93</v>
      </c>
      <c r="B96" s="250"/>
      <c r="C96" s="119" t="s">
        <v>132</v>
      </c>
      <c r="D96" s="39">
        <v>38849</v>
      </c>
      <c r="E96" s="215" t="s">
        <v>130</v>
      </c>
      <c r="F96" s="119" t="s">
        <v>133</v>
      </c>
      <c r="G96" s="109" t="s">
        <v>150</v>
      </c>
      <c r="H96" s="110">
        <v>4</v>
      </c>
      <c r="I96" s="356">
        <f>12183.25+8569+5406+1833+4570</f>
        <v>32561.25</v>
      </c>
      <c r="J96" s="59">
        <f>1678+1149+734+247+1506</f>
        <v>5314</v>
      </c>
      <c r="K96" s="60">
        <f>IF(I96&lt;&gt;0,I96/J96,"")</f>
        <v>6.127446368084305</v>
      </c>
    </row>
    <row r="97" spans="1:11" s="150" customFormat="1" ht="14.25" customHeight="1">
      <c r="A97" s="149">
        <v>94</v>
      </c>
      <c r="B97" s="250"/>
      <c r="C97" s="119" t="s">
        <v>131</v>
      </c>
      <c r="D97" s="39">
        <v>38856</v>
      </c>
      <c r="E97" s="119" t="s">
        <v>130</v>
      </c>
      <c r="F97" s="119" t="s">
        <v>103</v>
      </c>
      <c r="G97" s="309">
        <v>10</v>
      </c>
      <c r="H97" s="309">
        <v>4</v>
      </c>
      <c r="I97" s="356">
        <f>21534.5+7198.5+1602+1559</f>
        <v>31894</v>
      </c>
      <c r="J97" s="59">
        <f>3022+1231+222+243</f>
        <v>4718</v>
      </c>
      <c r="K97" s="60">
        <f>+I97/J97</f>
        <v>6.760067825349725</v>
      </c>
    </row>
    <row r="98" spans="1:11" s="150" customFormat="1" ht="14.25" customHeight="1">
      <c r="A98" s="149">
        <v>95</v>
      </c>
      <c r="B98" s="250"/>
      <c r="C98" s="117" t="s">
        <v>191</v>
      </c>
      <c r="D98" s="27">
        <v>38793</v>
      </c>
      <c r="E98" s="117" t="s">
        <v>43</v>
      </c>
      <c r="F98" s="117" t="s">
        <v>192</v>
      </c>
      <c r="G98" s="50">
        <v>2</v>
      </c>
      <c r="H98" s="50">
        <v>7</v>
      </c>
      <c r="I98" s="363">
        <f>21147.5+3690+1708+783+1453+1727.5+1306.5</f>
        <v>31815.5</v>
      </c>
      <c r="J98" s="59">
        <f>2248+452+253+99+248+260+197</f>
        <v>3757</v>
      </c>
      <c r="K98" s="60">
        <f>+I98/J98</f>
        <v>8.468325791855204</v>
      </c>
    </row>
    <row r="99" spans="1:11" s="150" customFormat="1" ht="14.25" customHeight="1">
      <c r="A99" s="149">
        <v>96</v>
      </c>
      <c r="B99" s="250"/>
      <c r="C99" s="121" t="s">
        <v>221</v>
      </c>
      <c r="D99" s="104">
        <v>38870</v>
      </c>
      <c r="E99" s="121" t="s">
        <v>98</v>
      </c>
      <c r="F99" s="121" t="s">
        <v>222</v>
      </c>
      <c r="G99" s="235" t="s">
        <v>154</v>
      </c>
      <c r="H99" s="235" t="s">
        <v>225</v>
      </c>
      <c r="I99" s="357">
        <v>30065</v>
      </c>
      <c r="J99" s="62">
        <v>3374</v>
      </c>
      <c r="K99" s="60">
        <f>+I99/J99</f>
        <v>8.910788381742739</v>
      </c>
    </row>
    <row r="100" spans="1:11" s="150" customFormat="1" ht="14.25" customHeight="1">
      <c r="A100" s="149">
        <v>97</v>
      </c>
      <c r="B100" s="250"/>
      <c r="C100" s="119" t="s">
        <v>144</v>
      </c>
      <c r="D100" s="39">
        <v>38828</v>
      </c>
      <c r="E100" s="119" t="s">
        <v>130</v>
      </c>
      <c r="F100" s="119" t="s">
        <v>145</v>
      </c>
      <c r="G100" s="309">
        <v>6</v>
      </c>
      <c r="H100" s="309">
        <v>7</v>
      </c>
      <c r="I100" s="356">
        <f>8964+4246+2175+6296+364+3248+189</f>
        <v>25482</v>
      </c>
      <c r="J100" s="59">
        <f>1055+574+361+886+56+580+32</f>
        <v>3544</v>
      </c>
      <c r="K100" s="60">
        <f>+I100/J100</f>
        <v>7.1901805869074495</v>
      </c>
    </row>
    <row r="101" spans="1:11" s="150" customFormat="1" ht="14.25" customHeight="1">
      <c r="A101" s="149">
        <v>98</v>
      </c>
      <c r="B101" s="250"/>
      <c r="C101" s="117" t="s">
        <v>193</v>
      </c>
      <c r="D101" s="27">
        <v>38786</v>
      </c>
      <c r="E101" s="117" t="s">
        <v>36</v>
      </c>
      <c r="F101" s="117" t="s">
        <v>194</v>
      </c>
      <c r="G101" s="50">
        <v>7</v>
      </c>
      <c r="H101" s="50">
        <v>9</v>
      </c>
      <c r="I101" s="362">
        <v>25057.5</v>
      </c>
      <c r="J101" s="63">
        <v>4796</v>
      </c>
      <c r="K101" s="61">
        <f>+I101/J101</f>
        <v>5.224666388657214</v>
      </c>
    </row>
    <row r="102" spans="1:11" s="152" customFormat="1" ht="14.25" customHeight="1">
      <c r="A102" s="149">
        <v>99</v>
      </c>
      <c r="B102" s="250"/>
      <c r="C102" s="119" t="s">
        <v>195</v>
      </c>
      <c r="D102" s="39">
        <v>38751</v>
      </c>
      <c r="E102" s="215" t="s">
        <v>130</v>
      </c>
      <c r="F102" s="119" t="s">
        <v>196</v>
      </c>
      <c r="G102" s="151">
        <v>1</v>
      </c>
      <c r="H102" s="110">
        <v>10</v>
      </c>
      <c r="I102" s="356">
        <f>6339+5656+3753+2609+448+675+1816+2430+1068+117</f>
        <v>24911</v>
      </c>
      <c r="J102" s="59">
        <f>796+708+467+329+60+87+264+364+356+20</f>
        <v>3451</v>
      </c>
      <c r="K102" s="61">
        <f>+I102/J102</f>
        <v>7.218487394957983</v>
      </c>
    </row>
    <row r="103" spans="1:11" s="152" customFormat="1" ht="14.25" customHeight="1">
      <c r="A103" s="149">
        <v>100</v>
      </c>
      <c r="B103" s="250"/>
      <c r="C103" s="119" t="s">
        <v>199</v>
      </c>
      <c r="D103" s="39">
        <v>38779</v>
      </c>
      <c r="E103" s="119" t="s">
        <v>130</v>
      </c>
      <c r="F103" s="119" t="s">
        <v>200</v>
      </c>
      <c r="G103" s="309">
        <v>6</v>
      </c>
      <c r="H103" s="309">
        <v>5</v>
      </c>
      <c r="I103" s="356">
        <f>9397.5+2137+188+1545+1416</f>
        <v>14683.5</v>
      </c>
      <c r="J103" s="59">
        <f>1039+275+26+515+419</f>
        <v>2274</v>
      </c>
      <c r="K103" s="60">
        <f>+I103/J103</f>
        <v>6.4571240105540895</v>
      </c>
    </row>
    <row r="104" spans="1:11" s="152" customFormat="1" ht="14.25" customHeight="1">
      <c r="A104" s="149">
        <v>101</v>
      </c>
      <c r="B104" s="250"/>
      <c r="C104" s="117" t="s">
        <v>197</v>
      </c>
      <c r="D104" s="39">
        <v>38772</v>
      </c>
      <c r="E104" s="117" t="s">
        <v>80</v>
      </c>
      <c r="F104" s="117" t="s">
        <v>198</v>
      </c>
      <c r="G104" s="161">
        <v>1</v>
      </c>
      <c r="H104" s="159">
        <v>6</v>
      </c>
      <c r="I104" s="362">
        <v>14052</v>
      </c>
      <c r="J104" s="63">
        <v>1802</v>
      </c>
      <c r="K104" s="61">
        <f>+I104/J104</f>
        <v>7.798002219755827</v>
      </c>
    </row>
    <row r="105" spans="1:11" s="152" customFormat="1" ht="14.25" customHeight="1">
      <c r="A105" s="149">
        <v>102</v>
      </c>
      <c r="B105" s="254"/>
      <c r="C105" s="119" t="s">
        <v>148</v>
      </c>
      <c r="D105" s="39">
        <v>38835</v>
      </c>
      <c r="E105" s="119" t="s">
        <v>130</v>
      </c>
      <c r="F105" s="119" t="s">
        <v>149</v>
      </c>
      <c r="G105" s="309">
        <v>5</v>
      </c>
      <c r="H105" s="309">
        <v>6</v>
      </c>
      <c r="I105" s="356">
        <f>497.5+5960+2567+1138+75+2686+941.5</f>
        <v>13865</v>
      </c>
      <c r="J105" s="59">
        <f>103+657+317+178+15+682+143</f>
        <v>2095</v>
      </c>
      <c r="K105" s="60">
        <f>+I105/J105</f>
        <v>6.6181384248210025</v>
      </c>
    </row>
    <row r="106" spans="1:11" s="152" customFormat="1" ht="14.25" customHeight="1">
      <c r="A106" s="149">
        <v>103</v>
      </c>
      <c r="B106" s="254"/>
      <c r="C106" s="120" t="s">
        <v>201</v>
      </c>
      <c r="D106" s="39">
        <v>38723</v>
      </c>
      <c r="E106" s="215" t="s">
        <v>130</v>
      </c>
      <c r="F106" s="120" t="s">
        <v>202</v>
      </c>
      <c r="G106" s="151">
        <v>5</v>
      </c>
      <c r="H106" s="151">
        <v>8</v>
      </c>
      <c r="I106" s="356">
        <f>7149+2747+756+1338+270+74+91+462</f>
        <v>12887</v>
      </c>
      <c r="J106" s="59">
        <f>932+357+92+247+90+24+25+88</f>
        <v>1855</v>
      </c>
      <c r="K106" s="61">
        <f>+I106/J106</f>
        <v>6.947169811320754</v>
      </c>
    </row>
    <row r="107" spans="1:11" s="152" customFormat="1" ht="14.25" customHeight="1">
      <c r="A107" s="149">
        <v>104</v>
      </c>
      <c r="B107" s="254"/>
      <c r="C107" s="117" t="s">
        <v>203</v>
      </c>
      <c r="D107" s="160">
        <v>38821</v>
      </c>
      <c r="E107" s="120" t="s">
        <v>98</v>
      </c>
      <c r="F107" s="120" t="s">
        <v>204</v>
      </c>
      <c r="G107" s="151">
        <v>5</v>
      </c>
      <c r="H107" s="151">
        <v>5</v>
      </c>
      <c r="I107" s="361">
        <v>6450.5</v>
      </c>
      <c r="J107" s="94">
        <v>1115</v>
      </c>
      <c r="K107" s="60">
        <f>+I107/J107</f>
        <v>5.785201793721973</v>
      </c>
    </row>
    <row r="108" spans="1:11" s="152" customFormat="1" ht="14.25" customHeight="1">
      <c r="A108" s="149">
        <v>105</v>
      </c>
      <c r="B108" s="254"/>
      <c r="C108" s="120" t="s">
        <v>205</v>
      </c>
      <c r="D108" s="27">
        <v>38758</v>
      </c>
      <c r="E108" s="120" t="s">
        <v>80</v>
      </c>
      <c r="F108" s="120" t="s">
        <v>206</v>
      </c>
      <c r="G108" s="151">
        <v>4</v>
      </c>
      <c r="H108" s="151">
        <v>10</v>
      </c>
      <c r="I108" s="354">
        <v>6143</v>
      </c>
      <c r="J108" s="64">
        <v>976</v>
      </c>
      <c r="K108" s="61">
        <f>+I108/J108</f>
        <v>6.29405737704918</v>
      </c>
    </row>
    <row r="109" spans="1:11" s="152" customFormat="1" ht="14.25" customHeight="1">
      <c r="A109" s="149">
        <v>106</v>
      </c>
      <c r="B109" s="254"/>
      <c r="C109" s="120" t="s">
        <v>207</v>
      </c>
      <c r="D109" s="39">
        <v>38807</v>
      </c>
      <c r="E109" s="117" t="s">
        <v>98</v>
      </c>
      <c r="F109" s="117" t="s">
        <v>186</v>
      </c>
      <c r="G109" s="151">
        <v>8</v>
      </c>
      <c r="H109" s="50">
        <v>5</v>
      </c>
      <c r="I109" s="357">
        <v>4628.5</v>
      </c>
      <c r="J109" s="62">
        <v>707</v>
      </c>
      <c r="K109" s="60">
        <f>IF(I109&lt;&gt;0,I109/J109,"")</f>
        <v>6.546676096181047</v>
      </c>
    </row>
    <row r="110" spans="1:11" s="152" customFormat="1" ht="14.25" customHeight="1" thickBot="1">
      <c r="A110" s="149">
        <v>107</v>
      </c>
      <c r="B110" s="348"/>
      <c r="C110" s="349" t="s">
        <v>140</v>
      </c>
      <c r="D110" s="231">
        <v>38849</v>
      </c>
      <c r="E110" s="350" t="s">
        <v>130</v>
      </c>
      <c r="F110" s="349" t="s">
        <v>141</v>
      </c>
      <c r="G110" s="216">
        <v>1</v>
      </c>
      <c r="H110" s="351">
        <v>3</v>
      </c>
      <c r="I110" s="364">
        <f>3427.5+602+330+168</f>
        <v>4527.5</v>
      </c>
      <c r="J110" s="352">
        <f>772+80+66+24</f>
        <v>942</v>
      </c>
      <c r="K110" s="353">
        <f>+I110/J110</f>
        <v>4.806263269639066</v>
      </c>
    </row>
    <row r="111" spans="1:11" s="152" customFormat="1" ht="15">
      <c r="A111" s="162"/>
      <c r="B111" s="255"/>
      <c r="C111" s="256" t="s">
        <v>45</v>
      </c>
      <c r="D111" s="256"/>
      <c r="E111" s="257"/>
      <c r="F111" s="257"/>
      <c r="G111" s="258">
        <f>SUM(G4:G110)</f>
        <v>5380</v>
      </c>
      <c r="H111" s="256"/>
      <c r="I111" s="365">
        <f>SUM(I4:I110)</f>
        <v>115007990.31000002</v>
      </c>
      <c r="J111" s="259">
        <f>SUM(J4:J110)</f>
        <v>16829172.333333336</v>
      </c>
      <c r="K111" s="260">
        <f>I111/J111</f>
        <v>6.833847086003457</v>
      </c>
    </row>
    <row r="112" spans="1:11" s="152" customFormat="1" ht="15.75" thickBot="1">
      <c r="A112" s="162"/>
      <c r="B112" s="163"/>
      <c r="C112" s="36" t="s">
        <v>78</v>
      </c>
      <c r="D112" s="36"/>
      <c r="E112" s="38"/>
      <c r="F112" s="38"/>
      <c r="G112" s="37">
        <v>4800</v>
      </c>
      <c r="H112" s="36"/>
      <c r="I112" s="366">
        <v>89187177.09</v>
      </c>
      <c r="J112" s="164">
        <v>13776519</v>
      </c>
      <c r="K112" s="165">
        <f>I112/J112</f>
        <v>6.4738543234325014</v>
      </c>
    </row>
    <row r="113" spans="1:11" s="152" customFormat="1" ht="13.5" thickBot="1">
      <c r="A113" s="166"/>
      <c r="C113" s="167"/>
      <c r="D113" s="168"/>
      <c r="E113" s="168"/>
      <c r="F113" s="168"/>
      <c r="G113" s="168"/>
      <c r="H113" s="168"/>
      <c r="I113" s="367"/>
      <c r="J113" s="169"/>
      <c r="K113" s="170"/>
    </row>
    <row r="114" spans="1:11" s="173" customFormat="1" ht="12.75">
      <c r="A114" s="171"/>
      <c r="B114" s="172"/>
      <c r="C114" s="287" t="s">
        <v>13</v>
      </c>
      <c r="D114" s="287"/>
      <c r="E114" s="278" t="s">
        <v>208</v>
      </c>
      <c r="F114" s="101"/>
      <c r="G114" s="278" t="s">
        <v>209</v>
      </c>
      <c r="H114" s="278"/>
      <c r="I114" s="278" t="s">
        <v>17</v>
      </c>
      <c r="J114" s="278"/>
      <c r="K114" s="293" t="s">
        <v>158</v>
      </c>
    </row>
    <row r="115" spans="1:11" s="173" customFormat="1" ht="26.25" customHeight="1" thickBot="1">
      <c r="A115" s="174"/>
      <c r="B115" s="175"/>
      <c r="C115" s="288"/>
      <c r="D115" s="288"/>
      <c r="E115" s="289"/>
      <c r="F115" s="176"/>
      <c r="G115" s="289"/>
      <c r="H115" s="290"/>
      <c r="I115" s="359" t="s">
        <v>159</v>
      </c>
      <c r="J115" s="177" t="s">
        <v>4</v>
      </c>
      <c r="K115" s="294"/>
    </row>
    <row r="116" spans="1:11" ht="15">
      <c r="A116" s="149">
        <v>1</v>
      </c>
      <c r="B116" s="178"/>
      <c r="C116" s="179" t="s">
        <v>210</v>
      </c>
      <c r="D116" s="180"/>
      <c r="E116" s="180">
        <v>12</v>
      </c>
      <c r="F116" s="180"/>
      <c r="G116" s="181">
        <f>G4+G5+G7+G9+G10+G15+G25+G69+G72+G85+G101+G26</f>
        <v>1503</v>
      </c>
      <c r="H116" s="180"/>
      <c r="I116" s="368">
        <f>I4+I5+I7+I9+I10+I15+I25+I26+I69+I72+I85+I101</f>
        <v>58581271.720000006</v>
      </c>
      <c r="J116" s="182">
        <f>J4+J5+J7+J9+J10+J15+J25+J26+J69+J72+J85+J101</f>
        <v>9132328.000000002</v>
      </c>
      <c r="K116" s="183">
        <f>I116/J116</f>
        <v>6.414713939315363</v>
      </c>
    </row>
    <row r="117" spans="1:11" ht="15.75" thickBot="1">
      <c r="A117" s="149">
        <v>2</v>
      </c>
      <c r="B117" s="185"/>
      <c r="C117" s="186" t="s">
        <v>211</v>
      </c>
      <c r="D117" s="187"/>
      <c r="E117" s="187">
        <v>78</v>
      </c>
      <c r="F117" s="187"/>
      <c r="G117" s="188">
        <f>G111-G116</f>
        <v>3877</v>
      </c>
      <c r="H117" s="187"/>
      <c r="I117" s="369">
        <f>I111-I116</f>
        <v>56426718.59000001</v>
      </c>
      <c r="J117" s="189">
        <f>J111-J116</f>
        <v>7696844.333333334</v>
      </c>
      <c r="K117" s="190">
        <f>I117/J117</f>
        <v>7.33114977337249</v>
      </c>
    </row>
    <row r="118" spans="2:11" ht="15.75" thickBot="1">
      <c r="B118" s="191"/>
      <c r="C118" s="192"/>
      <c r="D118" s="193"/>
      <c r="E118" s="193">
        <f>SUM(E116:E117)</f>
        <v>90</v>
      </c>
      <c r="F118" s="193"/>
      <c r="G118" s="194">
        <f>SUM(G116:G117)</f>
        <v>5380</v>
      </c>
      <c r="H118" s="193"/>
      <c r="I118" s="370">
        <f>SUM(I116:I117)</f>
        <v>115007990.31000002</v>
      </c>
      <c r="J118" s="195">
        <f>SUM(J116:J117)</f>
        <v>16829172.333333336</v>
      </c>
      <c r="K118" s="196">
        <f>I118/J118</f>
        <v>6.833847086003457</v>
      </c>
    </row>
    <row r="120" ht="14.25" customHeight="1" thickBot="1"/>
    <row r="121" spans="1:9" ht="15">
      <c r="A121" s="201"/>
      <c r="B121" s="65"/>
      <c r="C121" s="66" t="s">
        <v>46</v>
      </c>
      <c r="D121" s="295" t="s">
        <v>212</v>
      </c>
      <c r="E121" s="296"/>
      <c r="F121" s="296"/>
      <c r="G121" s="296"/>
      <c r="H121" s="297"/>
      <c r="I121" s="298"/>
    </row>
    <row r="123" spans="1:13" ht="14.25" customHeight="1">
      <c r="A123" s="202">
        <v>1</v>
      </c>
      <c r="B123" s="65"/>
      <c r="C123" s="203" t="s">
        <v>35</v>
      </c>
      <c r="D123" s="204">
        <v>4</v>
      </c>
      <c r="E123" s="205">
        <v>38290646.4</v>
      </c>
      <c r="F123" s="206">
        <v>5911804</v>
      </c>
      <c r="G123" s="207">
        <v>673</v>
      </c>
      <c r="H123" s="208">
        <f>E123/G123</f>
        <v>56895.46270430906</v>
      </c>
      <c r="I123" s="372">
        <f>E123/F123</f>
        <v>6.476981713196174</v>
      </c>
      <c r="J123" s="197"/>
      <c r="K123" s="198"/>
      <c r="L123" s="199"/>
      <c r="M123" s="200"/>
    </row>
    <row r="124" spans="1:13" ht="14.25" customHeight="1">
      <c r="A124" s="202">
        <v>2</v>
      </c>
      <c r="B124" s="65"/>
      <c r="C124" s="83" t="s">
        <v>33</v>
      </c>
      <c r="D124" s="84">
        <v>21</v>
      </c>
      <c r="E124" s="85">
        <v>30539581.12</v>
      </c>
      <c r="F124" s="86">
        <v>4656183</v>
      </c>
      <c r="G124" s="209">
        <v>1268</v>
      </c>
      <c r="H124" s="209">
        <f>E124/G124</f>
        <v>24084.843154574133</v>
      </c>
      <c r="I124" s="373">
        <f>E124/F124</f>
        <v>6.558930591860329</v>
      </c>
      <c r="J124" s="197"/>
      <c r="K124" s="198"/>
      <c r="L124" s="199"/>
      <c r="M124" s="200"/>
    </row>
    <row r="125" spans="1:13" ht="14.25" customHeight="1">
      <c r="A125" s="202">
        <v>3</v>
      </c>
      <c r="B125" s="65"/>
      <c r="C125" s="83" t="s">
        <v>32</v>
      </c>
      <c r="D125" s="211">
        <v>24</v>
      </c>
      <c r="E125" s="85">
        <v>21096171</v>
      </c>
      <c r="F125" s="86">
        <v>2814075</v>
      </c>
      <c r="G125" s="209">
        <v>1391</v>
      </c>
      <c r="H125" s="209">
        <f>E125/G125</f>
        <v>15166.190510424156</v>
      </c>
      <c r="I125" s="373">
        <f>E125/F125</f>
        <v>7.4966626689054126</v>
      </c>
      <c r="J125" s="197"/>
      <c r="K125" s="198"/>
      <c r="L125" s="199"/>
      <c r="M125" s="200"/>
    </row>
    <row r="126" spans="1:13" ht="14.25" customHeight="1">
      <c r="A126" s="202">
        <v>4</v>
      </c>
      <c r="B126" s="65"/>
      <c r="C126" s="83" t="s">
        <v>34</v>
      </c>
      <c r="D126" s="84">
        <v>21</v>
      </c>
      <c r="E126" s="85">
        <v>19486634</v>
      </c>
      <c r="F126" s="86">
        <v>2647841</v>
      </c>
      <c r="G126" s="210">
        <v>1520</v>
      </c>
      <c r="H126" s="209">
        <f>E126/G126</f>
        <v>12820.15394736842</v>
      </c>
      <c r="I126" s="373">
        <f>E126/F126</f>
        <v>7.359442655355816</v>
      </c>
      <c r="J126" s="197"/>
      <c r="K126" s="198"/>
      <c r="L126" s="199"/>
      <c r="M126" s="200"/>
    </row>
    <row r="127" spans="1:13" ht="14.25" customHeight="1">
      <c r="A127" s="202">
        <v>5</v>
      </c>
      <c r="B127" s="65"/>
      <c r="C127" s="83" t="s">
        <v>79</v>
      </c>
      <c r="D127" s="84">
        <v>2</v>
      </c>
      <c r="E127" s="85">
        <v>2235418</v>
      </c>
      <c r="F127" s="86">
        <v>311424</v>
      </c>
      <c r="G127" s="209">
        <v>160</v>
      </c>
      <c r="H127" s="209">
        <f>E127/G127</f>
        <v>13971.3625</v>
      </c>
      <c r="I127" s="373">
        <f>E127/F127</f>
        <v>7.178053072338677</v>
      </c>
      <c r="J127" s="197"/>
      <c r="K127" s="198"/>
      <c r="L127" s="199"/>
      <c r="M127" s="200"/>
    </row>
    <row r="128" spans="1:13" ht="14.25" customHeight="1">
      <c r="A128" s="202">
        <v>6</v>
      </c>
      <c r="B128" s="65"/>
      <c r="C128" s="83" t="s">
        <v>43</v>
      </c>
      <c r="D128" s="84">
        <v>4</v>
      </c>
      <c r="E128" s="85">
        <v>1506755.5</v>
      </c>
      <c r="F128" s="86">
        <v>228898</v>
      </c>
      <c r="G128" s="209">
        <v>187</v>
      </c>
      <c r="H128" s="209">
        <f>E128/G128</f>
        <v>8057.516042780749</v>
      </c>
      <c r="I128" s="373">
        <f>E128/F128</f>
        <v>6.582650350811279</v>
      </c>
      <c r="J128" s="197"/>
      <c r="K128" s="198"/>
      <c r="L128" s="199"/>
      <c r="M128" s="200"/>
    </row>
    <row r="129" spans="1:13" ht="14.25" customHeight="1">
      <c r="A129" s="202">
        <v>7</v>
      </c>
      <c r="B129" s="65"/>
      <c r="C129" s="83" t="s">
        <v>130</v>
      </c>
      <c r="D129" s="84">
        <v>17</v>
      </c>
      <c r="E129" s="85">
        <v>1104617</v>
      </c>
      <c r="F129" s="86">
        <v>164865</v>
      </c>
      <c r="G129" s="209">
        <v>182</v>
      </c>
      <c r="H129" s="209">
        <f>E129/G129</f>
        <v>6069.324175824176</v>
      </c>
      <c r="I129" s="373">
        <f>E129/F129</f>
        <v>6.700130409729172</v>
      </c>
      <c r="J129" s="197"/>
      <c r="K129" s="198"/>
      <c r="L129" s="199"/>
      <c r="M129" s="200"/>
    </row>
    <row r="130" spans="1:13" ht="14.25" customHeight="1">
      <c r="A130" s="202">
        <v>8</v>
      </c>
      <c r="B130" s="65"/>
      <c r="C130" s="83" t="s">
        <v>98</v>
      </c>
      <c r="D130" s="84">
        <v>6</v>
      </c>
      <c r="E130" s="85">
        <v>280756</v>
      </c>
      <c r="F130" s="86">
        <v>34756</v>
      </c>
      <c r="G130" s="209">
        <v>40</v>
      </c>
      <c r="H130" s="209">
        <f>E130/G130</f>
        <v>7018.9</v>
      </c>
      <c r="I130" s="373">
        <f>E130/F130</f>
        <v>8.077914604672575</v>
      </c>
      <c r="J130" s="197"/>
      <c r="K130" s="198"/>
      <c r="L130" s="199"/>
      <c r="M130" s="200"/>
    </row>
    <row r="131" spans="1:13" ht="14.25" customHeight="1">
      <c r="A131" s="202">
        <v>9</v>
      </c>
      <c r="B131" s="65"/>
      <c r="C131" s="83" t="s">
        <v>36</v>
      </c>
      <c r="D131" s="84">
        <v>2</v>
      </c>
      <c r="E131" s="85">
        <v>223822.74</v>
      </c>
      <c r="F131" s="86">
        <v>33971</v>
      </c>
      <c r="G131" s="209">
        <v>28</v>
      </c>
      <c r="H131" s="209">
        <f>E131/G131</f>
        <v>7993.669285714285</v>
      </c>
      <c r="I131" s="373">
        <f>E131/F131</f>
        <v>6.58864148832828</v>
      </c>
      <c r="J131" s="197"/>
      <c r="K131" s="198"/>
      <c r="L131" s="199"/>
      <c r="M131" s="200"/>
    </row>
    <row r="132" spans="1:13" ht="14.25" customHeight="1">
      <c r="A132" s="202">
        <v>10</v>
      </c>
      <c r="B132" s="65"/>
      <c r="C132" s="83" t="s">
        <v>188</v>
      </c>
      <c r="D132" s="84">
        <v>2</v>
      </c>
      <c r="E132" s="85">
        <v>126524.4</v>
      </c>
      <c r="F132" s="86">
        <v>9780</v>
      </c>
      <c r="G132" s="209">
        <v>20</v>
      </c>
      <c r="H132" s="209">
        <v>15413</v>
      </c>
      <c r="I132" s="374">
        <f>E132/F132</f>
        <v>12.937055214723927</v>
      </c>
      <c r="J132" s="197"/>
      <c r="K132" s="198"/>
      <c r="L132" s="199"/>
      <c r="M132" s="200"/>
    </row>
    <row r="133" spans="1:13" ht="14.25" customHeight="1">
      <c r="A133" s="202">
        <v>11</v>
      </c>
      <c r="B133" s="65"/>
      <c r="C133" s="83" t="s">
        <v>37</v>
      </c>
      <c r="D133" s="84">
        <v>2</v>
      </c>
      <c r="E133" s="85">
        <v>96869.15</v>
      </c>
      <c r="F133" s="86">
        <v>12797</v>
      </c>
      <c r="G133" s="209">
        <v>9</v>
      </c>
      <c r="H133" s="209">
        <f>E133/G133</f>
        <v>10763.238888888889</v>
      </c>
      <c r="I133" s="373">
        <f>E133/F133</f>
        <v>7.569676486676564</v>
      </c>
      <c r="J133" s="197"/>
      <c r="K133" s="198"/>
      <c r="L133" s="199"/>
      <c r="M133" s="200"/>
    </row>
    <row r="134" spans="1:13" ht="14.25" customHeight="1" thickBot="1">
      <c r="A134" s="202">
        <v>12</v>
      </c>
      <c r="B134" s="65"/>
      <c r="C134" s="88" t="s">
        <v>80</v>
      </c>
      <c r="D134" s="91">
        <v>5</v>
      </c>
      <c r="E134" s="212">
        <v>20195</v>
      </c>
      <c r="F134" s="213">
        <v>2778</v>
      </c>
      <c r="G134" s="214">
        <v>5</v>
      </c>
      <c r="H134" s="214">
        <f>E134/G134</f>
        <v>4039</v>
      </c>
      <c r="I134" s="375">
        <f>E134/F134</f>
        <v>7.269618430525558</v>
      </c>
      <c r="J134" s="197"/>
      <c r="K134" s="198"/>
      <c r="L134" s="199"/>
      <c r="M134" s="200"/>
    </row>
    <row r="135" spans="5:6" ht="14.25" customHeight="1">
      <c r="E135" s="261"/>
      <c r="F135" s="262"/>
    </row>
    <row r="136" ht="14.25" customHeight="1">
      <c r="F136" s="262"/>
    </row>
  </sheetData>
  <mergeCells count="17">
    <mergeCell ref="H114:H115"/>
    <mergeCell ref="I114:J114"/>
    <mergeCell ref="K114:K115"/>
    <mergeCell ref="D121:I121"/>
    <mergeCell ref="C114:C115"/>
    <mergeCell ref="D114:D115"/>
    <mergeCell ref="E114:E115"/>
    <mergeCell ref="G114:G115"/>
    <mergeCell ref="B1:K1"/>
    <mergeCell ref="C2:C3"/>
    <mergeCell ref="D2:D3"/>
    <mergeCell ref="E2:E3"/>
    <mergeCell ref="F2:F3"/>
    <mergeCell ref="G2:G3"/>
    <mergeCell ref="H2:H3"/>
    <mergeCell ref="I2:J2"/>
    <mergeCell ref="K2:K3"/>
  </mergeCells>
  <printOptions/>
  <pageMargins left="0.75" right="0.75" top="0.9" bottom="0.49" header="0.21" footer="0.46"/>
  <pageSetup orientation="portrait" paperSize="9" scale="40" r:id="rId1"/>
  <ignoredErrors>
    <ignoredError sqref="J74:J80 I28:J44 I64 I74:I80 H123 I123 I124:I133 H134:I134 H124:H133" unlockedFormula="1"/>
    <ignoredError sqref="K5 K81:K83 K109" formula="1"/>
    <ignoredError sqref="K74:K80 I6:J25 I26:J27 I53:J54 I65:I73 I61:I63 J61:J73 K61:K62 I84:J97 K87:K95 K97 K63:K73 K84:K86 K96" formula="1" unlockedFormula="1"/>
    <ignoredError sqref="H6:H27 H32:H37 G33 H53:H55 I55:J55 H61:H73 K98:K99 H86:H99 I98:J99 H84:H85 G86:G99" numberStoredAsText="1"/>
    <ignoredError sqref="I6:J25 I26:J27 I53:J54 I65:I73 I61:I63 J61:J73 K61:K62 I84:J97 K87:K95 K97" numberStoredAsText="1" unlockedFormula="1"/>
    <ignoredError sqref="K63:K73 K84:K86 K96" numberStoredAsText="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.</cp:lastModifiedBy>
  <cp:lastPrinted>2006-06-09T16:45:28Z</cp:lastPrinted>
  <dcterms:created xsi:type="dcterms:W3CDTF">2006-03-17T12:24:26Z</dcterms:created>
  <dcterms:modified xsi:type="dcterms:W3CDTF">2006-06-16T16:16:25Z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