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04 - 10 AUG' (WK 32)" sheetId="1" r:id="rId1"/>
    <sheet name="30 Dec' - 10 Aug' (Annual)" sheetId="2" r:id="rId2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'04 - 10 AUG'' (WK 32)'!$A$1:$P$146</definedName>
  </definedNames>
  <calcPr fullCalcOnLoad="1"/>
</workbook>
</file>

<file path=xl/sharedStrings.xml><?xml version="1.0" encoding="utf-8"?>
<sst xmlns="http://schemas.openxmlformats.org/spreadsheetml/2006/main" count="895" uniqueCount="336">
  <si>
    <t>HACIVAT KARAGOZ NEDEN OLDURULDU?</t>
  </si>
  <si>
    <t>This Week's Total</t>
  </si>
  <si>
    <t>Films</t>
  </si>
  <si>
    <t>Admission</t>
  </si>
  <si>
    <t>EXCHANGE RATES</t>
  </si>
  <si>
    <t>Buying</t>
  </si>
  <si>
    <t>Selling</t>
  </si>
  <si>
    <t>Avg. Ticket</t>
  </si>
  <si>
    <t>USD</t>
  </si>
  <si>
    <t>EUR</t>
  </si>
  <si>
    <t>GBP</t>
  </si>
  <si>
    <t>CHF</t>
  </si>
  <si>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</si>
  <si>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</si>
  <si>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</si>
  <si>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</si>
  <si>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</si>
  <si>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</si>
  <si>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</si>
  <si>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</si>
  <si>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</si>
  <si>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HOSTEL</t>
  </si>
  <si>
    <t>FUN WITH DICK &amp; JANE</t>
  </si>
  <si>
    <t>RUMOR HAS IT</t>
  </si>
  <si>
    <t>DABBE</t>
  </si>
  <si>
    <t>WALK THE LINE</t>
  </si>
  <si>
    <t>ZATHURA</t>
  </si>
  <si>
    <t># of
Screen</t>
  </si>
  <si>
    <t>Weeks in      Release</t>
  </si>
  <si>
    <t># of Last Weeks New Releases</t>
  </si>
  <si>
    <t>Total Admission of New Releases</t>
  </si>
  <si>
    <t>WARNER BROS.</t>
  </si>
  <si>
    <t>OZEN FILM</t>
  </si>
  <si>
    <t>U.I.P.</t>
  </si>
  <si>
    <t>KENDA</t>
  </si>
  <si>
    <t>UMUT SANAT</t>
  </si>
  <si>
    <t>CHANTIER FILMS</t>
  </si>
  <si>
    <t>BAMBI 2</t>
  </si>
  <si>
    <t>*Sorted according to Week Total G.B.O. - Haftalık toplam hasılat sütununa göre sıralanmıştır.</t>
  </si>
  <si>
    <t>KORKUYORUM ANNE</t>
  </si>
  <si>
    <t>BEYZA'NIN KADINLARI</t>
  </si>
  <si>
    <t>MEDYAVIZYON</t>
  </si>
  <si>
    <t>LAST WEEK</t>
  </si>
  <si>
    <t>TOTAL</t>
  </si>
  <si>
    <t>DISTRIBUTORS CHART</t>
  </si>
  <si>
    <t>THIS WEEKS</t>
  </si>
  <si>
    <t>BROKEBACK MOUNTAIN</t>
  </si>
  <si>
    <t>CAPOTE</t>
  </si>
  <si>
    <t>HOODWINKED</t>
  </si>
  <si>
    <t>CRY_WOLF</t>
  </si>
  <si>
    <t>16 BLOCKS</t>
  </si>
  <si>
    <t>PINK PANTHER</t>
  </si>
  <si>
    <t>Company</t>
  </si>
  <si>
    <t>Distributor</t>
  </si>
  <si>
    <t>BASIC INSTINCT 2</t>
  </si>
  <si>
    <t>UNP</t>
  </si>
  <si>
    <t>C2 PICTURES</t>
  </si>
  <si>
    <t>V FOR VENDETTA</t>
  </si>
  <si>
    <t>WB</t>
  </si>
  <si>
    <t>UIP</t>
  </si>
  <si>
    <t>ALTIOKLAR</t>
  </si>
  <si>
    <t>OZEN</t>
  </si>
  <si>
    <t>FOX</t>
  </si>
  <si>
    <t>CASANOVA</t>
  </si>
  <si>
    <t>BUENA VISTA</t>
  </si>
  <si>
    <t>COLUMBIA</t>
  </si>
  <si>
    <t>PANA</t>
  </si>
  <si>
    <t>FOCUS</t>
  </si>
  <si>
    <t>ATLANTIK</t>
  </si>
  <si>
    <t>UNIVERSAL</t>
  </si>
  <si>
    <t>CHANTIER</t>
  </si>
  <si>
    <t>PRA</t>
  </si>
  <si>
    <t>PARAMOUNT</t>
  </si>
  <si>
    <t>OZEN - UMUT</t>
  </si>
  <si>
    <t>DREAMWORKS</t>
  </si>
  <si>
    <t>SAME PERIOD LAST YEAR</t>
  </si>
  <si>
    <t>U.N.P.</t>
  </si>
  <si>
    <t>R FILM</t>
  </si>
  <si>
    <t>GEN</t>
  </si>
  <si>
    <t>TIGLON</t>
  </si>
  <si>
    <t>WOLF CREEK</t>
  </si>
  <si>
    <t>WEINSTEIN CO.</t>
  </si>
  <si>
    <t>IFR</t>
  </si>
  <si>
    <t>FIDA</t>
  </si>
  <si>
    <t>ASK THE DUST</t>
  </si>
  <si>
    <t>PHANTOM OF THE OPERA, THE</t>
  </si>
  <si>
    <t>BABAM VE OGLUM</t>
  </si>
  <si>
    <t>Weekly Movie Magazine Antrakt Presents - Haftalık Antrakt Sinema Gazetesi Sunar</t>
  </si>
  <si>
    <t>LUCKY NUMBER SLEVIN</t>
  </si>
  <si>
    <t>DESCENT, THE</t>
  </si>
  <si>
    <t>EIGHT BELOW</t>
  </si>
  <si>
    <t>WHEN A STRANGER CALLS</t>
  </si>
  <si>
    <t>SLITHER</t>
  </si>
  <si>
    <t>35 MILIM</t>
  </si>
  <si>
    <t>INSIDE MAN</t>
  </si>
  <si>
    <t>FINAL DESTINATION 3</t>
  </si>
  <si>
    <t>TWO FOR THE MONEY</t>
  </si>
  <si>
    <t>DATE MOVIE</t>
  </si>
  <si>
    <t>PI FILM</t>
  </si>
  <si>
    <t>MATADOR</t>
  </si>
  <si>
    <t>ANNE YA DA LEYLA</t>
  </si>
  <si>
    <t>SINEMA AJANS</t>
  </si>
  <si>
    <t>AVSAR FILM</t>
  </si>
  <si>
    <t>HILL HAVE EYES, THE</t>
  </si>
  <si>
    <t>MERCHANT OF VENICE</t>
  </si>
  <si>
    <t>NEW FILMS</t>
  </si>
  <si>
    <t>WORLD'S FASTEST INDIAN</t>
  </si>
  <si>
    <t>FILMPOP</t>
  </si>
  <si>
    <t>ROAD TO GUANTANAMO, THE</t>
  </si>
  <si>
    <t>ODYSSEY</t>
  </si>
  <si>
    <t>PRIDE&amp;PREJUDICE</t>
  </si>
  <si>
    <t>NANNY  MCHPEE</t>
  </si>
  <si>
    <t>DA VINCI CODE</t>
  </si>
  <si>
    <t>KISIK ATESTE 15 DAKIKA</t>
  </si>
  <si>
    <t>ICE AGE 2: THE MELTDOWN</t>
  </si>
  <si>
    <t>VIZYON</t>
  </si>
  <si>
    <t>WEATHER MAN</t>
  </si>
  <si>
    <t>WHAT THE BLEEP DO WE KNOW?</t>
  </si>
  <si>
    <t>BIR FILM</t>
  </si>
  <si>
    <t>LE TEMPS QUI RESTE</t>
  </si>
  <si>
    <t>ALLEGRO</t>
  </si>
  <si>
    <t>CELLULOID</t>
  </si>
  <si>
    <t>DANDELION</t>
  </si>
  <si>
    <t>LE GRAND VOYAGE</t>
  </si>
  <si>
    <t>DARK HORSE</t>
  </si>
  <si>
    <t>TRUST</t>
  </si>
  <si>
    <t>FALSCHER BEKENNER</t>
  </si>
  <si>
    <t>TRUST FILMS</t>
  </si>
  <si>
    <t>STOLEN EYES</t>
  </si>
  <si>
    <t>YAKA FILM</t>
  </si>
  <si>
    <t>MON ANGE</t>
  </si>
  <si>
    <t>MK2</t>
  </si>
  <si>
    <t>JOYEUX NOEL</t>
  </si>
  <si>
    <t>FILMS DIST.</t>
  </si>
  <si>
    <t>ENTRE SES MAINS</t>
  </si>
  <si>
    <t>Screen Avg. (Adm.)</t>
  </si>
  <si>
    <t>Release Date</t>
  </si>
  <si>
    <t>Week in Release</t>
  </si>
  <si>
    <t>Avg. Ticket Price</t>
  </si>
  <si>
    <t>G.B.O. YTL</t>
  </si>
  <si>
    <t>ARZU - FIDA</t>
  </si>
  <si>
    <t>ENERGY</t>
  </si>
  <si>
    <t>NARNIA</t>
  </si>
  <si>
    <t>MUNICH</t>
  </si>
  <si>
    <t>MEMOIRS OF A GEISHA</t>
  </si>
  <si>
    <t>FOG, THE</t>
  </si>
  <si>
    <t>NEW WORLD, THE</t>
  </si>
  <si>
    <t>TIGER AND THE SNOW, THE</t>
  </si>
  <si>
    <t>SYRIANA</t>
  </si>
  <si>
    <t>PROOF</t>
  </si>
  <si>
    <t>METRO</t>
  </si>
  <si>
    <t>AEON FLUX</t>
  </si>
  <si>
    <t>BIG MOMMA'S HOUSE 2</t>
  </si>
  <si>
    <t>DREAMER</t>
  </si>
  <si>
    <t>PINEMA</t>
  </si>
  <si>
    <t>SAINT ANGE</t>
  </si>
  <si>
    <t>JARHEAD</t>
  </si>
  <si>
    <t>DUN GECE BIR RUYA GORDUM</t>
  </si>
  <si>
    <t>TRAVMA</t>
  </si>
  <si>
    <t>GOOD NIGHT &amp; GOOD LUCK</t>
  </si>
  <si>
    <t>RED SHOES</t>
  </si>
  <si>
    <t>CINECLICK ASIA</t>
  </si>
  <si>
    <t>CACHE</t>
  </si>
  <si>
    <t>BELGE FILM</t>
  </si>
  <si>
    <t>SQUID AND THE WHALE, THE</t>
  </si>
  <si>
    <t>BARBAR FILM</t>
  </si>
  <si>
    <t>SONY PICTURES</t>
  </si>
  <si>
    <t>LADIES IN LAVENDER</t>
  </si>
  <si>
    <t>LAKESHORE</t>
  </si>
  <si>
    <t>OYUN</t>
  </si>
  <si>
    <t>SINE FILM</t>
  </si>
  <si>
    <t>SEX &amp; PHILOSOPHY</t>
  </si>
  <si>
    <t>WILD BUNCH</t>
  </si>
  <si>
    <t>LES TEMPS QUI CHANGENT</t>
  </si>
  <si>
    <t>FRANCE</t>
  </si>
  <si>
    <t>FATELESS</t>
  </si>
  <si>
    <t>H20</t>
  </si>
  <si>
    <t>RABBIT ON THE MOON</t>
  </si>
  <si>
    <t>LIMON - CAPITOL</t>
  </si>
  <si>
    <t>ZOZO</t>
  </si>
  <si>
    <t>HAYALEVI</t>
  </si>
  <si>
    <t>ENEL MUNDO E CADA RATO</t>
  </si>
  <si>
    <t>UNICEF</t>
  </si>
  <si>
    <t>CERTI BAMBINI</t>
  </si>
  <si>
    <t># of Films</t>
  </si>
  <si>
    <t># of Total
Prints</t>
  </si>
  <si>
    <t>LOCAL FILMS</t>
  </si>
  <si>
    <t>FOREIGN FILMS</t>
  </si>
  <si>
    <t>All Week's Total in 2006</t>
  </si>
  <si>
    <t>SHE'S THE MAN</t>
  </si>
  <si>
    <t>DERAILED</t>
  </si>
  <si>
    <t>ETERNAL SUNSHINE OF THE SPOTLESS MIND</t>
  </si>
  <si>
    <t>X MEN: THE LAST STAND</t>
  </si>
  <si>
    <t>OMEN 666</t>
  </si>
  <si>
    <t>SHAGGY DOG</t>
  </si>
  <si>
    <t>CONSTANT GARDENER</t>
  </si>
  <si>
    <t>PEINDRE OU FAIRE L'AMOUR</t>
  </si>
  <si>
    <t>SUGAR WORKZ</t>
  </si>
  <si>
    <t>C.R.A.Z.Y.</t>
  </si>
  <si>
    <t>10</t>
  </si>
  <si>
    <t>8</t>
  </si>
  <si>
    <t>FAILURE TO LAUNCH</t>
  </si>
  <si>
    <t>FIREWALL</t>
  </si>
  <si>
    <t>BANDIDAS</t>
  </si>
  <si>
    <t>HOWL'S MOVING CASTLE</t>
  </si>
  <si>
    <t>TRANSAMERICA</t>
  </si>
  <si>
    <t>REZO</t>
  </si>
  <si>
    <t>TF1</t>
  </si>
  <si>
    <t>11</t>
  </si>
  <si>
    <t>MAN ABOUT TOWN</t>
  </si>
  <si>
    <t>MEDYAPIM</t>
  </si>
  <si>
    <t>CONTENT</t>
  </si>
  <si>
    <t>SKY FIGHTERS</t>
  </si>
  <si>
    <t>COMBIEN TU M'AIMES</t>
  </si>
  <si>
    <t>ONE AND ONLY, THE</t>
  </si>
  <si>
    <t>MATCHPOINT</t>
  </si>
  <si>
    <t>POSEIDON</t>
  </si>
  <si>
    <t>TEXAS CHAINSAW MASSACRE, THE</t>
  </si>
  <si>
    <t>DOMINO</t>
  </si>
  <si>
    <t>SUMMIT</t>
  </si>
  <si>
    <t>PATHE</t>
  </si>
  <si>
    <t>1</t>
  </si>
  <si>
    <t>TAKESHIS</t>
  </si>
  <si>
    <t>PYRAMIDE</t>
  </si>
  <si>
    <t>-</t>
  </si>
  <si>
    <t>CHARLIE &amp; THE CHOCOLATE FACTORY</t>
  </si>
  <si>
    <t>MELISSA P.</t>
  </si>
  <si>
    <t>FROSTBITE</t>
  </si>
  <si>
    <t>SHEITAN</t>
  </si>
  <si>
    <t>31</t>
  </si>
  <si>
    <t>ROMANCE&amp;CIGARETTES</t>
  </si>
  <si>
    <t>D PRODUCTIONS</t>
  </si>
  <si>
    <t>THUMBSUCKER</t>
  </si>
  <si>
    <t>JE NE SUIS PAS LA POUR ETRE AIME</t>
  </si>
  <si>
    <t>WALLACE&amp;GROMIT</t>
  </si>
  <si>
    <t>LOST CITY</t>
  </si>
  <si>
    <t>ORGANIZE ISLER</t>
  </si>
  <si>
    <t>BKM</t>
  </si>
  <si>
    <t>KELOGLAN KARA PRENSE KARSI</t>
  </si>
  <si>
    <t>BEE SEASON</t>
  </si>
  <si>
    <t>BUBBA HO-TEP</t>
  </si>
  <si>
    <t>PIRATES OF THE CARIBBEN 2</t>
  </si>
  <si>
    <t>STAY</t>
  </si>
  <si>
    <t>LOVE IS IN THE AIR</t>
  </si>
  <si>
    <t>BIR F. - CINEMEDYA</t>
  </si>
  <si>
    <t>A BITTERSWEET LIFE</t>
  </si>
  <si>
    <t>EFLATUN</t>
  </si>
  <si>
    <t>20 NIGHTS &amp; A RAINY DAY</t>
  </si>
  <si>
    <t>BIR F. - ERMAN F.</t>
  </si>
  <si>
    <t>MISSION IMPOSSIBLE 3</t>
  </si>
  <si>
    <t>FAMILY STONE, THE</t>
  </si>
  <si>
    <t>COMPANY, THE</t>
  </si>
  <si>
    <t>AVSAR FILM - TMC</t>
  </si>
  <si>
    <t>HABABAM SINIFI UC BUCUK</t>
  </si>
  <si>
    <t>SUPERMAN RETURNS</t>
  </si>
  <si>
    <t>BOY EATS GIRL</t>
  </si>
  <si>
    <t>KURTLAR VADISI IRAK</t>
  </si>
  <si>
    <t>ME YOU AND EVERYONE WE KNOW</t>
  </si>
  <si>
    <t>23</t>
  </si>
  <si>
    <t>FAST &amp; FURIOUS 3</t>
  </si>
  <si>
    <t>ANGEL-A</t>
  </si>
  <si>
    <t>GWAI WINK</t>
  </si>
  <si>
    <t>21</t>
  </si>
  <si>
    <t>UNDISCOVERED</t>
  </si>
  <si>
    <t>20</t>
  </si>
  <si>
    <t>ODYSSEI</t>
  </si>
  <si>
    <t>TRAMVAY</t>
  </si>
  <si>
    <t>OLGUN ARUN</t>
  </si>
  <si>
    <t>BACKSTAGE</t>
  </si>
  <si>
    <t>IMMORTAL, THE</t>
  </si>
  <si>
    <t>IM JULI</t>
  </si>
  <si>
    <t>BAVARIA</t>
  </si>
  <si>
    <t>HEFFALUMP MOVIE</t>
  </si>
  <si>
    <t>J PLAN</t>
  </si>
  <si>
    <t>MINDHUNTERS</t>
  </si>
  <si>
    <t>INTERMEDIA</t>
  </si>
  <si>
    <t>MADAGASCAR</t>
  </si>
  <si>
    <t>2006 Türkiye Annual Box Office Report / 30 Dec' - 10 Aug' '06</t>
  </si>
  <si>
    <t>LAKE HOUSE</t>
  </si>
  <si>
    <t>SCARY MOVIE  4</t>
  </si>
  <si>
    <t>MONSTER HOUSE</t>
  </si>
  <si>
    <t>FEARLESS</t>
  </si>
  <si>
    <t>2</t>
  </si>
  <si>
    <t>6</t>
  </si>
  <si>
    <t>MASKELI BESLER INTIKAM PESINDE</t>
  </si>
  <si>
    <t>KURTLAR VADISI</t>
  </si>
  <si>
    <t>HABABAM SINIFI MERHABA</t>
  </si>
  <si>
    <t>KINGDOM OF HEAVEN</t>
  </si>
  <si>
    <t>GONDERILMEMIS MEKTUPLAR</t>
  </si>
  <si>
    <t>FILM F</t>
  </si>
  <si>
    <t>AMELIE</t>
  </si>
  <si>
    <t>UGC</t>
  </si>
  <si>
    <t>IN HER SHOES</t>
  </si>
  <si>
    <t>JOHN Q</t>
  </si>
  <si>
    <t>NEW LINE</t>
  </si>
  <si>
    <t>VA, VIE &amp; DEVIENS (LIVE &amp; BECOME)</t>
  </si>
  <si>
    <t>MOTORCYCLE DIARIES, THE</t>
  </si>
  <si>
    <t>CHICKEN LITTLE</t>
  </si>
  <si>
    <t>18</t>
  </si>
  <si>
    <t>BIN JIP (3 Iron)</t>
  </si>
  <si>
    <t>WILD, THE</t>
  </si>
  <si>
    <t>SECRET THINGS</t>
  </si>
  <si>
    <t>JEUX D'ENFANTS</t>
  </si>
  <si>
    <t>WHALE AND THE SQUID, THE</t>
  </si>
  <si>
    <t>SONY</t>
  </si>
  <si>
    <t>DONNIE DARKO</t>
  </si>
  <si>
    <t>PANDORA</t>
  </si>
  <si>
    <t>RECONSTRUCTION</t>
  </si>
  <si>
    <t>NORDISK</t>
  </si>
  <si>
    <t>NOI ALBINOI</t>
  </si>
  <si>
    <t>CO PRODUC.</t>
  </si>
  <si>
    <t>MANDERLAY</t>
  </si>
  <si>
    <t>DOLLS</t>
  </si>
  <si>
    <t>OLDBOY</t>
  </si>
  <si>
    <t>BRIDES</t>
  </si>
  <si>
    <t>19</t>
  </si>
  <si>
    <t>SWEET SIXTEEN</t>
  </si>
  <si>
    <t>THE WORKS</t>
  </si>
  <si>
    <t>GILLES WIFE</t>
  </si>
  <si>
    <t>GODSEND</t>
  </si>
  <si>
    <t>LIONS GATE</t>
  </si>
  <si>
    <t>NIGHTWATCH</t>
  </si>
  <si>
    <t>114 FILMS SHOWN</t>
  </si>
  <si>
    <t>104 FILMS SHOWN</t>
  </si>
  <si>
    <t>095 FILMS SHOWN</t>
  </si>
  <si>
    <t>*Dağıtımcı firmalardan R Film ve UNP'nin bu hafta filmi dağıtılmamıştır.</t>
  </si>
  <si>
    <t>10.08.2006 - 15.30</t>
  </si>
  <si>
    <t>1,4446</t>
  </si>
  <si>
    <t>1,4516</t>
  </si>
  <si>
    <t>1,8579</t>
  </si>
  <si>
    <t>1,8669</t>
  </si>
  <si>
    <t>2,7481</t>
  </si>
  <si>
    <t>2,7625</t>
  </si>
  <si>
    <t>1,1773</t>
  </si>
  <si>
    <t>1,1849</t>
  </si>
  <si>
    <t>4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</si>
</sst>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8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b/>
      <sz val="8"/>
      <name val="Trebuchet MS"/>
      <family val="0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sz val="20"/>
      <color indexed="44"/>
      <name val="GoudyLight"/>
      <family val="0"/>
    </font>
    <font>
      <i/>
      <sz val="9"/>
      <name val="Arial"/>
      <family val="2"/>
    </font>
    <font>
      <b/>
      <sz val="10"/>
      <color indexed="9"/>
      <name val="Trebuchet MS"/>
      <family val="2"/>
    </font>
    <font>
      <b/>
      <sz val="10"/>
      <color indexed="10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Verdana"/>
      <family val="0"/>
    </font>
    <font>
      <b/>
      <sz val="10"/>
      <color indexed="18"/>
      <name val="Trebuchet MS"/>
      <family val="0"/>
    </font>
    <font>
      <sz val="8"/>
      <color indexed="10"/>
      <name val="Trebuchet MS"/>
      <family val="0"/>
    </font>
    <font>
      <sz val="10"/>
      <name val="Century Gothic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b/>
      <sz val="8"/>
      <name val="Albertus Extra Bold"/>
      <family val="0"/>
    </font>
    <font>
      <sz val="25"/>
      <color indexed="9"/>
      <name val="Impact"/>
      <family val="0"/>
    </font>
    <font>
      <sz val="8"/>
      <name val="Arial"/>
      <family val="2"/>
    </font>
    <font>
      <b/>
      <sz val="10"/>
      <color indexed="9"/>
      <name val="Century Gothic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52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43" fontId="3" fillId="0" borderId="0" xfId="15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92" fontId="13" fillId="0" borderId="0" xfId="15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13" fillId="0" borderId="3" xfId="0" applyFont="1" applyFill="1" applyBorder="1" applyAlignment="1" applyProtection="1">
      <alignment horizontal="right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Fill="1" applyBorder="1" applyAlignment="1" applyProtection="1">
      <alignment horizontal="left" vertical="center" indent="1"/>
      <protection locked="0"/>
    </xf>
    <xf numFmtId="0" fontId="13" fillId="0" borderId="4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13" fillId="0" borderId="0" xfId="0" applyNumberFormat="1" applyFont="1" applyFill="1" applyBorder="1" applyAlignment="1" applyProtection="1">
      <alignment horizontal="center" vertical="center"/>
      <protection locked="0"/>
    </xf>
    <xf numFmtId="18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2" fillId="2" borderId="9" xfId="0" applyFont="1" applyFill="1" applyBorder="1" applyAlignment="1">
      <alignment horizontal="center" vertical="center"/>
    </xf>
    <xf numFmtId="3" fontId="22" fillId="2" borderId="9" xfId="0" applyNumberFormat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vertical="center"/>
    </xf>
    <xf numFmtId="184" fontId="13" fillId="0" borderId="7" xfId="0" applyNumberFormat="1" applyFont="1" applyFill="1" applyBorder="1" applyAlignment="1" applyProtection="1">
      <alignment horizontal="center" vertical="center"/>
      <protection locked="0"/>
    </xf>
    <xf numFmtId="184" fontId="13" fillId="0" borderId="4" xfId="0" applyNumberFormat="1" applyFont="1" applyFill="1" applyBorder="1" applyAlignment="1" applyProtection="1">
      <alignment horizontal="center" vertical="center"/>
      <protection locked="0"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horizontal="right" vertical="center"/>
      <protection locked="0"/>
    </xf>
    <xf numFmtId="187" fontId="7" fillId="0" borderId="0" xfId="0" applyNumberFormat="1" applyFont="1" applyFill="1" applyBorder="1" applyAlignment="1" applyProtection="1">
      <alignment horizontal="right" vertical="center"/>
      <protection locked="0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192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Fill="1" applyBorder="1" applyAlignment="1" applyProtection="1">
      <alignment horizontal="right" vertical="center"/>
      <protection/>
    </xf>
    <xf numFmtId="187" fontId="25" fillId="0" borderId="0" xfId="0" applyNumberFormat="1" applyFont="1" applyFill="1" applyBorder="1" applyAlignment="1" applyProtection="1">
      <alignment horizontal="right" vertical="center"/>
      <protection locked="0"/>
    </xf>
    <xf numFmtId="187" fontId="26" fillId="0" borderId="0" xfId="0" applyNumberFormat="1" applyFont="1" applyFill="1" applyBorder="1" applyAlignment="1" applyProtection="1">
      <alignment horizontal="right" vertical="center"/>
      <protection locked="0"/>
    </xf>
    <xf numFmtId="187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187" fontId="28" fillId="0" borderId="0" xfId="0" applyNumberFormat="1" applyFont="1" applyFill="1" applyBorder="1" applyAlignment="1" applyProtection="1">
      <alignment horizontal="right" vertical="center"/>
      <protection locked="0"/>
    </xf>
    <xf numFmtId="192" fontId="19" fillId="0" borderId="0" xfId="0" applyNumberFormat="1" applyFont="1" applyFill="1" applyBorder="1" applyAlignment="1" applyProtection="1">
      <alignment vertical="center"/>
      <protection locked="0"/>
    </xf>
    <xf numFmtId="187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84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right" vertical="center"/>
      <protection locked="0"/>
    </xf>
    <xf numFmtId="0" fontId="19" fillId="0" borderId="6" xfId="0" applyNumberFormat="1" applyFont="1" applyFill="1" applyBorder="1" applyAlignment="1" applyProtection="1">
      <alignment horizontal="center" vertical="center"/>
      <protection locked="0"/>
    </xf>
    <xf numFmtId="4" fontId="18" fillId="0" borderId="6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6" xfId="0" applyNumberFormat="1" applyFont="1" applyFill="1" applyBorder="1" applyAlignment="1" applyProtection="1">
      <alignment horizontal="right" vertical="center" indent="1"/>
      <protection locked="0"/>
    </xf>
    <xf numFmtId="192" fontId="19" fillId="0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right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4" fontId="18" fillId="0" borderId="7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7" xfId="0" applyNumberFormat="1" applyFont="1" applyFill="1" applyBorder="1" applyAlignment="1" applyProtection="1">
      <alignment horizontal="right" vertical="center" indent="1"/>
      <protection locked="0"/>
    </xf>
    <xf numFmtId="192" fontId="19" fillId="0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 locked="0"/>
    </xf>
    <xf numFmtId="49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left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93" fontId="5" fillId="0" borderId="19" xfId="0" applyNumberFormat="1" applyFont="1" applyFill="1" applyBorder="1" applyAlignment="1" applyProtection="1">
      <alignment horizontal="center" vertical="center" wrapText="1"/>
      <protection/>
    </xf>
    <xf numFmtId="192" fontId="5" fillId="0" borderId="19" xfId="0" applyNumberFormat="1" applyFont="1" applyFill="1" applyBorder="1" applyAlignment="1" applyProtection="1">
      <alignment horizontal="center" vertical="center" wrapText="1"/>
      <protection/>
    </xf>
    <xf numFmtId="192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vertical="center"/>
    </xf>
    <xf numFmtId="184" fontId="32" fillId="2" borderId="11" xfId="0" applyNumberFormat="1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192" fontId="32" fillId="2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 applyProtection="1">
      <alignment horizontal="left" vertical="center"/>
      <protection locked="0"/>
    </xf>
    <xf numFmtId="49" fontId="19" fillId="0" borderId="11" xfId="0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193" fontId="12" fillId="0" borderId="0" xfId="0" applyNumberFormat="1" applyFont="1" applyFill="1" applyBorder="1" applyAlignment="1" applyProtection="1">
      <alignment horizontal="right" vertical="center"/>
      <protection locked="0"/>
    </xf>
    <xf numFmtId="193" fontId="13" fillId="0" borderId="0" xfId="0" applyNumberFormat="1" applyFont="1" applyFill="1" applyBorder="1" applyAlignment="1" applyProtection="1">
      <alignment horizontal="right" vertical="center"/>
      <protection locked="0"/>
    </xf>
    <xf numFmtId="193" fontId="3" fillId="0" borderId="0" xfId="0" applyNumberFormat="1" applyFont="1" applyFill="1" applyBorder="1" applyAlignment="1" applyProtection="1">
      <alignment horizontal="right" vertical="center"/>
      <protection/>
    </xf>
    <xf numFmtId="193" fontId="32" fillId="2" borderId="11" xfId="0" applyNumberFormat="1" applyFont="1" applyFill="1" applyBorder="1" applyAlignment="1">
      <alignment horizontal="right" vertical="center"/>
    </xf>
    <xf numFmtId="193" fontId="19" fillId="0" borderId="0" xfId="0" applyNumberFormat="1" applyFont="1" applyFill="1" applyBorder="1" applyAlignment="1" applyProtection="1">
      <alignment horizontal="right" vertical="center"/>
      <protection locked="0"/>
    </xf>
    <xf numFmtId="193" fontId="7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187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Font="1" applyFill="1" applyBorder="1" applyAlignment="1" applyProtection="1">
      <alignment horizontal="center" vertical="center"/>
      <protection/>
    </xf>
    <xf numFmtId="0" fontId="30" fillId="0" borderId="8" xfId="0" applyFont="1" applyFill="1" applyBorder="1" applyAlignment="1" applyProtection="1">
      <alignment vertical="center"/>
      <protection/>
    </xf>
    <xf numFmtId="0" fontId="19" fillId="2" borderId="8" xfId="0" applyFont="1" applyFill="1" applyBorder="1" applyAlignment="1" applyProtection="1">
      <alignment vertical="center"/>
      <protection locked="0"/>
    </xf>
    <xf numFmtId="0" fontId="19" fillId="2" borderId="10" xfId="0" applyFont="1" applyFill="1" applyBorder="1" applyAlignment="1" applyProtection="1">
      <alignment vertical="center"/>
      <protection locked="0"/>
    </xf>
    <xf numFmtId="0" fontId="32" fillId="2" borderId="9" xfId="0" applyFont="1" applyFill="1" applyBorder="1" applyAlignment="1">
      <alignment vertical="center"/>
    </xf>
    <xf numFmtId="184" fontId="32" fillId="2" borderId="9" xfId="0" applyNumberFormat="1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3" fontId="32" fillId="2" borderId="9" xfId="0" applyNumberFormat="1" applyFont="1" applyFill="1" applyBorder="1" applyAlignment="1">
      <alignment horizontal="center" vertical="center"/>
    </xf>
    <xf numFmtId="193" fontId="32" fillId="2" borderId="9" xfId="0" applyNumberFormat="1" applyFont="1" applyFill="1" applyBorder="1" applyAlignment="1">
      <alignment horizontal="right" vertical="center"/>
    </xf>
    <xf numFmtId="192" fontId="32" fillId="2" borderId="9" xfId="0" applyNumberFormat="1" applyFont="1" applyFill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4" fontId="19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right" vertical="center"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3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right" vertical="center"/>
    </xf>
    <xf numFmtId="0" fontId="23" fillId="2" borderId="10" xfId="0" applyFont="1" applyFill="1" applyBorder="1" applyAlignment="1">
      <alignment vertical="center"/>
    </xf>
    <xf numFmtId="2" fontId="22" fillId="2" borderId="24" xfId="0" applyNumberFormat="1" applyFont="1" applyFill="1" applyBorder="1" applyAlignment="1">
      <alignment horizontal="right" vertical="center" indent="1"/>
    </xf>
    <xf numFmtId="0" fontId="3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0" fontId="5" fillId="0" borderId="2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5" fillId="0" borderId="22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19" fillId="0" borderId="23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3" fontId="19" fillId="0" borderId="25" xfId="0" applyNumberFormat="1" applyFont="1" applyBorder="1" applyAlignment="1">
      <alignment horizontal="center" vertical="center"/>
    </xf>
    <xf numFmtId="2" fontId="19" fillId="0" borderId="26" xfId="0" applyNumberFormat="1" applyFon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3" fontId="19" fillId="0" borderId="28" xfId="0" applyNumberFormat="1" applyFont="1" applyBorder="1" applyAlignment="1">
      <alignment horizontal="center" vertical="center"/>
    </xf>
    <xf numFmtId="2" fontId="19" fillId="0" borderId="29" xfId="0" applyNumberFormat="1" applyFont="1" applyBorder="1" applyAlignment="1">
      <alignment horizontal="right" vertical="center" indent="1"/>
    </xf>
    <xf numFmtId="0" fontId="22" fillId="2" borderId="30" xfId="0" applyFont="1" applyFill="1" applyBorder="1" applyAlignment="1">
      <alignment vertical="center"/>
    </xf>
    <xf numFmtId="0" fontId="22" fillId="2" borderId="31" xfId="0" applyFont="1" applyFill="1" applyBorder="1" applyAlignment="1">
      <alignment vertical="center"/>
    </xf>
    <xf numFmtId="0" fontId="22" fillId="2" borderId="31" xfId="0" applyFont="1" applyFill="1" applyBorder="1" applyAlignment="1">
      <alignment horizontal="center" vertical="center"/>
    </xf>
    <xf numFmtId="3" fontId="22" fillId="2" borderId="31" xfId="0" applyNumberFormat="1" applyFont="1" applyFill="1" applyBorder="1" applyAlignment="1">
      <alignment horizontal="center" vertical="center"/>
    </xf>
    <xf numFmtId="2" fontId="22" fillId="2" borderId="32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 inden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/>
    </xf>
    <xf numFmtId="187" fontId="22" fillId="2" borderId="11" xfId="0" applyNumberFormat="1" applyFont="1" applyFill="1" applyBorder="1" applyAlignment="1">
      <alignment horizontal="right" vertical="center"/>
    </xf>
    <xf numFmtId="187" fontId="22" fillId="2" borderId="9" xfId="0" applyNumberFormat="1" applyFont="1" applyFill="1" applyBorder="1" applyAlignment="1">
      <alignment horizontal="right" vertical="center"/>
    </xf>
    <xf numFmtId="187" fontId="32" fillId="2" borderId="11" xfId="0" applyNumberFormat="1" applyFont="1" applyFill="1" applyBorder="1" applyAlignment="1">
      <alignment horizontal="right" vertical="center"/>
    </xf>
    <xf numFmtId="187" fontId="32" fillId="2" borderId="9" xfId="0" applyNumberFormat="1" applyFont="1" applyFill="1" applyBorder="1" applyAlignment="1">
      <alignment horizontal="right" vertical="center"/>
    </xf>
    <xf numFmtId="187" fontId="13" fillId="0" borderId="0" xfId="15" applyNumberFormat="1" applyFont="1" applyFill="1" applyBorder="1" applyAlignment="1" applyProtection="1">
      <alignment horizontal="right" vertical="center"/>
      <protection/>
    </xf>
    <xf numFmtId="192" fontId="3" fillId="0" borderId="0" xfId="0" applyNumberFormat="1" applyFont="1" applyFill="1" applyBorder="1" applyAlignment="1" applyProtection="1">
      <alignment horizontal="right" vertical="center"/>
      <protection/>
    </xf>
    <xf numFmtId="192" fontId="32" fillId="2" borderId="33" xfId="0" applyNumberFormat="1" applyFont="1" applyFill="1" applyBorder="1" applyAlignment="1">
      <alignment horizontal="right" vertical="center"/>
    </xf>
    <xf numFmtId="192" fontId="32" fillId="2" borderId="24" xfId="0" applyNumberFormat="1" applyFont="1" applyFill="1" applyBorder="1" applyAlignment="1">
      <alignment horizontal="right" vertical="center"/>
    </xf>
    <xf numFmtId="192" fontId="13" fillId="0" borderId="0" xfId="0" applyNumberFormat="1" applyFont="1" applyFill="1" applyBorder="1" applyAlignment="1" applyProtection="1">
      <alignment horizontal="right" vertical="center"/>
      <protection locked="0"/>
    </xf>
    <xf numFmtId="192" fontId="19" fillId="0" borderId="0" xfId="0" applyNumberFormat="1" applyFont="1" applyFill="1" applyBorder="1" applyAlignment="1" applyProtection="1">
      <alignment horizontal="right" vertical="center"/>
      <protection locked="0"/>
    </xf>
    <xf numFmtId="192" fontId="7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2" xfId="0" applyNumberFormat="1" applyFont="1" applyFill="1" applyBorder="1" applyAlignment="1">
      <alignment horizontal="center" vertical="center" wrapText="1"/>
    </xf>
    <xf numFmtId="49" fontId="19" fillId="0" borderId="11" xfId="15" applyNumberFormat="1" applyFont="1" applyFill="1" applyBorder="1" applyAlignment="1">
      <alignment horizontal="center" vertical="center"/>
    </xf>
    <xf numFmtId="0" fontId="31" fillId="2" borderId="23" xfId="0" applyFont="1" applyFill="1" applyBorder="1" applyAlignment="1" applyProtection="1">
      <alignment vertical="center"/>
      <protection locked="0"/>
    </xf>
    <xf numFmtId="0" fontId="31" fillId="2" borderId="25" xfId="0" applyFont="1" applyFill="1" applyBorder="1" applyAlignment="1">
      <alignment vertical="center"/>
    </xf>
    <xf numFmtId="184" fontId="31" fillId="2" borderId="25" xfId="0" applyNumberFormat="1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/>
    </xf>
    <xf numFmtId="3" fontId="31" fillId="2" borderId="25" xfId="0" applyNumberFormat="1" applyFont="1" applyFill="1" applyBorder="1" applyAlignment="1">
      <alignment horizontal="center" vertical="center"/>
    </xf>
    <xf numFmtId="187" fontId="23" fillId="2" borderId="25" xfId="0" applyNumberFormat="1" applyFont="1" applyFill="1" applyBorder="1" applyAlignment="1">
      <alignment horizontal="right" vertical="center"/>
    </xf>
    <xf numFmtId="193" fontId="31" fillId="2" borderId="25" xfId="0" applyNumberFormat="1" applyFont="1" applyFill="1" applyBorder="1" applyAlignment="1">
      <alignment horizontal="right" vertical="center"/>
    </xf>
    <xf numFmtId="192" fontId="31" fillId="2" borderId="25" xfId="0" applyNumberFormat="1" applyFont="1" applyFill="1" applyBorder="1" applyAlignment="1">
      <alignment vertical="center"/>
    </xf>
    <xf numFmtId="187" fontId="31" fillId="2" borderId="25" xfId="0" applyNumberFormat="1" applyFont="1" applyFill="1" applyBorder="1" applyAlignment="1">
      <alignment horizontal="right" vertical="center"/>
    </xf>
    <xf numFmtId="192" fontId="31" fillId="2" borderId="26" xfId="0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vertical="center"/>
    </xf>
    <xf numFmtId="0" fontId="13" fillId="0" borderId="35" xfId="0" applyFont="1" applyFill="1" applyBorder="1" applyAlignment="1" applyProtection="1">
      <alignment vertical="center"/>
      <protection/>
    </xf>
    <xf numFmtId="0" fontId="13" fillId="0" borderId="36" xfId="0" applyFont="1" applyFill="1" applyBorder="1" applyAlignment="1">
      <alignment vertical="center"/>
    </xf>
    <xf numFmtId="0" fontId="23" fillId="2" borderId="23" xfId="0" applyFont="1" applyFill="1" applyBorder="1" applyAlignment="1">
      <alignment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vertical="center"/>
    </xf>
    <xf numFmtId="3" fontId="23" fillId="2" borderId="25" xfId="0" applyNumberFormat="1" applyFont="1" applyFill="1" applyBorder="1" applyAlignment="1">
      <alignment horizontal="center" vertical="center"/>
    </xf>
    <xf numFmtId="2" fontId="23" fillId="2" borderId="26" xfId="0" applyNumberFormat="1" applyFont="1" applyFill="1" applyBorder="1" applyAlignment="1">
      <alignment horizontal="right" vertical="center" indent="1"/>
    </xf>
    <xf numFmtId="4" fontId="0" fillId="0" borderId="0" xfId="0" applyNumberFormat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49" fontId="29" fillId="0" borderId="6" xfId="0" applyNumberFormat="1" applyFont="1" applyFill="1" applyBorder="1" applyAlignment="1" applyProtection="1">
      <alignment horizontal="center" vertical="center"/>
      <protection locked="0"/>
    </xf>
    <xf numFmtId="49" fontId="29" fillId="0" borderId="15" xfId="0" applyNumberFormat="1" applyFont="1" applyFill="1" applyBorder="1" applyAlignment="1" applyProtection="1">
      <alignment horizontal="center" vertical="center"/>
      <protection locked="0"/>
    </xf>
    <xf numFmtId="49" fontId="29" fillId="0" borderId="7" xfId="0" applyNumberFormat="1" applyFont="1" applyFill="1" applyBorder="1" applyAlignment="1" applyProtection="1">
      <alignment horizontal="center" vertical="center"/>
      <protection locked="0"/>
    </xf>
    <xf numFmtId="49" fontId="29" fillId="0" borderId="17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 applyProtection="1">
      <alignment vertical="center"/>
      <protection locked="0"/>
    </xf>
    <xf numFmtId="49" fontId="19" fillId="0" borderId="11" xfId="0" applyNumberFormat="1" applyFont="1" applyFill="1" applyBorder="1" applyAlignment="1">
      <alignment vertical="center"/>
    </xf>
    <xf numFmtId="49" fontId="19" fillId="0" borderId="11" xfId="0" applyNumberFormat="1" applyFont="1" applyFill="1" applyBorder="1" applyAlignment="1" applyProtection="1">
      <alignment vertical="center"/>
      <protection locked="0"/>
    </xf>
    <xf numFmtId="193" fontId="19" fillId="0" borderId="7" xfId="0" applyNumberFormat="1" applyFont="1" applyFill="1" applyBorder="1" applyAlignment="1" applyProtection="1">
      <alignment vertical="center"/>
      <protection locked="0"/>
    </xf>
    <xf numFmtId="3" fontId="19" fillId="0" borderId="11" xfId="0" applyNumberFormat="1" applyFont="1" applyFill="1" applyBorder="1" applyAlignment="1" applyProtection="1">
      <alignment horizontal="left" vertical="center"/>
      <protection locked="0"/>
    </xf>
    <xf numFmtId="3" fontId="19" fillId="0" borderId="11" xfId="0" applyNumberFormat="1" applyFont="1" applyFill="1" applyBorder="1" applyAlignment="1">
      <alignment horizontal="left" vertical="center"/>
    </xf>
    <xf numFmtId="192" fontId="19" fillId="0" borderId="33" xfId="15" applyNumberFormat="1" applyFont="1" applyFill="1" applyBorder="1" applyAlignment="1" applyProtection="1">
      <alignment vertical="center"/>
      <protection/>
    </xf>
    <xf numFmtId="192" fontId="19" fillId="0" borderId="33" xfId="22" applyNumberFormat="1" applyFont="1" applyFill="1" applyBorder="1" applyAlignment="1" applyProtection="1">
      <alignment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 locked="0"/>
    </xf>
    <xf numFmtId="49" fontId="19" fillId="0" borderId="11" xfId="15" applyNumberFormat="1" applyFont="1" applyFill="1" applyBorder="1" applyAlignment="1">
      <alignment horizontal="left" vertical="center"/>
    </xf>
    <xf numFmtId="0" fontId="19" fillId="0" borderId="11" xfId="19" applyFont="1" applyFill="1" applyBorder="1" applyAlignment="1" applyProtection="1">
      <alignment horizontal="left" vertical="center"/>
      <protection locked="0"/>
    </xf>
    <xf numFmtId="197" fontId="19" fillId="0" borderId="11" xfId="0" applyNumberFormat="1" applyFont="1" applyFill="1" applyBorder="1" applyAlignment="1">
      <alignment horizontal="left" vertical="center"/>
    </xf>
    <xf numFmtId="0" fontId="19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192" fontId="19" fillId="0" borderId="24" xfId="22" applyNumberFormat="1" applyFont="1" applyFill="1" applyBorder="1" applyAlignment="1" applyProtection="1">
      <alignment vertical="center"/>
      <protection/>
    </xf>
    <xf numFmtId="0" fontId="19" fillId="0" borderId="38" xfId="0" applyFont="1" applyBorder="1" applyAlignment="1">
      <alignment horizontal="right" vertical="center"/>
    </xf>
    <xf numFmtId="0" fontId="19" fillId="0" borderId="2" xfId="0" applyFont="1" applyFill="1" applyBorder="1" applyAlignment="1" applyProtection="1">
      <alignment horizontal="right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193" fontId="19" fillId="0" borderId="4" xfId="0" applyNumberFormat="1" applyFont="1" applyFill="1" applyBorder="1" applyAlignment="1" applyProtection="1">
      <alignment vertical="center"/>
      <protection locked="0"/>
    </xf>
    <xf numFmtId="2" fontId="14" fillId="0" borderId="0" xfId="0" applyNumberFormat="1" applyFont="1" applyFill="1" applyAlignment="1">
      <alignment vertical="center"/>
    </xf>
    <xf numFmtId="0" fontId="19" fillId="0" borderId="6" xfId="0" applyFont="1" applyBorder="1" applyAlignment="1">
      <alignment horizontal="center" vertical="center"/>
    </xf>
    <xf numFmtId="4" fontId="19" fillId="0" borderId="7" xfId="0" applyNumberFormat="1" applyFont="1" applyFill="1" applyBorder="1" applyAlignment="1" applyProtection="1">
      <alignment vertical="center"/>
      <protection locked="0"/>
    </xf>
    <xf numFmtId="4" fontId="19" fillId="0" borderId="4" xfId="0" applyNumberFormat="1" applyFont="1" applyFill="1" applyBorder="1" applyAlignment="1" applyProtection="1">
      <alignment vertical="center"/>
      <protection locked="0"/>
    </xf>
    <xf numFmtId="0" fontId="19" fillId="0" borderId="9" xfId="0" applyFont="1" applyFill="1" applyBorder="1" applyAlignment="1">
      <alignment horizontal="left" vertical="center"/>
    </xf>
    <xf numFmtId="193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200" fontId="19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Alignment="1">
      <alignment horizontal="center" vertical="center"/>
    </xf>
    <xf numFmtId="200" fontId="19" fillId="0" borderId="7" xfId="0" applyNumberFormat="1" applyFont="1" applyFill="1" applyBorder="1" applyAlignment="1" applyProtection="1">
      <alignment horizontal="center" vertical="center"/>
      <protection locked="0"/>
    </xf>
    <xf numFmtId="200" fontId="19" fillId="0" borderId="17" xfId="0" applyNumberFormat="1" applyFont="1" applyFill="1" applyBorder="1" applyAlignment="1" applyProtection="1">
      <alignment horizontal="center" vertical="center"/>
      <protection locked="0"/>
    </xf>
    <xf numFmtId="200" fontId="19" fillId="0" borderId="1" xfId="0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Alignment="1">
      <alignment horizontal="right" vertical="center"/>
    </xf>
    <xf numFmtId="187" fontId="5" fillId="0" borderId="19" xfId="0" applyNumberFormat="1" applyFont="1" applyFill="1" applyBorder="1" applyAlignment="1" applyProtection="1">
      <alignment horizontal="right" vertical="center" wrapText="1"/>
      <protection/>
    </xf>
    <xf numFmtId="187" fontId="14" fillId="0" borderId="0" xfId="0" applyNumberFormat="1" applyFont="1" applyFill="1" applyAlignment="1">
      <alignment horizontal="right" vertical="center"/>
    </xf>
    <xf numFmtId="187" fontId="18" fillId="0" borderId="25" xfId="0" applyNumberFormat="1" applyFont="1" applyBorder="1" applyAlignment="1">
      <alignment horizontal="right" vertical="center"/>
    </xf>
    <xf numFmtId="187" fontId="18" fillId="0" borderId="28" xfId="0" applyNumberFormat="1" applyFont="1" applyBorder="1" applyAlignment="1">
      <alignment horizontal="right" vertical="center"/>
    </xf>
    <xf numFmtId="187" fontId="22" fillId="2" borderId="31" xfId="0" applyNumberFormat="1" applyFont="1" applyFill="1" applyBorder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 indent="1"/>
    </xf>
    <xf numFmtId="193" fontId="5" fillId="0" borderId="19" xfId="0" applyNumberFormat="1" applyFont="1" applyFill="1" applyBorder="1" applyAlignment="1" applyProtection="1">
      <alignment horizontal="right" vertical="center" wrapText="1" indent="1"/>
      <protection/>
    </xf>
    <xf numFmtId="193" fontId="19" fillId="0" borderId="25" xfId="0" applyNumberFormat="1" applyFont="1" applyBorder="1" applyAlignment="1">
      <alignment horizontal="right" vertical="center" indent="1"/>
    </xf>
    <xf numFmtId="193" fontId="19" fillId="0" borderId="28" xfId="0" applyNumberFormat="1" applyFont="1" applyBorder="1" applyAlignment="1">
      <alignment horizontal="right" vertical="center" indent="1"/>
    </xf>
    <xf numFmtId="193" fontId="14" fillId="0" borderId="0" xfId="0" applyNumberFormat="1" applyFont="1" applyAlignment="1">
      <alignment horizontal="right" vertical="center" indent="1"/>
    </xf>
    <xf numFmtId="187" fontId="14" fillId="0" borderId="0" xfId="0" applyNumberFormat="1" applyFont="1" applyBorder="1" applyAlignment="1">
      <alignment horizontal="right"/>
    </xf>
    <xf numFmtId="187" fontId="14" fillId="0" borderId="0" xfId="0" applyNumberFormat="1" applyFont="1" applyAlignment="1">
      <alignment horizontal="right" vertical="center" indent="1"/>
    </xf>
    <xf numFmtId="193" fontId="23" fillId="2" borderId="25" xfId="0" applyNumberFormat="1" applyFont="1" applyFill="1" applyBorder="1" applyAlignment="1">
      <alignment vertical="center"/>
    </xf>
    <xf numFmtId="193" fontId="22" fillId="2" borderId="9" xfId="0" applyNumberFormat="1" applyFont="1" applyFill="1" applyBorder="1" applyAlignment="1">
      <alignment vertical="center"/>
    </xf>
    <xf numFmtId="193" fontId="22" fillId="2" borderId="31" xfId="0" applyNumberFormat="1" applyFont="1" applyFill="1" applyBorder="1" applyAlignment="1">
      <alignment vertical="center"/>
    </xf>
    <xf numFmtId="4" fontId="22" fillId="3" borderId="6" xfId="0" applyNumberFormat="1" applyFont="1" applyFill="1" applyBorder="1" applyAlignment="1" applyProtection="1">
      <alignment vertical="center"/>
      <protection locked="0"/>
    </xf>
    <xf numFmtId="193" fontId="22" fillId="3" borderId="6" xfId="0" applyNumberFormat="1" applyFont="1" applyFill="1" applyBorder="1" applyAlignment="1" applyProtection="1">
      <alignment vertical="center"/>
      <protection locked="0"/>
    </xf>
    <xf numFmtId="0" fontId="22" fillId="3" borderId="7" xfId="0" applyNumberFormat="1" applyFont="1" applyFill="1" applyBorder="1" applyAlignment="1" applyProtection="1">
      <alignment horizontal="center" vertical="center"/>
      <protection locked="0"/>
    </xf>
    <xf numFmtId="187" fontId="18" fillId="0" borderId="11" xfId="0" applyNumberFormat="1" applyFont="1" applyFill="1" applyBorder="1" applyAlignment="1">
      <alignment vertical="center"/>
    </xf>
    <xf numFmtId="187" fontId="18" fillId="0" borderId="11" xfId="15" applyNumberFormat="1" applyFont="1" applyFill="1" applyBorder="1" applyAlignment="1" applyProtection="1">
      <alignment vertical="center"/>
      <protection locked="0"/>
    </xf>
    <xf numFmtId="49" fontId="19" fillId="0" borderId="11" xfId="0" applyNumberFormat="1" applyFont="1" applyFill="1" applyBorder="1" applyAlignment="1" applyProtection="1">
      <alignment horizontal="left" vertical="center"/>
      <protection locked="0"/>
    </xf>
    <xf numFmtId="187" fontId="18" fillId="0" borderId="11" xfId="15" applyNumberFormat="1" applyFont="1" applyFill="1" applyBorder="1" applyAlignment="1">
      <alignment vertical="center"/>
    </xf>
    <xf numFmtId="14" fontId="19" fillId="0" borderId="11" xfId="0" applyNumberFormat="1" applyFont="1" applyFill="1" applyBorder="1" applyAlignment="1">
      <alignment horizontal="left" vertical="center"/>
    </xf>
    <xf numFmtId="187" fontId="18" fillId="0" borderId="11" xfId="0" applyNumberFormat="1" applyFont="1" applyFill="1" applyBorder="1" applyAlignment="1" applyProtection="1">
      <alignment vertical="center"/>
      <protection locked="0"/>
    </xf>
    <xf numFmtId="187" fontId="18" fillId="0" borderId="11" xfId="15" applyNumberFormat="1" applyFont="1" applyFill="1" applyBorder="1" applyAlignment="1" applyProtection="1">
      <alignment vertical="center"/>
      <protection/>
    </xf>
    <xf numFmtId="0" fontId="19" fillId="0" borderId="25" xfId="0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 applyProtection="1">
      <alignment horizontal="left" vertical="center"/>
      <protection locked="0"/>
    </xf>
    <xf numFmtId="187" fontId="18" fillId="0" borderId="9" xfId="0" applyNumberFormat="1" applyFont="1" applyFill="1" applyBorder="1" applyAlignment="1">
      <alignment vertical="center"/>
    </xf>
    <xf numFmtId="184" fontId="19" fillId="0" borderId="11" xfId="0" applyNumberFormat="1" applyFont="1" applyFill="1" applyBorder="1" applyAlignment="1">
      <alignment horizontal="center" vertical="center"/>
    </xf>
    <xf numFmtId="193" fontId="19" fillId="0" borderId="11" xfId="0" applyNumberFormat="1" applyFont="1" applyFill="1" applyBorder="1" applyAlignment="1">
      <alignment horizontal="right" vertical="center"/>
    </xf>
    <xf numFmtId="184" fontId="19" fillId="0" borderId="11" xfId="0" applyNumberFormat="1" applyFont="1" applyFill="1" applyBorder="1" applyAlignment="1" applyProtection="1">
      <alignment horizontal="center" vertical="center"/>
      <protection locked="0"/>
    </xf>
    <xf numFmtId="193" fontId="19" fillId="0" borderId="11" xfId="15" applyNumberFormat="1" applyFont="1" applyFill="1" applyBorder="1" applyAlignment="1" applyProtection="1">
      <alignment horizontal="right" vertical="center"/>
      <protection locked="0"/>
    </xf>
    <xf numFmtId="184" fontId="19" fillId="0" borderId="25" xfId="0" applyNumberFormat="1" applyFont="1" applyFill="1" applyBorder="1" applyAlignment="1">
      <alignment horizontal="center" vertical="center"/>
    </xf>
    <xf numFmtId="193" fontId="19" fillId="0" borderId="25" xfId="0" applyNumberFormat="1" applyFont="1" applyFill="1" applyBorder="1" applyAlignment="1">
      <alignment horizontal="right" vertical="center"/>
    </xf>
    <xf numFmtId="192" fontId="19" fillId="0" borderId="26" xfId="22" applyNumberFormat="1" applyFont="1" applyFill="1" applyBorder="1" applyAlignment="1" applyProtection="1">
      <alignment horizontal="right" vertical="center"/>
      <protection/>
    </xf>
    <xf numFmtId="192" fontId="19" fillId="0" borderId="33" xfId="22" applyNumberFormat="1" applyFont="1" applyFill="1" applyBorder="1" applyAlignment="1" applyProtection="1">
      <alignment horizontal="right" vertical="center"/>
      <protection/>
    </xf>
    <xf numFmtId="192" fontId="19" fillId="0" borderId="33" xfId="15" applyNumberFormat="1" applyFont="1" applyFill="1" applyBorder="1" applyAlignment="1" applyProtection="1">
      <alignment horizontal="right" vertical="center"/>
      <protection/>
    </xf>
    <xf numFmtId="184" fontId="19" fillId="0" borderId="9" xfId="0" applyNumberFormat="1" applyFont="1" applyFill="1" applyBorder="1" applyAlignment="1">
      <alignment horizontal="center" vertical="center"/>
    </xf>
    <xf numFmtId="187" fontId="18" fillId="0" borderId="11" xfId="0" applyNumberFormat="1" applyFont="1" applyFill="1" applyBorder="1" applyAlignment="1">
      <alignment horizontal="right" vertical="center"/>
    </xf>
    <xf numFmtId="187" fontId="18" fillId="0" borderId="11" xfId="15" applyNumberFormat="1" applyFont="1" applyFill="1" applyBorder="1" applyAlignment="1" applyProtection="1">
      <alignment horizontal="right" vertical="center"/>
      <protection locked="0"/>
    </xf>
    <xf numFmtId="187" fontId="18" fillId="0" borderId="11" xfId="15" applyNumberFormat="1" applyFont="1" applyFill="1" applyBorder="1" applyAlignment="1" applyProtection="1">
      <alignment horizontal="right" vertical="center"/>
      <protection/>
    </xf>
    <xf numFmtId="184" fontId="19" fillId="0" borderId="11" xfId="15" applyNumberFormat="1" applyFont="1" applyFill="1" applyBorder="1" applyAlignment="1">
      <alignment horizontal="center" vertical="center"/>
    </xf>
    <xf numFmtId="187" fontId="18" fillId="0" borderId="25" xfId="0" applyNumberFormat="1" applyFont="1" applyFill="1" applyBorder="1" applyAlignment="1">
      <alignment horizontal="right" vertical="center"/>
    </xf>
    <xf numFmtId="193" fontId="19" fillId="0" borderId="11" xfId="15" applyNumberFormat="1" applyFont="1" applyFill="1" applyBorder="1" applyAlignment="1" applyProtection="1">
      <alignment vertical="center"/>
      <protection locked="0"/>
    </xf>
    <xf numFmtId="193" fontId="19" fillId="0" borderId="11" xfId="0" applyNumberFormat="1" applyFont="1" applyFill="1" applyBorder="1" applyAlignment="1">
      <alignment vertical="center"/>
    </xf>
    <xf numFmtId="193" fontId="19" fillId="0" borderId="11" xfId="0" applyNumberFormat="1" applyFont="1" applyFill="1" applyBorder="1" applyAlignment="1" applyProtection="1">
      <alignment vertical="center"/>
      <protection locked="0"/>
    </xf>
    <xf numFmtId="193" fontId="19" fillId="0" borderId="9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193" fontId="19" fillId="0" borderId="11" xfId="22" applyNumberFormat="1" applyFont="1" applyFill="1" applyBorder="1" applyAlignment="1" applyProtection="1">
      <alignment vertical="center"/>
      <protection/>
    </xf>
    <xf numFmtId="192" fontId="19" fillId="0" borderId="11" xfId="22" applyNumberFormat="1" applyFont="1" applyFill="1" applyBorder="1" applyAlignment="1" applyProtection="1">
      <alignment vertical="center"/>
      <protection/>
    </xf>
    <xf numFmtId="187" fontId="19" fillId="0" borderId="11" xfId="0" applyNumberFormat="1" applyFont="1" applyFill="1" applyBorder="1" applyAlignment="1">
      <alignment vertical="center"/>
    </xf>
    <xf numFmtId="184" fontId="19" fillId="0" borderId="11" xfId="0" applyNumberFormat="1" applyFont="1" applyFill="1" applyBorder="1" applyAlignment="1" applyProtection="1">
      <alignment vertical="center"/>
      <protection locked="0"/>
    </xf>
    <xf numFmtId="193" fontId="19" fillId="0" borderId="11" xfId="15" applyNumberFormat="1" applyFont="1" applyFill="1" applyBorder="1" applyAlignment="1" applyProtection="1">
      <alignment vertical="center"/>
      <protection/>
    </xf>
    <xf numFmtId="192" fontId="19" fillId="0" borderId="11" xfId="15" applyNumberFormat="1" applyFont="1" applyFill="1" applyBorder="1" applyAlignment="1" applyProtection="1">
      <alignment vertical="center"/>
      <protection/>
    </xf>
    <xf numFmtId="187" fontId="19" fillId="0" borderId="11" xfId="15" applyNumberFormat="1" applyFont="1" applyFill="1" applyBorder="1" applyAlignment="1" applyProtection="1">
      <alignment vertical="center"/>
      <protection locked="0"/>
    </xf>
    <xf numFmtId="187" fontId="19" fillId="0" borderId="11" xfId="15" applyNumberFormat="1" applyFont="1" applyFill="1" applyBorder="1" applyAlignment="1" applyProtection="1">
      <alignment vertical="center"/>
      <protection/>
    </xf>
    <xf numFmtId="201" fontId="19" fillId="0" borderId="11" xfId="0" applyFont="1" applyFill="1" applyBorder="1" applyAlignment="1">
      <alignment horizontal="center" vertical="center"/>
    </xf>
    <xf numFmtId="187" fontId="19" fillId="0" borderId="11" xfId="15" applyNumberFormat="1" applyFont="1" applyFill="1" applyBorder="1" applyAlignment="1">
      <alignment vertical="center"/>
    </xf>
    <xf numFmtId="187" fontId="19" fillId="0" borderId="11" xfId="0" applyNumberFormat="1" applyFont="1" applyFill="1" applyBorder="1" applyAlignment="1" applyProtection="1">
      <alignment vertical="center"/>
      <protection locked="0"/>
    </xf>
    <xf numFmtId="0" fontId="19" fillId="0" borderId="25" xfId="0" applyFont="1" applyFill="1" applyBorder="1" applyAlignment="1" applyProtection="1">
      <alignment vertical="center"/>
      <protection locked="0"/>
    </xf>
    <xf numFmtId="0" fontId="19" fillId="0" borderId="25" xfId="0" applyFont="1" applyFill="1" applyBorder="1" applyAlignment="1">
      <alignment vertical="center"/>
    </xf>
    <xf numFmtId="0" fontId="19" fillId="0" borderId="25" xfId="0" applyNumberFormat="1" applyFont="1" applyFill="1" applyBorder="1" applyAlignment="1">
      <alignment horizontal="center" vertical="center"/>
    </xf>
    <xf numFmtId="187" fontId="18" fillId="0" borderId="25" xfId="0" applyNumberFormat="1" applyFont="1" applyFill="1" applyBorder="1" applyAlignment="1">
      <alignment vertical="center"/>
    </xf>
    <xf numFmtId="193" fontId="19" fillId="0" borderId="25" xfId="0" applyNumberFormat="1" applyFont="1" applyFill="1" applyBorder="1" applyAlignment="1">
      <alignment vertical="center"/>
    </xf>
    <xf numFmtId="193" fontId="19" fillId="0" borderId="25" xfId="22" applyNumberFormat="1" applyFont="1" applyFill="1" applyBorder="1" applyAlignment="1" applyProtection="1">
      <alignment vertical="center"/>
      <protection/>
    </xf>
    <xf numFmtId="192" fontId="19" fillId="0" borderId="25" xfId="22" applyNumberFormat="1" applyFont="1" applyFill="1" applyBorder="1" applyAlignment="1" applyProtection="1">
      <alignment vertical="center"/>
      <protection/>
    </xf>
    <xf numFmtId="187" fontId="19" fillId="0" borderId="25" xfId="0" applyNumberFormat="1" applyFont="1" applyFill="1" applyBorder="1" applyAlignment="1">
      <alignment vertical="center"/>
    </xf>
    <xf numFmtId="192" fontId="19" fillId="0" borderId="26" xfId="22" applyNumberFormat="1" applyFont="1" applyFill="1" applyBorder="1" applyAlignment="1" applyProtection="1">
      <alignment vertical="center"/>
      <protection/>
    </xf>
    <xf numFmtId="0" fontId="19" fillId="0" borderId="9" xfId="0" applyNumberFormat="1" applyFont="1" applyFill="1" applyBorder="1" applyAlignment="1">
      <alignment horizontal="center" vertical="center"/>
    </xf>
    <xf numFmtId="193" fontId="19" fillId="0" borderId="9" xfId="22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192" fontId="19" fillId="0" borderId="9" xfId="22" applyNumberFormat="1" applyFont="1" applyFill="1" applyBorder="1" applyAlignment="1" applyProtection="1">
      <alignment vertical="center"/>
      <protection/>
    </xf>
    <xf numFmtId="187" fontId="19" fillId="0" borderId="9" xfId="0" applyNumberFormat="1" applyFont="1" applyFill="1" applyBorder="1" applyAlignment="1">
      <alignment vertical="center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184" fontId="5" fillId="0" borderId="18" xfId="0" applyNumberFormat="1" applyFont="1" applyFill="1" applyBorder="1" applyAlignment="1" applyProtection="1">
      <alignment horizontal="center" vertical="center" wrapText="1"/>
      <protection/>
    </xf>
    <xf numFmtId="184" fontId="0" fillId="0" borderId="19" xfId="0" applyNumberFormat="1" applyBorder="1" applyAlignment="1">
      <alignment horizontal="center" wrapText="1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wrapText="1"/>
    </xf>
    <xf numFmtId="184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/>
    </xf>
    <xf numFmtId="0" fontId="0" fillId="0" borderId="39" xfId="0" applyFont="1" applyBorder="1" applyAlignment="1">
      <alignment/>
    </xf>
    <xf numFmtId="0" fontId="20" fillId="2" borderId="0" xfId="0" applyFont="1" applyFill="1" applyBorder="1" applyAlignment="1" applyProtection="1">
      <alignment horizontal="center" vertical="center"/>
      <protection/>
    </xf>
    <xf numFmtId="0" fontId="20" fillId="2" borderId="0" xfId="0" applyFont="1" applyFill="1" applyAlignment="1">
      <alignment horizontal="center" vertical="center"/>
    </xf>
    <xf numFmtId="184" fontId="12" fillId="0" borderId="21" xfId="0" applyNumberFormat="1" applyFont="1" applyFill="1" applyBorder="1" applyAlignment="1" applyProtection="1">
      <alignment horizontal="center" vertical="center"/>
      <protection locked="0"/>
    </xf>
    <xf numFmtId="184" fontId="0" fillId="0" borderId="40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184" fontId="0" fillId="0" borderId="42" xfId="0" applyNumberFormat="1" applyBorder="1" applyAlignment="1">
      <alignment horizontal="center" vertical="center"/>
    </xf>
    <xf numFmtId="0" fontId="21" fillId="0" borderId="0" xfId="0" applyFont="1" applyBorder="1" applyAlignment="1" applyProtection="1">
      <alignment vertical="center" wrapText="1"/>
      <protection locked="0"/>
    </xf>
    <xf numFmtId="181" fontId="5" fillId="0" borderId="18" xfId="0" applyNumberFormat="1" applyFont="1" applyFill="1" applyBorder="1" applyAlignment="1" applyProtection="1">
      <alignment horizontal="center" vertical="center" wrapText="1"/>
      <protection/>
    </xf>
    <xf numFmtId="181" fontId="5" fillId="0" borderId="39" xfId="0" applyNumberFormat="1" applyFont="1" applyFill="1" applyBorder="1" applyAlignment="1" applyProtection="1">
      <alignment horizontal="center" vertical="center" wrapText="1"/>
      <protection/>
    </xf>
    <xf numFmtId="43" fontId="5" fillId="0" borderId="18" xfId="15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84" fontId="18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" fillId="0" borderId="19" xfId="0" applyNumberFormat="1" applyFont="1" applyFill="1" applyBorder="1" applyAlignment="1">
      <alignment horizontal="center" wrapText="1"/>
    </xf>
    <xf numFmtId="0" fontId="34" fillId="4" borderId="43" xfId="0" applyFont="1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2" fontId="5" fillId="0" borderId="39" xfId="0" applyNumberFormat="1" applyFont="1" applyFill="1" applyBorder="1" applyAlignment="1" applyProtection="1">
      <alignment horizontal="center" vertical="center" wrapText="1"/>
      <protection/>
    </xf>
    <xf numFmtId="2" fontId="5" fillId="0" borderId="20" xfId="0" applyNumberFormat="1" applyFont="1" applyFill="1" applyBorder="1" applyAlignment="1" applyProtection="1">
      <alignment horizontal="center" vertical="center" wrapText="1"/>
      <protection/>
    </xf>
    <xf numFmtId="187" fontId="18" fillId="0" borderId="11" xfId="15" applyNumberFormat="1" applyFont="1" applyFill="1" applyBorder="1" applyAlignment="1">
      <alignment horizontal="right" vertical="center"/>
    </xf>
    <xf numFmtId="193" fontId="19" fillId="0" borderId="11" xfId="15" applyNumberFormat="1" applyFont="1" applyFill="1" applyBorder="1" applyAlignment="1">
      <alignment horizontal="right" vertical="center"/>
    </xf>
    <xf numFmtId="187" fontId="18" fillId="0" borderId="11" xfId="0" applyNumberFormat="1" applyFont="1" applyFill="1" applyBorder="1" applyAlignment="1" applyProtection="1">
      <alignment horizontal="right" vertical="center"/>
      <protection locked="0"/>
    </xf>
    <xf numFmtId="193" fontId="19" fillId="0" borderId="11" xfId="0" applyNumberFormat="1" applyFont="1" applyFill="1" applyBorder="1" applyAlignment="1" applyProtection="1">
      <alignment horizontal="right" vertical="center"/>
      <protection locked="0"/>
    </xf>
    <xf numFmtId="2" fontId="5" fillId="0" borderId="46" xfId="0" applyNumberFormat="1" applyFont="1" applyFill="1" applyBorder="1" applyAlignment="1" applyProtection="1">
      <alignment horizontal="right" vertical="center" wrapText="1" indent="1"/>
      <protection/>
    </xf>
    <xf numFmtId="2" fontId="5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center" wrapText="1"/>
    </xf>
    <xf numFmtId="187" fontId="18" fillId="0" borderId="9" xfId="0" applyNumberFormat="1" applyFont="1" applyFill="1" applyBorder="1" applyAlignment="1">
      <alignment horizontal="right" vertical="center"/>
    </xf>
    <xf numFmtId="193" fontId="19" fillId="0" borderId="9" xfId="0" applyNumberFormat="1" applyFont="1" applyFill="1" applyBorder="1" applyAlignment="1">
      <alignment horizontal="right" vertical="center"/>
    </xf>
    <xf numFmtId="192" fontId="19" fillId="0" borderId="24" xfId="22" applyNumberFormat="1" applyFont="1" applyFill="1" applyBorder="1" applyAlignment="1" applyProtection="1">
      <alignment horizontal="right" vertical="center"/>
      <protection/>
    </xf>
    <xf numFmtId="200" fontId="22" fillId="3" borderId="17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466725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944225" y="466725"/>
          <a:ext cx="2114550" cy="6000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32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04 - 10  AUG'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3"/>
  <sheetViews>
    <sheetView showGridLines="0" tabSelected="1" zoomScale="60" zoomScaleNormal="6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:C4"/>
    </sheetView>
  </sheetViews>
  <sheetFormatPr defaultColWidth="9.140625" defaultRowHeight="12.75"/>
  <cols>
    <col min="1" max="1" width="4.7109375" style="87" bestFit="1" customWidth="1"/>
    <col min="2" max="2" width="1.28515625" style="6" customWidth="1"/>
    <col min="3" max="3" width="40.140625" style="5" bestFit="1" customWidth="1"/>
    <col min="4" max="4" width="9.00390625" style="29" bestFit="1" customWidth="1"/>
    <col min="5" max="5" width="17.28125" style="34" bestFit="1" customWidth="1"/>
    <col min="6" max="6" width="18.28125" style="34" bestFit="1" customWidth="1"/>
    <col min="7" max="7" width="11.57421875" style="8" bestFit="1" customWidth="1"/>
    <col min="8" max="8" width="11.140625" style="8" customWidth="1"/>
    <col min="9" max="9" width="9.8515625" style="8" customWidth="1"/>
    <col min="10" max="10" width="16.57421875" style="51" bestFit="1" customWidth="1"/>
    <col min="11" max="11" width="8.8515625" style="107" bestFit="1" customWidth="1"/>
    <col min="12" max="12" width="8.7109375" style="107" customWidth="1"/>
    <col min="13" max="13" width="6.7109375" style="55" bestFit="1" customWidth="1"/>
    <col min="14" max="14" width="15.00390625" style="42" bestFit="1" customWidth="1"/>
    <col min="15" max="15" width="10.7109375" style="107" bestFit="1" customWidth="1"/>
    <col min="16" max="16" width="6.7109375" style="180" bestFit="1" customWidth="1"/>
    <col min="17" max="16384" width="9.140625" style="5" customWidth="1"/>
  </cols>
  <sheetData>
    <row r="1" spans="1:16" s="3" customFormat="1" ht="95.25" customHeight="1">
      <c r="A1" s="83"/>
      <c r="B1" s="1"/>
      <c r="C1" s="2"/>
      <c r="D1" s="27"/>
      <c r="E1" s="32"/>
      <c r="F1" s="32"/>
      <c r="G1" s="7"/>
      <c r="H1" s="7"/>
      <c r="I1" s="7"/>
      <c r="J1" s="49"/>
      <c r="K1" s="104"/>
      <c r="L1" s="104"/>
      <c r="M1" s="54"/>
      <c r="N1" s="40"/>
      <c r="O1" s="43"/>
      <c r="P1" s="175"/>
    </row>
    <row r="2" spans="1:16" s="24" customFormat="1" ht="39.75" customHeight="1" thickBot="1">
      <c r="A2" s="335" t="s">
        <v>87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s="110" customFormat="1" ht="14.25">
      <c r="A3" s="108"/>
      <c r="B3" s="109"/>
      <c r="C3" s="344" t="s">
        <v>12</v>
      </c>
      <c r="D3" s="328" t="s">
        <v>13</v>
      </c>
      <c r="E3" s="330" t="s">
        <v>53</v>
      </c>
      <c r="F3" s="330" t="s">
        <v>52</v>
      </c>
      <c r="G3" s="325" t="s">
        <v>14</v>
      </c>
      <c r="H3" s="325" t="s">
        <v>27</v>
      </c>
      <c r="I3" s="325" t="s">
        <v>28</v>
      </c>
      <c r="J3" s="327" t="s">
        <v>15</v>
      </c>
      <c r="K3" s="327"/>
      <c r="L3" s="327"/>
      <c r="M3" s="327"/>
      <c r="N3" s="342" t="s">
        <v>16</v>
      </c>
      <c r="O3" s="342"/>
      <c r="P3" s="343"/>
    </row>
    <row r="4" spans="1:16" s="110" customFormat="1" ht="51.75" customHeight="1" thickBot="1">
      <c r="A4" s="111"/>
      <c r="B4" s="112"/>
      <c r="C4" s="326"/>
      <c r="D4" s="329"/>
      <c r="E4" s="331"/>
      <c r="F4" s="331"/>
      <c r="G4" s="326"/>
      <c r="H4" s="326"/>
      <c r="I4" s="326"/>
      <c r="J4" s="113" t="s">
        <v>17</v>
      </c>
      <c r="K4" s="89" t="s">
        <v>18</v>
      </c>
      <c r="L4" s="89" t="s">
        <v>135</v>
      </c>
      <c r="M4" s="90" t="s">
        <v>19</v>
      </c>
      <c r="N4" s="113" t="s">
        <v>17</v>
      </c>
      <c r="O4" s="89" t="s">
        <v>18</v>
      </c>
      <c r="P4" s="91" t="s">
        <v>20</v>
      </c>
    </row>
    <row r="5" spans="1:16" s="4" customFormat="1" ht="15">
      <c r="A5" s="84">
        <v>1</v>
      </c>
      <c r="B5" s="114"/>
      <c r="C5" s="308" t="s">
        <v>241</v>
      </c>
      <c r="D5" s="281">
        <v>38912</v>
      </c>
      <c r="E5" s="309" t="s">
        <v>59</v>
      </c>
      <c r="F5" s="309" t="s">
        <v>64</v>
      </c>
      <c r="G5" s="310">
        <v>162</v>
      </c>
      <c r="H5" s="211">
        <v>220</v>
      </c>
      <c r="I5" s="211">
        <v>4</v>
      </c>
      <c r="J5" s="311">
        <v>619276</v>
      </c>
      <c r="K5" s="312">
        <v>89937</v>
      </c>
      <c r="L5" s="313">
        <f>+K5/H5</f>
        <v>408.80454545454546</v>
      </c>
      <c r="M5" s="314">
        <f>+J5/K5</f>
        <v>6.885664409531116</v>
      </c>
      <c r="N5" s="315">
        <v>6224099</v>
      </c>
      <c r="O5" s="312">
        <v>837308</v>
      </c>
      <c r="P5" s="316">
        <f aca="true" t="shared" si="0" ref="P5:P10">+N5/O5</f>
        <v>7.433464149393055</v>
      </c>
    </row>
    <row r="6" spans="1:16" s="4" customFormat="1" ht="15">
      <c r="A6" s="84">
        <v>2</v>
      </c>
      <c r="B6" s="115"/>
      <c r="C6" s="214" t="s">
        <v>278</v>
      </c>
      <c r="D6" s="279">
        <v>38933</v>
      </c>
      <c r="E6" s="300" t="s">
        <v>58</v>
      </c>
      <c r="F6" s="214" t="s">
        <v>31</v>
      </c>
      <c r="G6" s="48">
        <v>56</v>
      </c>
      <c r="H6" s="48">
        <v>57</v>
      </c>
      <c r="I6" s="48">
        <v>1</v>
      </c>
      <c r="J6" s="268">
        <v>561160.5</v>
      </c>
      <c r="K6" s="292">
        <v>65355</v>
      </c>
      <c r="L6" s="301">
        <f>K6/H6</f>
        <v>1146.578947368421</v>
      </c>
      <c r="M6" s="302">
        <f>J6/K6</f>
        <v>8.586343814551297</v>
      </c>
      <c r="N6" s="303">
        <v>561160.5</v>
      </c>
      <c r="O6" s="292">
        <v>65355</v>
      </c>
      <c r="P6" s="220">
        <f t="shared" si="0"/>
        <v>8.586343814551297</v>
      </c>
    </row>
    <row r="7" spans="1:16" s="4" customFormat="1" ht="15">
      <c r="A7" s="84">
        <v>3</v>
      </c>
      <c r="B7" s="115"/>
      <c r="C7" s="213" t="s">
        <v>279</v>
      </c>
      <c r="D7" s="277">
        <v>38933</v>
      </c>
      <c r="E7" s="213" t="s">
        <v>59</v>
      </c>
      <c r="F7" s="213" t="s">
        <v>64</v>
      </c>
      <c r="G7" s="53">
        <v>130</v>
      </c>
      <c r="H7" s="131">
        <v>130</v>
      </c>
      <c r="I7" s="131">
        <v>1</v>
      </c>
      <c r="J7" s="267">
        <v>494874</v>
      </c>
      <c r="K7" s="293">
        <v>67225</v>
      </c>
      <c r="L7" s="297">
        <f>+K7/H7</f>
        <v>517.1153846153846</v>
      </c>
      <c r="M7" s="298">
        <f>+J7/K7</f>
        <v>7.361457791000372</v>
      </c>
      <c r="N7" s="299">
        <v>494874</v>
      </c>
      <c r="O7" s="293">
        <v>67225</v>
      </c>
      <c r="P7" s="221">
        <f t="shared" si="0"/>
        <v>7.361457791000372</v>
      </c>
    </row>
    <row r="8" spans="1:16" s="4" customFormat="1" ht="15">
      <c r="A8" s="84">
        <v>4</v>
      </c>
      <c r="B8" s="115"/>
      <c r="C8" s="213" t="s">
        <v>259</v>
      </c>
      <c r="D8" s="277">
        <v>38926</v>
      </c>
      <c r="E8" s="213" t="s">
        <v>59</v>
      </c>
      <c r="F8" s="213" t="s">
        <v>69</v>
      </c>
      <c r="G8" s="53">
        <v>120</v>
      </c>
      <c r="H8" s="131">
        <v>120</v>
      </c>
      <c r="I8" s="131">
        <v>2</v>
      </c>
      <c r="J8" s="267">
        <v>343591</v>
      </c>
      <c r="K8" s="293">
        <v>45895</v>
      </c>
      <c r="L8" s="297">
        <f>+K8/H8</f>
        <v>382.4583333333333</v>
      </c>
      <c r="M8" s="298">
        <f>+J8/K8</f>
        <v>7.4864582198496565</v>
      </c>
      <c r="N8" s="299">
        <v>964441</v>
      </c>
      <c r="O8" s="293">
        <v>128050</v>
      </c>
      <c r="P8" s="221">
        <f t="shared" si="0"/>
        <v>7.531753221397891</v>
      </c>
    </row>
    <row r="9" spans="1:16" s="10" customFormat="1" ht="15">
      <c r="A9" s="84">
        <v>5</v>
      </c>
      <c r="B9" s="25"/>
      <c r="C9" s="214" t="s">
        <v>254</v>
      </c>
      <c r="D9" s="279">
        <v>38919</v>
      </c>
      <c r="E9" s="300" t="s">
        <v>58</v>
      </c>
      <c r="F9" s="214" t="s">
        <v>31</v>
      </c>
      <c r="G9" s="48">
        <v>149</v>
      </c>
      <c r="H9" s="48">
        <v>139</v>
      </c>
      <c r="I9" s="48">
        <v>3</v>
      </c>
      <c r="J9" s="268">
        <v>255208.5</v>
      </c>
      <c r="K9" s="292">
        <v>35562</v>
      </c>
      <c r="L9" s="301">
        <f>K9/H9</f>
        <v>255.84172661870502</v>
      </c>
      <c r="M9" s="302">
        <f>J9/K9</f>
        <v>7.176438333052134</v>
      </c>
      <c r="N9" s="303">
        <f>897376+408049.5+50+255208.5</f>
        <v>1560684</v>
      </c>
      <c r="O9" s="292">
        <f>113870+54028+2+35562</f>
        <v>203462</v>
      </c>
      <c r="P9" s="220">
        <f t="shared" si="0"/>
        <v>7.670641200813911</v>
      </c>
    </row>
    <row r="10" spans="1:16" s="10" customFormat="1" ht="15">
      <c r="A10" s="84">
        <v>6</v>
      </c>
      <c r="B10" s="25"/>
      <c r="C10" s="214" t="s">
        <v>280</v>
      </c>
      <c r="D10" s="279">
        <v>38933</v>
      </c>
      <c r="E10" s="300" t="s">
        <v>58</v>
      </c>
      <c r="F10" s="214" t="s">
        <v>65</v>
      </c>
      <c r="G10" s="48">
        <v>47</v>
      </c>
      <c r="H10" s="48">
        <v>47</v>
      </c>
      <c r="I10" s="48">
        <v>1</v>
      </c>
      <c r="J10" s="268">
        <v>168234.5</v>
      </c>
      <c r="K10" s="292">
        <v>21398</v>
      </c>
      <c r="L10" s="301">
        <f>K10/H10</f>
        <v>455.27659574468083</v>
      </c>
      <c r="M10" s="302">
        <f>J10/K10</f>
        <v>7.862160014954669</v>
      </c>
      <c r="N10" s="303">
        <v>168234.5</v>
      </c>
      <c r="O10" s="292">
        <v>21398</v>
      </c>
      <c r="P10" s="220">
        <f t="shared" si="0"/>
        <v>7.862160014954669</v>
      </c>
    </row>
    <row r="11" spans="1:16" s="10" customFormat="1" ht="15">
      <c r="A11" s="84">
        <v>7</v>
      </c>
      <c r="B11" s="25"/>
      <c r="C11" s="214" t="s">
        <v>281</v>
      </c>
      <c r="D11" s="279">
        <v>38933</v>
      </c>
      <c r="E11" s="214" t="s">
        <v>41</v>
      </c>
      <c r="F11" s="214" t="s">
        <v>67</v>
      </c>
      <c r="G11" s="48">
        <v>47</v>
      </c>
      <c r="H11" s="48">
        <v>48</v>
      </c>
      <c r="I11" s="48">
        <v>1</v>
      </c>
      <c r="J11" s="273">
        <v>152748</v>
      </c>
      <c r="K11" s="301">
        <v>19117</v>
      </c>
      <c r="L11" s="297">
        <f>IF(J11&lt;&gt;0,K11/H11,"")</f>
        <v>398.2708333333333</v>
      </c>
      <c r="M11" s="298">
        <f>IF(J11&lt;&gt;0,J11/K11,"")</f>
        <v>7.990165820997018</v>
      </c>
      <c r="N11" s="304">
        <v>152748</v>
      </c>
      <c r="O11" s="293">
        <v>19117</v>
      </c>
      <c r="P11" s="221">
        <f>IF(N11&lt;&gt;0,N11/O11,"")</f>
        <v>7.990165820997018</v>
      </c>
    </row>
    <row r="12" spans="1:16" s="10" customFormat="1" ht="15">
      <c r="A12" s="84">
        <v>8</v>
      </c>
      <c r="B12" s="25"/>
      <c r="C12" s="214" t="s">
        <v>260</v>
      </c>
      <c r="D12" s="279">
        <v>38926</v>
      </c>
      <c r="E12" s="300" t="s">
        <v>58</v>
      </c>
      <c r="F12" s="214" t="s">
        <v>79</v>
      </c>
      <c r="G12" s="48">
        <v>40</v>
      </c>
      <c r="H12" s="48">
        <v>38</v>
      </c>
      <c r="I12" s="48">
        <v>2</v>
      </c>
      <c r="J12" s="268">
        <v>33087.5</v>
      </c>
      <c r="K12" s="292">
        <v>4175</v>
      </c>
      <c r="L12" s="301">
        <f>K12/H12</f>
        <v>109.86842105263158</v>
      </c>
      <c r="M12" s="302">
        <f>J12/K12</f>
        <v>7.925149700598802</v>
      </c>
      <c r="N12" s="303">
        <f>91658.5+33087.5</f>
        <v>124746</v>
      </c>
      <c r="O12" s="292">
        <f>11479+4175</f>
        <v>15654</v>
      </c>
      <c r="P12" s="220">
        <f aca="true" t="shared" si="1" ref="P12:P45">+N12/O12</f>
        <v>7.968953622077424</v>
      </c>
    </row>
    <row r="13" spans="1:16" s="10" customFormat="1" ht="15">
      <c r="A13" s="84">
        <v>9</v>
      </c>
      <c r="B13" s="25"/>
      <c r="C13" s="214" t="s">
        <v>216</v>
      </c>
      <c r="D13" s="279">
        <v>38891</v>
      </c>
      <c r="E13" s="300" t="s">
        <v>58</v>
      </c>
      <c r="F13" s="214" t="s">
        <v>31</v>
      </c>
      <c r="G13" s="48">
        <v>134</v>
      </c>
      <c r="H13" s="48">
        <v>27</v>
      </c>
      <c r="I13" s="48">
        <v>7</v>
      </c>
      <c r="J13" s="268">
        <v>24202</v>
      </c>
      <c r="K13" s="292">
        <v>5005</v>
      </c>
      <c r="L13" s="301">
        <f>K13/H13</f>
        <v>185.37037037037038</v>
      </c>
      <c r="M13" s="302">
        <f>J13/K13</f>
        <v>4.835564435564436</v>
      </c>
      <c r="N13" s="303">
        <f>694435+438090+738+386149+151227+222+83617+45498.5+9253.5+24202</f>
        <v>1833432</v>
      </c>
      <c r="O13" s="292">
        <f>90541+58080+141+50942+21691+24+14951+8904+1541+5005</f>
        <v>251820</v>
      </c>
      <c r="P13" s="220">
        <f t="shared" si="1"/>
        <v>7.280724326900167</v>
      </c>
    </row>
    <row r="14" spans="1:16" s="10" customFormat="1" ht="15">
      <c r="A14" s="84">
        <v>10</v>
      </c>
      <c r="B14" s="25"/>
      <c r="C14" s="213" t="s">
        <v>86</v>
      </c>
      <c r="D14" s="277">
        <v>38674</v>
      </c>
      <c r="E14" s="213" t="s">
        <v>61</v>
      </c>
      <c r="F14" s="213" t="s">
        <v>102</v>
      </c>
      <c r="G14" s="53">
        <v>135</v>
      </c>
      <c r="H14" s="131">
        <v>6</v>
      </c>
      <c r="I14" s="131">
        <v>38</v>
      </c>
      <c r="J14" s="267">
        <v>21448</v>
      </c>
      <c r="K14" s="293">
        <v>5799</v>
      </c>
      <c r="L14" s="297">
        <f>+K14/H14</f>
        <v>966.5</v>
      </c>
      <c r="M14" s="298">
        <f>+J14/K14</f>
        <v>3.6985687187446112</v>
      </c>
      <c r="N14" s="299">
        <f>574568+1404261+2751877+3258896.5+2619095+1721177.5+1470030+1888546+1731654+1414026+1497050.5+996634+787201+777126+643480+509219.5+398974.5+275448+165366.5+73833.5+34414.5+18373+9776.5+10959.5+18948+5394+25647+638+416+7529+65562+23630+27062+8047+12612+19334+5461+21448</f>
        <v>25273716</v>
      </c>
      <c r="O14" s="293">
        <f>74406+182802+367017+453161+369242+239307+216443+244832+235512+212084+230729+167361+134787+155924+132040+97910+71996+60438+31787+16691+9973+5959+2986+3569+5752+1319+6383+116+74+2435+21718+7677+8998+2322+3842+5954+1789+5799</f>
        <v>3791134</v>
      </c>
      <c r="P14" s="221">
        <f t="shared" si="1"/>
        <v>6.666531966424822</v>
      </c>
    </row>
    <row r="15" spans="1:16" s="10" customFormat="1" ht="15">
      <c r="A15" s="84">
        <v>11</v>
      </c>
      <c r="B15" s="25"/>
      <c r="C15" s="216" t="s">
        <v>261</v>
      </c>
      <c r="D15" s="279">
        <v>38926</v>
      </c>
      <c r="E15" s="216" t="s">
        <v>70</v>
      </c>
      <c r="F15" s="216" t="s">
        <v>69</v>
      </c>
      <c r="G15" s="209" t="s">
        <v>262</v>
      </c>
      <c r="H15" s="209" t="s">
        <v>262</v>
      </c>
      <c r="I15" s="209" t="s">
        <v>282</v>
      </c>
      <c r="J15" s="268">
        <v>16721</v>
      </c>
      <c r="K15" s="292">
        <v>2310</v>
      </c>
      <c r="L15" s="301">
        <f>K15/H15</f>
        <v>110</v>
      </c>
      <c r="M15" s="302">
        <f>J15/K15</f>
        <v>7.238528138528139</v>
      </c>
      <c r="N15" s="303">
        <v>80473</v>
      </c>
      <c r="O15" s="292">
        <v>9880</v>
      </c>
      <c r="P15" s="220">
        <f t="shared" si="1"/>
        <v>8.14504048582996</v>
      </c>
    </row>
    <row r="16" spans="1:16" s="10" customFormat="1" ht="15">
      <c r="A16" s="84">
        <v>12</v>
      </c>
      <c r="B16" s="25"/>
      <c r="C16" s="214" t="s">
        <v>112</v>
      </c>
      <c r="D16" s="279">
        <v>38856</v>
      </c>
      <c r="E16" s="300" t="s">
        <v>58</v>
      </c>
      <c r="F16" s="214" t="s">
        <v>65</v>
      </c>
      <c r="G16" s="48">
        <v>195</v>
      </c>
      <c r="H16" s="48">
        <v>10</v>
      </c>
      <c r="I16" s="48">
        <v>12</v>
      </c>
      <c r="J16" s="268">
        <v>13475.5</v>
      </c>
      <c r="K16" s="292">
        <v>2153</v>
      </c>
      <c r="L16" s="301">
        <f>K16/H16</f>
        <v>215.3</v>
      </c>
      <c r="M16" s="302">
        <f>J16/K16</f>
        <v>6.258941012540641</v>
      </c>
      <c r="N16" s="303">
        <f>3570701+1526862+890553+1110.5+642057+1962.5+391828+1004+177766+104472.5+6467-1313+62244.5-2884+30403.5+13087+6337.5-594+13475.5</f>
        <v>7435540.5</v>
      </c>
      <c r="O16" s="292">
        <f>473308+203407+120258+125+93991+244+58773+32636+18970+1209-234+9432-459+4807+2508+1212-237+2153</f>
        <v>1022103</v>
      </c>
      <c r="P16" s="220">
        <f t="shared" si="1"/>
        <v>7.274746772096354</v>
      </c>
    </row>
    <row r="17" spans="1:16" s="10" customFormat="1" ht="15">
      <c r="A17" s="84">
        <v>13</v>
      </c>
      <c r="B17" s="25"/>
      <c r="C17" s="215" t="s">
        <v>217</v>
      </c>
      <c r="D17" s="277">
        <v>38891</v>
      </c>
      <c r="E17" s="215" t="s">
        <v>118</v>
      </c>
      <c r="F17" s="215" t="s">
        <v>67</v>
      </c>
      <c r="G17" s="93">
        <v>45</v>
      </c>
      <c r="H17" s="93">
        <v>27</v>
      </c>
      <c r="I17" s="93">
        <v>7</v>
      </c>
      <c r="J17" s="267">
        <v>11888</v>
      </c>
      <c r="K17" s="293">
        <v>2261</v>
      </c>
      <c r="L17" s="301">
        <f>K17/H17</f>
        <v>83.74074074074075</v>
      </c>
      <c r="M17" s="302">
        <f>J17/K17</f>
        <v>5.257850508624503</v>
      </c>
      <c r="N17" s="299">
        <f>154658.5+107804+83531.5+43902+30665+24700+11888</f>
        <v>457149</v>
      </c>
      <c r="O17" s="293">
        <f>20153+14417+13506+7951+5799+4754+2261</f>
        <v>68841</v>
      </c>
      <c r="P17" s="220">
        <f t="shared" si="1"/>
        <v>6.640650193925132</v>
      </c>
    </row>
    <row r="18" spans="1:16" s="10" customFormat="1" ht="15">
      <c r="A18" s="84">
        <v>14</v>
      </c>
      <c r="B18" s="25"/>
      <c r="C18" s="213" t="s">
        <v>114</v>
      </c>
      <c r="D18" s="277">
        <v>38821</v>
      </c>
      <c r="E18" s="213" t="s">
        <v>61</v>
      </c>
      <c r="F18" s="213" t="s">
        <v>62</v>
      </c>
      <c r="G18" s="53">
        <v>118</v>
      </c>
      <c r="H18" s="131">
        <v>18</v>
      </c>
      <c r="I18" s="131">
        <v>17</v>
      </c>
      <c r="J18" s="267">
        <v>11047</v>
      </c>
      <c r="K18" s="293">
        <v>2554</v>
      </c>
      <c r="L18" s="297">
        <f>+K18/H18</f>
        <v>141.88888888888889</v>
      </c>
      <c r="M18" s="298">
        <f>+J18/K18</f>
        <v>4.325371965544244</v>
      </c>
      <c r="N18" s="299">
        <f>1908861+1583540+976953.5+606582.5+358386.5+257458.5+154619+107195+70567+37968.5+18157.5+11925.5+12529.5+11442+10137.5+11279.5+11047</f>
        <v>6148650</v>
      </c>
      <c r="O18" s="293">
        <f>267837+226672+141343+93283+56706+48660+34140+24736+15604+6640+3341+2116+2223+1865+2002+2375+2554</f>
        <v>932097</v>
      </c>
      <c r="P18" s="221">
        <f t="shared" si="1"/>
        <v>6.596577394841953</v>
      </c>
    </row>
    <row r="19" spans="1:16" s="10" customFormat="1" ht="15">
      <c r="A19" s="84">
        <v>15</v>
      </c>
      <c r="B19" s="25"/>
      <c r="C19" s="214" t="s">
        <v>235</v>
      </c>
      <c r="D19" s="279">
        <v>38905</v>
      </c>
      <c r="E19" s="300" t="s">
        <v>58</v>
      </c>
      <c r="F19" s="214" t="s">
        <v>71</v>
      </c>
      <c r="G19" s="48">
        <v>41</v>
      </c>
      <c r="H19" s="48">
        <v>18</v>
      </c>
      <c r="I19" s="48">
        <v>5</v>
      </c>
      <c r="J19" s="268">
        <v>8006.5</v>
      </c>
      <c r="K19" s="292">
        <v>1642</v>
      </c>
      <c r="L19" s="301">
        <f>K19/H19</f>
        <v>91.22222222222223</v>
      </c>
      <c r="M19" s="302">
        <f>J19/K19</f>
        <v>4.876065773447015</v>
      </c>
      <c r="N19" s="303">
        <f>140314+70312.5+30656.5+23583.5+8006.5</f>
        <v>272873</v>
      </c>
      <c r="O19" s="292">
        <f>15340+7802+3992+3802+1642</f>
        <v>32578</v>
      </c>
      <c r="P19" s="220">
        <f t="shared" si="1"/>
        <v>8.375989931855853</v>
      </c>
    </row>
    <row r="20" spans="1:16" s="10" customFormat="1" ht="15">
      <c r="A20" s="84">
        <v>16</v>
      </c>
      <c r="B20" s="25"/>
      <c r="C20" s="215" t="s">
        <v>227</v>
      </c>
      <c r="D20" s="277">
        <v>38898</v>
      </c>
      <c r="E20" s="215" t="s">
        <v>118</v>
      </c>
      <c r="F20" s="215" t="s">
        <v>244</v>
      </c>
      <c r="G20" s="93">
        <v>47</v>
      </c>
      <c r="H20" s="93">
        <v>20</v>
      </c>
      <c r="I20" s="93">
        <v>6</v>
      </c>
      <c r="J20" s="267">
        <v>7714</v>
      </c>
      <c r="K20" s="293">
        <v>1679</v>
      </c>
      <c r="L20" s="301">
        <f>K20/H20</f>
        <v>83.95</v>
      </c>
      <c r="M20" s="302">
        <f>J20/K20</f>
        <v>4.594401429422275</v>
      </c>
      <c r="N20" s="299">
        <f>88058+66057+19237+18780.5+15348+7714</f>
        <v>215194.5</v>
      </c>
      <c r="O20" s="293">
        <f>11470+9021+3194+3443+2936+1679</f>
        <v>31743</v>
      </c>
      <c r="P20" s="220">
        <f t="shared" si="1"/>
        <v>6.7792741706833</v>
      </c>
    </row>
    <row r="21" spans="1:16" s="10" customFormat="1" ht="15">
      <c r="A21" s="84">
        <v>17</v>
      </c>
      <c r="B21" s="25"/>
      <c r="C21" s="214" t="s">
        <v>226</v>
      </c>
      <c r="D21" s="279">
        <v>38898</v>
      </c>
      <c r="E21" s="300" t="s">
        <v>58</v>
      </c>
      <c r="F21" s="214" t="s">
        <v>65</v>
      </c>
      <c r="G21" s="48">
        <v>52</v>
      </c>
      <c r="H21" s="48">
        <v>16</v>
      </c>
      <c r="I21" s="48">
        <v>6</v>
      </c>
      <c r="J21" s="268">
        <v>7515.5</v>
      </c>
      <c r="K21" s="292">
        <v>1490</v>
      </c>
      <c r="L21" s="301">
        <f>K21/H21</f>
        <v>93.125</v>
      </c>
      <c r="M21" s="302">
        <f>J21/K21</f>
        <v>5.043959731543624</v>
      </c>
      <c r="N21" s="303">
        <f>178154.5+113428-10+65774+41050.5+21920.5+111+7515.5</f>
        <v>427944</v>
      </c>
      <c r="O21" s="292">
        <f>22672+15039+9332+6541+3979+26+1490</f>
        <v>59079</v>
      </c>
      <c r="P21" s="220">
        <f t="shared" si="1"/>
        <v>7.243589092570964</v>
      </c>
    </row>
    <row r="22" spans="1:16" s="10" customFormat="1" ht="15">
      <c r="A22" s="84">
        <v>18</v>
      </c>
      <c r="B22" s="25"/>
      <c r="C22" s="213" t="s">
        <v>242</v>
      </c>
      <c r="D22" s="277">
        <v>38912</v>
      </c>
      <c r="E22" s="213" t="s">
        <v>61</v>
      </c>
      <c r="F22" s="213" t="s">
        <v>62</v>
      </c>
      <c r="G22" s="53">
        <v>15</v>
      </c>
      <c r="H22" s="131">
        <v>14</v>
      </c>
      <c r="I22" s="131">
        <v>4</v>
      </c>
      <c r="J22" s="272">
        <v>7440.5</v>
      </c>
      <c r="K22" s="293">
        <v>1295</v>
      </c>
      <c r="L22" s="297">
        <f>+K22/H22</f>
        <v>92.5</v>
      </c>
      <c r="M22" s="298">
        <f>+J22/K22</f>
        <v>5.745559845559845</v>
      </c>
      <c r="N22" s="299">
        <f>41125+39769.5+19811.5+7440.5</f>
        <v>108146.5</v>
      </c>
      <c r="O22" s="293">
        <f>4924+4533+2591+1295</f>
        <v>13343</v>
      </c>
      <c r="P22" s="221">
        <f t="shared" si="1"/>
        <v>8.105111294311625</v>
      </c>
    </row>
    <row r="23" spans="1:16" s="10" customFormat="1" ht="15">
      <c r="A23" s="84">
        <v>19</v>
      </c>
      <c r="B23" s="25"/>
      <c r="C23" s="213" t="s">
        <v>255</v>
      </c>
      <c r="D23" s="277">
        <v>38919</v>
      </c>
      <c r="E23" s="213" t="s">
        <v>61</v>
      </c>
      <c r="F23" s="213" t="s">
        <v>265</v>
      </c>
      <c r="G23" s="53">
        <v>10</v>
      </c>
      <c r="H23" s="131">
        <v>10</v>
      </c>
      <c r="I23" s="131">
        <v>3</v>
      </c>
      <c r="J23" s="267">
        <v>7099.5</v>
      </c>
      <c r="K23" s="293">
        <v>1042</v>
      </c>
      <c r="L23" s="297">
        <f>+K23/H23</f>
        <v>104.2</v>
      </c>
      <c r="M23" s="298">
        <f>+J23/K23</f>
        <v>6.813339731285988</v>
      </c>
      <c r="N23" s="299">
        <f>16518+9313.5+7099.5</f>
        <v>32931</v>
      </c>
      <c r="O23" s="293">
        <f>1879+1086+1042</f>
        <v>4007</v>
      </c>
      <c r="P23" s="221">
        <f t="shared" si="1"/>
        <v>8.21836785625156</v>
      </c>
    </row>
    <row r="24" spans="1:16" s="10" customFormat="1" ht="15">
      <c r="A24" s="84">
        <v>20</v>
      </c>
      <c r="B24" s="25"/>
      <c r="C24" s="216" t="s">
        <v>263</v>
      </c>
      <c r="D24" s="277">
        <v>38921</v>
      </c>
      <c r="E24" s="216" t="s">
        <v>93</v>
      </c>
      <c r="F24" s="216" t="s">
        <v>231</v>
      </c>
      <c r="G24" s="209" t="s">
        <v>264</v>
      </c>
      <c r="H24" s="209" t="s">
        <v>264</v>
      </c>
      <c r="I24" s="209" t="s">
        <v>282</v>
      </c>
      <c r="J24" s="268">
        <v>5350.5</v>
      </c>
      <c r="K24" s="292">
        <v>855</v>
      </c>
      <c r="L24" s="301">
        <f>K24/H24</f>
        <v>42.75</v>
      </c>
      <c r="M24" s="302">
        <f>J24/K24</f>
        <v>6.257894736842105</v>
      </c>
      <c r="N24" s="303">
        <v>40538.5</v>
      </c>
      <c r="O24" s="292">
        <v>4848</v>
      </c>
      <c r="P24" s="220">
        <f t="shared" si="1"/>
        <v>8.361901815181518</v>
      </c>
    </row>
    <row r="25" spans="1:16" s="10" customFormat="1" ht="15">
      <c r="A25" s="84">
        <v>21</v>
      </c>
      <c r="B25" s="25"/>
      <c r="C25" s="213" t="s">
        <v>236</v>
      </c>
      <c r="D25" s="277">
        <v>38709</v>
      </c>
      <c r="E25" s="213" t="s">
        <v>34</v>
      </c>
      <c r="F25" s="213" t="s">
        <v>237</v>
      </c>
      <c r="G25" s="131">
        <v>233</v>
      </c>
      <c r="H25" s="131">
        <v>3</v>
      </c>
      <c r="I25" s="131">
        <v>30</v>
      </c>
      <c r="J25" s="267">
        <v>4897</v>
      </c>
      <c r="K25" s="293">
        <v>1620</v>
      </c>
      <c r="L25" s="297">
        <f>+K25/H25</f>
        <v>540</v>
      </c>
      <c r="M25" s="298">
        <f>+J25/K25</f>
        <v>3.0228395061728395</v>
      </c>
      <c r="N25" s="299">
        <v>17112895.5</v>
      </c>
      <c r="O25" s="293">
        <v>2599422</v>
      </c>
      <c r="P25" s="221">
        <f t="shared" si="1"/>
        <v>6.583346413164158</v>
      </c>
    </row>
    <row r="26" spans="1:16" s="10" customFormat="1" ht="15">
      <c r="A26" s="84">
        <v>22</v>
      </c>
      <c r="B26" s="25"/>
      <c r="C26" s="213" t="s">
        <v>253</v>
      </c>
      <c r="D26" s="277">
        <v>38723</v>
      </c>
      <c r="E26" s="213" t="s">
        <v>61</v>
      </c>
      <c r="F26" s="213" t="s">
        <v>140</v>
      </c>
      <c r="G26" s="53">
        <v>280</v>
      </c>
      <c r="H26" s="131">
        <v>3</v>
      </c>
      <c r="I26" s="131">
        <v>20</v>
      </c>
      <c r="J26" s="267">
        <v>4839</v>
      </c>
      <c r="K26" s="293">
        <v>1331</v>
      </c>
      <c r="L26" s="297">
        <f>+K26/H26</f>
        <v>443.6666666666667</v>
      </c>
      <c r="M26" s="298">
        <f>+J26/K26</f>
        <v>3.6356123215627347</v>
      </c>
      <c r="N26" s="299">
        <f>5592380+3880622.5+1673082.62+1119075.5+434517.5+130151.5+6347.5+744.5+27+2593+460+255+1561+9584+3764+14256+725+8416+4752+4839</f>
        <v>12888153.620000001</v>
      </c>
      <c r="O26" s="293">
        <f>871283+621889+270076+179456+67736+23058+1452+132+6+608+92+51+376+3188+1672+3564+242+2806+1584+1331</f>
        <v>2050602</v>
      </c>
      <c r="P26" s="221">
        <f t="shared" si="1"/>
        <v>6.2850585437837285</v>
      </c>
    </row>
    <row r="27" spans="1:16" s="10" customFormat="1" ht="15">
      <c r="A27" s="84">
        <v>23</v>
      </c>
      <c r="B27" s="25"/>
      <c r="C27" s="213" t="s">
        <v>243</v>
      </c>
      <c r="D27" s="277">
        <v>38912</v>
      </c>
      <c r="E27" s="216" t="s">
        <v>93</v>
      </c>
      <c r="F27" s="213" t="s">
        <v>231</v>
      </c>
      <c r="G27" s="131">
        <v>11</v>
      </c>
      <c r="H27" s="131">
        <v>11</v>
      </c>
      <c r="I27" s="131">
        <v>4</v>
      </c>
      <c r="J27" s="267">
        <v>4588</v>
      </c>
      <c r="K27" s="293">
        <v>738</v>
      </c>
      <c r="L27" s="297">
        <f>+K27/H27</f>
        <v>67.0909090909091</v>
      </c>
      <c r="M27" s="298">
        <f>+J27/K27</f>
        <v>6.2168021680216805</v>
      </c>
      <c r="N27" s="299">
        <v>56267</v>
      </c>
      <c r="O27" s="293">
        <v>6944</v>
      </c>
      <c r="P27" s="221">
        <f t="shared" si="1"/>
        <v>8.102966589861751</v>
      </c>
    </row>
    <row r="28" spans="1:16" s="10" customFormat="1" ht="15">
      <c r="A28" s="84">
        <v>24</v>
      </c>
      <c r="B28" s="25"/>
      <c r="C28" s="213" t="s">
        <v>230</v>
      </c>
      <c r="D28" s="277">
        <v>38898</v>
      </c>
      <c r="E28" s="216" t="s">
        <v>93</v>
      </c>
      <c r="F28" s="213" t="s">
        <v>231</v>
      </c>
      <c r="G28" s="131">
        <v>7</v>
      </c>
      <c r="H28" s="131">
        <v>7</v>
      </c>
      <c r="I28" s="131">
        <v>6</v>
      </c>
      <c r="J28" s="267">
        <v>4333</v>
      </c>
      <c r="K28" s="293">
        <v>732</v>
      </c>
      <c r="L28" s="297">
        <f>+K28/H28</f>
        <v>104.57142857142857</v>
      </c>
      <c r="M28" s="298">
        <f>+J28/K28</f>
        <v>5.919398907103825</v>
      </c>
      <c r="N28" s="299">
        <v>105304.5</v>
      </c>
      <c r="O28" s="293">
        <v>14033</v>
      </c>
      <c r="P28" s="221">
        <f t="shared" si="1"/>
        <v>7.504061854200812</v>
      </c>
    </row>
    <row r="29" spans="1:16" s="10" customFormat="1" ht="15">
      <c r="A29" s="84">
        <v>25</v>
      </c>
      <c r="B29" s="25"/>
      <c r="C29" s="213" t="s">
        <v>192</v>
      </c>
      <c r="D29" s="277">
        <v>38863</v>
      </c>
      <c r="E29" s="213" t="s">
        <v>61</v>
      </c>
      <c r="F29" s="213" t="s">
        <v>62</v>
      </c>
      <c r="G29" s="53">
        <v>61</v>
      </c>
      <c r="H29" s="131">
        <v>4</v>
      </c>
      <c r="I29" s="131">
        <v>11</v>
      </c>
      <c r="J29" s="267">
        <v>4217</v>
      </c>
      <c r="K29" s="293">
        <v>1223</v>
      </c>
      <c r="L29" s="297">
        <f>+K29/H29</f>
        <v>305.75</v>
      </c>
      <c r="M29" s="298">
        <f>+J29/K29</f>
        <v>3.4480784955028616</v>
      </c>
      <c r="N29" s="299">
        <f>666456+404849+225072+162061.5+76866+54951.5+33408+13723.5+10923+3808+4217</f>
        <v>1656335.5</v>
      </c>
      <c r="O29" s="293">
        <f>83759+51381+29986+23774+12608+9892+6238+2444+3191+1145+1223</f>
        <v>225641</v>
      </c>
      <c r="P29" s="221">
        <f t="shared" si="1"/>
        <v>7.34057861824757</v>
      </c>
    </row>
    <row r="30" spans="1:16" s="10" customFormat="1" ht="15">
      <c r="A30" s="84">
        <v>26</v>
      </c>
      <c r="B30" s="25"/>
      <c r="C30" s="216" t="s">
        <v>228</v>
      </c>
      <c r="D30" s="279">
        <v>38898</v>
      </c>
      <c r="E30" s="216" t="s">
        <v>93</v>
      </c>
      <c r="F30" s="216" t="s">
        <v>165</v>
      </c>
      <c r="G30" s="209" t="s">
        <v>229</v>
      </c>
      <c r="H30" s="209" t="s">
        <v>199</v>
      </c>
      <c r="I30" s="209" t="s">
        <v>283</v>
      </c>
      <c r="J30" s="268">
        <v>3955</v>
      </c>
      <c r="K30" s="292">
        <v>742</v>
      </c>
      <c r="L30" s="301">
        <f>K30/H30</f>
        <v>74.2</v>
      </c>
      <c r="M30" s="302">
        <f>J30/K30</f>
        <v>5.330188679245283</v>
      </c>
      <c r="N30" s="303">
        <v>146672</v>
      </c>
      <c r="O30" s="292">
        <v>21102</v>
      </c>
      <c r="P30" s="220">
        <f t="shared" si="1"/>
        <v>6.950620794237513</v>
      </c>
    </row>
    <row r="31" spans="1:16" s="10" customFormat="1" ht="15">
      <c r="A31" s="84">
        <v>27</v>
      </c>
      <c r="B31" s="25"/>
      <c r="C31" s="213" t="s">
        <v>201</v>
      </c>
      <c r="D31" s="277">
        <v>38877</v>
      </c>
      <c r="E31" s="213" t="s">
        <v>59</v>
      </c>
      <c r="F31" s="213" t="s">
        <v>64</v>
      </c>
      <c r="G31" s="53">
        <v>60</v>
      </c>
      <c r="H31" s="131">
        <v>3</v>
      </c>
      <c r="I31" s="131">
        <v>9</v>
      </c>
      <c r="J31" s="267">
        <v>3711</v>
      </c>
      <c r="K31" s="293">
        <v>997</v>
      </c>
      <c r="L31" s="297">
        <f>+K31/H31</f>
        <v>332.3333333333333</v>
      </c>
      <c r="M31" s="298">
        <f>+J31/K31</f>
        <v>3.7221664994984955</v>
      </c>
      <c r="N31" s="299">
        <v>638496</v>
      </c>
      <c r="O31" s="293">
        <v>79975</v>
      </c>
      <c r="P31" s="221">
        <f t="shared" si="1"/>
        <v>7.983694904657706</v>
      </c>
    </row>
    <row r="32" spans="1:16" s="10" customFormat="1" ht="15">
      <c r="A32" s="84">
        <v>28</v>
      </c>
      <c r="B32" s="25"/>
      <c r="C32" s="215" t="s">
        <v>191</v>
      </c>
      <c r="D32" s="277">
        <v>38863</v>
      </c>
      <c r="E32" s="215" t="s">
        <v>118</v>
      </c>
      <c r="F32" s="215" t="s">
        <v>67</v>
      </c>
      <c r="G32" s="93">
        <v>35</v>
      </c>
      <c r="H32" s="93">
        <v>10</v>
      </c>
      <c r="I32" s="93">
        <v>11</v>
      </c>
      <c r="J32" s="267">
        <v>3512</v>
      </c>
      <c r="K32" s="293">
        <v>722</v>
      </c>
      <c r="L32" s="301">
        <f>K32/H32</f>
        <v>72.2</v>
      </c>
      <c r="M32" s="302">
        <f>J32/K32</f>
        <v>4.864265927977839</v>
      </c>
      <c r="N32" s="299">
        <f>149883.5+135641.5+82301.5+72589.5+39819+39540+36570.5+16522+7667.5+7505+3512</f>
        <v>591552</v>
      </c>
      <c r="O32" s="293">
        <f>19608+17668+11309+10378+6088+6513+6684+3212+1345+1482+722</f>
        <v>85009</v>
      </c>
      <c r="P32" s="220">
        <f t="shared" si="1"/>
        <v>6.958698490748039</v>
      </c>
    </row>
    <row r="33" spans="1:16" s="10" customFormat="1" ht="15">
      <c r="A33" s="84">
        <v>29</v>
      </c>
      <c r="B33" s="25"/>
      <c r="C33" s="213" t="s">
        <v>193</v>
      </c>
      <c r="D33" s="277">
        <v>38874</v>
      </c>
      <c r="E33" s="213" t="s">
        <v>61</v>
      </c>
      <c r="F33" s="213" t="s">
        <v>62</v>
      </c>
      <c r="G33" s="53">
        <v>66</v>
      </c>
      <c r="H33" s="131">
        <v>8</v>
      </c>
      <c r="I33" s="131">
        <v>9</v>
      </c>
      <c r="J33" s="267">
        <v>3447</v>
      </c>
      <c r="K33" s="293">
        <v>731</v>
      </c>
      <c r="L33" s="297">
        <f>+K33/H33</f>
        <v>91.375</v>
      </c>
      <c r="M33" s="298">
        <f>+J33/K33</f>
        <v>4.7154582763337896</v>
      </c>
      <c r="N33" s="299">
        <f>298281+498557+283775.5+118453+85103+72332.5+39742.5+13388+10412.5+3447</f>
        <v>1423492</v>
      </c>
      <c r="O33" s="293">
        <f>42602+67227+38732+16300+14294+12524+8012+2616+2215+731</f>
        <v>205253</v>
      </c>
      <c r="P33" s="221">
        <f t="shared" si="1"/>
        <v>6.935304234286466</v>
      </c>
    </row>
    <row r="34" spans="1:16" s="10" customFormat="1" ht="15">
      <c r="A34" s="84">
        <v>30</v>
      </c>
      <c r="B34" s="25"/>
      <c r="C34" s="214" t="s">
        <v>88</v>
      </c>
      <c r="D34" s="279">
        <v>38828</v>
      </c>
      <c r="E34" s="300" t="s">
        <v>58</v>
      </c>
      <c r="F34" s="214" t="s">
        <v>71</v>
      </c>
      <c r="G34" s="48">
        <v>59</v>
      </c>
      <c r="H34" s="48">
        <v>2</v>
      </c>
      <c r="I34" s="48">
        <v>15</v>
      </c>
      <c r="J34" s="268">
        <v>3440.5</v>
      </c>
      <c r="K34" s="292">
        <v>738</v>
      </c>
      <c r="L34" s="301">
        <f>K34/H34</f>
        <v>369</v>
      </c>
      <c r="M34" s="302">
        <f>J34/K34</f>
        <v>4.661924119241192</v>
      </c>
      <c r="N34" s="303">
        <f>365673.5+242198.5+102288+967.5+39022+4819.5+5052.5+2597+1947+372+616+2131.5+647+474+423+3440.5</f>
        <v>772669.5</v>
      </c>
      <c r="O34" s="292">
        <f>45213+29847+13085+1+6124+1313+1025+532+463+93+154+353+162+79+93+738</f>
        <v>99275</v>
      </c>
      <c r="P34" s="220">
        <f t="shared" si="1"/>
        <v>7.78312263913372</v>
      </c>
    </row>
    <row r="35" spans="1:16" s="10" customFormat="1" ht="15">
      <c r="A35" s="84">
        <v>31</v>
      </c>
      <c r="B35" s="25"/>
      <c r="C35" s="215" t="s">
        <v>204</v>
      </c>
      <c r="D35" s="277">
        <v>38877</v>
      </c>
      <c r="E35" s="215" t="s">
        <v>118</v>
      </c>
      <c r="F35" s="215" t="s">
        <v>172</v>
      </c>
      <c r="G35" s="93">
        <v>64</v>
      </c>
      <c r="H35" s="93">
        <v>12</v>
      </c>
      <c r="I35" s="93">
        <v>9</v>
      </c>
      <c r="J35" s="267">
        <v>3356</v>
      </c>
      <c r="K35" s="293">
        <v>640</v>
      </c>
      <c r="L35" s="301">
        <f>K35/H35</f>
        <v>53.333333333333336</v>
      </c>
      <c r="M35" s="302">
        <f>J35/K35</f>
        <v>5.24375</v>
      </c>
      <c r="N35" s="299">
        <f>94169.5+63426.5+19841+16453.5+12618.5+9991+4741+3516+3356</f>
        <v>228113</v>
      </c>
      <c r="O35" s="293">
        <f>14426+9567+3182+3017+2315+1729+923+616+640</f>
        <v>36415</v>
      </c>
      <c r="P35" s="220">
        <f t="shared" si="1"/>
        <v>6.264259233832212</v>
      </c>
    </row>
    <row r="36" spans="1:16" s="10" customFormat="1" ht="15">
      <c r="A36" s="84">
        <v>32</v>
      </c>
      <c r="B36" s="25"/>
      <c r="C36" s="213" t="s">
        <v>194</v>
      </c>
      <c r="D36" s="277">
        <v>38870</v>
      </c>
      <c r="E36" s="213" t="s">
        <v>59</v>
      </c>
      <c r="F36" s="213" t="s">
        <v>64</v>
      </c>
      <c r="G36" s="53">
        <v>82</v>
      </c>
      <c r="H36" s="131">
        <v>6</v>
      </c>
      <c r="I36" s="131">
        <v>10</v>
      </c>
      <c r="J36" s="267">
        <v>3034</v>
      </c>
      <c r="K36" s="293">
        <v>837</v>
      </c>
      <c r="L36" s="297">
        <f>+K36/H36</f>
        <v>139.5</v>
      </c>
      <c r="M36" s="298">
        <f>+J36/K36</f>
        <v>3.6248506571087216</v>
      </c>
      <c r="N36" s="299">
        <v>429730</v>
      </c>
      <c r="O36" s="293">
        <v>61523</v>
      </c>
      <c r="P36" s="221">
        <f t="shared" si="1"/>
        <v>6.984867447946296</v>
      </c>
    </row>
    <row r="37" spans="1:16" s="10" customFormat="1" ht="15">
      <c r="A37" s="84">
        <v>33</v>
      </c>
      <c r="B37" s="25"/>
      <c r="C37" s="213" t="s">
        <v>284</v>
      </c>
      <c r="D37" s="277">
        <v>38653</v>
      </c>
      <c r="E37" s="213" t="s">
        <v>61</v>
      </c>
      <c r="F37" s="213" t="s">
        <v>140</v>
      </c>
      <c r="G37" s="53">
        <v>180</v>
      </c>
      <c r="H37" s="131">
        <v>1</v>
      </c>
      <c r="I37" s="131">
        <v>19</v>
      </c>
      <c r="J37" s="267">
        <v>3021</v>
      </c>
      <c r="K37" s="293">
        <v>1007</v>
      </c>
      <c r="L37" s="297">
        <f>+K37/H37</f>
        <v>1007</v>
      </c>
      <c r="M37" s="298">
        <f>+J37/K37</f>
        <v>3</v>
      </c>
      <c r="N37" s="299">
        <f>1350319+1981946+674687+495931+221393.5+106280+35943.5+15737+10017+3134+1274+2376+2951-5+5409+32+32+196+291+3021</f>
        <v>4910965</v>
      </c>
      <c r="O37" s="293">
        <f>208954+300860+104860+82209+41215+22985+6363+3444+2831+685+270+1188+383+1986+8+8+49+97+1007</f>
        <v>779402</v>
      </c>
      <c r="P37" s="221">
        <f t="shared" si="1"/>
        <v>6.300939694791648</v>
      </c>
    </row>
    <row r="38" spans="1:16" s="10" customFormat="1" ht="15">
      <c r="A38" s="84">
        <v>34</v>
      </c>
      <c r="B38" s="25"/>
      <c r="C38" s="214" t="s">
        <v>84</v>
      </c>
      <c r="D38" s="279">
        <v>38821</v>
      </c>
      <c r="E38" s="300" t="s">
        <v>58</v>
      </c>
      <c r="F38" s="214" t="s">
        <v>83</v>
      </c>
      <c r="G38" s="48">
        <v>32</v>
      </c>
      <c r="H38" s="48">
        <v>1</v>
      </c>
      <c r="I38" s="48">
        <v>15</v>
      </c>
      <c r="J38" s="268">
        <v>2816</v>
      </c>
      <c r="K38" s="292">
        <v>487</v>
      </c>
      <c r="L38" s="301">
        <f>K38/H38</f>
        <v>487</v>
      </c>
      <c r="M38" s="302">
        <f>J38/K38</f>
        <v>5.782340862422998</v>
      </c>
      <c r="N38" s="303">
        <f>122911+88335.5+16+40828.5+16007.5+37291.5+2997+4262.5+1548.5+1019+773+795+232+858+832+2816</f>
        <v>321523</v>
      </c>
      <c r="O38" s="292">
        <f>13093+9562-3+4800+2670+6683+902+881+241+192+176+168+59+189+49+487</f>
        <v>40149</v>
      </c>
      <c r="P38" s="220">
        <f t="shared" si="1"/>
        <v>8.008244290019677</v>
      </c>
    </row>
    <row r="39" spans="1:16" s="10" customFormat="1" ht="15">
      <c r="A39" s="84">
        <v>35</v>
      </c>
      <c r="B39" s="25"/>
      <c r="C39" s="213" t="s">
        <v>285</v>
      </c>
      <c r="D39" s="277">
        <v>38751</v>
      </c>
      <c r="E39" s="213" t="s">
        <v>34</v>
      </c>
      <c r="F39" s="213" t="s">
        <v>66</v>
      </c>
      <c r="G39" s="131">
        <v>277</v>
      </c>
      <c r="H39" s="131">
        <v>2</v>
      </c>
      <c r="I39" s="131">
        <v>23</v>
      </c>
      <c r="J39" s="267">
        <v>2629</v>
      </c>
      <c r="K39" s="293">
        <v>842</v>
      </c>
      <c r="L39" s="297">
        <f>+K39/H39</f>
        <v>421</v>
      </c>
      <c r="M39" s="298">
        <f>+J39/K39</f>
        <v>3.1223277909738716</v>
      </c>
      <c r="N39" s="299">
        <v>27425371</v>
      </c>
      <c r="O39" s="293">
        <v>4253392.666666667</v>
      </c>
      <c r="P39" s="221">
        <f t="shared" si="1"/>
        <v>6.447881291311139</v>
      </c>
    </row>
    <row r="40" spans="1:16" s="10" customFormat="1" ht="15">
      <c r="A40" s="84">
        <v>36</v>
      </c>
      <c r="B40" s="25"/>
      <c r="C40" s="213" t="s">
        <v>249</v>
      </c>
      <c r="D40" s="277">
        <v>38842</v>
      </c>
      <c r="E40" s="213" t="s">
        <v>59</v>
      </c>
      <c r="F40" s="213" t="s">
        <v>72</v>
      </c>
      <c r="G40" s="53">
        <v>173</v>
      </c>
      <c r="H40" s="131">
        <v>2</v>
      </c>
      <c r="I40" s="131">
        <v>14</v>
      </c>
      <c r="J40" s="267">
        <v>2185</v>
      </c>
      <c r="K40" s="293">
        <v>591</v>
      </c>
      <c r="L40" s="297">
        <f>+K40/H40</f>
        <v>295.5</v>
      </c>
      <c r="M40" s="298">
        <f>+J40/K40</f>
        <v>3.697123519458545</v>
      </c>
      <c r="N40" s="299">
        <v>2830688</v>
      </c>
      <c r="O40" s="293">
        <v>381026</v>
      </c>
      <c r="P40" s="221">
        <f t="shared" si="1"/>
        <v>7.429120322497678</v>
      </c>
    </row>
    <row r="41" spans="1:16" s="10" customFormat="1" ht="15">
      <c r="A41" s="84">
        <v>37</v>
      </c>
      <c r="B41" s="25"/>
      <c r="C41" s="214" t="s">
        <v>215</v>
      </c>
      <c r="D41" s="279">
        <v>38765</v>
      </c>
      <c r="E41" s="300" t="s">
        <v>58</v>
      </c>
      <c r="F41" s="214" t="s">
        <v>70</v>
      </c>
      <c r="G41" s="48">
        <v>23</v>
      </c>
      <c r="H41" s="48">
        <v>1</v>
      </c>
      <c r="I41" s="48">
        <v>17</v>
      </c>
      <c r="J41" s="268">
        <v>2014</v>
      </c>
      <c r="K41" s="292">
        <v>475</v>
      </c>
      <c r="L41" s="301">
        <f>K41/H41</f>
        <v>475</v>
      </c>
      <c r="M41" s="302">
        <f>J41/K41</f>
        <v>4.24</v>
      </c>
      <c r="N41" s="303">
        <f>233855.5+204363.5+128310.5+63025+34881+574.5+33654+11641+7934+7483+300+4766+188+102+1767.5+210+1188+832+2014</f>
        <v>737089.5</v>
      </c>
      <c r="O41" s="292">
        <f>23969+21050+14093+7549+5203+51+5592+2578+1510+1129+34+863+23+411+42+198+49+475</f>
        <v>84819</v>
      </c>
      <c r="P41" s="220">
        <f t="shared" si="1"/>
        <v>8.690146075761326</v>
      </c>
    </row>
    <row r="42" spans="1:16" s="10" customFormat="1" ht="15">
      <c r="A42" s="84">
        <v>38</v>
      </c>
      <c r="B42" s="25"/>
      <c r="C42" s="214" t="s">
        <v>96</v>
      </c>
      <c r="D42" s="279">
        <v>38835</v>
      </c>
      <c r="E42" s="300" t="s">
        <v>58</v>
      </c>
      <c r="F42" s="214" t="s">
        <v>107</v>
      </c>
      <c r="G42" s="48">
        <v>40</v>
      </c>
      <c r="H42" s="48">
        <v>1</v>
      </c>
      <c r="I42" s="48">
        <v>13</v>
      </c>
      <c r="J42" s="268">
        <v>2014</v>
      </c>
      <c r="K42" s="292">
        <v>475</v>
      </c>
      <c r="L42" s="301">
        <f>K42/H42</f>
        <v>475</v>
      </c>
      <c r="M42" s="302">
        <f>J42/K42</f>
        <v>4.24</v>
      </c>
      <c r="N42" s="303">
        <f>140527+60007+17227+3041.5+24+5449.5+8065.5+2589.5+722.5+832+1861.5+564+547+2014</f>
        <v>243472</v>
      </c>
      <c r="O42" s="292">
        <f>16242+7267+2760+627+1138+1358+550+141+166+373+180+135+475</f>
        <v>31412</v>
      </c>
      <c r="P42" s="220">
        <f t="shared" si="1"/>
        <v>7.7509232140583215</v>
      </c>
    </row>
    <row r="43" spans="1:16" s="10" customFormat="1" ht="15">
      <c r="A43" s="84">
        <v>39</v>
      </c>
      <c r="B43" s="25"/>
      <c r="C43" s="213" t="s">
        <v>94</v>
      </c>
      <c r="D43" s="277">
        <v>38835</v>
      </c>
      <c r="E43" s="213" t="s">
        <v>59</v>
      </c>
      <c r="F43" s="213" t="s">
        <v>69</v>
      </c>
      <c r="G43" s="53">
        <v>71</v>
      </c>
      <c r="H43" s="131">
        <v>2</v>
      </c>
      <c r="I43" s="131">
        <v>15</v>
      </c>
      <c r="J43" s="267">
        <v>1798</v>
      </c>
      <c r="K43" s="293">
        <v>215</v>
      </c>
      <c r="L43" s="297">
        <f>+K43/H43</f>
        <v>107.5</v>
      </c>
      <c r="M43" s="298">
        <f>+J43/K43</f>
        <v>8.362790697674418</v>
      </c>
      <c r="N43" s="299">
        <v>1006142</v>
      </c>
      <c r="O43" s="293">
        <v>124128</v>
      </c>
      <c r="P43" s="221">
        <f t="shared" si="1"/>
        <v>8.10568123227636</v>
      </c>
    </row>
    <row r="44" spans="1:16" s="10" customFormat="1" ht="15">
      <c r="A44" s="84">
        <v>40</v>
      </c>
      <c r="B44" s="25"/>
      <c r="C44" s="213" t="s">
        <v>110</v>
      </c>
      <c r="D44" s="277">
        <v>38751</v>
      </c>
      <c r="E44" s="213" t="s">
        <v>59</v>
      </c>
      <c r="F44" s="213" t="s">
        <v>69</v>
      </c>
      <c r="G44" s="53">
        <v>51</v>
      </c>
      <c r="H44" s="131">
        <v>1</v>
      </c>
      <c r="I44" s="131">
        <v>27</v>
      </c>
      <c r="J44" s="267">
        <v>1750</v>
      </c>
      <c r="K44" s="293">
        <v>525</v>
      </c>
      <c r="L44" s="297">
        <f>+K44/H44</f>
        <v>525</v>
      </c>
      <c r="M44" s="298">
        <f>+J44/K44</f>
        <v>3.3333333333333335</v>
      </c>
      <c r="N44" s="299">
        <v>1342328</v>
      </c>
      <c r="O44" s="293">
        <v>176030</v>
      </c>
      <c r="P44" s="221">
        <f t="shared" si="1"/>
        <v>7.625563824348123</v>
      </c>
    </row>
    <row r="45" spans="1:16" s="10" customFormat="1" ht="15">
      <c r="A45" s="84">
        <v>41</v>
      </c>
      <c r="B45" s="25"/>
      <c r="C45" s="215" t="s">
        <v>245</v>
      </c>
      <c r="D45" s="277">
        <v>38905</v>
      </c>
      <c r="E45" s="215" t="s">
        <v>118</v>
      </c>
      <c r="F45" s="215" t="s">
        <v>246</v>
      </c>
      <c r="G45" s="93">
        <v>10</v>
      </c>
      <c r="H45" s="93">
        <v>7</v>
      </c>
      <c r="I45" s="93">
        <v>5</v>
      </c>
      <c r="J45" s="267">
        <v>1719</v>
      </c>
      <c r="K45" s="293">
        <v>352</v>
      </c>
      <c r="L45" s="301">
        <f>K45/H45</f>
        <v>50.285714285714285</v>
      </c>
      <c r="M45" s="302">
        <f>J45/K45</f>
        <v>4.8835227272727275</v>
      </c>
      <c r="N45" s="299">
        <f>13259+2856.5+4926+4327+1719</f>
        <v>27087.5</v>
      </c>
      <c r="O45" s="293">
        <f>1361+397+710+656+352</f>
        <v>3476</v>
      </c>
      <c r="P45" s="220">
        <f t="shared" si="1"/>
        <v>7.792721518987341</v>
      </c>
    </row>
    <row r="46" spans="1:16" s="10" customFormat="1" ht="15">
      <c r="A46" s="84">
        <v>42</v>
      </c>
      <c r="B46" s="25"/>
      <c r="C46" s="214" t="s">
        <v>218</v>
      </c>
      <c r="D46" s="279">
        <v>38891</v>
      </c>
      <c r="E46" s="214" t="s">
        <v>41</v>
      </c>
      <c r="F46" s="214" t="s">
        <v>219</v>
      </c>
      <c r="G46" s="48">
        <v>55</v>
      </c>
      <c r="H46" s="48">
        <v>4</v>
      </c>
      <c r="I46" s="48">
        <v>7</v>
      </c>
      <c r="J46" s="273">
        <v>1704</v>
      </c>
      <c r="K46" s="301">
        <v>266</v>
      </c>
      <c r="L46" s="297">
        <f>IF(J46&lt;&gt;0,K46/H46,"")</f>
        <v>66.5</v>
      </c>
      <c r="M46" s="298">
        <f>IF(J46&lt;&gt;0,J46/K46,"")</f>
        <v>6.406015037593985</v>
      </c>
      <c r="N46" s="304">
        <f>67295+44281+11549+4526+2634.5+2574.5+1704</f>
        <v>134564</v>
      </c>
      <c r="O46" s="293">
        <f>8542+6209+1796+898+481+469+266</f>
        <v>18661</v>
      </c>
      <c r="P46" s="221">
        <f>IF(N46&lt;&gt;0,N46/O46,"")</f>
        <v>7.210974760195059</v>
      </c>
    </row>
    <row r="47" spans="1:16" s="10" customFormat="1" ht="15">
      <c r="A47" s="84">
        <v>43</v>
      </c>
      <c r="B47" s="25"/>
      <c r="C47" s="213" t="s">
        <v>213</v>
      </c>
      <c r="D47" s="277">
        <v>38849</v>
      </c>
      <c r="E47" s="213" t="s">
        <v>35</v>
      </c>
      <c r="F47" s="213" t="s">
        <v>73</v>
      </c>
      <c r="G47" s="131">
        <v>21</v>
      </c>
      <c r="H47" s="131">
        <v>2</v>
      </c>
      <c r="I47" s="131">
        <v>13</v>
      </c>
      <c r="J47" s="267">
        <v>1641.5</v>
      </c>
      <c r="K47" s="293">
        <v>370</v>
      </c>
      <c r="L47" s="297">
        <f>+K47/H47</f>
        <v>185</v>
      </c>
      <c r="M47" s="298">
        <f>+J47/K47</f>
        <v>4.436486486486486</v>
      </c>
      <c r="N47" s="299">
        <v>226426.79</v>
      </c>
      <c r="O47" s="293">
        <v>29183</v>
      </c>
      <c r="P47" s="221">
        <f>+N47/O47</f>
        <v>7.758859267381695</v>
      </c>
    </row>
    <row r="48" spans="1:16" s="10" customFormat="1" ht="15">
      <c r="A48" s="84">
        <v>44</v>
      </c>
      <c r="B48" s="25"/>
      <c r="C48" s="213" t="s">
        <v>147</v>
      </c>
      <c r="D48" s="277">
        <v>38737</v>
      </c>
      <c r="E48" s="213" t="s">
        <v>61</v>
      </c>
      <c r="F48" s="213" t="s">
        <v>73</v>
      </c>
      <c r="G48" s="53">
        <v>43</v>
      </c>
      <c r="H48" s="131">
        <v>2</v>
      </c>
      <c r="I48" s="131">
        <v>19</v>
      </c>
      <c r="J48" s="267">
        <v>1574</v>
      </c>
      <c r="K48" s="293">
        <v>397</v>
      </c>
      <c r="L48" s="297">
        <f>+K48/H48</f>
        <v>198.5</v>
      </c>
      <c r="M48" s="298">
        <f>+J48/K48</f>
        <v>3.9647355163727958</v>
      </c>
      <c r="N48" s="299">
        <f>396203.5+294727+144308+39007.5+20845+13381+3440+5237.5+6333+2618+1285+5683+2376+297+2376+1345+535+147+1574</f>
        <v>941718.5</v>
      </c>
      <c r="O48" s="293">
        <f>47896+35851+17460+6558+3746+4007+1374+1611+1950+556+169+1830+1188+72+792+240+107+49+397</f>
        <v>125853</v>
      </c>
      <c r="P48" s="221">
        <f>+N48/O48</f>
        <v>7.4826861497143495</v>
      </c>
    </row>
    <row r="49" spans="1:16" s="10" customFormat="1" ht="15">
      <c r="A49" s="84">
        <v>45</v>
      </c>
      <c r="B49" s="25"/>
      <c r="C49" s="215" t="s">
        <v>266</v>
      </c>
      <c r="D49" s="277">
        <v>38926</v>
      </c>
      <c r="E49" s="215" t="s">
        <v>118</v>
      </c>
      <c r="F49" s="215" t="s">
        <v>267</v>
      </c>
      <c r="G49" s="93">
        <v>14</v>
      </c>
      <c r="H49" s="93">
        <v>10</v>
      </c>
      <c r="I49" s="93">
        <v>2</v>
      </c>
      <c r="J49" s="267">
        <v>1550</v>
      </c>
      <c r="K49" s="293">
        <v>237</v>
      </c>
      <c r="L49" s="301">
        <f>K49/H49</f>
        <v>23.7</v>
      </c>
      <c r="M49" s="302">
        <f>J49/K49</f>
        <v>6.540084388185654</v>
      </c>
      <c r="N49" s="299">
        <f>7752+1550</f>
        <v>9302</v>
      </c>
      <c r="O49" s="293">
        <f>958+237</f>
        <v>1195</v>
      </c>
      <c r="P49" s="220">
        <f>+N49/O49</f>
        <v>7.784100418410042</v>
      </c>
    </row>
    <row r="50" spans="1:16" s="10" customFormat="1" ht="15">
      <c r="A50" s="84">
        <v>46</v>
      </c>
      <c r="B50" s="25"/>
      <c r="C50" s="214" t="s">
        <v>48</v>
      </c>
      <c r="D50" s="279">
        <v>38800</v>
      </c>
      <c r="E50" s="214" t="s">
        <v>41</v>
      </c>
      <c r="F50" s="214" t="s">
        <v>81</v>
      </c>
      <c r="G50" s="48">
        <v>58</v>
      </c>
      <c r="H50" s="48">
        <v>4</v>
      </c>
      <c r="I50" s="48">
        <v>20</v>
      </c>
      <c r="J50" s="273">
        <v>1460.5</v>
      </c>
      <c r="K50" s="301">
        <v>273</v>
      </c>
      <c r="L50" s="297">
        <f>IF(J50&lt;&gt;0,K50/H50,"")</f>
        <v>68.25</v>
      </c>
      <c r="M50" s="298">
        <f>IF(J50&lt;&gt;0,J50/K50,"")</f>
        <v>5.3498168498168495</v>
      </c>
      <c r="N50" s="304">
        <f>350945.5+222517.5+139156.5+40897.5+38142.5+25481.5+16036.5+2540+5715.5+4760+5176+3952+1523+1314+3068+3142.5+1229.5+841.5+1265+1460.5</f>
        <v>869165</v>
      </c>
      <c r="O50" s="293">
        <f>46256+31606+20219+8293+8608+6050+3760+524+1828+885+1287+758+233+204+640+566+226+133+179+273</f>
        <v>132528</v>
      </c>
      <c r="P50" s="221">
        <f>IF(N50&lt;&gt;0,N50/O50,"")</f>
        <v>6.5583499335989375</v>
      </c>
    </row>
    <row r="51" spans="1:16" s="10" customFormat="1" ht="15">
      <c r="A51" s="84">
        <v>47</v>
      </c>
      <c r="B51" s="25"/>
      <c r="C51" s="214" t="s">
        <v>189</v>
      </c>
      <c r="D51" s="279">
        <v>38863</v>
      </c>
      <c r="E51" s="300" t="s">
        <v>58</v>
      </c>
      <c r="F51" s="214" t="s">
        <v>77</v>
      </c>
      <c r="G51" s="48">
        <v>17</v>
      </c>
      <c r="H51" s="48">
        <v>3</v>
      </c>
      <c r="I51" s="48">
        <v>11</v>
      </c>
      <c r="J51" s="268">
        <v>1262.5</v>
      </c>
      <c r="K51" s="292">
        <v>320</v>
      </c>
      <c r="L51" s="301">
        <f>K51/H51</f>
        <v>106.66666666666667</v>
      </c>
      <c r="M51" s="302">
        <f>J51/K51</f>
        <v>3.9453125</v>
      </c>
      <c r="N51" s="303">
        <f>28731.5+16998+5846.5+16940.5+5236+3985.5+2506.5+1567+74+532.5+1262.5</f>
        <v>83680.5</v>
      </c>
      <c r="O51" s="292">
        <f>3778+2334+1022+2867+1066+666+488+307+14+117+320</f>
        <v>12979</v>
      </c>
      <c r="P51" s="220">
        <f aca="true" t="shared" si="2" ref="P51:P69">+N51/O51</f>
        <v>6.447376531319824</v>
      </c>
    </row>
    <row r="52" spans="1:16" s="10" customFormat="1" ht="15">
      <c r="A52" s="84">
        <v>48</v>
      </c>
      <c r="B52" s="25"/>
      <c r="C52" s="213" t="s">
        <v>286</v>
      </c>
      <c r="D52" s="277">
        <v>38368</v>
      </c>
      <c r="E52" s="213" t="s">
        <v>61</v>
      </c>
      <c r="F52" s="213" t="s">
        <v>140</v>
      </c>
      <c r="G52" s="53">
        <v>106</v>
      </c>
      <c r="H52" s="305">
        <v>1</v>
      </c>
      <c r="I52" s="131">
        <v>37</v>
      </c>
      <c r="J52" s="267">
        <v>1188</v>
      </c>
      <c r="K52" s="293">
        <v>396</v>
      </c>
      <c r="L52" s="297">
        <f>+K52/H52</f>
        <v>396</v>
      </c>
      <c r="M52" s="298">
        <f>+J52/K52</f>
        <v>3</v>
      </c>
      <c r="N52" s="299">
        <f>(2572360000+1805974500+2085550500+848511000+550782500+331140000+176914500+104456000+50690500+36413500+26788500+14913000+3822000+3646500+8070500+9935000+3028000+358500+167000+66283000+31600000+11894000+4022000+3076500+2097000+2689500+2515500+3786500+6793500+2259000+2380000+1512000+1190000+594000)/1000+88+504+396</f>
        <v>8777202.5</v>
      </c>
      <c r="O52" s="293">
        <f>419872+301699+336593+145803+103407+78415+44099+26136+13452+11495+12649+7386+1282+1139+2662+3503+1397+71+49+32643+15800+5930+2011+1654+935+1287+756+1421+3275+876+1190+756+595+297+22+504+396</f>
        <v>1581457</v>
      </c>
      <c r="P52" s="221">
        <f t="shared" si="2"/>
        <v>5.550073444930845</v>
      </c>
    </row>
    <row r="53" spans="1:16" s="10" customFormat="1" ht="15">
      <c r="A53" s="84">
        <v>49</v>
      </c>
      <c r="B53" s="25"/>
      <c r="C53" s="213" t="s">
        <v>287</v>
      </c>
      <c r="D53" s="277">
        <v>38478</v>
      </c>
      <c r="E53" s="213" t="s">
        <v>61</v>
      </c>
      <c r="F53" s="213" t="s">
        <v>62</v>
      </c>
      <c r="G53" s="53">
        <v>110</v>
      </c>
      <c r="H53" s="131">
        <v>1</v>
      </c>
      <c r="I53" s="131">
        <v>28</v>
      </c>
      <c r="J53" s="267">
        <v>1188</v>
      </c>
      <c r="K53" s="293">
        <v>396</v>
      </c>
      <c r="L53" s="297">
        <f>+K53/H53</f>
        <v>396</v>
      </c>
      <c r="M53" s="298">
        <f>+J53/K53</f>
        <v>3</v>
      </c>
      <c r="N53" s="299">
        <f>1552852+1129569+552235+360641+234885+137799+79583+30890+14053+7690+12825+4646+6751+11373+3335+2064+4541+1649+1466+1760+289+1516+291+806+2014+2376+3021+1188</f>
        <v>4162108</v>
      </c>
      <c r="O53" s="293">
        <f>228080+162991+81553+54801+44296+29831+18292+6926+2921+2635+4885+1700+1195+2429+631+396+1815+397+316+417+57+757+58+403+1007+1188+1007+396</f>
        <v>651380</v>
      </c>
      <c r="P53" s="221">
        <f t="shared" si="2"/>
        <v>6.389677300500476</v>
      </c>
    </row>
    <row r="54" spans="1:16" s="10" customFormat="1" ht="15">
      <c r="A54" s="84">
        <v>50</v>
      </c>
      <c r="B54" s="25"/>
      <c r="C54" s="213" t="s">
        <v>288</v>
      </c>
      <c r="D54" s="277">
        <v>37708</v>
      </c>
      <c r="E54" s="213" t="s">
        <v>61</v>
      </c>
      <c r="F54" s="213" t="s">
        <v>289</v>
      </c>
      <c r="G54" s="53">
        <v>60</v>
      </c>
      <c r="H54" s="305">
        <v>1</v>
      </c>
      <c r="I54" s="131">
        <v>32</v>
      </c>
      <c r="J54" s="267">
        <v>1188</v>
      </c>
      <c r="K54" s="293">
        <v>396</v>
      </c>
      <c r="L54" s="297">
        <f>+K54/H54</f>
        <v>396</v>
      </c>
      <c r="M54" s="298">
        <f>+J54/K54</f>
        <v>3</v>
      </c>
      <c r="N54" s="299">
        <v>1581963</v>
      </c>
      <c r="O54" s="293">
        <f>352382+1970+2698+1647+1188+8055+366+303+109+595+44+22+617+18+43+1188+396</f>
        <v>371641</v>
      </c>
      <c r="P54" s="221">
        <f t="shared" si="2"/>
        <v>4.2566966508001</v>
      </c>
    </row>
    <row r="55" spans="1:16" s="10" customFormat="1" ht="15">
      <c r="A55" s="84">
        <v>51</v>
      </c>
      <c r="B55" s="25"/>
      <c r="C55" s="213" t="s">
        <v>290</v>
      </c>
      <c r="D55" s="277">
        <v>37218</v>
      </c>
      <c r="E55" s="213" t="s">
        <v>35</v>
      </c>
      <c r="F55" s="213" t="s">
        <v>291</v>
      </c>
      <c r="G55" s="131">
        <v>15</v>
      </c>
      <c r="H55" s="131">
        <v>2</v>
      </c>
      <c r="I55" s="131">
        <v>62</v>
      </c>
      <c r="J55" s="267">
        <v>1188</v>
      </c>
      <c r="K55" s="293">
        <v>396</v>
      </c>
      <c r="L55" s="297">
        <f>+K55/H55</f>
        <v>198</v>
      </c>
      <c r="M55" s="298">
        <f>+J55/K55</f>
        <v>3</v>
      </c>
      <c r="N55" s="299">
        <v>938234.95</v>
      </c>
      <c r="O55" s="293">
        <v>249089</v>
      </c>
      <c r="P55" s="221">
        <f t="shared" si="2"/>
        <v>3.766665529188362</v>
      </c>
    </row>
    <row r="56" spans="1:16" s="10" customFormat="1" ht="15">
      <c r="A56" s="84">
        <v>52</v>
      </c>
      <c r="B56" s="25"/>
      <c r="C56" s="213" t="s">
        <v>190</v>
      </c>
      <c r="D56" s="277">
        <v>38863</v>
      </c>
      <c r="E56" s="213" t="s">
        <v>59</v>
      </c>
      <c r="F56" s="213" t="s">
        <v>64</v>
      </c>
      <c r="G56" s="53">
        <v>47</v>
      </c>
      <c r="H56" s="131">
        <v>1</v>
      </c>
      <c r="I56" s="131">
        <v>11</v>
      </c>
      <c r="J56" s="267">
        <v>1155</v>
      </c>
      <c r="K56" s="293">
        <v>350</v>
      </c>
      <c r="L56" s="297">
        <f>+K56/H56</f>
        <v>350</v>
      </c>
      <c r="M56" s="298">
        <f>+J56/K56</f>
        <v>3.3</v>
      </c>
      <c r="N56" s="299">
        <v>372547</v>
      </c>
      <c r="O56" s="293">
        <v>48726</v>
      </c>
      <c r="P56" s="221">
        <f t="shared" si="2"/>
        <v>7.645753807002421</v>
      </c>
    </row>
    <row r="57" spans="1:16" s="10" customFormat="1" ht="15">
      <c r="A57" s="84">
        <v>53</v>
      </c>
      <c r="B57" s="25"/>
      <c r="C57" s="214" t="s">
        <v>78</v>
      </c>
      <c r="D57" s="279">
        <v>38814</v>
      </c>
      <c r="E57" s="300" t="s">
        <v>58</v>
      </c>
      <c r="F57" s="214" t="s">
        <v>79</v>
      </c>
      <c r="G57" s="48">
        <v>124</v>
      </c>
      <c r="H57" s="48">
        <v>2</v>
      </c>
      <c r="I57" s="48">
        <v>18</v>
      </c>
      <c r="J57" s="268">
        <v>1116</v>
      </c>
      <c r="K57" s="292">
        <v>269</v>
      </c>
      <c r="L57" s="301">
        <f>K57/H57</f>
        <v>134.5</v>
      </c>
      <c r="M57" s="302">
        <f>J57/K57</f>
        <v>4.148698884758364</v>
      </c>
      <c r="N57" s="303">
        <f>439414+274192+192421+64.5+69171.5+43293.5-3918+20352-1014+12440+194+1138+1592+2424+1929+445+265+289+276+179+204+1116</f>
        <v>1056467.5</v>
      </c>
      <c r="O57" s="292">
        <f>65914+42392+32259+2+13519+9474-1031+5275-202+2638+58+320+376+596+488+111+82+85+78+52+46+269</f>
        <v>172801</v>
      </c>
      <c r="P57" s="220">
        <f t="shared" si="2"/>
        <v>6.113781170247857</v>
      </c>
    </row>
    <row r="58" spans="1:16" s="10" customFormat="1" ht="15">
      <c r="A58" s="84">
        <v>54</v>
      </c>
      <c r="B58" s="25"/>
      <c r="C58" s="213" t="s">
        <v>292</v>
      </c>
      <c r="D58" s="277">
        <v>38688</v>
      </c>
      <c r="E58" s="213" t="s">
        <v>61</v>
      </c>
      <c r="F58" s="213" t="s">
        <v>62</v>
      </c>
      <c r="G58" s="53">
        <v>25</v>
      </c>
      <c r="H58" s="131">
        <v>1</v>
      </c>
      <c r="I58" s="131">
        <v>14</v>
      </c>
      <c r="J58" s="267">
        <v>1092</v>
      </c>
      <c r="K58" s="293">
        <v>182</v>
      </c>
      <c r="L58" s="297">
        <f>+K58/H58</f>
        <v>182</v>
      </c>
      <c r="M58" s="298">
        <f>+J58/K58</f>
        <v>6</v>
      </c>
      <c r="N58" s="299">
        <f>205909.5+140483.5+74291+6533+21809.5+3820+4336+1515+3760+467+752+240+624+1092</f>
        <v>465632.5</v>
      </c>
      <c r="O58" s="293">
        <f>21205+14517+7926+1312+4204+505+579+173+532+53+126+48+100+182</f>
        <v>51462</v>
      </c>
      <c r="P58" s="221">
        <f t="shared" si="2"/>
        <v>9.048084023162723</v>
      </c>
    </row>
    <row r="59" spans="1:16" s="10" customFormat="1" ht="15">
      <c r="A59" s="84">
        <v>55</v>
      </c>
      <c r="B59" s="25"/>
      <c r="C59" s="215" t="s">
        <v>247</v>
      </c>
      <c r="D59" s="277">
        <v>38912</v>
      </c>
      <c r="E59" s="215" t="s">
        <v>118</v>
      </c>
      <c r="F59" s="215" t="s">
        <v>248</v>
      </c>
      <c r="G59" s="93">
        <v>1</v>
      </c>
      <c r="H59" s="93">
        <v>1</v>
      </c>
      <c r="I59" s="93">
        <v>4</v>
      </c>
      <c r="J59" s="267">
        <v>1075</v>
      </c>
      <c r="K59" s="293">
        <v>215</v>
      </c>
      <c r="L59" s="301">
        <f>K59/H59</f>
        <v>215</v>
      </c>
      <c r="M59" s="302">
        <f>J59/K59</f>
        <v>5</v>
      </c>
      <c r="N59" s="299">
        <f>3860+2691+2385+1350+1075</f>
        <v>11361</v>
      </c>
      <c r="O59" s="293">
        <f>509+453+477+230+215</f>
        <v>1884</v>
      </c>
      <c r="P59" s="220">
        <f t="shared" si="2"/>
        <v>6.030254777070064</v>
      </c>
    </row>
    <row r="60" spans="1:16" s="10" customFormat="1" ht="15">
      <c r="A60" s="84">
        <v>56</v>
      </c>
      <c r="B60" s="25"/>
      <c r="C60" s="213" t="s">
        <v>37</v>
      </c>
      <c r="D60" s="277">
        <v>38779</v>
      </c>
      <c r="E60" s="213" t="s">
        <v>59</v>
      </c>
      <c r="F60" s="213" t="s">
        <v>64</v>
      </c>
      <c r="G60" s="53">
        <v>60</v>
      </c>
      <c r="H60" s="131">
        <v>2</v>
      </c>
      <c r="I60" s="131">
        <v>23</v>
      </c>
      <c r="J60" s="267">
        <v>1068</v>
      </c>
      <c r="K60" s="293">
        <v>139</v>
      </c>
      <c r="L60" s="297">
        <f>+K60/H60</f>
        <v>69.5</v>
      </c>
      <c r="M60" s="298">
        <f>+J60/K60</f>
        <v>7.683453237410072</v>
      </c>
      <c r="N60" s="299">
        <v>975925</v>
      </c>
      <c r="O60" s="293">
        <v>145466</v>
      </c>
      <c r="P60" s="221">
        <f t="shared" si="2"/>
        <v>6.708956044711479</v>
      </c>
    </row>
    <row r="61" spans="1:16" s="10" customFormat="1" ht="15">
      <c r="A61" s="84">
        <v>57</v>
      </c>
      <c r="B61" s="25"/>
      <c r="C61" s="215" t="s">
        <v>268</v>
      </c>
      <c r="D61" s="277">
        <v>38919</v>
      </c>
      <c r="E61" s="215" t="s">
        <v>118</v>
      </c>
      <c r="F61" s="215" t="s">
        <v>172</v>
      </c>
      <c r="G61" s="93">
        <v>4</v>
      </c>
      <c r="H61" s="93">
        <v>4</v>
      </c>
      <c r="I61" s="93">
        <v>3</v>
      </c>
      <c r="J61" s="267">
        <v>1054</v>
      </c>
      <c r="K61" s="293">
        <v>145</v>
      </c>
      <c r="L61" s="301">
        <f>K61/H61</f>
        <v>36.25</v>
      </c>
      <c r="M61" s="302">
        <f>J61/K61</f>
        <v>7.268965517241379</v>
      </c>
      <c r="N61" s="299">
        <f>3116.25+6870.5+2836+1054</f>
        <v>13876.75</v>
      </c>
      <c r="O61" s="293">
        <f>523+774+396+145</f>
        <v>1838</v>
      </c>
      <c r="P61" s="220">
        <f t="shared" si="2"/>
        <v>7.549918389553863</v>
      </c>
    </row>
    <row r="62" spans="1:16" s="10" customFormat="1" ht="15">
      <c r="A62" s="84">
        <v>58</v>
      </c>
      <c r="B62" s="25"/>
      <c r="C62" s="213" t="s">
        <v>214</v>
      </c>
      <c r="D62" s="277">
        <v>38884</v>
      </c>
      <c r="E62" s="213" t="s">
        <v>61</v>
      </c>
      <c r="F62" s="213" t="s">
        <v>207</v>
      </c>
      <c r="G62" s="53">
        <v>4</v>
      </c>
      <c r="H62" s="131">
        <v>3</v>
      </c>
      <c r="I62" s="131">
        <v>8</v>
      </c>
      <c r="J62" s="267">
        <v>1047</v>
      </c>
      <c r="K62" s="293">
        <v>195</v>
      </c>
      <c r="L62" s="297">
        <f>+K62/H62</f>
        <v>65</v>
      </c>
      <c r="M62" s="298">
        <f>+J62/K62</f>
        <v>5.369230769230769</v>
      </c>
      <c r="N62" s="299">
        <f>4549+2813+1503+1330+830+744.5+498+1047</f>
        <v>13314.5</v>
      </c>
      <c r="O62" s="293">
        <f>644+413+227+234+160+156+99+195</f>
        <v>2128</v>
      </c>
      <c r="P62" s="221">
        <f t="shared" si="2"/>
        <v>6.256813909774436</v>
      </c>
    </row>
    <row r="63" spans="1:16" s="10" customFormat="1" ht="15">
      <c r="A63" s="84">
        <v>59</v>
      </c>
      <c r="B63" s="25"/>
      <c r="C63" s="214" t="s">
        <v>195</v>
      </c>
      <c r="D63" s="279">
        <v>38870</v>
      </c>
      <c r="E63" s="300" t="s">
        <v>58</v>
      </c>
      <c r="F63" s="214" t="s">
        <v>107</v>
      </c>
      <c r="G63" s="48">
        <v>40</v>
      </c>
      <c r="H63" s="48">
        <v>2</v>
      </c>
      <c r="I63" s="48">
        <v>10</v>
      </c>
      <c r="J63" s="268">
        <v>1021</v>
      </c>
      <c r="K63" s="292">
        <v>169</v>
      </c>
      <c r="L63" s="301">
        <f>K63/H63</f>
        <v>84.5</v>
      </c>
      <c r="M63" s="302">
        <f>J63/K63</f>
        <v>6.041420118343195</v>
      </c>
      <c r="N63" s="303">
        <f>123140+96383.5+44072+11870.5+8393.5+4992+1723+3092.5+797+1021</f>
        <v>295485</v>
      </c>
      <c r="O63" s="292">
        <f>14489+11433+5334+1832+1529+913+311+544+92+169</f>
        <v>36646</v>
      </c>
      <c r="P63" s="220">
        <f t="shared" si="2"/>
        <v>8.06322654587131</v>
      </c>
    </row>
    <row r="64" spans="1:16" s="10" customFormat="1" ht="15">
      <c r="A64" s="84">
        <v>60</v>
      </c>
      <c r="B64" s="25"/>
      <c r="C64" s="213" t="s">
        <v>95</v>
      </c>
      <c r="D64" s="277">
        <v>38835</v>
      </c>
      <c r="E64" s="213" t="s">
        <v>61</v>
      </c>
      <c r="F64" s="213" t="s">
        <v>102</v>
      </c>
      <c r="G64" s="53">
        <v>65</v>
      </c>
      <c r="H64" s="131">
        <v>3</v>
      </c>
      <c r="I64" s="131">
        <v>15</v>
      </c>
      <c r="J64" s="267">
        <v>962</v>
      </c>
      <c r="K64" s="293">
        <v>162</v>
      </c>
      <c r="L64" s="297">
        <f>+K64/H64</f>
        <v>54</v>
      </c>
      <c r="M64" s="298">
        <f>+J64/K64</f>
        <v>5.938271604938271</v>
      </c>
      <c r="N64" s="299">
        <f>931000.5+3911.5+6678.5+4354.5+1114+2335+3189+962</f>
        <v>953545</v>
      </c>
      <c r="O64" s="293">
        <f>51957+35225+20957+7725+6499+6734+4731+2957+723+1206+742+181+339+486+162</f>
        <v>140624</v>
      </c>
      <c r="P64" s="221">
        <f t="shared" si="2"/>
        <v>6.780812663556719</v>
      </c>
    </row>
    <row r="65" spans="1:16" s="10" customFormat="1" ht="15">
      <c r="A65" s="84">
        <v>61</v>
      </c>
      <c r="B65" s="25"/>
      <c r="C65" s="213" t="s">
        <v>293</v>
      </c>
      <c r="D65" s="277">
        <v>37393</v>
      </c>
      <c r="E65" s="213" t="s">
        <v>35</v>
      </c>
      <c r="F65" s="213" t="s">
        <v>294</v>
      </c>
      <c r="G65" s="131">
        <v>31</v>
      </c>
      <c r="H65" s="131">
        <v>1</v>
      </c>
      <c r="I65" s="131">
        <v>24</v>
      </c>
      <c r="J65" s="267">
        <v>948</v>
      </c>
      <c r="K65" s="293">
        <v>316</v>
      </c>
      <c r="L65" s="297">
        <f>+K65/H65</f>
        <v>316</v>
      </c>
      <c r="M65" s="298">
        <f>+J65/K65</f>
        <v>3</v>
      </c>
      <c r="N65" s="299">
        <v>224063.7</v>
      </c>
      <c r="O65" s="293">
        <v>57051</v>
      </c>
      <c r="P65" s="221">
        <f t="shared" si="2"/>
        <v>3.9274280906557295</v>
      </c>
    </row>
    <row r="66" spans="1:16" s="10" customFormat="1" ht="15">
      <c r="A66" s="84">
        <v>62</v>
      </c>
      <c r="B66" s="25"/>
      <c r="C66" s="213" t="s">
        <v>90</v>
      </c>
      <c r="D66" s="277">
        <v>38828</v>
      </c>
      <c r="E66" s="213" t="s">
        <v>59</v>
      </c>
      <c r="F66" s="213" t="s">
        <v>64</v>
      </c>
      <c r="G66" s="53">
        <v>46</v>
      </c>
      <c r="H66" s="131">
        <v>1</v>
      </c>
      <c r="I66" s="131">
        <v>16</v>
      </c>
      <c r="J66" s="267">
        <v>876</v>
      </c>
      <c r="K66" s="293">
        <v>174</v>
      </c>
      <c r="L66" s="297">
        <f>+K66/H66</f>
        <v>174</v>
      </c>
      <c r="M66" s="298">
        <f>+J66/K66</f>
        <v>5.0344827586206895</v>
      </c>
      <c r="N66" s="299">
        <v>296037</v>
      </c>
      <c r="O66" s="293">
        <v>38457</v>
      </c>
      <c r="P66" s="221">
        <f t="shared" si="2"/>
        <v>7.697870348701147</v>
      </c>
    </row>
    <row r="67" spans="1:16" s="10" customFormat="1" ht="15">
      <c r="A67" s="84">
        <v>63</v>
      </c>
      <c r="B67" s="25"/>
      <c r="C67" s="215" t="s">
        <v>160</v>
      </c>
      <c r="D67" s="277">
        <v>38716</v>
      </c>
      <c r="E67" s="215" t="s">
        <v>118</v>
      </c>
      <c r="F67" s="215" t="s">
        <v>161</v>
      </c>
      <c r="G67" s="93">
        <v>9</v>
      </c>
      <c r="H67" s="93">
        <v>2</v>
      </c>
      <c r="I67" s="93">
        <v>30</v>
      </c>
      <c r="J67" s="267">
        <v>833</v>
      </c>
      <c r="K67" s="293">
        <v>174</v>
      </c>
      <c r="L67" s="301">
        <f>K67/H67</f>
        <v>87</v>
      </c>
      <c r="M67" s="302">
        <f>J67/K67</f>
        <v>4.787356321839081</v>
      </c>
      <c r="N67" s="299">
        <f>41335+22428+10569.5+2994.5+6995.5+477+1541+1030+1308+1168.5+974+1343+1399+1115+913+1257+1859.5+2654.5+10471+2543+294+573+4437+2101.5+1610+786+959.5+1180+179+833</f>
        <v>127329</v>
      </c>
      <c r="O67" s="293">
        <f>5101+2761+1545+448+1608+159+304+206+436+246+162+276+329+246+181+254+303+684+2148+666+66+111+863+472+372+254+264+291+34+174</f>
        <v>20964</v>
      </c>
      <c r="P67" s="220">
        <f t="shared" si="2"/>
        <v>6.073697767601603</v>
      </c>
    </row>
    <row r="68" spans="1:16" s="10" customFormat="1" ht="15">
      <c r="A68" s="84">
        <v>64</v>
      </c>
      <c r="B68" s="25"/>
      <c r="C68" s="213" t="s">
        <v>113</v>
      </c>
      <c r="D68" s="277">
        <v>38856</v>
      </c>
      <c r="E68" s="213" t="s">
        <v>59</v>
      </c>
      <c r="F68" s="213" t="s">
        <v>210</v>
      </c>
      <c r="G68" s="53">
        <v>160</v>
      </c>
      <c r="H68" s="131">
        <v>3</v>
      </c>
      <c r="I68" s="131">
        <v>12</v>
      </c>
      <c r="J68" s="267">
        <v>832</v>
      </c>
      <c r="K68" s="293">
        <v>416</v>
      </c>
      <c r="L68" s="297">
        <f>+K68/H68</f>
        <v>138.66666666666666</v>
      </c>
      <c r="M68" s="298">
        <f>+J68/K68</f>
        <v>2</v>
      </c>
      <c r="N68" s="299">
        <v>1151766</v>
      </c>
      <c r="O68" s="293">
        <v>179772</v>
      </c>
      <c r="P68" s="221">
        <f t="shared" si="2"/>
        <v>6.406815299379214</v>
      </c>
    </row>
    <row r="69" spans="1:16" s="10" customFormat="1" ht="15">
      <c r="A69" s="84">
        <v>65</v>
      </c>
      <c r="B69" s="25"/>
      <c r="C69" s="213" t="s">
        <v>203</v>
      </c>
      <c r="D69" s="277">
        <v>38877</v>
      </c>
      <c r="E69" s="213" t="s">
        <v>61</v>
      </c>
      <c r="F69" s="213" t="s">
        <v>73</v>
      </c>
      <c r="G69" s="53">
        <v>50</v>
      </c>
      <c r="H69" s="131">
        <v>3</v>
      </c>
      <c r="I69" s="131">
        <v>9</v>
      </c>
      <c r="J69" s="267">
        <v>774</v>
      </c>
      <c r="K69" s="293">
        <v>143</v>
      </c>
      <c r="L69" s="297">
        <f>+K69/H69</f>
        <v>47.666666666666664</v>
      </c>
      <c r="M69" s="298">
        <f>+J69/K69</f>
        <v>5.4125874125874125</v>
      </c>
      <c r="N69" s="299">
        <f>105526.5+80630+23538+22039+18613.5+7788+1983.5+1001.5+774</f>
        <v>261894</v>
      </c>
      <c r="O69" s="293">
        <f>13528+10356+3577+4465+3628+1925+456+212+143</f>
        <v>38290</v>
      </c>
      <c r="P69" s="221">
        <f t="shared" si="2"/>
        <v>6.839749281796814</v>
      </c>
    </row>
    <row r="70" spans="1:16" s="10" customFormat="1" ht="15">
      <c r="A70" s="84">
        <v>66</v>
      </c>
      <c r="B70" s="25"/>
      <c r="C70" s="214" t="s">
        <v>49</v>
      </c>
      <c r="D70" s="279">
        <v>38793</v>
      </c>
      <c r="E70" s="214" t="s">
        <v>41</v>
      </c>
      <c r="F70" s="214" t="s">
        <v>67</v>
      </c>
      <c r="G70" s="48">
        <v>71</v>
      </c>
      <c r="H70" s="48">
        <v>1</v>
      </c>
      <c r="I70" s="48">
        <v>17</v>
      </c>
      <c r="J70" s="273">
        <v>747</v>
      </c>
      <c r="K70" s="301">
        <v>150</v>
      </c>
      <c r="L70" s="297">
        <f>IF(J70&lt;&gt;0,K70/H70,"")</f>
        <v>150</v>
      </c>
      <c r="M70" s="298">
        <f>IF(J70&lt;&gt;0,J70/K70,"")</f>
        <v>4.98</v>
      </c>
      <c r="N70" s="304">
        <f>139188.5+65126.5+15320+6439+3617+3772+4116+209.5+299+80+130+145+1032+392+477+494+747</f>
        <v>241584.5</v>
      </c>
      <c r="O70" s="293">
        <f>20151+10232+2945+1343+1021+739+717+69+58+16+26+29+187+97+108+130+150</f>
        <v>38018</v>
      </c>
      <c r="P70" s="221">
        <f>IF(N70&lt;&gt;0,N70/O70,"")</f>
        <v>6.354476826766269</v>
      </c>
    </row>
    <row r="71" spans="1:16" s="10" customFormat="1" ht="15">
      <c r="A71" s="84">
        <v>67</v>
      </c>
      <c r="B71" s="25"/>
      <c r="C71" s="215" t="s">
        <v>232</v>
      </c>
      <c r="D71" s="277">
        <v>38898</v>
      </c>
      <c r="E71" s="215" t="s">
        <v>118</v>
      </c>
      <c r="F71" s="215" t="s">
        <v>252</v>
      </c>
      <c r="G71" s="93">
        <v>5</v>
      </c>
      <c r="H71" s="93">
        <v>4</v>
      </c>
      <c r="I71" s="93">
        <v>6</v>
      </c>
      <c r="J71" s="267">
        <v>723</v>
      </c>
      <c r="K71" s="293">
        <v>118</v>
      </c>
      <c r="L71" s="301">
        <f>K71/H71</f>
        <v>29.5</v>
      </c>
      <c r="M71" s="302">
        <f>J71/K71</f>
        <v>6.127118644067797</v>
      </c>
      <c r="N71" s="299">
        <f>6551.5+3573+601+2282+519.5+723</f>
        <v>14250</v>
      </c>
      <c r="O71" s="293">
        <f>756+441+97+365+71+118</f>
        <v>1848</v>
      </c>
      <c r="P71" s="220">
        <f aca="true" t="shared" si="3" ref="P71:P91">+N71/O71</f>
        <v>7.711038961038961</v>
      </c>
    </row>
    <row r="72" spans="1:16" s="10" customFormat="1" ht="15">
      <c r="A72" s="84">
        <v>68</v>
      </c>
      <c r="B72" s="25"/>
      <c r="C72" s="215" t="s">
        <v>295</v>
      </c>
      <c r="D72" s="277">
        <v>38639</v>
      </c>
      <c r="E72" s="215" t="s">
        <v>118</v>
      </c>
      <c r="F72" s="215" t="s">
        <v>248</v>
      </c>
      <c r="G72" s="93">
        <v>7</v>
      </c>
      <c r="H72" s="93">
        <v>1</v>
      </c>
      <c r="I72" s="93">
        <v>19</v>
      </c>
      <c r="J72" s="267">
        <v>714</v>
      </c>
      <c r="K72" s="293">
        <v>238</v>
      </c>
      <c r="L72" s="301">
        <f>K72/H72</f>
        <v>238</v>
      </c>
      <c r="M72" s="302">
        <f>J72/K72</f>
        <v>3</v>
      </c>
      <c r="N72" s="299">
        <f>28963.5+28618+20693+7789.5+4183+3517+224+3660+150+741+315+957+2019+413+1509+66+992+237+714</f>
        <v>105761</v>
      </c>
      <c r="O72" s="293">
        <f>3714+3514+2496+1322+559+1053+41+881+30+141+105+319+673+69+503+22+124+79+238</f>
        <v>15883</v>
      </c>
      <c r="P72" s="220">
        <f t="shared" si="3"/>
        <v>6.658754643329345</v>
      </c>
    </row>
    <row r="73" spans="1:16" s="10" customFormat="1" ht="15">
      <c r="A73" s="84">
        <v>69</v>
      </c>
      <c r="B73" s="25"/>
      <c r="C73" s="216" t="s">
        <v>296</v>
      </c>
      <c r="D73" s="279">
        <v>38296</v>
      </c>
      <c r="E73" s="216" t="s">
        <v>35</v>
      </c>
      <c r="F73" s="213" t="s">
        <v>73</v>
      </c>
      <c r="G73" s="209" t="s">
        <v>264</v>
      </c>
      <c r="H73" s="131">
        <v>1</v>
      </c>
      <c r="I73" s="131">
        <v>36</v>
      </c>
      <c r="J73" s="267">
        <v>711</v>
      </c>
      <c r="K73" s="293">
        <v>237</v>
      </c>
      <c r="L73" s="297">
        <f>+K73/H73</f>
        <v>237</v>
      </c>
      <c r="M73" s="298">
        <f>+J73/K73</f>
        <v>3</v>
      </c>
      <c r="N73" s="299">
        <v>326108</v>
      </c>
      <c r="O73" s="293">
        <v>48863</v>
      </c>
      <c r="P73" s="221">
        <f t="shared" si="3"/>
        <v>6.673925055768168</v>
      </c>
    </row>
    <row r="74" spans="1:16" s="10" customFormat="1" ht="15">
      <c r="A74" s="84">
        <v>70</v>
      </c>
      <c r="B74" s="25"/>
      <c r="C74" s="213" t="s">
        <v>89</v>
      </c>
      <c r="D74" s="277">
        <v>38828</v>
      </c>
      <c r="E74" s="213" t="s">
        <v>61</v>
      </c>
      <c r="F74" s="213" t="s">
        <v>73</v>
      </c>
      <c r="G74" s="53">
        <v>43</v>
      </c>
      <c r="H74" s="131">
        <v>4</v>
      </c>
      <c r="I74" s="131">
        <v>16</v>
      </c>
      <c r="J74" s="267">
        <v>670</v>
      </c>
      <c r="K74" s="293">
        <v>133</v>
      </c>
      <c r="L74" s="297">
        <f>+K74/H74</f>
        <v>33.25</v>
      </c>
      <c r="M74" s="298">
        <f>+J74/K74</f>
        <v>5.037593984962406</v>
      </c>
      <c r="N74" s="299">
        <f>221837.5+151726+100334.5+58293.5+26175.5+11161+17463.5+3291+21578+7312+4262.5+2303+855+1116+823+670</f>
        <v>629202</v>
      </c>
      <c r="O74" s="293">
        <f>31465+21243+15047+11409+5192+2380+3862+919+4153+1349+750+401+171+250+160+133</f>
        <v>98884</v>
      </c>
      <c r="P74" s="221">
        <f t="shared" si="3"/>
        <v>6.363031430767363</v>
      </c>
    </row>
    <row r="75" spans="1:16" s="10" customFormat="1" ht="15">
      <c r="A75" s="84">
        <v>71</v>
      </c>
      <c r="B75" s="25"/>
      <c r="C75" s="214" t="s">
        <v>106</v>
      </c>
      <c r="D75" s="279">
        <v>38849</v>
      </c>
      <c r="E75" s="300" t="s">
        <v>58</v>
      </c>
      <c r="F75" s="214" t="s">
        <v>70</v>
      </c>
      <c r="G75" s="48">
        <v>20</v>
      </c>
      <c r="H75" s="48">
        <v>2</v>
      </c>
      <c r="I75" s="48">
        <v>13</v>
      </c>
      <c r="J75" s="268">
        <v>631.5</v>
      </c>
      <c r="K75" s="292">
        <v>116</v>
      </c>
      <c r="L75" s="301">
        <f>K75/H75</f>
        <v>58</v>
      </c>
      <c r="M75" s="302">
        <f>J75/K75</f>
        <v>5.443965517241379</v>
      </c>
      <c r="N75" s="303">
        <f>28036+3671+205.5+163+1253+2839.5+647+761+270+636+824.5+185+631.5</f>
        <v>40123</v>
      </c>
      <c r="O75" s="292">
        <f>3110+476+42+29+189+527+120+144+61+99+132+37+116</f>
        <v>5082</v>
      </c>
      <c r="P75" s="220">
        <f t="shared" si="3"/>
        <v>7.895120031483668</v>
      </c>
    </row>
    <row r="76" spans="1:16" s="10" customFormat="1" ht="15">
      <c r="A76" s="84">
        <v>72</v>
      </c>
      <c r="B76" s="25"/>
      <c r="C76" s="215" t="s">
        <v>122</v>
      </c>
      <c r="D76" s="277">
        <v>38744</v>
      </c>
      <c r="E76" s="215" t="s">
        <v>118</v>
      </c>
      <c r="F76" s="215" t="s">
        <v>172</v>
      </c>
      <c r="G76" s="93">
        <v>7</v>
      </c>
      <c r="H76" s="93">
        <v>2</v>
      </c>
      <c r="I76" s="93">
        <v>24</v>
      </c>
      <c r="J76" s="267">
        <v>621</v>
      </c>
      <c r="K76" s="293">
        <v>127</v>
      </c>
      <c r="L76" s="301">
        <f>K76/H76</f>
        <v>63.5</v>
      </c>
      <c r="M76" s="302">
        <f>J76/K76</f>
        <v>4.889763779527559</v>
      </c>
      <c r="N76" s="299">
        <f>23060.5+7183+3670+700+2376+2273+1430+3390+1771.5+3246+11360+7257.5+2859+2510+4107+155+170+490+579+165+77+352+780+621</f>
        <v>80582.5</v>
      </c>
      <c r="O76" s="293">
        <f>2772+1034+467+35+792+451+260+597+327+776+1582+1115+514+499+716+31+45+79+173+21+19+87+140+127</f>
        <v>12659</v>
      </c>
      <c r="P76" s="220">
        <f t="shared" si="3"/>
        <v>6.365629196619007</v>
      </c>
    </row>
    <row r="77" spans="1:16" s="10" customFormat="1" ht="15">
      <c r="A77" s="84">
        <v>73</v>
      </c>
      <c r="B77" s="25"/>
      <c r="C77" s="215" t="s">
        <v>198</v>
      </c>
      <c r="D77" s="277">
        <v>38870</v>
      </c>
      <c r="E77" s="215" t="s">
        <v>118</v>
      </c>
      <c r="F77" s="215" t="s">
        <v>133</v>
      </c>
      <c r="G77" s="93">
        <v>5</v>
      </c>
      <c r="H77" s="93">
        <v>4</v>
      </c>
      <c r="I77" s="93">
        <v>7</v>
      </c>
      <c r="J77" s="267">
        <v>596</v>
      </c>
      <c r="K77" s="293">
        <v>108</v>
      </c>
      <c r="L77" s="301">
        <f>K77/H77</f>
        <v>27</v>
      </c>
      <c r="M77" s="302">
        <f>J77/K77</f>
        <v>5.518518518518518</v>
      </c>
      <c r="N77" s="299">
        <f>20882.25+8209.5+3896+2400+1136+1611+7379.5+2057+1578+454+596</f>
        <v>50199.25</v>
      </c>
      <c r="O77" s="293">
        <f>2709+885+473+442+218+235+996+335+288+86+108</f>
        <v>6775</v>
      </c>
      <c r="P77" s="220">
        <f t="shared" si="3"/>
        <v>7.4094833948339485</v>
      </c>
    </row>
    <row r="78" spans="1:16" s="10" customFormat="1" ht="15">
      <c r="A78" s="84">
        <v>74</v>
      </c>
      <c r="B78" s="25"/>
      <c r="C78" s="214" t="s">
        <v>21</v>
      </c>
      <c r="D78" s="279">
        <v>38786</v>
      </c>
      <c r="E78" s="300" t="s">
        <v>58</v>
      </c>
      <c r="F78" s="214" t="s">
        <v>65</v>
      </c>
      <c r="G78" s="48">
        <v>88</v>
      </c>
      <c r="H78" s="48">
        <v>1</v>
      </c>
      <c r="I78" s="48">
        <v>13</v>
      </c>
      <c r="J78" s="268">
        <v>566</v>
      </c>
      <c r="K78" s="292">
        <v>131</v>
      </c>
      <c r="L78" s="301">
        <f>K78/H78</f>
        <v>131</v>
      </c>
      <c r="M78" s="302">
        <f>J78/K78</f>
        <v>4.320610687022901</v>
      </c>
      <c r="N78" s="303">
        <f>766172.5+426876.5+722.5+265870+79562.5+40+30203.5+20801+7671+6348+3330+1374+273+1434+566</f>
        <v>1611244.5</v>
      </c>
      <c r="O78" s="292">
        <f>104283+58908+78+37818+14443+4+6768+4620+1770+1277+711+322+66+295+131</f>
        <v>231494</v>
      </c>
      <c r="P78" s="220">
        <f t="shared" si="3"/>
        <v>6.960199832393064</v>
      </c>
    </row>
    <row r="79" spans="1:16" s="10" customFormat="1" ht="15">
      <c r="A79" s="84">
        <v>75</v>
      </c>
      <c r="B79" s="25"/>
      <c r="C79" s="213" t="s">
        <v>297</v>
      </c>
      <c r="D79" s="277">
        <v>38695</v>
      </c>
      <c r="E79" s="213" t="s">
        <v>59</v>
      </c>
      <c r="F79" s="213" t="s">
        <v>64</v>
      </c>
      <c r="G79" s="53">
        <v>77</v>
      </c>
      <c r="H79" s="131">
        <v>1</v>
      </c>
      <c r="I79" s="131">
        <v>35</v>
      </c>
      <c r="J79" s="267">
        <v>546</v>
      </c>
      <c r="K79" s="293">
        <v>146</v>
      </c>
      <c r="L79" s="297">
        <f>+K79/H79</f>
        <v>146</v>
      </c>
      <c r="M79" s="298">
        <f>+J79/K79</f>
        <v>3.73972602739726</v>
      </c>
      <c r="N79" s="299">
        <v>1928251</v>
      </c>
      <c r="O79" s="293">
        <v>282697</v>
      </c>
      <c r="P79" s="221">
        <f t="shared" si="3"/>
        <v>6.820910727740301</v>
      </c>
    </row>
    <row r="80" spans="1:16" s="10" customFormat="1" ht="15">
      <c r="A80" s="84">
        <v>76</v>
      </c>
      <c r="B80" s="25"/>
      <c r="C80" s="216" t="s">
        <v>39</v>
      </c>
      <c r="D80" s="279">
        <v>38793</v>
      </c>
      <c r="E80" s="216" t="s">
        <v>34</v>
      </c>
      <c r="F80" s="216" t="s">
        <v>68</v>
      </c>
      <c r="G80" s="209">
        <v>33</v>
      </c>
      <c r="H80" s="209" t="s">
        <v>282</v>
      </c>
      <c r="I80" s="209" t="s">
        <v>298</v>
      </c>
      <c r="J80" s="268">
        <v>528</v>
      </c>
      <c r="K80" s="292">
        <v>109</v>
      </c>
      <c r="L80" s="301">
        <f>K80/H80</f>
        <v>54.5</v>
      </c>
      <c r="M80" s="302">
        <f>J80/K80</f>
        <v>4.844036697247707</v>
      </c>
      <c r="N80" s="303">
        <v>164457.5</v>
      </c>
      <c r="O80" s="292">
        <v>33454.333333333336</v>
      </c>
      <c r="P80" s="220">
        <f t="shared" si="3"/>
        <v>4.91588035431384</v>
      </c>
    </row>
    <row r="81" spans="1:16" s="10" customFormat="1" ht="15">
      <c r="A81" s="84">
        <v>77</v>
      </c>
      <c r="B81" s="25"/>
      <c r="C81" s="214" t="s">
        <v>47</v>
      </c>
      <c r="D81" s="279">
        <v>38800</v>
      </c>
      <c r="E81" s="300" t="s">
        <v>58</v>
      </c>
      <c r="F81" s="214" t="s">
        <v>65</v>
      </c>
      <c r="G81" s="48">
        <v>16</v>
      </c>
      <c r="H81" s="48">
        <v>1</v>
      </c>
      <c r="I81" s="48">
        <v>11</v>
      </c>
      <c r="J81" s="268">
        <v>516.5</v>
      </c>
      <c r="K81" s="292">
        <v>129</v>
      </c>
      <c r="L81" s="301">
        <f>K81/H81</f>
        <v>129</v>
      </c>
      <c r="M81" s="302">
        <f>J81/K81</f>
        <v>4.003875968992248</v>
      </c>
      <c r="N81" s="303">
        <f>82365.5+56251.5+17508+5415.5+3304+3006+1642+540+283+1164+77+516.5</f>
        <v>172073</v>
      </c>
      <c r="O81" s="292">
        <f>8878+5706+2045+866+701+556+302+135+56+222+11+129</f>
        <v>19607</v>
      </c>
      <c r="P81" s="220">
        <f t="shared" si="3"/>
        <v>8.776100372316009</v>
      </c>
    </row>
    <row r="82" spans="1:16" s="10" customFormat="1" ht="15">
      <c r="A82" s="84">
        <v>78</v>
      </c>
      <c r="B82" s="25"/>
      <c r="C82" s="215" t="s">
        <v>299</v>
      </c>
      <c r="D82" s="277">
        <v>38499</v>
      </c>
      <c r="E82" s="215" t="s">
        <v>118</v>
      </c>
      <c r="F82" s="215" t="s">
        <v>161</v>
      </c>
      <c r="G82" s="93">
        <v>4</v>
      </c>
      <c r="H82" s="93">
        <v>3</v>
      </c>
      <c r="I82" s="93">
        <v>29</v>
      </c>
      <c r="J82" s="267">
        <v>487</v>
      </c>
      <c r="K82" s="293">
        <v>91</v>
      </c>
      <c r="L82" s="301">
        <f>K82/H82</f>
        <v>30.333333333333332</v>
      </c>
      <c r="M82" s="302">
        <f>J82/K82</f>
        <v>5.351648351648351</v>
      </c>
      <c r="N82" s="299">
        <f>22778+10601+8594+4583+9364.5+3598+6225.5+6523+4933.5+4428+3825.5+3189+3765.5+5757.5+4033+4106+4021+2190+1121.5+3123+2905+177+1545+831+202+831+87+594+487</f>
        <v>124419.5</v>
      </c>
      <c r="O82" s="293">
        <f>2789+1727+1388+680+1807+625+989+1020+889+910+721+589+638+984+701+821+834+332+182+881+915+58+515+277+59+277+29+198+91</f>
        <v>21926</v>
      </c>
      <c r="P82" s="220">
        <f t="shared" si="3"/>
        <v>5.674518836085014</v>
      </c>
    </row>
    <row r="83" spans="1:16" s="10" customFormat="1" ht="15">
      <c r="A83" s="84">
        <v>79</v>
      </c>
      <c r="B83" s="25"/>
      <c r="C83" s="215" t="s">
        <v>270</v>
      </c>
      <c r="D83" s="277">
        <v>37813</v>
      </c>
      <c r="E83" s="215" t="s">
        <v>118</v>
      </c>
      <c r="F83" s="215" t="s">
        <v>271</v>
      </c>
      <c r="G83" s="93">
        <v>10</v>
      </c>
      <c r="H83" s="93">
        <v>1</v>
      </c>
      <c r="I83" s="93">
        <v>43</v>
      </c>
      <c r="J83" s="267">
        <v>474</v>
      </c>
      <c r="K83" s="293">
        <v>158</v>
      </c>
      <c r="L83" s="301">
        <f>K83/H83</f>
        <v>158</v>
      </c>
      <c r="M83" s="302">
        <f>J83/K83</f>
        <v>3</v>
      </c>
      <c r="N83" s="299">
        <f>101850+106+855+474+474+474+474+474+474</f>
        <v>105655</v>
      </c>
      <c r="O83" s="293">
        <f>21632+20+285+158+158+158+158+158+158</f>
        <v>22885</v>
      </c>
      <c r="P83" s="220">
        <f t="shared" si="3"/>
        <v>4.616779549923531</v>
      </c>
    </row>
    <row r="84" spans="1:16" s="10" customFormat="1" ht="15">
      <c r="A84" s="84">
        <v>80</v>
      </c>
      <c r="B84" s="25"/>
      <c r="C84" s="213" t="s">
        <v>142</v>
      </c>
      <c r="D84" s="277">
        <v>38730</v>
      </c>
      <c r="E84" s="213" t="s">
        <v>59</v>
      </c>
      <c r="F84" s="213" t="s">
        <v>64</v>
      </c>
      <c r="G84" s="53">
        <v>116</v>
      </c>
      <c r="H84" s="131">
        <v>1</v>
      </c>
      <c r="I84" s="131">
        <v>30</v>
      </c>
      <c r="J84" s="267">
        <v>416</v>
      </c>
      <c r="K84" s="293">
        <v>52</v>
      </c>
      <c r="L84" s="297">
        <f>+K84/H84</f>
        <v>52</v>
      </c>
      <c r="M84" s="298">
        <f>+J84/K84</f>
        <v>8</v>
      </c>
      <c r="N84" s="299">
        <v>827649</v>
      </c>
      <c r="O84" s="293">
        <v>467030</v>
      </c>
      <c r="P84" s="221">
        <f t="shared" si="3"/>
        <v>1.7721538230948761</v>
      </c>
    </row>
    <row r="85" spans="1:16" s="10" customFormat="1" ht="15">
      <c r="A85" s="84">
        <v>81</v>
      </c>
      <c r="B85" s="25"/>
      <c r="C85" s="215" t="s">
        <v>134</v>
      </c>
      <c r="D85" s="277">
        <v>38835</v>
      </c>
      <c r="E85" s="215" t="s">
        <v>118</v>
      </c>
      <c r="F85" s="215" t="s">
        <v>220</v>
      </c>
      <c r="G85" s="93">
        <v>5</v>
      </c>
      <c r="H85" s="93">
        <v>3</v>
      </c>
      <c r="I85" s="93">
        <v>12</v>
      </c>
      <c r="J85" s="267">
        <v>410</v>
      </c>
      <c r="K85" s="293">
        <v>86</v>
      </c>
      <c r="L85" s="301">
        <f>K85/H85</f>
        <v>28.666666666666668</v>
      </c>
      <c r="M85" s="302">
        <f>J85/K85</f>
        <v>4.767441860465116</v>
      </c>
      <c r="N85" s="299">
        <f>497.5+5960+2567+1138+75+2686+941.5+877+1134+831+191+360+410</f>
        <v>17668</v>
      </c>
      <c r="O85" s="293">
        <f>103+657+317+178+15+682+143+159+211+277+45+68+86</f>
        <v>2941</v>
      </c>
      <c r="P85" s="220">
        <f t="shared" si="3"/>
        <v>6.0074804488269296</v>
      </c>
    </row>
    <row r="86" spans="1:16" s="10" customFormat="1" ht="15">
      <c r="A86" s="84">
        <v>82</v>
      </c>
      <c r="B86" s="25"/>
      <c r="C86" s="214" t="s">
        <v>209</v>
      </c>
      <c r="D86" s="279">
        <v>38884</v>
      </c>
      <c r="E86" s="300" t="s">
        <v>58</v>
      </c>
      <c r="F86" s="214" t="s">
        <v>71</v>
      </c>
      <c r="G86" s="48">
        <v>24</v>
      </c>
      <c r="H86" s="48">
        <v>3</v>
      </c>
      <c r="I86" s="48">
        <v>8</v>
      </c>
      <c r="J86" s="268">
        <v>361</v>
      </c>
      <c r="K86" s="292">
        <v>108</v>
      </c>
      <c r="L86" s="301">
        <f>K86/H86</f>
        <v>36</v>
      </c>
      <c r="M86" s="302">
        <f>J86/K86</f>
        <v>3.3425925925925926</v>
      </c>
      <c r="N86" s="303">
        <f>82801+37338.5+9794.5+14532.5+5430+4036+2927+361</f>
        <v>157220.5</v>
      </c>
      <c r="O86" s="292">
        <f>9055+4102+1458+2262+953+774+616+108</f>
        <v>19328</v>
      </c>
      <c r="P86" s="220">
        <f t="shared" si="3"/>
        <v>8.134338783112582</v>
      </c>
    </row>
    <row r="87" spans="1:16" s="10" customFormat="1" ht="15">
      <c r="A87" s="84">
        <v>83</v>
      </c>
      <c r="B87" s="25"/>
      <c r="C87" s="213" t="s">
        <v>250</v>
      </c>
      <c r="D87" s="277">
        <v>38751</v>
      </c>
      <c r="E87" s="213" t="s">
        <v>61</v>
      </c>
      <c r="F87" s="213" t="s">
        <v>62</v>
      </c>
      <c r="G87" s="53">
        <v>25</v>
      </c>
      <c r="H87" s="131">
        <v>1</v>
      </c>
      <c r="I87" s="131">
        <v>11</v>
      </c>
      <c r="J87" s="267">
        <v>358</v>
      </c>
      <c r="K87" s="293">
        <v>81</v>
      </c>
      <c r="L87" s="297">
        <f>+K87/H87</f>
        <v>81</v>
      </c>
      <c r="M87" s="298">
        <f>+J87/K87</f>
        <v>4.419753086419753</v>
      </c>
      <c r="N87" s="299">
        <f>146501+85325+27589+9250+4131+1021+1126.5+400+89+2186+358</f>
        <v>277976.5</v>
      </c>
      <c r="O87" s="293">
        <f>15312+9126+3021+1298+698+163+220+57+21+382+81</f>
        <v>30379</v>
      </c>
      <c r="P87" s="221">
        <f t="shared" si="3"/>
        <v>9.15028473616643</v>
      </c>
    </row>
    <row r="88" spans="1:16" s="10" customFormat="1" ht="15">
      <c r="A88" s="84">
        <v>84</v>
      </c>
      <c r="B88" s="25"/>
      <c r="C88" s="213" t="s">
        <v>272</v>
      </c>
      <c r="D88" s="277">
        <v>38457</v>
      </c>
      <c r="E88" s="213" t="s">
        <v>59</v>
      </c>
      <c r="F88" s="213" t="s">
        <v>64</v>
      </c>
      <c r="G88" s="53">
        <v>90</v>
      </c>
      <c r="H88" s="131">
        <v>1</v>
      </c>
      <c r="I88" s="131">
        <v>69</v>
      </c>
      <c r="J88" s="270">
        <v>325</v>
      </c>
      <c r="K88" s="293">
        <v>51</v>
      </c>
      <c r="L88" s="297">
        <f>+K88/H88</f>
        <v>51</v>
      </c>
      <c r="M88" s="298">
        <f>+J88/K88</f>
        <v>6.372549019607843</v>
      </c>
      <c r="N88" s="306">
        <v>895554</v>
      </c>
      <c r="O88" s="293">
        <v>140468</v>
      </c>
      <c r="P88" s="221">
        <f t="shared" si="3"/>
        <v>6.375501893669733</v>
      </c>
    </row>
    <row r="89" spans="1:16" s="10" customFormat="1" ht="15">
      <c r="A89" s="84">
        <v>85</v>
      </c>
      <c r="B89" s="25"/>
      <c r="C89" s="215" t="s">
        <v>119</v>
      </c>
      <c r="D89" s="277">
        <v>38856</v>
      </c>
      <c r="E89" s="215" t="s">
        <v>118</v>
      </c>
      <c r="F89" s="215" t="s">
        <v>121</v>
      </c>
      <c r="G89" s="93">
        <v>10</v>
      </c>
      <c r="H89" s="93">
        <v>2</v>
      </c>
      <c r="I89" s="93">
        <v>9</v>
      </c>
      <c r="J89" s="267">
        <v>284</v>
      </c>
      <c r="K89" s="293">
        <v>44</v>
      </c>
      <c r="L89" s="301">
        <f>K89/H89</f>
        <v>22</v>
      </c>
      <c r="M89" s="302">
        <f>J89/K89</f>
        <v>6.454545454545454</v>
      </c>
      <c r="N89" s="299">
        <f>21534.5+7198.5+1602+1559+1382+474+1068+104+284</f>
        <v>35206</v>
      </c>
      <c r="O89" s="293">
        <f>3022+1231+222+243+253+158+356+15+44</f>
        <v>5544</v>
      </c>
      <c r="P89" s="220">
        <f t="shared" si="3"/>
        <v>6.3502886002886</v>
      </c>
    </row>
    <row r="90" spans="1:16" s="10" customFormat="1" ht="15">
      <c r="A90" s="84">
        <v>86</v>
      </c>
      <c r="B90" s="25"/>
      <c r="C90" s="213" t="s">
        <v>300</v>
      </c>
      <c r="D90" s="277">
        <v>38821</v>
      </c>
      <c r="E90" s="213" t="s">
        <v>59</v>
      </c>
      <c r="F90" s="213" t="s">
        <v>64</v>
      </c>
      <c r="G90" s="53">
        <v>94</v>
      </c>
      <c r="H90" s="131">
        <v>3</v>
      </c>
      <c r="I90" s="131">
        <v>18</v>
      </c>
      <c r="J90" s="267">
        <v>263</v>
      </c>
      <c r="K90" s="293">
        <v>48</v>
      </c>
      <c r="L90" s="297">
        <f>+K90/H90</f>
        <v>16</v>
      </c>
      <c r="M90" s="298">
        <f>+J90/K90</f>
        <v>5.479166666666667</v>
      </c>
      <c r="N90" s="299">
        <v>1008494</v>
      </c>
      <c r="O90" s="293">
        <v>149372</v>
      </c>
      <c r="P90" s="221">
        <f t="shared" si="3"/>
        <v>6.751559863963795</v>
      </c>
    </row>
    <row r="91" spans="1:16" s="10" customFormat="1" ht="15">
      <c r="A91" s="84">
        <v>87</v>
      </c>
      <c r="B91" s="25"/>
      <c r="C91" s="213" t="s">
        <v>51</v>
      </c>
      <c r="D91" s="277">
        <v>38800</v>
      </c>
      <c r="E91" s="213" t="s">
        <v>61</v>
      </c>
      <c r="F91" s="213" t="s">
        <v>62</v>
      </c>
      <c r="G91" s="53">
        <v>92</v>
      </c>
      <c r="H91" s="131">
        <v>1</v>
      </c>
      <c r="I91" s="131">
        <v>16</v>
      </c>
      <c r="J91" s="267">
        <v>253</v>
      </c>
      <c r="K91" s="293">
        <v>49</v>
      </c>
      <c r="L91" s="297">
        <f>+K91/H91</f>
        <v>49</v>
      </c>
      <c r="M91" s="298">
        <f>+J91/K91</f>
        <v>5.163265306122449</v>
      </c>
      <c r="N91" s="299">
        <f>481751.5+308419.5+242119.5+52953+38471.5+16408.5+18127+1517+5096+60+3053+445.5+482+889+3926+253</f>
        <v>1173972</v>
      </c>
      <c r="O91" s="293">
        <f>67910+40806+32344+8727+9142+4213+4473+313+1639+13+1011+76+110+151+1151+49</f>
        <v>172128</v>
      </c>
      <c r="P91" s="221">
        <f t="shared" si="3"/>
        <v>6.820343000557725</v>
      </c>
    </row>
    <row r="92" spans="1:16" s="10" customFormat="1" ht="15">
      <c r="A92" s="84">
        <v>88</v>
      </c>
      <c r="B92" s="25"/>
      <c r="C92" s="214" t="s">
        <v>205</v>
      </c>
      <c r="D92" s="279">
        <v>38877</v>
      </c>
      <c r="E92" s="214" t="s">
        <v>165</v>
      </c>
      <c r="F92" s="214" t="s">
        <v>211</v>
      </c>
      <c r="G92" s="48">
        <v>12</v>
      </c>
      <c r="H92" s="48">
        <v>3</v>
      </c>
      <c r="I92" s="48">
        <v>11</v>
      </c>
      <c r="J92" s="272">
        <v>234</v>
      </c>
      <c r="K92" s="294">
        <v>54</v>
      </c>
      <c r="L92" s="294">
        <f>IF(J92&lt;&gt;0,K92/H92,"")</f>
        <v>18</v>
      </c>
      <c r="M92" s="298">
        <f>IF(J92&lt;&gt;0,J92/K92,"")</f>
        <v>4.333333333333333</v>
      </c>
      <c r="N92" s="307">
        <v>82170.51</v>
      </c>
      <c r="O92" s="294">
        <v>11439</v>
      </c>
      <c r="P92" s="221">
        <f>IF(N92&lt;&gt;0,N92/O92,"")</f>
        <v>7.183364804615787</v>
      </c>
    </row>
    <row r="93" spans="1:16" s="10" customFormat="1" ht="15">
      <c r="A93" s="84">
        <v>89</v>
      </c>
      <c r="B93" s="25"/>
      <c r="C93" s="213" t="s">
        <v>269</v>
      </c>
      <c r="D93" s="277">
        <v>38625</v>
      </c>
      <c r="E93" s="213" t="s">
        <v>61</v>
      </c>
      <c r="F93" s="213" t="s">
        <v>207</v>
      </c>
      <c r="G93" s="53">
        <v>15</v>
      </c>
      <c r="H93" s="131">
        <v>2</v>
      </c>
      <c r="I93" s="131">
        <v>18</v>
      </c>
      <c r="J93" s="267">
        <v>215</v>
      </c>
      <c r="K93" s="293">
        <v>32</v>
      </c>
      <c r="L93" s="297">
        <f>+K93/H93</f>
        <v>16</v>
      </c>
      <c r="M93" s="298">
        <f>+J93/K93</f>
        <v>6.71875</v>
      </c>
      <c r="N93" s="299">
        <f>31856+16509+6952+6248+480+131+416+496+40+1511.5+432+547+906+223+377+161+755+215</f>
        <v>68255.5</v>
      </c>
      <c r="O93" s="293">
        <f>4243+2104+1227+1195+143+40+100+108+10+357+48+58+148+29+50+21+148+32</f>
        <v>10061</v>
      </c>
      <c r="P93" s="221">
        <f>+N93/O93</f>
        <v>6.7841665838385845</v>
      </c>
    </row>
    <row r="94" spans="1:16" s="10" customFormat="1" ht="15">
      <c r="A94" s="84">
        <v>90</v>
      </c>
      <c r="B94" s="25"/>
      <c r="C94" s="215" t="s">
        <v>301</v>
      </c>
      <c r="D94" s="277">
        <v>38191</v>
      </c>
      <c r="E94" s="215" t="s">
        <v>118</v>
      </c>
      <c r="F94" s="215" t="s">
        <v>133</v>
      </c>
      <c r="G94" s="93">
        <v>3</v>
      </c>
      <c r="H94" s="93">
        <v>1</v>
      </c>
      <c r="I94" s="93">
        <v>32</v>
      </c>
      <c r="J94" s="267">
        <v>210</v>
      </c>
      <c r="K94" s="293">
        <v>42</v>
      </c>
      <c r="L94" s="301">
        <f>K94/H94</f>
        <v>42</v>
      </c>
      <c r="M94" s="302">
        <f>J94/K94</f>
        <v>5</v>
      </c>
      <c r="N94" s="299">
        <f>44809+939+1634+438+363+435+381+3327+826+257+76+414+70+126+1425+2370+1830+247+1881+1257+293+158+874+1298+210</f>
        <v>65938</v>
      </c>
      <c r="O94" s="293">
        <f>6652+184+308+91+121+145+107+608+160+57+19+117+20+36+475+414+320+44+284+194+77+21+125+216+42</f>
        <v>10837</v>
      </c>
      <c r="P94" s="220">
        <f>+N94/O94</f>
        <v>6.084525237611885</v>
      </c>
    </row>
    <row r="95" spans="1:16" s="10" customFormat="1" ht="15">
      <c r="A95" s="84">
        <v>91</v>
      </c>
      <c r="B95" s="25"/>
      <c r="C95" s="215" t="s">
        <v>302</v>
      </c>
      <c r="D95" s="277">
        <v>38072</v>
      </c>
      <c r="E95" s="215" t="s">
        <v>118</v>
      </c>
      <c r="F95" s="215" t="s">
        <v>133</v>
      </c>
      <c r="G95" s="93">
        <v>10</v>
      </c>
      <c r="H95" s="93">
        <v>2</v>
      </c>
      <c r="I95" s="93">
        <v>29</v>
      </c>
      <c r="J95" s="267">
        <v>205</v>
      </c>
      <c r="K95" s="293">
        <v>41</v>
      </c>
      <c r="L95" s="301">
        <f>K95/H95</f>
        <v>20.5</v>
      </c>
      <c r="M95" s="302">
        <f>J95/K95</f>
        <v>5</v>
      </c>
      <c r="N95" s="299">
        <f>144986.5+1962+1425+658+399+831+474+205</f>
        <v>150940.5</v>
      </c>
      <c r="O95" s="293">
        <f>23696+654+475+94+57+277+158+41</f>
        <v>25452</v>
      </c>
      <c r="P95" s="220">
        <f>+N95/O95</f>
        <v>5.9303983969825556</v>
      </c>
    </row>
    <row r="96" spans="1:16" s="10" customFormat="1" ht="15">
      <c r="A96" s="84">
        <v>92</v>
      </c>
      <c r="B96" s="25"/>
      <c r="C96" s="214" t="s">
        <v>303</v>
      </c>
      <c r="D96" s="279">
        <v>38779</v>
      </c>
      <c r="E96" s="214" t="s">
        <v>165</v>
      </c>
      <c r="F96" s="214" t="s">
        <v>304</v>
      </c>
      <c r="G96" s="48">
        <v>8</v>
      </c>
      <c r="H96" s="48">
        <v>1</v>
      </c>
      <c r="I96" s="48">
        <v>10</v>
      </c>
      <c r="J96" s="272">
        <v>200</v>
      </c>
      <c r="K96" s="294">
        <v>40</v>
      </c>
      <c r="L96" s="294">
        <f>IF(J96&lt;&gt;0,K96/H96,"")</f>
        <v>40</v>
      </c>
      <c r="M96" s="298">
        <f>IF(J96&lt;&gt;0,J96/K96,"")</f>
        <v>5</v>
      </c>
      <c r="N96" s="307">
        <v>82551.4</v>
      </c>
      <c r="O96" s="294">
        <v>9820</v>
      </c>
      <c r="P96" s="221">
        <f>IF(N96&lt;&gt;0,N96/O96,"")</f>
        <v>8.406456211812626</v>
      </c>
    </row>
    <row r="97" spans="1:16" s="10" customFormat="1" ht="15">
      <c r="A97" s="84">
        <v>93</v>
      </c>
      <c r="B97" s="25"/>
      <c r="C97" s="215" t="s">
        <v>305</v>
      </c>
      <c r="D97" s="277">
        <v>37785</v>
      </c>
      <c r="E97" s="215" t="s">
        <v>118</v>
      </c>
      <c r="F97" s="215" t="s">
        <v>306</v>
      </c>
      <c r="G97" s="93">
        <v>8</v>
      </c>
      <c r="H97" s="93">
        <v>2</v>
      </c>
      <c r="I97" s="93">
        <v>50</v>
      </c>
      <c r="J97" s="267">
        <v>170</v>
      </c>
      <c r="K97" s="293">
        <v>34</v>
      </c>
      <c r="L97" s="301">
        <f>K97/H97</f>
        <v>17</v>
      </c>
      <c r="M97" s="302">
        <f>J97/K97</f>
        <v>5</v>
      </c>
      <c r="N97" s="299">
        <f>166723+610+542.5+424+831+170</f>
        <v>169300.5</v>
      </c>
      <c r="O97" s="293">
        <f>34433+92+91+51+277+34</f>
        <v>34978</v>
      </c>
      <c r="P97" s="220">
        <f>+N97/O97</f>
        <v>4.840199554005375</v>
      </c>
    </row>
    <row r="98" spans="1:16" s="10" customFormat="1" ht="15">
      <c r="A98" s="84">
        <v>94</v>
      </c>
      <c r="B98" s="25"/>
      <c r="C98" s="215" t="s">
        <v>175</v>
      </c>
      <c r="D98" s="277">
        <v>38779</v>
      </c>
      <c r="E98" s="215" t="s">
        <v>118</v>
      </c>
      <c r="F98" s="215" t="s">
        <v>176</v>
      </c>
      <c r="G98" s="93">
        <v>6</v>
      </c>
      <c r="H98" s="93">
        <v>1</v>
      </c>
      <c r="I98" s="93">
        <v>11</v>
      </c>
      <c r="J98" s="267">
        <v>160</v>
      </c>
      <c r="K98" s="293">
        <v>28</v>
      </c>
      <c r="L98" s="301">
        <f>K98/H98</f>
        <v>28</v>
      </c>
      <c r="M98" s="302">
        <f>J98/K98</f>
        <v>5.714285714285714</v>
      </c>
      <c r="N98" s="299">
        <f>9397.5+2137+188+1545+1416+96+2312+762+753+42+160</f>
        <v>18808.5</v>
      </c>
      <c r="O98" s="293">
        <f>1039+275+26+515+419+32+332+112+137+7+28</f>
        <v>2922</v>
      </c>
      <c r="P98" s="220">
        <f>+N98/O98</f>
        <v>6.436858316221766</v>
      </c>
    </row>
    <row r="99" spans="1:16" s="10" customFormat="1" ht="15">
      <c r="A99" s="84">
        <v>95</v>
      </c>
      <c r="B99" s="25"/>
      <c r="C99" s="214" t="s">
        <v>80</v>
      </c>
      <c r="D99" s="279">
        <v>38814</v>
      </c>
      <c r="E99" s="214" t="s">
        <v>41</v>
      </c>
      <c r="F99" s="214" t="s">
        <v>81</v>
      </c>
      <c r="G99" s="48">
        <v>56</v>
      </c>
      <c r="H99" s="48">
        <v>1</v>
      </c>
      <c r="I99" s="48">
        <v>14</v>
      </c>
      <c r="J99" s="273">
        <v>155</v>
      </c>
      <c r="K99" s="301">
        <v>31</v>
      </c>
      <c r="L99" s="297">
        <f>IF(J99&lt;&gt;0,K99/H99,"")</f>
        <v>31</v>
      </c>
      <c r="M99" s="298">
        <f>IF(J99&lt;&gt;0,J99/K99,"")</f>
        <v>5</v>
      </c>
      <c r="N99" s="304">
        <f>217941.5+99459+32613+17816.5+8424.5+3203+531+1188+1702+1401+1683+130+508+155</f>
        <v>386755.5</v>
      </c>
      <c r="O99" s="293">
        <f>30137+15034+5570+3956+2001+658+128+237+338+298+250+16+55+31</f>
        <v>58709</v>
      </c>
      <c r="P99" s="221">
        <f>IF(N99&lt;&gt;0,N99/O99,"")</f>
        <v>6.587669692892061</v>
      </c>
    </row>
    <row r="100" spans="1:16" s="10" customFormat="1" ht="15">
      <c r="A100" s="84">
        <v>96</v>
      </c>
      <c r="B100" s="25"/>
      <c r="C100" s="214" t="s">
        <v>167</v>
      </c>
      <c r="D100" s="279">
        <v>38793</v>
      </c>
      <c r="E100" s="214" t="s">
        <v>41</v>
      </c>
      <c r="F100" s="214" t="s">
        <v>168</v>
      </c>
      <c r="G100" s="48">
        <v>2</v>
      </c>
      <c r="H100" s="48">
        <v>2</v>
      </c>
      <c r="I100" s="48">
        <v>14</v>
      </c>
      <c r="J100" s="273">
        <v>134</v>
      </c>
      <c r="K100" s="301">
        <v>25</v>
      </c>
      <c r="L100" s="297">
        <f>IF(J100&lt;&gt;0,K100/H100,"")</f>
        <v>12.5</v>
      </c>
      <c r="M100" s="298">
        <f>IF(J100&lt;&gt;0,J100/K100,"")</f>
        <v>5.36</v>
      </c>
      <c r="N100" s="304">
        <f>34394.5+636+91+134</f>
        <v>35255.5</v>
      </c>
      <c r="O100" s="293">
        <f>4287+79+17+25</f>
        <v>4408</v>
      </c>
      <c r="P100" s="221">
        <f>IF(N100&lt;&gt;0,N100/O100,"")</f>
        <v>7.99807168784029</v>
      </c>
    </row>
    <row r="101" spans="1:16" s="10" customFormat="1" ht="15">
      <c r="A101" s="84">
        <v>97</v>
      </c>
      <c r="B101" s="25"/>
      <c r="C101" s="215" t="s">
        <v>251</v>
      </c>
      <c r="D101" s="277">
        <v>38905</v>
      </c>
      <c r="E101" s="215" t="s">
        <v>118</v>
      </c>
      <c r="F101" s="215" t="s">
        <v>252</v>
      </c>
      <c r="G101" s="93">
        <v>5</v>
      </c>
      <c r="H101" s="93">
        <v>2</v>
      </c>
      <c r="I101" s="93">
        <v>5</v>
      </c>
      <c r="J101" s="267">
        <v>128</v>
      </c>
      <c r="K101" s="293">
        <v>16</v>
      </c>
      <c r="L101" s="301">
        <f>K101/H101</f>
        <v>8</v>
      </c>
      <c r="M101" s="302">
        <f>J101/K101</f>
        <v>8</v>
      </c>
      <c r="N101" s="299">
        <f>8511+1752+1606+618+128</f>
        <v>12615</v>
      </c>
      <c r="O101" s="293">
        <f>922+255+257+76+16</f>
        <v>1526</v>
      </c>
      <c r="P101" s="220">
        <f aca="true" t="shared" si="4" ref="P101:P118">+N101/O101</f>
        <v>8.266710353866317</v>
      </c>
    </row>
    <row r="102" spans="1:16" s="10" customFormat="1" ht="15">
      <c r="A102" s="84">
        <v>98</v>
      </c>
      <c r="B102" s="25"/>
      <c r="C102" s="213" t="s">
        <v>212</v>
      </c>
      <c r="D102" s="277">
        <v>38884</v>
      </c>
      <c r="E102" s="216" t="s">
        <v>93</v>
      </c>
      <c r="F102" s="213" t="s">
        <v>77</v>
      </c>
      <c r="G102" s="131">
        <v>10</v>
      </c>
      <c r="H102" s="131">
        <v>2</v>
      </c>
      <c r="I102" s="131">
        <v>8</v>
      </c>
      <c r="J102" s="267">
        <v>123</v>
      </c>
      <c r="K102" s="293">
        <v>20</v>
      </c>
      <c r="L102" s="297">
        <f>+K102/H102</f>
        <v>10</v>
      </c>
      <c r="M102" s="298">
        <f>+J102/K102</f>
        <v>6.15</v>
      </c>
      <c r="N102" s="299">
        <v>23412</v>
      </c>
      <c r="O102" s="293">
        <v>3649</v>
      </c>
      <c r="P102" s="221">
        <f t="shared" si="4"/>
        <v>6.416004384762949</v>
      </c>
    </row>
    <row r="103" spans="1:16" s="10" customFormat="1" ht="15">
      <c r="A103" s="84">
        <v>99</v>
      </c>
      <c r="B103" s="25"/>
      <c r="C103" s="215" t="s">
        <v>307</v>
      </c>
      <c r="D103" s="277">
        <v>38254</v>
      </c>
      <c r="E103" s="215" t="s">
        <v>118</v>
      </c>
      <c r="F103" s="215" t="s">
        <v>308</v>
      </c>
      <c r="G103" s="93">
        <v>4</v>
      </c>
      <c r="H103" s="93">
        <v>2</v>
      </c>
      <c r="I103" s="93">
        <v>30</v>
      </c>
      <c r="J103" s="267">
        <v>110</v>
      </c>
      <c r="K103" s="293">
        <v>22</v>
      </c>
      <c r="L103" s="301">
        <f aca="true" t="shared" si="5" ref="L103:L109">K103/H103</f>
        <v>11</v>
      </c>
      <c r="M103" s="302">
        <f aca="true" t="shared" si="6" ref="M103:M109">J103/K103</f>
        <v>5</v>
      </c>
      <c r="N103" s="299">
        <f>28398+15580+11200+6819+3666+11207.5+4242+2121+2251+3914.5+264+1001+314+277+1425+185+1188+630+630+295.5+252+298+281+965+2595+232+516+44+603+110</f>
        <v>101504.5</v>
      </c>
      <c r="O103" s="293">
        <f>3619+2009+1403+855+515+1815+728+339+652+547+61+257+75+58+475+37+396+210+210+54+44+52+56+182+446+30+103+9+121+22</f>
        <v>15380</v>
      </c>
      <c r="P103" s="220">
        <f t="shared" si="4"/>
        <v>6.5997724317295186</v>
      </c>
    </row>
    <row r="104" spans="1:16" s="10" customFormat="1" ht="15">
      <c r="A104" s="84">
        <v>100</v>
      </c>
      <c r="B104" s="25"/>
      <c r="C104" s="215" t="s">
        <v>309</v>
      </c>
      <c r="D104" s="277">
        <v>38044</v>
      </c>
      <c r="E104" s="215" t="s">
        <v>118</v>
      </c>
      <c r="F104" s="215" t="s">
        <v>310</v>
      </c>
      <c r="G104" s="93">
        <v>2</v>
      </c>
      <c r="H104" s="93">
        <v>2</v>
      </c>
      <c r="I104" s="93">
        <v>24</v>
      </c>
      <c r="J104" s="267">
        <v>110</v>
      </c>
      <c r="K104" s="293">
        <v>22</v>
      </c>
      <c r="L104" s="301">
        <f t="shared" si="5"/>
        <v>11</v>
      </c>
      <c r="M104" s="302">
        <f t="shared" si="6"/>
        <v>5</v>
      </c>
      <c r="N104" s="299">
        <f>28266+1425+1782+951+1188+110</f>
        <v>33722</v>
      </c>
      <c r="O104" s="293">
        <f>4297+475+594+317+396+22</f>
        <v>6101</v>
      </c>
      <c r="P104" s="220">
        <f t="shared" si="4"/>
        <v>5.527290608097033</v>
      </c>
    </row>
    <row r="105" spans="1:16" s="10" customFormat="1" ht="15">
      <c r="A105" s="84">
        <v>101</v>
      </c>
      <c r="B105" s="25"/>
      <c r="C105" s="214" t="s">
        <v>202</v>
      </c>
      <c r="D105" s="279">
        <v>38877</v>
      </c>
      <c r="E105" s="300" t="s">
        <v>58</v>
      </c>
      <c r="F105" s="214" t="s">
        <v>31</v>
      </c>
      <c r="G105" s="48">
        <v>55</v>
      </c>
      <c r="H105" s="48">
        <v>1</v>
      </c>
      <c r="I105" s="48">
        <v>9</v>
      </c>
      <c r="J105" s="268">
        <v>96</v>
      </c>
      <c r="K105" s="292">
        <v>16</v>
      </c>
      <c r="L105" s="301">
        <f t="shared" si="5"/>
        <v>16</v>
      </c>
      <c r="M105" s="302">
        <f t="shared" si="6"/>
        <v>6</v>
      </c>
      <c r="N105" s="303">
        <f>146528+104613.5+29219+10904.5+27602+3356.5+4237+2932+96</f>
        <v>329488.5</v>
      </c>
      <c r="O105" s="292">
        <f>18308+13411+4628+2089+4908+624+560+741+16</f>
        <v>45285</v>
      </c>
      <c r="P105" s="220">
        <f t="shared" si="4"/>
        <v>7.2758860549850946</v>
      </c>
    </row>
    <row r="106" spans="1:16" s="10" customFormat="1" ht="15">
      <c r="A106" s="84">
        <v>102</v>
      </c>
      <c r="B106" s="25"/>
      <c r="C106" s="214" t="s">
        <v>225</v>
      </c>
      <c r="D106" s="279">
        <v>38576</v>
      </c>
      <c r="E106" s="300" t="s">
        <v>58</v>
      </c>
      <c r="F106" s="214" t="s">
        <v>31</v>
      </c>
      <c r="G106" s="48">
        <v>79</v>
      </c>
      <c r="H106" s="48">
        <v>1</v>
      </c>
      <c r="I106" s="48">
        <v>27</v>
      </c>
      <c r="J106" s="268">
        <v>88</v>
      </c>
      <c r="K106" s="292">
        <v>17</v>
      </c>
      <c r="L106" s="301">
        <f t="shared" si="5"/>
        <v>17</v>
      </c>
      <c r="M106" s="302">
        <f t="shared" si="6"/>
        <v>5.176470588235294</v>
      </c>
      <c r="N106" s="303">
        <f>1201365.75+2376+3564+316+599+817.5+945.5+145+88</f>
        <v>1210216.75</v>
      </c>
      <c r="O106" s="292">
        <f>169972+474+1782+71+127+172+197+27+17</f>
        <v>172839</v>
      </c>
      <c r="P106" s="220">
        <f t="shared" si="4"/>
        <v>7.001988845110189</v>
      </c>
    </row>
    <row r="107" spans="1:16" s="10" customFormat="1" ht="15">
      <c r="A107" s="84">
        <v>103</v>
      </c>
      <c r="B107" s="25"/>
      <c r="C107" s="215" t="s">
        <v>311</v>
      </c>
      <c r="D107" s="277">
        <v>38660</v>
      </c>
      <c r="E107" s="215" t="s">
        <v>118</v>
      </c>
      <c r="F107" s="215" t="s">
        <v>248</v>
      </c>
      <c r="G107" s="93">
        <v>8</v>
      </c>
      <c r="H107" s="93">
        <v>2</v>
      </c>
      <c r="I107" s="93">
        <v>17</v>
      </c>
      <c r="J107" s="267">
        <v>55</v>
      </c>
      <c r="K107" s="293">
        <v>11</v>
      </c>
      <c r="L107" s="301">
        <f t="shared" si="5"/>
        <v>5.5</v>
      </c>
      <c r="M107" s="302">
        <f t="shared" si="6"/>
        <v>5</v>
      </c>
      <c r="N107" s="299">
        <f>37589.5+21430+10735+7513+3397+2698.5+1694+1188+1068+61+66+192+2376+831+15+403+55</f>
        <v>91312</v>
      </c>
      <c r="O107" s="293">
        <f>4953+2834+1525+1678+808+620+471+396+356+11+12+30+792+277+5+53+11</f>
        <v>14832</v>
      </c>
      <c r="P107" s="220">
        <f t="shared" si="4"/>
        <v>6.156418554476807</v>
      </c>
    </row>
    <row r="108" spans="1:16" s="10" customFormat="1" ht="15">
      <c r="A108" s="84">
        <v>104</v>
      </c>
      <c r="B108" s="25"/>
      <c r="C108" s="215" t="s">
        <v>222</v>
      </c>
      <c r="D108" s="277">
        <v>38891</v>
      </c>
      <c r="E108" s="215" t="s">
        <v>118</v>
      </c>
      <c r="F108" s="215" t="s">
        <v>121</v>
      </c>
      <c r="G108" s="93">
        <v>1</v>
      </c>
      <c r="H108" s="93">
        <v>1</v>
      </c>
      <c r="I108" s="93">
        <v>3</v>
      </c>
      <c r="J108" s="267">
        <v>44</v>
      </c>
      <c r="K108" s="293">
        <v>6</v>
      </c>
      <c r="L108" s="301">
        <f t="shared" si="5"/>
        <v>6</v>
      </c>
      <c r="M108" s="302">
        <f t="shared" si="6"/>
        <v>7.333333333333333</v>
      </c>
      <c r="N108" s="299">
        <f>3624+741+309+44</f>
        <v>4718</v>
      </c>
      <c r="O108" s="293">
        <f>883+117+49+6</f>
        <v>1055</v>
      </c>
      <c r="P108" s="220">
        <f t="shared" si="4"/>
        <v>4.472037914691943</v>
      </c>
    </row>
    <row r="109" spans="1:16" s="10" customFormat="1" ht="15">
      <c r="A109" s="84">
        <v>105</v>
      </c>
      <c r="B109" s="25"/>
      <c r="C109" s="215" t="s">
        <v>312</v>
      </c>
      <c r="D109" s="277">
        <v>37771</v>
      </c>
      <c r="E109" s="215" t="s">
        <v>118</v>
      </c>
      <c r="F109" s="215" t="s">
        <v>121</v>
      </c>
      <c r="G109" s="93">
        <v>4</v>
      </c>
      <c r="H109" s="93">
        <v>2</v>
      </c>
      <c r="I109" s="93">
        <v>46</v>
      </c>
      <c r="J109" s="267">
        <v>40</v>
      </c>
      <c r="K109" s="293">
        <v>8</v>
      </c>
      <c r="L109" s="301">
        <f t="shared" si="5"/>
        <v>4</v>
      </c>
      <c r="M109" s="302">
        <f t="shared" si="6"/>
        <v>5</v>
      </c>
      <c r="N109" s="299">
        <f>89290+1782+951+891+891+174+40</f>
        <v>94019</v>
      </c>
      <c r="O109" s="293">
        <f>17173+594+317+297+297+21+8</f>
        <v>18707</v>
      </c>
      <c r="P109" s="220">
        <f t="shared" si="4"/>
        <v>5.025872667985246</v>
      </c>
    </row>
    <row r="110" spans="1:16" s="10" customFormat="1" ht="15">
      <c r="A110" s="84">
        <v>106</v>
      </c>
      <c r="B110" s="25"/>
      <c r="C110" s="213" t="s">
        <v>234</v>
      </c>
      <c r="D110" s="277">
        <v>38653</v>
      </c>
      <c r="E110" s="213" t="s">
        <v>59</v>
      </c>
      <c r="F110" s="213" t="s">
        <v>69</v>
      </c>
      <c r="G110" s="53">
        <v>95</v>
      </c>
      <c r="H110" s="131">
        <v>1</v>
      </c>
      <c r="I110" s="131">
        <v>41</v>
      </c>
      <c r="J110" s="270">
        <v>32</v>
      </c>
      <c r="K110" s="293">
        <v>4</v>
      </c>
      <c r="L110" s="297">
        <f>+K110/H110</f>
        <v>4</v>
      </c>
      <c r="M110" s="298">
        <f>+J110/K110</f>
        <v>8</v>
      </c>
      <c r="N110" s="306">
        <v>1041021</v>
      </c>
      <c r="O110" s="293">
        <v>151773</v>
      </c>
      <c r="P110" s="221">
        <f t="shared" si="4"/>
        <v>6.859065841750509</v>
      </c>
    </row>
    <row r="111" spans="1:16" s="10" customFormat="1" ht="15">
      <c r="A111" s="84">
        <v>107</v>
      </c>
      <c r="B111" s="25"/>
      <c r="C111" s="213" t="s">
        <v>313</v>
      </c>
      <c r="D111" s="277">
        <v>38275</v>
      </c>
      <c r="E111" s="213" t="s">
        <v>35</v>
      </c>
      <c r="F111" s="213" t="s">
        <v>73</v>
      </c>
      <c r="G111" s="131">
        <v>13</v>
      </c>
      <c r="H111" s="131">
        <v>1</v>
      </c>
      <c r="I111" s="131">
        <v>26</v>
      </c>
      <c r="J111" s="267">
        <v>30</v>
      </c>
      <c r="K111" s="293">
        <v>6</v>
      </c>
      <c r="L111" s="297">
        <f>+K111/H111</f>
        <v>6</v>
      </c>
      <c r="M111" s="298">
        <f>+J111/K111</f>
        <v>5</v>
      </c>
      <c r="N111" s="299">
        <v>87232.5</v>
      </c>
      <c r="O111" s="293">
        <v>13776</v>
      </c>
      <c r="P111" s="221">
        <f t="shared" si="4"/>
        <v>6.33220818815331</v>
      </c>
    </row>
    <row r="112" spans="1:16" s="10" customFormat="1" ht="15">
      <c r="A112" s="84">
        <v>108</v>
      </c>
      <c r="B112" s="25"/>
      <c r="C112" s="213" t="s">
        <v>274</v>
      </c>
      <c r="D112" s="277">
        <v>38660</v>
      </c>
      <c r="E112" s="213" t="s">
        <v>61</v>
      </c>
      <c r="F112" s="213" t="s">
        <v>275</v>
      </c>
      <c r="G112" s="53">
        <v>50</v>
      </c>
      <c r="H112" s="131">
        <v>1</v>
      </c>
      <c r="I112" s="131">
        <v>14</v>
      </c>
      <c r="J112" s="267">
        <v>14</v>
      </c>
      <c r="K112" s="293">
        <v>2</v>
      </c>
      <c r="L112" s="297">
        <f>+K112/H112</f>
        <v>2</v>
      </c>
      <c r="M112" s="298">
        <f>+J112/K112</f>
        <v>7</v>
      </c>
      <c r="N112" s="299">
        <f>269702+101504+60027+19588+27775.5+12144.5+7585.5+330+4+1421+1006+761+293+6+14-6+14</f>
        <v>502169.5</v>
      </c>
      <c r="O112" s="293">
        <f>35425+13799+8593+3695+6440+2685+1581+82+279+217+102+37+2+2</f>
        <v>72939</v>
      </c>
      <c r="P112" s="221">
        <f t="shared" si="4"/>
        <v>6.884787288007788</v>
      </c>
    </row>
    <row r="113" spans="1:16" s="10" customFormat="1" ht="15">
      <c r="A113" s="84">
        <v>109</v>
      </c>
      <c r="B113" s="25"/>
      <c r="C113" s="213" t="s">
        <v>276</v>
      </c>
      <c r="D113" s="277">
        <v>38499</v>
      </c>
      <c r="E113" s="213" t="s">
        <v>59</v>
      </c>
      <c r="F113" s="213" t="s">
        <v>74</v>
      </c>
      <c r="G113" s="53">
        <v>106</v>
      </c>
      <c r="H113" s="131">
        <v>1</v>
      </c>
      <c r="I113" s="131">
        <v>62</v>
      </c>
      <c r="J113" s="270">
        <v>12</v>
      </c>
      <c r="K113" s="293">
        <v>2</v>
      </c>
      <c r="L113" s="297">
        <f>+K113/H113</f>
        <v>2</v>
      </c>
      <c r="M113" s="298">
        <f>+J113/K113</f>
        <v>6</v>
      </c>
      <c r="N113" s="306">
        <v>1518263</v>
      </c>
      <c r="O113" s="293">
        <v>236778</v>
      </c>
      <c r="P113" s="221">
        <f t="shared" si="4"/>
        <v>6.4121793409860715</v>
      </c>
    </row>
    <row r="114" spans="1:16" s="10" customFormat="1" ht="15">
      <c r="A114" s="84">
        <v>110</v>
      </c>
      <c r="B114" s="25"/>
      <c r="C114" s="213" t="s">
        <v>314</v>
      </c>
      <c r="D114" s="277">
        <v>38639</v>
      </c>
      <c r="E114" s="213" t="s">
        <v>35</v>
      </c>
      <c r="F114" s="213" t="s">
        <v>73</v>
      </c>
      <c r="G114" s="131">
        <v>13</v>
      </c>
      <c r="H114" s="209" t="s">
        <v>221</v>
      </c>
      <c r="I114" s="209" t="s">
        <v>315</v>
      </c>
      <c r="J114" s="268">
        <v>10</v>
      </c>
      <c r="K114" s="292">
        <v>2</v>
      </c>
      <c r="L114" s="301">
        <f>K114/H114</f>
        <v>2</v>
      </c>
      <c r="M114" s="302">
        <f>J114/K114</f>
        <v>5</v>
      </c>
      <c r="N114" s="303">
        <v>208537</v>
      </c>
      <c r="O114" s="292">
        <v>28445</v>
      </c>
      <c r="P114" s="220">
        <f t="shared" si="4"/>
        <v>7.3312357180523815</v>
      </c>
    </row>
    <row r="115" spans="1:16" s="10" customFormat="1" ht="15">
      <c r="A115" s="84">
        <v>111</v>
      </c>
      <c r="B115" s="25"/>
      <c r="C115" s="215" t="s">
        <v>316</v>
      </c>
      <c r="D115" s="277">
        <v>37911</v>
      </c>
      <c r="E115" s="215" t="s">
        <v>35</v>
      </c>
      <c r="F115" s="215" t="s">
        <v>317</v>
      </c>
      <c r="G115" s="131">
        <v>1</v>
      </c>
      <c r="H115" s="93">
        <v>1</v>
      </c>
      <c r="I115" s="93">
        <v>35</v>
      </c>
      <c r="J115" s="267">
        <v>10</v>
      </c>
      <c r="K115" s="293">
        <v>2</v>
      </c>
      <c r="L115" s="297">
        <f>+K115/H115</f>
        <v>2</v>
      </c>
      <c r="M115" s="298">
        <f>+J115/K115</f>
        <v>5</v>
      </c>
      <c r="N115" s="299">
        <v>47898</v>
      </c>
      <c r="O115" s="293">
        <v>7550</v>
      </c>
      <c r="P115" s="221">
        <f t="shared" si="4"/>
        <v>6.3441059602649</v>
      </c>
    </row>
    <row r="116" spans="1:16" s="10" customFormat="1" ht="15">
      <c r="A116" s="84">
        <v>112</v>
      </c>
      <c r="B116" s="25"/>
      <c r="C116" s="213" t="s">
        <v>318</v>
      </c>
      <c r="D116" s="277">
        <v>38653</v>
      </c>
      <c r="E116" s="213" t="s">
        <v>70</v>
      </c>
      <c r="F116" s="213" t="s">
        <v>172</v>
      </c>
      <c r="G116" s="131">
        <v>3</v>
      </c>
      <c r="H116" s="131">
        <v>1</v>
      </c>
      <c r="I116" s="131">
        <v>19</v>
      </c>
      <c r="J116" s="267">
        <v>8</v>
      </c>
      <c r="K116" s="293">
        <v>2</v>
      </c>
      <c r="L116" s="301">
        <f>K116/H116</f>
        <v>2</v>
      </c>
      <c r="M116" s="302">
        <f>J116/K116</f>
        <v>4</v>
      </c>
      <c r="N116" s="299">
        <v>47902</v>
      </c>
      <c r="O116" s="293">
        <v>7584</v>
      </c>
      <c r="P116" s="220">
        <f t="shared" si="4"/>
        <v>6.316191983122363</v>
      </c>
    </row>
    <row r="117" spans="1:16" s="10" customFormat="1" ht="15">
      <c r="A117" s="84">
        <v>113</v>
      </c>
      <c r="B117" s="25"/>
      <c r="C117" s="213" t="s">
        <v>319</v>
      </c>
      <c r="D117" s="277">
        <v>38611</v>
      </c>
      <c r="E117" s="213" t="s">
        <v>61</v>
      </c>
      <c r="F117" s="213" t="s">
        <v>320</v>
      </c>
      <c r="G117" s="53">
        <v>75</v>
      </c>
      <c r="H117" s="131">
        <v>1</v>
      </c>
      <c r="I117" s="131">
        <v>14</v>
      </c>
      <c r="J117" s="267">
        <v>7</v>
      </c>
      <c r="K117" s="293">
        <v>1</v>
      </c>
      <c r="L117" s="297">
        <f>+K117/H117</f>
        <v>1</v>
      </c>
      <c r="M117" s="298">
        <f>+J117/K117</f>
        <v>7</v>
      </c>
      <c r="N117" s="299">
        <f>293764+222902+154168+96143+37137+20732+9555+381+1665+409+158.5+457+28+7</f>
        <v>837506.5</v>
      </c>
      <c r="O117" s="293">
        <f>42247+29270+21053+14479+8090+4618+1911+124+333+54+30+61+4+1</f>
        <v>122275</v>
      </c>
      <c r="P117" s="221">
        <f t="shared" si="4"/>
        <v>6.8493682273563685</v>
      </c>
    </row>
    <row r="118" spans="1:16" s="10" customFormat="1" ht="15.75" thickBot="1">
      <c r="A118" s="84">
        <v>114</v>
      </c>
      <c r="B118" s="47"/>
      <c r="C118" s="226" t="s">
        <v>321</v>
      </c>
      <c r="D118" s="286">
        <v>38618</v>
      </c>
      <c r="E118" s="226" t="s">
        <v>61</v>
      </c>
      <c r="F118" s="226" t="s">
        <v>62</v>
      </c>
      <c r="G118" s="317">
        <v>52</v>
      </c>
      <c r="H118" s="227">
        <v>1</v>
      </c>
      <c r="I118" s="227">
        <v>15</v>
      </c>
      <c r="J118" s="276">
        <v>7</v>
      </c>
      <c r="K118" s="295">
        <v>1</v>
      </c>
      <c r="L118" s="318">
        <f>+K118/H118</f>
        <v>1</v>
      </c>
      <c r="M118" s="320">
        <f>+J118/K118</f>
        <v>7</v>
      </c>
      <c r="N118" s="321">
        <f>214930+149784+79575+34507+28235+7805+8882+1840+1141+476+315+307+364+35+15-9</f>
        <v>528202</v>
      </c>
      <c r="O118" s="295">
        <f>29573+20735+11883+7691+5761+1662+1877+402+342+127+63+40+50+5+1</f>
        <v>80212</v>
      </c>
      <c r="P118" s="228">
        <f t="shared" si="4"/>
        <v>6.585074552436044</v>
      </c>
    </row>
    <row r="119" spans="1:16" s="30" customFormat="1" ht="15">
      <c r="A119" s="85"/>
      <c r="B119" s="183"/>
      <c r="C119" s="184" t="s">
        <v>43</v>
      </c>
      <c r="D119" s="185"/>
      <c r="E119" s="184" t="s">
        <v>322</v>
      </c>
      <c r="F119" s="184"/>
      <c r="G119" s="186"/>
      <c r="H119" s="187">
        <f>SUM(H5:H118)</f>
        <v>1190</v>
      </c>
      <c r="I119" s="186"/>
      <c r="J119" s="188">
        <f>SUM(J5:J118)</f>
        <v>2878969</v>
      </c>
      <c r="K119" s="189">
        <f>SUM(K5:K118)</f>
        <v>402262</v>
      </c>
      <c r="L119" s="189">
        <f>K119/H119</f>
        <v>338.0352941176471</v>
      </c>
      <c r="M119" s="190">
        <f>J119/K119</f>
        <v>7.156949948043812</v>
      </c>
      <c r="N119" s="191"/>
      <c r="O119" s="189"/>
      <c r="P119" s="192"/>
    </row>
    <row r="120" spans="1:16" s="30" customFormat="1" ht="15">
      <c r="A120" s="85"/>
      <c r="B120" s="116"/>
      <c r="C120" s="94" t="s">
        <v>42</v>
      </c>
      <c r="D120" s="95"/>
      <c r="E120" s="94" t="s">
        <v>324</v>
      </c>
      <c r="F120" s="94"/>
      <c r="G120" s="96"/>
      <c r="H120" s="97">
        <v>1036</v>
      </c>
      <c r="I120" s="96"/>
      <c r="J120" s="170">
        <v>2557286.5</v>
      </c>
      <c r="K120" s="105">
        <v>368945</v>
      </c>
      <c r="L120" s="105">
        <f>K120/H120</f>
        <v>356.1245173745174</v>
      </c>
      <c r="M120" s="98">
        <f>J120/K120</f>
        <v>6.931348846033962</v>
      </c>
      <c r="N120" s="172"/>
      <c r="O120" s="105"/>
      <c r="P120" s="176"/>
    </row>
    <row r="121" spans="1:16" s="30" customFormat="1" ht="15.75" thickBot="1">
      <c r="A121" s="85"/>
      <c r="B121" s="117"/>
      <c r="C121" s="118" t="s">
        <v>75</v>
      </c>
      <c r="D121" s="119"/>
      <c r="E121" s="118" t="s">
        <v>323</v>
      </c>
      <c r="F121" s="118"/>
      <c r="G121" s="120"/>
      <c r="H121" s="121">
        <v>901</v>
      </c>
      <c r="I121" s="120"/>
      <c r="J121" s="171">
        <v>1125879.25</v>
      </c>
      <c r="K121" s="122">
        <v>177155</v>
      </c>
      <c r="L121" s="122">
        <f>K121/H121</f>
        <v>196.6204217536071</v>
      </c>
      <c r="M121" s="123">
        <f>J121/K121</f>
        <v>6.355334311760887</v>
      </c>
      <c r="N121" s="173"/>
      <c r="O121" s="122"/>
      <c r="P121" s="177"/>
    </row>
    <row r="122" spans="1:17" s="10" customFormat="1" ht="15.75" thickBot="1">
      <c r="A122" s="86"/>
      <c r="B122" s="9"/>
      <c r="D122" s="28"/>
      <c r="E122" s="33"/>
      <c r="F122" s="33"/>
      <c r="G122" s="11"/>
      <c r="H122" s="11"/>
      <c r="I122" s="11"/>
      <c r="J122" s="50"/>
      <c r="K122" s="102"/>
      <c r="L122" s="103"/>
      <c r="M122" s="44"/>
      <c r="N122" s="174"/>
      <c r="O122" s="103"/>
      <c r="P122" s="178"/>
      <c r="Q122" s="12"/>
    </row>
    <row r="123" spans="1:17" s="10" customFormat="1" ht="13.5" customHeight="1">
      <c r="A123" s="86"/>
      <c r="B123" s="9"/>
      <c r="C123" s="337" t="s">
        <v>45</v>
      </c>
      <c r="D123" s="338"/>
      <c r="E123" s="322" t="s">
        <v>4</v>
      </c>
      <c r="F123" s="323"/>
      <c r="G123" s="324"/>
      <c r="H123" s="45"/>
      <c r="I123" s="11"/>
      <c r="J123" s="50"/>
      <c r="K123" s="102"/>
      <c r="L123" s="341" t="s">
        <v>38</v>
      </c>
      <c r="M123" s="341"/>
      <c r="N123" s="341"/>
      <c r="O123" s="341"/>
      <c r="P123" s="341"/>
      <c r="Q123" s="46"/>
    </row>
    <row r="124" spans="1:16" s="10" customFormat="1" ht="15.75" thickBot="1">
      <c r="A124" s="86"/>
      <c r="B124" s="9"/>
      <c r="C124" s="339"/>
      <c r="D124" s="340"/>
      <c r="E124" s="17" t="s">
        <v>326</v>
      </c>
      <c r="F124" s="19" t="s">
        <v>5</v>
      </c>
      <c r="G124" s="20" t="s">
        <v>6</v>
      </c>
      <c r="H124" s="11"/>
      <c r="I124" s="52"/>
      <c r="J124" s="50"/>
      <c r="K124" s="103"/>
      <c r="L124" s="341"/>
      <c r="M124" s="341"/>
      <c r="N124" s="341"/>
      <c r="O124" s="341"/>
      <c r="P124" s="341"/>
    </row>
    <row r="125" spans="1:16" s="10" customFormat="1" ht="15">
      <c r="A125" s="86"/>
      <c r="B125" s="9"/>
      <c r="C125" s="18" t="s">
        <v>29</v>
      </c>
      <c r="D125" s="31" t="s">
        <v>335</v>
      </c>
      <c r="E125" s="21" t="s">
        <v>8</v>
      </c>
      <c r="F125" s="205" t="s">
        <v>327</v>
      </c>
      <c r="G125" s="206" t="s">
        <v>328</v>
      </c>
      <c r="H125" s="11"/>
      <c r="I125" s="52"/>
      <c r="J125" s="50"/>
      <c r="K125" s="103"/>
      <c r="L125" s="341"/>
      <c r="M125" s="341"/>
      <c r="N125" s="341"/>
      <c r="O125" s="341"/>
      <c r="P125" s="341"/>
    </row>
    <row r="126" spans="1:16" s="10" customFormat="1" ht="15">
      <c r="A126" s="86"/>
      <c r="B126" s="9"/>
      <c r="C126" s="14" t="s">
        <v>30</v>
      </c>
      <c r="D126" s="26">
        <f>K6+K7+K10+K11</f>
        <v>173095</v>
      </c>
      <c r="E126" s="22" t="s">
        <v>9</v>
      </c>
      <c r="F126" s="207" t="s">
        <v>329</v>
      </c>
      <c r="G126" s="208" t="s">
        <v>330</v>
      </c>
      <c r="H126" s="11"/>
      <c r="I126" s="52"/>
      <c r="J126" s="50"/>
      <c r="K126" s="103"/>
      <c r="L126" s="345" t="s">
        <v>325</v>
      </c>
      <c r="M126" s="345"/>
      <c r="N126" s="345"/>
      <c r="O126" s="345"/>
      <c r="P126" s="345"/>
    </row>
    <row r="127" spans="1:16" s="10" customFormat="1" ht="15">
      <c r="A127" s="86"/>
      <c r="B127" s="9"/>
      <c r="C127" s="14"/>
      <c r="D127" s="38"/>
      <c r="E127" s="22" t="s">
        <v>10</v>
      </c>
      <c r="F127" s="207" t="s">
        <v>331</v>
      </c>
      <c r="G127" s="208" t="s">
        <v>332</v>
      </c>
      <c r="H127" s="11"/>
      <c r="I127" s="52"/>
      <c r="J127" s="50"/>
      <c r="K127" s="103"/>
      <c r="L127" s="345"/>
      <c r="M127" s="345"/>
      <c r="N127" s="345"/>
      <c r="O127" s="345"/>
      <c r="P127" s="345"/>
    </row>
    <row r="128" spans="1:16" s="10" customFormat="1" ht="15">
      <c r="A128" s="86"/>
      <c r="B128" s="9"/>
      <c r="C128" s="14"/>
      <c r="D128" s="38"/>
      <c r="E128" s="22" t="s">
        <v>11</v>
      </c>
      <c r="F128" s="207" t="s">
        <v>333</v>
      </c>
      <c r="G128" s="208" t="s">
        <v>334</v>
      </c>
      <c r="H128" s="11"/>
      <c r="I128" s="52"/>
      <c r="J128" s="50"/>
      <c r="K128" s="103"/>
      <c r="L128" s="345"/>
      <c r="M128" s="345"/>
      <c r="N128" s="345"/>
      <c r="O128" s="345"/>
      <c r="P128" s="345"/>
    </row>
    <row r="129" spans="1:16" s="10" customFormat="1" ht="15.75" thickBot="1">
      <c r="A129" s="86"/>
      <c r="B129" s="9"/>
      <c r="C129" s="15"/>
      <c r="D129" s="39"/>
      <c r="E129" s="23"/>
      <c r="F129" s="16"/>
      <c r="G129" s="13"/>
      <c r="H129" s="11"/>
      <c r="I129" s="52"/>
      <c r="J129" s="50"/>
      <c r="K129" s="103"/>
      <c r="L129" s="103"/>
      <c r="M129" s="44"/>
      <c r="N129" s="41"/>
      <c r="O129" s="103"/>
      <c r="P129" s="178"/>
    </row>
    <row r="130" spans="1:16" s="10" customFormat="1" ht="15.75" thickBot="1">
      <c r="A130" s="86"/>
      <c r="B130" s="9"/>
      <c r="D130" s="28"/>
      <c r="E130" s="33"/>
      <c r="F130" s="33"/>
      <c r="G130" s="11"/>
      <c r="H130" s="11"/>
      <c r="I130" s="11"/>
      <c r="J130" s="50"/>
      <c r="K130" s="103"/>
      <c r="L130" s="106"/>
      <c r="M130" s="61"/>
      <c r="N130" s="62"/>
      <c r="O130" s="106"/>
      <c r="P130" s="179"/>
    </row>
    <row r="131" spans="1:16" s="63" customFormat="1" ht="21.75" customHeight="1">
      <c r="A131" s="86"/>
      <c r="B131" s="56"/>
      <c r="C131" s="57" t="s">
        <v>44</v>
      </c>
      <c r="D131" s="332" t="s">
        <v>1</v>
      </c>
      <c r="E131" s="333"/>
      <c r="F131" s="333"/>
      <c r="G131" s="334"/>
      <c r="H131" s="58"/>
      <c r="I131" s="59"/>
      <c r="J131" s="60"/>
      <c r="K131" s="106"/>
      <c r="L131" s="106"/>
      <c r="M131" s="61"/>
      <c r="N131" s="62"/>
      <c r="O131" s="106"/>
      <c r="P131" s="179"/>
    </row>
    <row r="132" spans="1:16" s="63" customFormat="1" ht="15.75" thickBot="1">
      <c r="A132" s="86"/>
      <c r="B132" s="56"/>
      <c r="C132" s="64"/>
      <c r="D132" s="65" t="s">
        <v>2</v>
      </c>
      <c r="E132" s="66" t="s">
        <v>17</v>
      </c>
      <c r="F132" s="66" t="s">
        <v>3</v>
      </c>
      <c r="G132" s="193" t="s">
        <v>7</v>
      </c>
      <c r="H132" s="59"/>
      <c r="I132" s="68"/>
      <c r="J132" s="60"/>
      <c r="K132" s="106"/>
      <c r="L132" s="106"/>
      <c r="M132" s="61"/>
      <c r="N132" s="62"/>
      <c r="O132" s="106"/>
      <c r="P132" s="179"/>
    </row>
    <row r="133" spans="1:16" s="63" customFormat="1" ht="15">
      <c r="A133" s="84">
        <v>1</v>
      </c>
      <c r="B133" s="56"/>
      <c r="C133" s="69" t="s">
        <v>33</v>
      </c>
      <c r="D133" s="70">
        <v>18</v>
      </c>
      <c r="E133" s="71">
        <v>1475744</v>
      </c>
      <c r="F133" s="72">
        <v>207604</v>
      </c>
      <c r="G133" s="73">
        <f aca="true" t="shared" si="7" ref="G133:G142">E133/F133</f>
        <v>7.108456484460801</v>
      </c>
      <c r="H133" s="59"/>
      <c r="I133" s="68"/>
      <c r="J133" s="60"/>
      <c r="K133" s="106"/>
      <c r="L133" s="106"/>
      <c r="M133" s="61"/>
      <c r="N133" s="62"/>
      <c r="O133" s="106"/>
      <c r="P133" s="179"/>
    </row>
    <row r="134" spans="1:16" s="63" customFormat="1" ht="15">
      <c r="A134" s="84">
        <v>2</v>
      </c>
      <c r="B134" s="56"/>
      <c r="C134" s="74" t="s">
        <v>31</v>
      </c>
      <c r="D134" s="75">
        <v>21</v>
      </c>
      <c r="E134" s="76">
        <v>1086833.5</v>
      </c>
      <c r="F134" s="77">
        <v>140230</v>
      </c>
      <c r="G134" s="78">
        <f t="shared" si="7"/>
        <v>7.750363688226485</v>
      </c>
      <c r="H134" s="59"/>
      <c r="I134" s="68"/>
      <c r="J134" s="60"/>
      <c r="K134" s="106"/>
      <c r="L134" s="106"/>
      <c r="M134" s="61"/>
      <c r="N134" s="62"/>
      <c r="O134" s="106"/>
      <c r="P134" s="179"/>
    </row>
    <row r="135" spans="1:16" s="63" customFormat="1" ht="15">
      <c r="A135" s="84">
        <v>3</v>
      </c>
      <c r="B135" s="56"/>
      <c r="C135" s="74" t="s">
        <v>41</v>
      </c>
      <c r="D135" s="75">
        <v>6</v>
      </c>
      <c r="E135" s="76">
        <v>156948.5</v>
      </c>
      <c r="F135" s="77">
        <v>19862</v>
      </c>
      <c r="G135" s="78">
        <f t="shared" si="7"/>
        <v>7.9019484442654315</v>
      </c>
      <c r="H135" s="59"/>
      <c r="I135" s="68"/>
      <c r="J135" s="60"/>
      <c r="K135" s="106"/>
      <c r="L135" s="106"/>
      <c r="M135" s="61"/>
      <c r="N135" s="62"/>
      <c r="O135" s="106"/>
      <c r="P135" s="179"/>
    </row>
    <row r="136" spans="1:16" s="63" customFormat="1" ht="15">
      <c r="A136" s="84">
        <v>4</v>
      </c>
      <c r="B136" s="56"/>
      <c r="C136" s="74" t="s">
        <v>32</v>
      </c>
      <c r="D136" s="75">
        <v>23</v>
      </c>
      <c r="E136" s="76">
        <v>73096</v>
      </c>
      <c r="F136" s="77">
        <v>17548</v>
      </c>
      <c r="G136" s="78">
        <f t="shared" si="7"/>
        <v>4.165488944609073</v>
      </c>
      <c r="H136" s="59"/>
      <c r="I136" s="68"/>
      <c r="J136" s="60"/>
      <c r="K136" s="106"/>
      <c r="L136" s="106"/>
      <c r="M136" s="61"/>
      <c r="N136" s="62"/>
      <c r="O136" s="106"/>
      <c r="P136" s="179"/>
    </row>
    <row r="137" spans="1:16" s="63" customFormat="1" ht="15">
      <c r="A137" s="84">
        <v>5</v>
      </c>
      <c r="B137" s="56"/>
      <c r="C137" s="74" t="s">
        <v>118</v>
      </c>
      <c r="D137" s="75">
        <v>27</v>
      </c>
      <c r="E137" s="76">
        <v>38242</v>
      </c>
      <c r="F137" s="77">
        <v>7625</v>
      </c>
      <c r="G137" s="78">
        <f t="shared" si="7"/>
        <v>5.015344262295082</v>
      </c>
      <c r="H137" s="59"/>
      <c r="I137" s="68"/>
      <c r="J137" s="60"/>
      <c r="K137" s="106"/>
      <c r="L137" s="106"/>
      <c r="M137" s="61"/>
      <c r="N137" s="62"/>
      <c r="O137" s="106"/>
      <c r="P137" s="179"/>
    </row>
    <row r="138" spans="1:16" s="63" customFormat="1" ht="15">
      <c r="A138" s="84">
        <v>6</v>
      </c>
      <c r="B138" s="56"/>
      <c r="C138" s="74" t="s">
        <v>93</v>
      </c>
      <c r="D138" s="75">
        <v>5</v>
      </c>
      <c r="E138" s="76">
        <v>18349.5</v>
      </c>
      <c r="F138" s="77">
        <v>3087</v>
      </c>
      <c r="G138" s="78">
        <f t="shared" si="7"/>
        <v>5.944120505344995</v>
      </c>
      <c r="H138" s="59"/>
      <c r="I138" s="68"/>
      <c r="J138" s="60"/>
      <c r="K138" s="106"/>
      <c r="L138" s="106"/>
      <c r="M138" s="61"/>
      <c r="N138" s="62"/>
      <c r="O138" s="106"/>
      <c r="P138" s="179"/>
    </row>
    <row r="139" spans="1:16" s="63" customFormat="1" ht="15">
      <c r="A139" s="84">
        <v>7</v>
      </c>
      <c r="B139" s="56"/>
      <c r="C139" s="74" t="s">
        <v>70</v>
      </c>
      <c r="D139" s="75">
        <v>2</v>
      </c>
      <c r="E139" s="76">
        <v>16729</v>
      </c>
      <c r="F139" s="77">
        <v>2312</v>
      </c>
      <c r="G139" s="78">
        <f t="shared" si="7"/>
        <v>7.235726643598616</v>
      </c>
      <c r="H139" s="59"/>
      <c r="I139" s="68"/>
      <c r="J139" s="60"/>
      <c r="K139" s="106"/>
      <c r="L139" s="106"/>
      <c r="M139" s="61"/>
      <c r="N139" s="62"/>
      <c r="O139" s="106"/>
      <c r="P139" s="179"/>
    </row>
    <row r="140" spans="1:16" s="63" customFormat="1" ht="15">
      <c r="A140" s="84">
        <v>8</v>
      </c>
      <c r="B140" s="56"/>
      <c r="C140" s="74" t="s">
        <v>34</v>
      </c>
      <c r="D140" s="75">
        <v>3</v>
      </c>
      <c r="E140" s="76">
        <v>8054</v>
      </c>
      <c r="F140" s="77">
        <v>2571</v>
      </c>
      <c r="G140" s="78">
        <f t="shared" si="7"/>
        <v>3.132633216647219</v>
      </c>
      <c r="H140" s="59"/>
      <c r="I140" s="68"/>
      <c r="J140" s="60"/>
      <c r="K140" s="106"/>
      <c r="L140" s="106"/>
      <c r="M140" s="61"/>
      <c r="N140" s="62"/>
      <c r="O140" s="106"/>
      <c r="P140" s="179"/>
    </row>
    <row r="141" spans="1:16" s="63" customFormat="1" ht="15">
      <c r="A141" s="84">
        <v>9</v>
      </c>
      <c r="B141" s="56"/>
      <c r="C141" s="74" t="s">
        <v>35</v>
      </c>
      <c r="D141" s="75">
        <v>7</v>
      </c>
      <c r="E141" s="76">
        <v>4538.5</v>
      </c>
      <c r="F141" s="77">
        <v>1324</v>
      </c>
      <c r="G141" s="78">
        <f t="shared" si="7"/>
        <v>3.4278700906344413</v>
      </c>
      <c r="H141" s="59"/>
      <c r="I141" s="68"/>
      <c r="J141" s="60"/>
      <c r="K141" s="106"/>
      <c r="L141" s="106"/>
      <c r="M141" s="61"/>
      <c r="N141" s="62"/>
      <c r="O141" s="106"/>
      <c r="P141" s="179"/>
    </row>
    <row r="142" spans="1:16" s="63" customFormat="1" ht="15">
      <c r="A142" s="84">
        <v>10</v>
      </c>
      <c r="B142" s="56"/>
      <c r="C142" s="74" t="s">
        <v>165</v>
      </c>
      <c r="D142" s="75">
        <v>2</v>
      </c>
      <c r="E142" s="76">
        <v>434</v>
      </c>
      <c r="F142" s="77">
        <v>94</v>
      </c>
      <c r="G142" s="78">
        <f t="shared" si="7"/>
        <v>4.617021276595745</v>
      </c>
      <c r="H142" s="59"/>
      <c r="I142" s="68"/>
      <c r="J142" s="60"/>
      <c r="K142" s="106"/>
      <c r="L142" s="106"/>
      <c r="M142" s="61"/>
      <c r="N142" s="62"/>
      <c r="O142" s="106"/>
      <c r="P142" s="179"/>
    </row>
    <row r="143" spans="1:16" s="63" customFormat="1" ht="15">
      <c r="A143" s="84">
        <v>11</v>
      </c>
      <c r="B143" s="56"/>
      <c r="C143" s="74" t="s">
        <v>77</v>
      </c>
      <c r="D143" s="75" t="s">
        <v>224</v>
      </c>
      <c r="E143" s="76" t="s">
        <v>224</v>
      </c>
      <c r="F143" s="77" t="s">
        <v>224</v>
      </c>
      <c r="G143" s="78" t="s">
        <v>224</v>
      </c>
      <c r="H143" s="59"/>
      <c r="I143" s="68"/>
      <c r="J143" s="60"/>
      <c r="K143" s="106"/>
      <c r="L143" s="106"/>
      <c r="M143" s="61"/>
      <c r="N143" s="62"/>
      <c r="O143" s="106"/>
      <c r="P143" s="179"/>
    </row>
    <row r="144" spans="1:16" s="63" customFormat="1" ht="15">
      <c r="A144" s="84">
        <v>12</v>
      </c>
      <c r="B144" s="56"/>
      <c r="C144" s="74" t="s">
        <v>76</v>
      </c>
      <c r="D144" s="75" t="s">
        <v>224</v>
      </c>
      <c r="E144" s="76" t="s">
        <v>224</v>
      </c>
      <c r="F144" s="77" t="s">
        <v>224</v>
      </c>
      <c r="G144" s="78" t="s">
        <v>224</v>
      </c>
      <c r="H144" s="59"/>
      <c r="I144" s="68"/>
      <c r="J144" s="60"/>
      <c r="K144" s="106"/>
      <c r="L144" s="106"/>
      <c r="M144" s="61"/>
      <c r="N144" s="62"/>
      <c r="O144" s="106"/>
      <c r="P144" s="179"/>
    </row>
    <row r="145" spans="1:16" s="63" customFormat="1" ht="15.75" thickBot="1">
      <c r="A145" s="86"/>
      <c r="B145" s="56"/>
      <c r="C145" s="79"/>
      <c r="D145" s="80"/>
      <c r="E145" s="81"/>
      <c r="F145" s="82"/>
      <c r="G145" s="67"/>
      <c r="H145" s="59"/>
      <c r="I145" s="68"/>
      <c r="J145" s="60"/>
      <c r="K145" s="106"/>
      <c r="L145" s="103"/>
      <c r="M145" s="44"/>
      <c r="N145" s="41"/>
      <c r="O145" s="103"/>
      <c r="P145" s="178"/>
    </row>
    <row r="146" spans="1:16" s="10" customFormat="1" ht="15">
      <c r="A146" s="86"/>
      <c r="B146" s="9"/>
      <c r="D146" s="28"/>
      <c r="E146" s="33"/>
      <c r="F146" s="33"/>
      <c r="G146" s="11"/>
      <c r="H146" s="11"/>
      <c r="I146" s="11"/>
      <c r="J146" s="50"/>
      <c r="K146" s="103"/>
      <c r="L146" s="103"/>
      <c r="M146" s="44"/>
      <c r="N146" s="41"/>
      <c r="O146" s="103"/>
      <c r="P146" s="178"/>
    </row>
    <row r="147" spans="1:16" s="10" customFormat="1" ht="15">
      <c r="A147" s="86"/>
      <c r="B147" s="9"/>
      <c r="D147" s="28"/>
      <c r="E147" s="33"/>
      <c r="F147" s="33"/>
      <c r="G147" s="11"/>
      <c r="H147" s="11"/>
      <c r="I147" s="11"/>
      <c r="J147" s="50"/>
      <c r="K147" s="103"/>
      <c r="L147" s="103"/>
      <c r="M147" s="44"/>
      <c r="N147" s="41"/>
      <c r="O147" s="103"/>
      <c r="P147" s="178"/>
    </row>
    <row r="148" spans="1:16" s="10" customFormat="1" ht="15">
      <c r="A148" s="86"/>
      <c r="B148" s="9"/>
      <c r="D148" s="28"/>
      <c r="E148" s="33"/>
      <c r="F148" s="33"/>
      <c r="G148" s="11"/>
      <c r="H148" s="11"/>
      <c r="I148" s="11"/>
      <c r="J148" s="50"/>
      <c r="K148" s="103"/>
      <c r="L148" s="103"/>
      <c r="M148" s="44"/>
      <c r="N148" s="41"/>
      <c r="O148" s="103"/>
      <c r="P148" s="178"/>
    </row>
    <row r="149" spans="1:16" s="10" customFormat="1" ht="15">
      <c r="A149" s="86"/>
      <c r="B149" s="9"/>
      <c r="D149" s="28"/>
      <c r="E149" s="33"/>
      <c r="F149" s="33"/>
      <c r="G149" s="11"/>
      <c r="H149" s="11"/>
      <c r="I149" s="11"/>
      <c r="J149" s="50"/>
      <c r="K149" s="103"/>
      <c r="L149" s="103"/>
      <c r="M149" s="44"/>
      <c r="N149" s="41"/>
      <c r="O149" s="103"/>
      <c r="P149" s="178"/>
    </row>
    <row r="150" spans="1:16" s="10" customFormat="1" ht="15">
      <c r="A150" s="86"/>
      <c r="B150" s="9"/>
      <c r="D150" s="28"/>
      <c r="E150" s="33"/>
      <c r="F150" s="33"/>
      <c r="G150" s="11"/>
      <c r="H150" s="11"/>
      <c r="I150" s="11"/>
      <c r="J150" s="50"/>
      <c r="K150" s="103"/>
      <c r="L150" s="103"/>
      <c r="M150" s="44"/>
      <c r="N150" s="41"/>
      <c r="O150" s="103"/>
      <c r="P150" s="178"/>
    </row>
    <row r="151" spans="1:16" s="10" customFormat="1" ht="15">
      <c r="A151" s="86"/>
      <c r="B151" s="9"/>
      <c r="D151" s="28"/>
      <c r="E151" s="33"/>
      <c r="F151" s="33"/>
      <c r="G151" s="11"/>
      <c r="H151" s="11"/>
      <c r="I151" s="11"/>
      <c r="J151" s="50"/>
      <c r="K151" s="103"/>
      <c r="L151" s="103"/>
      <c r="M151" s="44"/>
      <c r="N151" s="41"/>
      <c r="O151" s="103"/>
      <c r="P151" s="178"/>
    </row>
    <row r="152" spans="1:16" s="10" customFormat="1" ht="15">
      <c r="A152" s="86"/>
      <c r="B152" s="9"/>
      <c r="D152" s="28"/>
      <c r="E152" s="33"/>
      <c r="F152" s="33"/>
      <c r="G152" s="11"/>
      <c r="H152" s="11"/>
      <c r="I152" s="11"/>
      <c r="J152" s="50"/>
      <c r="K152" s="103"/>
      <c r="L152" s="103"/>
      <c r="M152" s="44"/>
      <c r="N152" s="41"/>
      <c r="O152" s="103"/>
      <c r="P152" s="178"/>
    </row>
    <row r="153" spans="1:16" s="10" customFormat="1" ht="15">
      <c r="A153" s="86"/>
      <c r="B153" s="9"/>
      <c r="D153" s="28"/>
      <c r="E153" s="33"/>
      <c r="F153" s="33"/>
      <c r="G153" s="11"/>
      <c r="H153" s="11"/>
      <c r="I153" s="11"/>
      <c r="J153" s="50"/>
      <c r="K153" s="103"/>
      <c r="L153" s="103"/>
      <c r="M153" s="44"/>
      <c r="N153" s="41"/>
      <c r="O153" s="103"/>
      <c r="P153" s="178"/>
    </row>
    <row r="154" spans="1:16" s="10" customFormat="1" ht="15">
      <c r="A154" s="86"/>
      <c r="B154" s="9"/>
      <c r="D154" s="28"/>
      <c r="E154" s="33"/>
      <c r="F154" s="33"/>
      <c r="G154" s="11"/>
      <c r="H154" s="11"/>
      <c r="I154" s="11"/>
      <c r="J154" s="50"/>
      <c r="K154" s="103"/>
      <c r="L154" s="103"/>
      <c r="M154" s="44"/>
      <c r="N154" s="41"/>
      <c r="O154" s="103"/>
      <c r="P154" s="178"/>
    </row>
    <row r="155" spans="1:16" s="10" customFormat="1" ht="15">
      <c r="A155" s="86"/>
      <c r="B155" s="9"/>
      <c r="D155" s="28"/>
      <c r="E155" s="33"/>
      <c r="F155" s="33"/>
      <c r="G155" s="11"/>
      <c r="H155" s="11"/>
      <c r="I155" s="11"/>
      <c r="J155" s="50"/>
      <c r="K155" s="103"/>
      <c r="L155" s="103"/>
      <c r="M155" s="44"/>
      <c r="N155" s="41"/>
      <c r="O155" s="103"/>
      <c r="P155" s="178"/>
    </row>
    <row r="156" spans="1:16" s="10" customFormat="1" ht="15">
      <c r="A156" s="86"/>
      <c r="B156" s="9"/>
      <c r="D156" s="28"/>
      <c r="E156" s="33"/>
      <c r="F156" s="33"/>
      <c r="G156" s="11"/>
      <c r="H156" s="11"/>
      <c r="I156" s="11"/>
      <c r="J156" s="50"/>
      <c r="K156" s="103"/>
      <c r="L156" s="103"/>
      <c r="M156" s="44"/>
      <c r="N156" s="41"/>
      <c r="O156" s="103"/>
      <c r="P156" s="178"/>
    </row>
    <row r="157" spans="1:16" s="10" customFormat="1" ht="15">
      <c r="A157" s="86"/>
      <c r="B157" s="9"/>
      <c r="D157" s="28"/>
      <c r="E157" s="33"/>
      <c r="F157" s="33"/>
      <c r="G157" s="11"/>
      <c r="H157" s="11"/>
      <c r="I157" s="11"/>
      <c r="J157" s="50"/>
      <c r="K157" s="103"/>
      <c r="L157" s="103"/>
      <c r="M157" s="44"/>
      <c r="N157" s="41"/>
      <c r="O157" s="103"/>
      <c r="P157" s="178"/>
    </row>
    <row r="158" spans="1:16" s="10" customFormat="1" ht="15">
      <c r="A158" s="86"/>
      <c r="B158" s="9"/>
      <c r="D158" s="28"/>
      <c r="E158" s="33"/>
      <c r="F158" s="33"/>
      <c r="G158" s="11"/>
      <c r="H158" s="11"/>
      <c r="I158" s="11"/>
      <c r="J158" s="50"/>
      <c r="K158" s="103"/>
      <c r="L158" s="103"/>
      <c r="M158" s="44"/>
      <c r="N158" s="41"/>
      <c r="O158" s="103"/>
      <c r="P158" s="178"/>
    </row>
    <row r="159" spans="1:16" s="10" customFormat="1" ht="15">
      <c r="A159" s="86"/>
      <c r="B159" s="9"/>
      <c r="D159" s="28"/>
      <c r="E159" s="33"/>
      <c r="F159" s="33"/>
      <c r="G159" s="11"/>
      <c r="H159" s="11"/>
      <c r="I159" s="11"/>
      <c r="J159" s="50"/>
      <c r="K159" s="103"/>
      <c r="L159" s="103"/>
      <c r="M159" s="44"/>
      <c r="N159" s="41"/>
      <c r="O159" s="103"/>
      <c r="P159" s="178"/>
    </row>
    <row r="160" spans="1:16" s="10" customFormat="1" ht="15">
      <c r="A160" s="86"/>
      <c r="B160" s="9"/>
      <c r="D160" s="28"/>
      <c r="E160" s="33"/>
      <c r="F160" s="33"/>
      <c r="G160" s="11"/>
      <c r="H160" s="11"/>
      <c r="I160" s="11"/>
      <c r="J160" s="50"/>
      <c r="K160" s="103"/>
      <c r="L160" s="103"/>
      <c r="M160" s="44"/>
      <c r="N160" s="41"/>
      <c r="O160" s="103"/>
      <c r="P160" s="178"/>
    </row>
    <row r="161" spans="1:16" s="10" customFormat="1" ht="15">
      <c r="A161" s="86"/>
      <c r="B161" s="9"/>
      <c r="D161" s="28"/>
      <c r="E161" s="33"/>
      <c r="F161" s="33"/>
      <c r="G161" s="11"/>
      <c r="H161" s="11"/>
      <c r="I161" s="11"/>
      <c r="J161" s="50"/>
      <c r="K161" s="103"/>
      <c r="L161" s="103"/>
      <c r="M161" s="44"/>
      <c r="N161" s="41"/>
      <c r="O161" s="103"/>
      <c r="P161" s="178"/>
    </row>
    <row r="162" spans="1:16" s="10" customFormat="1" ht="15">
      <c r="A162" s="86"/>
      <c r="B162" s="9"/>
      <c r="D162" s="28"/>
      <c r="E162" s="33"/>
      <c r="F162" s="33"/>
      <c r="G162" s="11"/>
      <c r="H162" s="11"/>
      <c r="I162" s="11"/>
      <c r="J162" s="50"/>
      <c r="K162" s="103"/>
      <c r="L162" s="103"/>
      <c r="M162" s="44"/>
      <c r="N162" s="41"/>
      <c r="O162" s="103"/>
      <c r="P162" s="178"/>
    </row>
    <row r="163" spans="1:16" s="10" customFormat="1" ht="15">
      <c r="A163" s="86"/>
      <c r="B163" s="9"/>
      <c r="D163" s="28"/>
      <c r="E163" s="33"/>
      <c r="F163" s="33"/>
      <c r="G163" s="11"/>
      <c r="H163" s="11"/>
      <c r="I163" s="11"/>
      <c r="J163" s="50"/>
      <c r="K163" s="103"/>
      <c r="L163" s="103"/>
      <c r="M163" s="44"/>
      <c r="N163" s="41"/>
      <c r="O163" s="103"/>
      <c r="P163" s="178"/>
    </row>
    <row r="164" spans="1:16" s="10" customFormat="1" ht="15">
      <c r="A164" s="86"/>
      <c r="B164" s="9"/>
      <c r="D164" s="28"/>
      <c r="E164" s="33"/>
      <c r="F164" s="33"/>
      <c r="G164" s="11"/>
      <c r="H164" s="11"/>
      <c r="I164" s="11"/>
      <c r="J164" s="50"/>
      <c r="K164" s="103"/>
      <c r="L164" s="103"/>
      <c r="M164" s="44"/>
      <c r="N164" s="41"/>
      <c r="O164" s="103"/>
      <c r="P164" s="178"/>
    </row>
    <row r="165" spans="1:16" s="10" customFormat="1" ht="15">
      <c r="A165" s="86"/>
      <c r="B165" s="9"/>
      <c r="D165" s="28"/>
      <c r="E165" s="33"/>
      <c r="F165" s="33"/>
      <c r="G165" s="11"/>
      <c r="H165" s="11"/>
      <c r="I165" s="11"/>
      <c r="J165" s="50"/>
      <c r="K165" s="103"/>
      <c r="L165" s="103"/>
      <c r="M165" s="44"/>
      <c r="N165" s="41"/>
      <c r="O165" s="103"/>
      <c r="P165" s="178"/>
    </row>
    <row r="166" spans="1:16" s="10" customFormat="1" ht="15">
      <c r="A166" s="86"/>
      <c r="B166" s="9"/>
      <c r="D166" s="28"/>
      <c r="E166" s="33"/>
      <c r="F166" s="33"/>
      <c r="G166" s="11"/>
      <c r="H166" s="11"/>
      <c r="I166" s="11"/>
      <c r="J166" s="50"/>
      <c r="K166" s="103"/>
      <c r="L166" s="103"/>
      <c r="M166" s="44"/>
      <c r="N166" s="41"/>
      <c r="O166" s="103"/>
      <c r="P166" s="178"/>
    </row>
    <row r="167" spans="1:16" s="10" customFormat="1" ht="15">
      <c r="A167" s="86"/>
      <c r="B167" s="9"/>
      <c r="D167" s="28"/>
      <c r="E167" s="33"/>
      <c r="F167" s="33"/>
      <c r="G167" s="11"/>
      <c r="H167" s="11"/>
      <c r="I167" s="11"/>
      <c r="J167" s="50"/>
      <c r="K167" s="103"/>
      <c r="L167" s="103"/>
      <c r="M167" s="44"/>
      <c r="N167" s="41"/>
      <c r="O167" s="103"/>
      <c r="P167" s="178"/>
    </row>
    <row r="168" spans="1:16" s="10" customFormat="1" ht="15">
      <c r="A168" s="86"/>
      <c r="B168" s="9"/>
      <c r="D168" s="28"/>
      <c r="E168" s="33"/>
      <c r="F168" s="33"/>
      <c r="G168" s="11"/>
      <c r="H168" s="11"/>
      <c r="I168" s="11"/>
      <c r="J168" s="50"/>
      <c r="K168" s="103"/>
      <c r="L168" s="103"/>
      <c r="M168" s="44"/>
      <c r="N168" s="41"/>
      <c r="O168" s="103"/>
      <c r="P168" s="178"/>
    </row>
    <row r="169" spans="1:16" s="10" customFormat="1" ht="15">
      <c r="A169" s="86"/>
      <c r="B169" s="9"/>
      <c r="D169" s="28"/>
      <c r="E169" s="33"/>
      <c r="F169" s="33"/>
      <c r="G169" s="11"/>
      <c r="H169" s="11"/>
      <c r="I169" s="11"/>
      <c r="J169" s="50"/>
      <c r="K169" s="103"/>
      <c r="L169" s="103"/>
      <c r="M169" s="44"/>
      <c r="N169" s="41"/>
      <c r="O169" s="103"/>
      <c r="P169" s="178"/>
    </row>
    <row r="170" spans="1:16" s="10" customFormat="1" ht="15">
      <c r="A170" s="86"/>
      <c r="B170" s="9"/>
      <c r="D170" s="28"/>
      <c r="E170" s="33"/>
      <c r="F170" s="33"/>
      <c r="G170" s="11"/>
      <c r="H170" s="11"/>
      <c r="I170" s="11"/>
      <c r="J170" s="50"/>
      <c r="K170" s="103"/>
      <c r="L170" s="103"/>
      <c r="M170" s="44"/>
      <c r="N170" s="41"/>
      <c r="O170" s="103"/>
      <c r="P170" s="178"/>
    </row>
    <row r="171" spans="1:16" s="10" customFormat="1" ht="15">
      <c r="A171" s="86"/>
      <c r="B171" s="9"/>
      <c r="D171" s="28"/>
      <c r="E171" s="33"/>
      <c r="F171" s="33"/>
      <c r="G171" s="11"/>
      <c r="H171" s="11"/>
      <c r="I171" s="11"/>
      <c r="J171" s="50"/>
      <c r="K171" s="103"/>
      <c r="L171" s="103"/>
      <c r="M171" s="44"/>
      <c r="N171" s="41"/>
      <c r="O171" s="103"/>
      <c r="P171" s="178"/>
    </row>
    <row r="172" spans="1:16" s="10" customFormat="1" ht="15">
      <c r="A172" s="86"/>
      <c r="B172" s="9"/>
      <c r="D172" s="28"/>
      <c r="E172" s="33"/>
      <c r="F172" s="33"/>
      <c r="G172" s="11"/>
      <c r="H172" s="11"/>
      <c r="I172" s="11"/>
      <c r="J172" s="50"/>
      <c r="K172" s="103"/>
      <c r="L172" s="103"/>
      <c r="M172" s="44"/>
      <c r="N172" s="41"/>
      <c r="O172" s="103"/>
      <c r="P172" s="178"/>
    </row>
    <row r="173" spans="1:16" s="10" customFormat="1" ht="15">
      <c r="A173" s="86"/>
      <c r="B173" s="9"/>
      <c r="D173" s="28"/>
      <c r="E173" s="33"/>
      <c r="F173" s="33"/>
      <c r="G173" s="11"/>
      <c r="H173" s="11"/>
      <c r="I173" s="11"/>
      <c r="J173" s="50"/>
      <c r="K173" s="103"/>
      <c r="L173" s="103"/>
      <c r="M173" s="44"/>
      <c r="N173" s="41"/>
      <c r="O173" s="103"/>
      <c r="P173" s="178"/>
    </row>
    <row r="174" spans="1:16" s="10" customFormat="1" ht="15">
      <c r="A174" s="86"/>
      <c r="B174" s="9"/>
      <c r="D174" s="28"/>
      <c r="E174" s="33"/>
      <c r="F174" s="33"/>
      <c r="G174" s="11"/>
      <c r="H174" s="11"/>
      <c r="I174" s="11"/>
      <c r="J174" s="50"/>
      <c r="K174" s="103"/>
      <c r="L174" s="103"/>
      <c r="M174" s="44"/>
      <c r="N174" s="41"/>
      <c r="O174" s="103"/>
      <c r="P174" s="178"/>
    </row>
    <row r="175" spans="1:16" s="10" customFormat="1" ht="15">
      <c r="A175" s="86"/>
      <c r="B175" s="9"/>
      <c r="D175" s="28"/>
      <c r="E175" s="33"/>
      <c r="F175" s="33"/>
      <c r="G175" s="11"/>
      <c r="H175" s="11"/>
      <c r="I175" s="11"/>
      <c r="J175" s="50"/>
      <c r="K175" s="103"/>
      <c r="L175" s="103"/>
      <c r="M175" s="44"/>
      <c r="N175" s="41"/>
      <c r="O175" s="103"/>
      <c r="P175" s="178"/>
    </row>
    <row r="176" spans="1:16" s="10" customFormat="1" ht="15">
      <c r="A176" s="86"/>
      <c r="B176" s="9"/>
      <c r="D176" s="28"/>
      <c r="E176" s="33"/>
      <c r="F176" s="33"/>
      <c r="G176" s="11"/>
      <c r="H176" s="11"/>
      <c r="I176" s="11"/>
      <c r="J176" s="50"/>
      <c r="K176" s="103"/>
      <c r="L176" s="103"/>
      <c r="M176" s="44"/>
      <c r="N176" s="41"/>
      <c r="O176" s="103"/>
      <c r="P176" s="178"/>
    </row>
    <row r="177" spans="1:16" s="10" customFormat="1" ht="15">
      <c r="A177" s="86"/>
      <c r="B177" s="9"/>
      <c r="D177" s="28"/>
      <c r="E177" s="33"/>
      <c r="F177" s="33"/>
      <c r="G177" s="11"/>
      <c r="H177" s="11"/>
      <c r="I177" s="11"/>
      <c r="J177" s="50"/>
      <c r="K177" s="103"/>
      <c r="L177" s="103"/>
      <c r="M177" s="44"/>
      <c r="N177" s="41"/>
      <c r="O177" s="103"/>
      <c r="P177" s="178"/>
    </row>
    <row r="178" spans="1:16" s="10" customFormat="1" ht="15">
      <c r="A178" s="86"/>
      <c r="B178" s="9"/>
      <c r="D178" s="28"/>
      <c r="E178" s="33"/>
      <c r="F178" s="33"/>
      <c r="G178" s="11"/>
      <c r="H178" s="11"/>
      <c r="I178" s="11"/>
      <c r="J178" s="50"/>
      <c r="K178" s="103"/>
      <c r="L178" s="103"/>
      <c r="M178" s="44"/>
      <c r="N178" s="41"/>
      <c r="O178" s="103"/>
      <c r="P178" s="178"/>
    </row>
    <row r="179" spans="1:16" s="10" customFormat="1" ht="15">
      <c r="A179" s="86"/>
      <c r="B179" s="9"/>
      <c r="D179" s="28"/>
      <c r="E179" s="33"/>
      <c r="F179" s="33"/>
      <c r="G179" s="11"/>
      <c r="H179" s="11"/>
      <c r="I179" s="11"/>
      <c r="J179" s="50"/>
      <c r="K179" s="103"/>
      <c r="L179" s="103"/>
      <c r="M179" s="44"/>
      <c r="N179" s="41"/>
      <c r="O179" s="103"/>
      <c r="P179" s="178"/>
    </row>
    <row r="180" spans="1:16" s="10" customFormat="1" ht="15">
      <c r="A180" s="86"/>
      <c r="B180" s="9"/>
      <c r="D180" s="28"/>
      <c r="E180" s="33"/>
      <c r="F180" s="33"/>
      <c r="G180" s="11"/>
      <c r="H180" s="11"/>
      <c r="I180" s="11"/>
      <c r="J180" s="50"/>
      <c r="K180" s="103"/>
      <c r="L180" s="103"/>
      <c r="M180" s="44"/>
      <c r="N180" s="41"/>
      <c r="O180" s="103"/>
      <c r="P180" s="178"/>
    </row>
    <row r="181" spans="1:16" s="10" customFormat="1" ht="15">
      <c r="A181" s="86"/>
      <c r="B181" s="9"/>
      <c r="D181" s="28"/>
      <c r="E181" s="33"/>
      <c r="F181" s="33"/>
      <c r="G181" s="11"/>
      <c r="H181" s="11"/>
      <c r="I181" s="11"/>
      <c r="J181" s="50"/>
      <c r="K181" s="103"/>
      <c r="L181" s="103"/>
      <c r="M181" s="44"/>
      <c r="N181" s="41"/>
      <c r="O181" s="103"/>
      <c r="P181" s="178"/>
    </row>
    <row r="182" spans="1:16" s="10" customFormat="1" ht="15">
      <c r="A182" s="86"/>
      <c r="B182" s="9"/>
      <c r="D182" s="28"/>
      <c r="E182" s="33"/>
      <c r="F182" s="33"/>
      <c r="G182" s="11"/>
      <c r="H182" s="11"/>
      <c r="I182" s="11"/>
      <c r="J182" s="50"/>
      <c r="K182" s="103"/>
      <c r="L182" s="103"/>
      <c r="M182" s="44"/>
      <c r="N182" s="41"/>
      <c r="O182" s="103"/>
      <c r="P182" s="178"/>
    </row>
    <row r="183" spans="1:16" s="10" customFormat="1" ht="15">
      <c r="A183" s="86"/>
      <c r="B183" s="9"/>
      <c r="D183" s="28"/>
      <c r="E183" s="33"/>
      <c r="F183" s="33"/>
      <c r="G183" s="11"/>
      <c r="H183" s="11"/>
      <c r="I183" s="11"/>
      <c r="J183" s="50"/>
      <c r="K183" s="103"/>
      <c r="L183" s="103"/>
      <c r="M183" s="44"/>
      <c r="N183" s="41"/>
      <c r="O183" s="103"/>
      <c r="P183" s="178"/>
    </row>
    <row r="184" spans="1:16" s="10" customFormat="1" ht="15">
      <c r="A184" s="86"/>
      <c r="B184" s="9"/>
      <c r="D184" s="28"/>
      <c r="E184" s="33"/>
      <c r="F184" s="33"/>
      <c r="G184" s="11"/>
      <c r="H184" s="11"/>
      <c r="I184" s="11"/>
      <c r="J184" s="50"/>
      <c r="K184" s="103"/>
      <c r="L184" s="103"/>
      <c r="M184" s="44"/>
      <c r="N184" s="41"/>
      <c r="O184" s="103"/>
      <c r="P184" s="178"/>
    </row>
    <row r="185" spans="1:16" s="10" customFormat="1" ht="15">
      <c r="A185" s="86"/>
      <c r="B185" s="9"/>
      <c r="D185" s="28"/>
      <c r="E185" s="33"/>
      <c r="F185" s="33"/>
      <c r="G185" s="11"/>
      <c r="H185" s="11"/>
      <c r="I185" s="11"/>
      <c r="J185" s="50"/>
      <c r="K185" s="103"/>
      <c r="L185" s="103"/>
      <c r="M185" s="44"/>
      <c r="N185" s="41"/>
      <c r="O185" s="103"/>
      <c r="P185" s="178"/>
    </row>
    <row r="186" spans="1:16" s="10" customFormat="1" ht="15">
      <c r="A186" s="86"/>
      <c r="B186" s="9"/>
      <c r="D186" s="28"/>
      <c r="E186" s="33"/>
      <c r="F186" s="33"/>
      <c r="G186" s="11"/>
      <c r="H186" s="11"/>
      <c r="I186" s="11"/>
      <c r="J186" s="50"/>
      <c r="K186" s="103"/>
      <c r="L186" s="103"/>
      <c r="M186" s="44"/>
      <c r="N186" s="41"/>
      <c r="O186" s="103"/>
      <c r="P186" s="178"/>
    </row>
    <row r="187" spans="1:16" s="10" customFormat="1" ht="15">
      <c r="A187" s="86"/>
      <c r="B187" s="9"/>
      <c r="D187" s="28"/>
      <c r="E187" s="33"/>
      <c r="F187" s="33"/>
      <c r="G187" s="11"/>
      <c r="H187" s="11"/>
      <c r="I187" s="11"/>
      <c r="J187" s="50"/>
      <c r="K187" s="103"/>
      <c r="L187" s="103"/>
      <c r="M187" s="44"/>
      <c r="N187" s="41"/>
      <c r="O187" s="103"/>
      <c r="P187" s="178"/>
    </row>
    <row r="188" spans="1:16" s="10" customFormat="1" ht="15">
      <c r="A188" s="86"/>
      <c r="B188" s="9"/>
      <c r="D188" s="28"/>
      <c r="E188" s="33"/>
      <c r="F188" s="33"/>
      <c r="G188" s="11"/>
      <c r="H188" s="11"/>
      <c r="I188" s="11"/>
      <c r="J188" s="50"/>
      <c r="K188" s="103"/>
      <c r="L188" s="103"/>
      <c r="M188" s="44"/>
      <c r="N188" s="41"/>
      <c r="O188" s="103"/>
      <c r="P188" s="178"/>
    </row>
    <row r="189" spans="1:16" s="10" customFormat="1" ht="15">
      <c r="A189" s="86"/>
      <c r="B189" s="9"/>
      <c r="D189" s="28"/>
      <c r="E189" s="33"/>
      <c r="F189" s="33"/>
      <c r="G189" s="11"/>
      <c r="H189" s="11"/>
      <c r="I189" s="11"/>
      <c r="J189" s="50"/>
      <c r="K189" s="103"/>
      <c r="L189" s="103"/>
      <c r="M189" s="44"/>
      <c r="N189" s="41"/>
      <c r="O189" s="103"/>
      <c r="P189" s="178"/>
    </row>
    <row r="190" spans="1:16" s="10" customFormat="1" ht="15">
      <c r="A190" s="86"/>
      <c r="B190" s="9"/>
      <c r="D190" s="28"/>
      <c r="E190" s="33"/>
      <c r="F190" s="33"/>
      <c r="G190" s="11"/>
      <c r="H190" s="11"/>
      <c r="I190" s="11"/>
      <c r="J190" s="50"/>
      <c r="K190" s="103"/>
      <c r="L190" s="103"/>
      <c r="M190" s="44"/>
      <c r="N190" s="41"/>
      <c r="O190" s="103"/>
      <c r="P190" s="178"/>
    </row>
    <row r="191" spans="1:16" s="10" customFormat="1" ht="15">
      <c r="A191" s="86"/>
      <c r="B191" s="9"/>
      <c r="D191" s="28"/>
      <c r="E191" s="33"/>
      <c r="F191" s="33"/>
      <c r="G191" s="11"/>
      <c r="H191" s="11"/>
      <c r="I191" s="11"/>
      <c r="J191" s="50"/>
      <c r="K191" s="103"/>
      <c r="L191" s="103"/>
      <c r="M191" s="44"/>
      <c r="N191" s="41"/>
      <c r="O191" s="103"/>
      <c r="P191" s="178"/>
    </row>
    <row r="192" spans="1:16" s="10" customFormat="1" ht="15">
      <c r="A192" s="86"/>
      <c r="B192" s="9"/>
      <c r="D192" s="28"/>
      <c r="E192" s="33"/>
      <c r="F192" s="33"/>
      <c r="G192" s="11"/>
      <c r="H192" s="11"/>
      <c r="I192" s="11"/>
      <c r="J192" s="50"/>
      <c r="K192" s="103"/>
      <c r="L192" s="103"/>
      <c r="M192" s="44"/>
      <c r="N192" s="41"/>
      <c r="O192" s="103"/>
      <c r="P192" s="178"/>
    </row>
    <row r="193" spans="1:16" s="10" customFormat="1" ht="15">
      <c r="A193" s="86"/>
      <c r="B193" s="9"/>
      <c r="D193" s="28"/>
      <c r="E193" s="33"/>
      <c r="F193" s="33"/>
      <c r="G193" s="11"/>
      <c r="H193" s="11"/>
      <c r="I193" s="11"/>
      <c r="J193" s="50"/>
      <c r="K193" s="103"/>
      <c r="L193" s="103"/>
      <c r="M193" s="44"/>
      <c r="N193" s="41"/>
      <c r="O193" s="103"/>
      <c r="P193" s="178"/>
    </row>
    <row r="194" spans="1:16" s="10" customFormat="1" ht="15">
      <c r="A194" s="86"/>
      <c r="B194" s="9"/>
      <c r="D194" s="28"/>
      <c r="E194" s="33"/>
      <c r="F194" s="33"/>
      <c r="G194" s="11"/>
      <c r="H194" s="11"/>
      <c r="I194" s="11"/>
      <c r="J194" s="50"/>
      <c r="K194" s="103"/>
      <c r="L194" s="103"/>
      <c r="M194" s="44"/>
      <c r="N194" s="41"/>
      <c r="O194" s="103"/>
      <c r="P194" s="178"/>
    </row>
    <row r="195" spans="1:16" s="10" customFormat="1" ht="15">
      <c r="A195" s="86"/>
      <c r="B195" s="9"/>
      <c r="D195" s="28"/>
      <c r="E195" s="33"/>
      <c r="F195" s="33"/>
      <c r="G195" s="11"/>
      <c r="H195" s="11"/>
      <c r="I195" s="11"/>
      <c r="J195" s="50"/>
      <c r="K195" s="103"/>
      <c r="L195" s="103"/>
      <c r="M195" s="44"/>
      <c r="N195" s="41"/>
      <c r="O195" s="103"/>
      <c r="P195" s="178"/>
    </row>
    <row r="196" spans="1:16" s="10" customFormat="1" ht="15">
      <c r="A196" s="86"/>
      <c r="B196" s="9"/>
      <c r="D196" s="28"/>
      <c r="E196" s="33"/>
      <c r="F196" s="33"/>
      <c r="G196" s="11"/>
      <c r="H196" s="11"/>
      <c r="I196" s="11"/>
      <c r="J196" s="50"/>
      <c r="K196" s="103"/>
      <c r="L196" s="103"/>
      <c r="M196" s="44"/>
      <c r="N196" s="41"/>
      <c r="O196" s="103"/>
      <c r="P196" s="178"/>
    </row>
    <row r="197" spans="1:16" s="10" customFormat="1" ht="15">
      <c r="A197" s="86"/>
      <c r="B197" s="9"/>
      <c r="D197" s="28"/>
      <c r="E197" s="33"/>
      <c r="F197" s="33"/>
      <c r="G197" s="11"/>
      <c r="H197" s="11"/>
      <c r="I197" s="11"/>
      <c r="J197" s="50"/>
      <c r="K197" s="103"/>
      <c r="L197" s="103"/>
      <c r="M197" s="44"/>
      <c r="N197" s="41"/>
      <c r="O197" s="103"/>
      <c r="P197" s="178"/>
    </row>
    <row r="198" spans="1:16" s="10" customFormat="1" ht="15">
      <c r="A198" s="86"/>
      <c r="B198" s="9"/>
      <c r="D198" s="28"/>
      <c r="E198" s="33"/>
      <c r="F198" s="33"/>
      <c r="G198" s="11"/>
      <c r="H198" s="11"/>
      <c r="I198" s="11"/>
      <c r="J198" s="50"/>
      <c r="K198" s="103"/>
      <c r="L198" s="103"/>
      <c r="M198" s="44"/>
      <c r="N198" s="41"/>
      <c r="O198" s="103"/>
      <c r="P198" s="178"/>
    </row>
    <row r="199" spans="1:16" s="10" customFormat="1" ht="15">
      <c r="A199" s="86"/>
      <c r="B199" s="9"/>
      <c r="D199" s="28"/>
      <c r="E199" s="33"/>
      <c r="F199" s="33"/>
      <c r="G199" s="11"/>
      <c r="H199" s="11"/>
      <c r="I199" s="11"/>
      <c r="J199" s="50"/>
      <c r="K199" s="103"/>
      <c r="L199" s="103"/>
      <c r="M199" s="44"/>
      <c r="N199" s="41"/>
      <c r="O199" s="103"/>
      <c r="P199" s="178"/>
    </row>
    <row r="200" spans="1:16" s="10" customFormat="1" ht="15">
      <c r="A200" s="86"/>
      <c r="B200" s="9"/>
      <c r="D200" s="28"/>
      <c r="E200" s="33"/>
      <c r="F200" s="33"/>
      <c r="G200" s="11"/>
      <c r="H200" s="11"/>
      <c r="I200" s="11"/>
      <c r="J200" s="50"/>
      <c r="K200" s="103"/>
      <c r="L200" s="103"/>
      <c r="M200" s="44"/>
      <c r="N200" s="41"/>
      <c r="O200" s="103"/>
      <c r="P200" s="178"/>
    </row>
    <row r="201" spans="1:16" s="10" customFormat="1" ht="15">
      <c r="A201" s="86"/>
      <c r="B201" s="9"/>
      <c r="D201" s="28"/>
      <c r="E201" s="33"/>
      <c r="F201" s="33"/>
      <c r="G201" s="11"/>
      <c r="H201" s="11"/>
      <c r="I201" s="11"/>
      <c r="J201" s="50"/>
      <c r="K201" s="103"/>
      <c r="L201" s="103"/>
      <c r="M201" s="44"/>
      <c r="N201" s="41"/>
      <c r="O201" s="103"/>
      <c r="P201" s="178"/>
    </row>
    <row r="202" spans="1:16" s="10" customFormat="1" ht="15">
      <c r="A202" s="86"/>
      <c r="B202" s="9"/>
      <c r="D202" s="28"/>
      <c r="E202" s="33"/>
      <c r="F202" s="33"/>
      <c r="G202" s="11"/>
      <c r="H202" s="11"/>
      <c r="I202" s="11"/>
      <c r="J202" s="50"/>
      <c r="K202" s="103"/>
      <c r="L202" s="103"/>
      <c r="M202" s="44"/>
      <c r="N202" s="41"/>
      <c r="O202" s="103"/>
      <c r="P202" s="178"/>
    </row>
    <row r="203" spans="1:16" s="10" customFormat="1" ht="18">
      <c r="A203" s="86"/>
      <c r="B203" s="9"/>
      <c r="D203" s="28"/>
      <c r="E203" s="33"/>
      <c r="F203" s="33"/>
      <c r="G203" s="11"/>
      <c r="H203" s="11"/>
      <c r="I203" s="11"/>
      <c r="J203" s="50"/>
      <c r="K203" s="103"/>
      <c r="L203" s="107"/>
      <c r="M203" s="55"/>
      <c r="N203" s="42"/>
      <c r="O203" s="107"/>
      <c r="P203" s="180"/>
    </row>
  </sheetData>
  <sheetProtection insertRows="0" deleteRows="0" sort="0"/>
  <mergeCells count="15">
    <mergeCell ref="D131:G131"/>
    <mergeCell ref="A2:P2"/>
    <mergeCell ref="C123:D124"/>
    <mergeCell ref="L123:P125"/>
    <mergeCell ref="N3:P3"/>
    <mergeCell ref="H3:H4"/>
    <mergeCell ref="G3:G4"/>
    <mergeCell ref="C3:C4"/>
    <mergeCell ref="E3:E4"/>
    <mergeCell ref="L126:P128"/>
    <mergeCell ref="E123:G123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portrait" paperSize="9" scale="44" r:id="rId2"/>
  <ignoredErrors>
    <ignoredError sqref="G130 H130:H131 N108:O115 D132:G132 D129:E130 G133:G142" unlockedFormula="1"/>
    <ignoredError sqref="L117:M117 I114:I117 E125 G15:I30 F125:G126 G73:G117 H114:H117 H73:H78 J73:K117 I73:I78 H80:H83 I80:I83 H85:H87 I85:I87 H89 I89 H91:H109 I91:I109 H111:H112 I111:I112 F127:G128 D125" numberStoredAsText="1"/>
    <ignoredError sqref="E126:E128 F129:G129 L108:M113 D126:D128 N9:O63 N75:N107 O75:O83 O85:O107 L73:M91 L92:M103 L104:M107 L114:M116" numberStoredAsText="1" unlockedFormula="1"/>
    <ignoredError sqref="N9:O63 N75:N107 O75:O83 O85:O107" formula="1" unlockedFormula="1"/>
    <ignoredError sqref="L11:M50 N6:O8 P11:P50 L6:M10 P70:P103 N70:O74 L70:M72 L51:M69 N64:N69 O64:O67 O69" formula="1"/>
    <ignoredError sqref="L73:M91" numberStoredAsText="1" formula="1"/>
    <ignoredError sqref="L92:M103 L104:M107 L114:M116" numberStoredAsText="1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zoomScale="60" zoomScaleNormal="60" workbookViewId="0" topLeftCell="A1">
      <selection activeCell="C2" sqref="C2:C3"/>
    </sheetView>
  </sheetViews>
  <sheetFormatPr defaultColWidth="9.140625" defaultRowHeight="14.25" customHeight="1"/>
  <cols>
    <col min="1" max="1" width="5.140625" style="124" bestFit="1" customWidth="1"/>
    <col min="2" max="2" width="1.7109375" style="155" customWidth="1"/>
    <col min="3" max="3" width="41.57421875" style="155" bestFit="1" customWidth="1"/>
    <col min="4" max="4" width="10.28125" style="166" customWidth="1"/>
    <col min="5" max="5" width="15.8515625" style="166" bestFit="1" customWidth="1"/>
    <col min="6" max="6" width="18.140625" style="166" bestFit="1" customWidth="1"/>
    <col min="7" max="7" width="9.57421875" style="166" bestFit="1" customWidth="1"/>
    <col min="8" max="8" width="9.8515625" style="166" customWidth="1"/>
    <col min="9" max="9" width="18.28125" style="248" bestFit="1" customWidth="1"/>
    <col min="10" max="10" width="14.421875" style="258" customWidth="1"/>
    <col min="11" max="11" width="8.140625" style="167" customWidth="1"/>
    <col min="12" max="12" width="11.57421875" style="155" bestFit="1" customWidth="1"/>
    <col min="13" max="16384" width="9.140625" style="155" customWidth="1"/>
  </cols>
  <sheetData>
    <row r="1" spans="1:11" s="125" customFormat="1" ht="42" customHeight="1" thickBot="1">
      <c r="A1" s="124"/>
      <c r="B1" s="351" t="s">
        <v>277</v>
      </c>
      <c r="C1" s="352"/>
      <c r="D1" s="352"/>
      <c r="E1" s="352"/>
      <c r="F1" s="352"/>
      <c r="G1" s="352"/>
      <c r="H1" s="352"/>
      <c r="I1" s="352"/>
      <c r="J1" s="352"/>
      <c r="K1" s="353"/>
    </row>
    <row r="2" spans="2:11" s="126" customFormat="1" ht="14.25" customHeight="1">
      <c r="B2" s="127"/>
      <c r="C2" s="319" t="s">
        <v>12</v>
      </c>
      <c r="D2" s="319" t="s">
        <v>136</v>
      </c>
      <c r="E2" s="319" t="s">
        <v>53</v>
      </c>
      <c r="F2" s="319" t="s">
        <v>52</v>
      </c>
      <c r="G2" s="325" t="s">
        <v>14</v>
      </c>
      <c r="H2" s="325" t="s">
        <v>137</v>
      </c>
      <c r="I2" s="325" t="s">
        <v>16</v>
      </c>
      <c r="J2" s="325"/>
      <c r="K2" s="354" t="s">
        <v>138</v>
      </c>
    </row>
    <row r="3" spans="1:11" s="126" customFormat="1" ht="34.5" customHeight="1" thickBot="1">
      <c r="A3" s="128"/>
      <c r="B3" s="181"/>
      <c r="C3" s="296"/>
      <c r="D3" s="296"/>
      <c r="E3" s="296"/>
      <c r="F3" s="296"/>
      <c r="G3" s="350"/>
      <c r="H3" s="346"/>
      <c r="I3" s="113" t="s">
        <v>139</v>
      </c>
      <c r="J3" s="89" t="s">
        <v>3</v>
      </c>
      <c r="K3" s="355"/>
    </row>
    <row r="4" spans="1:11" s="126" customFormat="1" ht="15">
      <c r="A4" s="129">
        <v>1</v>
      </c>
      <c r="B4" s="194"/>
      <c r="C4" s="274" t="s">
        <v>256</v>
      </c>
      <c r="D4" s="281">
        <v>38751</v>
      </c>
      <c r="E4" s="274" t="s">
        <v>34</v>
      </c>
      <c r="F4" s="274" t="s">
        <v>66</v>
      </c>
      <c r="G4" s="211">
        <v>277</v>
      </c>
      <c r="H4" s="211">
        <v>23</v>
      </c>
      <c r="I4" s="291">
        <v>27425371</v>
      </c>
      <c r="J4" s="282">
        <v>4253392.666666667</v>
      </c>
      <c r="K4" s="283">
        <f>+I4/J4</f>
        <v>6.447881291311139</v>
      </c>
    </row>
    <row r="5" spans="1:11" s="130" customFormat="1" ht="14.25" customHeight="1">
      <c r="A5" s="129">
        <v>2</v>
      </c>
      <c r="B5" s="195"/>
      <c r="C5" s="101" t="s">
        <v>253</v>
      </c>
      <c r="D5" s="277">
        <v>38723</v>
      </c>
      <c r="E5" s="101" t="s">
        <v>61</v>
      </c>
      <c r="F5" s="101" t="s">
        <v>140</v>
      </c>
      <c r="G5" s="53">
        <v>280</v>
      </c>
      <c r="H5" s="131">
        <v>20</v>
      </c>
      <c r="I5" s="287">
        <f>5592380+3880622.5+1673082.62+1119075.5+434517.5+130151.5+6347.5+744.5+27+2593+460+255+1561+9584+3764+14256+725+8416+4752+4839</f>
        <v>12888153.620000001</v>
      </c>
      <c r="J5" s="278">
        <f>871283+621889+270076+179456+67736+23058+1452+132+6+608+92+51+376+3188+1672+3564+242+2806+1584+1331</f>
        <v>2050602</v>
      </c>
      <c r="K5" s="284">
        <f>+I5/J5</f>
        <v>6.2850585437837285</v>
      </c>
    </row>
    <row r="6" spans="1:12" s="130" customFormat="1" ht="14.25" customHeight="1">
      <c r="A6" s="129">
        <v>3</v>
      </c>
      <c r="B6" s="195"/>
      <c r="C6" s="99" t="s">
        <v>112</v>
      </c>
      <c r="D6" s="279">
        <v>38856</v>
      </c>
      <c r="E6" s="133" t="s">
        <v>58</v>
      </c>
      <c r="F6" s="99" t="s">
        <v>65</v>
      </c>
      <c r="G6" s="48">
        <v>195</v>
      </c>
      <c r="H6" s="48">
        <v>12</v>
      </c>
      <c r="I6" s="288">
        <f>3570701+1526862+890553+1110.5+642057+1962.5+391828+1004+177766+104472.5+6467-1313+62244.5-2884+30403.5+13087+6337.5-594+13475.5</f>
        <v>7435540.5</v>
      </c>
      <c r="J6" s="280">
        <f>473308+203407+120258+125+93991+244+58773+32636+18970+1209-234+9432-459+4807+2508+1212-237+2153</f>
        <v>1022103</v>
      </c>
      <c r="K6" s="285">
        <f>+I6/J6</f>
        <v>7.274746772096354</v>
      </c>
      <c r="L6" s="236"/>
    </row>
    <row r="7" spans="1:11" s="132" customFormat="1" ht="14.25" customHeight="1">
      <c r="A7" s="129">
        <v>4</v>
      </c>
      <c r="B7" s="196"/>
      <c r="C7" s="269" t="s">
        <v>238</v>
      </c>
      <c r="D7" s="279">
        <v>38723</v>
      </c>
      <c r="E7" s="101" t="s">
        <v>34</v>
      </c>
      <c r="F7" s="269" t="s">
        <v>141</v>
      </c>
      <c r="G7" s="209">
        <v>199</v>
      </c>
      <c r="H7" s="209" t="s">
        <v>258</v>
      </c>
      <c r="I7" s="288">
        <v>6511980.1</v>
      </c>
      <c r="J7" s="280">
        <v>995694.4</v>
      </c>
      <c r="K7" s="285">
        <f>+I7/J7</f>
        <v>6.540139323872866</v>
      </c>
    </row>
    <row r="8" spans="1:11" s="132" customFormat="1" ht="14.25" customHeight="1">
      <c r="A8" s="129">
        <v>5</v>
      </c>
      <c r="B8" s="196"/>
      <c r="C8" s="99" t="s">
        <v>241</v>
      </c>
      <c r="D8" s="277">
        <v>38912</v>
      </c>
      <c r="E8" s="101" t="s">
        <v>59</v>
      </c>
      <c r="F8" s="101" t="s">
        <v>64</v>
      </c>
      <c r="G8" s="53">
        <v>162</v>
      </c>
      <c r="H8" s="131">
        <v>4</v>
      </c>
      <c r="I8" s="287">
        <v>6224099</v>
      </c>
      <c r="J8" s="278">
        <v>837308</v>
      </c>
      <c r="K8" s="284">
        <f>+I8/J8</f>
        <v>7.433464149393055</v>
      </c>
    </row>
    <row r="9" spans="1:11" s="132" customFormat="1" ht="14.25" customHeight="1">
      <c r="A9" s="129">
        <v>6</v>
      </c>
      <c r="B9" s="196"/>
      <c r="C9" s="101" t="s">
        <v>114</v>
      </c>
      <c r="D9" s="277">
        <v>38821</v>
      </c>
      <c r="E9" s="101" t="s">
        <v>61</v>
      </c>
      <c r="F9" s="101" t="s">
        <v>62</v>
      </c>
      <c r="G9" s="53">
        <v>118</v>
      </c>
      <c r="H9" s="131">
        <v>17</v>
      </c>
      <c r="I9" s="287">
        <f>1908861+1583540+976953.5+606582.5+358386.5+257458.5+154619+107195+70567+37968.5+18157.5+11925.5+12529.5+11442+10137.5+11279.5+11047</f>
        <v>6148650</v>
      </c>
      <c r="J9" s="278">
        <f>267837+226672+141343+93283+56706+48660+34140+24736+15604+6640+3341+2116+2223+1865+2002+2375+2554</f>
        <v>932097</v>
      </c>
      <c r="K9" s="284">
        <f>+I9/J9</f>
        <v>6.596577394841953</v>
      </c>
    </row>
    <row r="10" spans="1:11" s="132" customFormat="1" ht="14.25" customHeight="1">
      <c r="A10" s="129">
        <v>7</v>
      </c>
      <c r="B10" s="196"/>
      <c r="C10" s="101" t="s">
        <v>0</v>
      </c>
      <c r="D10" s="277">
        <v>38765</v>
      </c>
      <c r="E10" s="101" t="s">
        <v>34</v>
      </c>
      <c r="F10" s="101" t="s">
        <v>82</v>
      </c>
      <c r="G10" s="131">
        <v>164</v>
      </c>
      <c r="H10" s="131">
        <v>19</v>
      </c>
      <c r="I10" s="356">
        <v>4222687.5</v>
      </c>
      <c r="J10" s="357">
        <v>646274</v>
      </c>
      <c r="K10" s="284">
        <f>+I10/J10</f>
        <v>6.533896613510678</v>
      </c>
    </row>
    <row r="11" spans="1:11" s="132" customFormat="1" ht="14.25" customHeight="1">
      <c r="A11" s="129">
        <v>8</v>
      </c>
      <c r="B11" s="196"/>
      <c r="C11" s="101" t="s">
        <v>24</v>
      </c>
      <c r="D11" s="277">
        <v>38758</v>
      </c>
      <c r="E11" s="101" t="s">
        <v>61</v>
      </c>
      <c r="F11" s="101" t="s">
        <v>273</v>
      </c>
      <c r="G11" s="131">
        <v>80</v>
      </c>
      <c r="H11" s="131">
        <v>24</v>
      </c>
      <c r="I11" s="287">
        <f>1046144.5+776147+471268+342390+240709.5+167344+96416.5+41350+35967.5+31795.5+14506+10028+6242+3523+4463+5109+150+198+3146.5+3199+1091+252+107+70</f>
        <v>3301617</v>
      </c>
      <c r="J11" s="278">
        <f>153560+115584+70079+59336+46681+34549+19625+8318+8035+8705+3661+2044+1179+753+1488+1703+50+66+1049+812+246+33+15+10</f>
        <v>537581</v>
      </c>
      <c r="K11" s="284">
        <f>+I11/J11</f>
        <v>6.14161772830513</v>
      </c>
    </row>
    <row r="12" spans="1:11" s="132" customFormat="1" ht="14.25" customHeight="1">
      <c r="A12" s="129">
        <v>9</v>
      </c>
      <c r="B12" s="196"/>
      <c r="C12" s="101" t="s">
        <v>249</v>
      </c>
      <c r="D12" s="277">
        <v>38842</v>
      </c>
      <c r="E12" s="101" t="s">
        <v>59</v>
      </c>
      <c r="F12" s="101" t="s">
        <v>72</v>
      </c>
      <c r="G12" s="53">
        <v>173</v>
      </c>
      <c r="H12" s="131">
        <v>14</v>
      </c>
      <c r="I12" s="287">
        <v>2830688</v>
      </c>
      <c r="J12" s="278">
        <v>381026</v>
      </c>
      <c r="K12" s="284">
        <f>+I12/J12</f>
        <v>7.429120322497678</v>
      </c>
    </row>
    <row r="13" spans="1:11" s="132" customFormat="1" ht="14.25" customHeight="1">
      <c r="A13" s="129">
        <v>10</v>
      </c>
      <c r="B13" s="196"/>
      <c r="C13" s="100" t="s">
        <v>54</v>
      </c>
      <c r="D13" s="277">
        <v>38807</v>
      </c>
      <c r="E13" s="100" t="s">
        <v>55</v>
      </c>
      <c r="F13" s="100" t="s">
        <v>56</v>
      </c>
      <c r="G13" s="92">
        <v>115</v>
      </c>
      <c r="H13" s="92" t="s">
        <v>208</v>
      </c>
      <c r="I13" s="287">
        <v>2090646</v>
      </c>
      <c r="J13" s="278">
        <v>291036</v>
      </c>
      <c r="K13" s="284">
        <f>+I13/J13</f>
        <v>7.1834618397723995</v>
      </c>
    </row>
    <row r="14" spans="1:11" s="132" customFormat="1" ht="14.25" customHeight="1">
      <c r="A14" s="129">
        <v>11</v>
      </c>
      <c r="B14" s="196"/>
      <c r="C14" s="101" t="s">
        <v>143</v>
      </c>
      <c r="D14" s="277">
        <v>38744</v>
      </c>
      <c r="E14" s="101" t="s">
        <v>59</v>
      </c>
      <c r="F14" s="101" t="s">
        <v>74</v>
      </c>
      <c r="G14" s="131">
        <v>71</v>
      </c>
      <c r="H14" s="131">
        <v>22</v>
      </c>
      <c r="I14" s="287">
        <v>1846426</v>
      </c>
      <c r="J14" s="278">
        <v>229233</v>
      </c>
      <c r="K14" s="284">
        <f>IF(I14&lt;&gt;0,I14/J14,"")</f>
        <v>8.054800137851007</v>
      </c>
    </row>
    <row r="15" spans="1:11" s="132" customFormat="1" ht="14.25" customHeight="1">
      <c r="A15" s="129">
        <v>12</v>
      </c>
      <c r="B15" s="196"/>
      <c r="C15" s="99" t="s">
        <v>216</v>
      </c>
      <c r="D15" s="279">
        <v>38891</v>
      </c>
      <c r="E15" s="133" t="s">
        <v>58</v>
      </c>
      <c r="F15" s="99" t="s">
        <v>31</v>
      </c>
      <c r="G15" s="48">
        <v>134</v>
      </c>
      <c r="H15" s="48">
        <v>7</v>
      </c>
      <c r="I15" s="288">
        <f>694435+438090+738+386149+151227+222+83617+45498.5+9253.5+24202</f>
        <v>1833432</v>
      </c>
      <c r="J15" s="280">
        <f>90541+58080+141+50942+21691+24+14951+8904+1541+5005</f>
        <v>251820</v>
      </c>
      <c r="K15" s="285">
        <f>+I15/J15</f>
        <v>7.280724326900167</v>
      </c>
    </row>
    <row r="16" spans="1:11" s="132" customFormat="1" ht="14.25" customHeight="1">
      <c r="A16" s="129">
        <v>13</v>
      </c>
      <c r="B16" s="196"/>
      <c r="C16" s="101" t="s">
        <v>40</v>
      </c>
      <c r="D16" s="277">
        <v>38793</v>
      </c>
      <c r="E16" s="101" t="s">
        <v>59</v>
      </c>
      <c r="F16" s="101" t="s">
        <v>60</v>
      </c>
      <c r="G16" s="131">
        <v>129</v>
      </c>
      <c r="H16" s="131">
        <v>17</v>
      </c>
      <c r="I16" s="287">
        <v>1788368</v>
      </c>
      <c r="J16" s="278">
        <v>272227</v>
      </c>
      <c r="K16" s="284">
        <f>+I16/J16</f>
        <v>6.569399802370816</v>
      </c>
    </row>
    <row r="17" spans="1:13" s="132" customFormat="1" ht="14.25" customHeight="1">
      <c r="A17" s="129">
        <v>14</v>
      </c>
      <c r="B17" s="196"/>
      <c r="C17" s="101" t="s">
        <v>192</v>
      </c>
      <c r="D17" s="277">
        <v>38863</v>
      </c>
      <c r="E17" s="101" t="s">
        <v>61</v>
      </c>
      <c r="F17" s="101" t="s">
        <v>62</v>
      </c>
      <c r="G17" s="53">
        <v>61</v>
      </c>
      <c r="H17" s="131">
        <v>11</v>
      </c>
      <c r="I17" s="287">
        <f>666456+404849+225072+162061.5+76866+54951.5+33408+13723.5+10923+3808+4217</f>
        <v>1656335.5</v>
      </c>
      <c r="J17" s="278">
        <f>83759+51381+29986+23774+12608+9892+6238+2444+3191+1145+1223</f>
        <v>225641</v>
      </c>
      <c r="K17" s="284">
        <f>+I17/J17</f>
        <v>7.34057861824757</v>
      </c>
      <c r="M17" s="134"/>
    </row>
    <row r="18" spans="1:11" s="132" customFormat="1" ht="14.25" customHeight="1">
      <c r="A18" s="129">
        <v>15</v>
      </c>
      <c r="B18" s="196"/>
      <c r="C18" s="99" t="s">
        <v>21</v>
      </c>
      <c r="D18" s="279">
        <v>38786</v>
      </c>
      <c r="E18" s="133" t="s">
        <v>58</v>
      </c>
      <c r="F18" s="99" t="s">
        <v>65</v>
      </c>
      <c r="G18" s="48">
        <v>88</v>
      </c>
      <c r="H18" s="48">
        <v>13</v>
      </c>
      <c r="I18" s="288">
        <f>766172.5+426876.5+722.5+265870+79562.5+40+30203.5+20801+7671+6348+3330+1374+273+1434+566</f>
        <v>1611244.5</v>
      </c>
      <c r="J18" s="280">
        <f>104283+58908+78+37818+14443+4+6768+4620+1770+1277+711+322+66+295+131</f>
        <v>231494</v>
      </c>
      <c r="K18" s="285">
        <f>+I18/J18</f>
        <v>6.960199832393064</v>
      </c>
    </row>
    <row r="19" spans="1:11" s="132" customFormat="1" ht="14.25" customHeight="1">
      <c r="A19" s="129">
        <v>16</v>
      </c>
      <c r="B19" s="196"/>
      <c r="C19" s="99" t="s">
        <v>254</v>
      </c>
      <c r="D19" s="279">
        <v>38919</v>
      </c>
      <c r="E19" s="133" t="s">
        <v>58</v>
      </c>
      <c r="F19" s="99" t="s">
        <v>31</v>
      </c>
      <c r="G19" s="48">
        <v>149</v>
      </c>
      <c r="H19" s="48">
        <v>3</v>
      </c>
      <c r="I19" s="288">
        <f>897376+408049.5+50+255208.5</f>
        <v>1560684</v>
      </c>
      <c r="J19" s="280">
        <f>113870+54028+2+35562</f>
        <v>203462</v>
      </c>
      <c r="K19" s="285">
        <f>+I19/J19</f>
        <v>7.670641200813911</v>
      </c>
    </row>
    <row r="20" spans="1:11" s="132" customFormat="1" ht="14.25" customHeight="1">
      <c r="A20" s="129">
        <v>17</v>
      </c>
      <c r="B20" s="196"/>
      <c r="C20" s="101" t="s">
        <v>193</v>
      </c>
      <c r="D20" s="277">
        <v>38874</v>
      </c>
      <c r="E20" s="101" t="s">
        <v>61</v>
      </c>
      <c r="F20" s="101" t="s">
        <v>62</v>
      </c>
      <c r="G20" s="53">
        <v>66</v>
      </c>
      <c r="H20" s="131">
        <v>9</v>
      </c>
      <c r="I20" s="287">
        <f>298281+498557+283775.5+118453+85103+72332.5+39742.5+13388+10412.5+3447</f>
        <v>1423492</v>
      </c>
      <c r="J20" s="278">
        <f>42602+67227+38732+16300+14294+12524+8012+2616+2215+731</f>
        <v>205253</v>
      </c>
      <c r="K20" s="284">
        <f>+I20/J20</f>
        <v>6.935304234286466</v>
      </c>
    </row>
    <row r="21" spans="1:11" s="132" customFormat="1" ht="14.25" customHeight="1">
      <c r="A21" s="129">
        <v>18</v>
      </c>
      <c r="B21" s="196"/>
      <c r="C21" s="101" t="s">
        <v>110</v>
      </c>
      <c r="D21" s="277">
        <v>38751</v>
      </c>
      <c r="E21" s="101" t="s">
        <v>59</v>
      </c>
      <c r="F21" s="101" t="s">
        <v>69</v>
      </c>
      <c r="G21" s="53">
        <v>51</v>
      </c>
      <c r="H21" s="131">
        <v>27</v>
      </c>
      <c r="I21" s="287">
        <v>1342328</v>
      </c>
      <c r="J21" s="278">
        <v>176030</v>
      </c>
      <c r="K21" s="284">
        <f>+I21/J21</f>
        <v>7.625563824348123</v>
      </c>
    </row>
    <row r="22" spans="1:11" s="132" customFormat="1" ht="14.25" customHeight="1">
      <c r="A22" s="129">
        <v>19</v>
      </c>
      <c r="B22" s="196"/>
      <c r="C22" s="99" t="s">
        <v>144</v>
      </c>
      <c r="D22" s="279">
        <v>38758</v>
      </c>
      <c r="E22" s="133" t="s">
        <v>58</v>
      </c>
      <c r="F22" s="99" t="s">
        <v>65</v>
      </c>
      <c r="G22" s="48">
        <v>61</v>
      </c>
      <c r="H22" s="48">
        <v>16</v>
      </c>
      <c r="I22" s="288">
        <f>532455+375378.5+1288+209157.5+74302.5+38855.5+4630+21016.5+13072+2309+5106+4417+5902+1814.5+1188+1188+1782+1245.5</f>
        <v>1295107.5</v>
      </c>
      <c r="J22" s="280">
        <f>61952+44929+104+25802+9625+5738+693+3941-2+1998+265+605+699+1165+276+358+341+356+241</f>
        <v>159086</v>
      </c>
      <c r="K22" s="285">
        <f>+I22/J22</f>
        <v>8.140926920030676</v>
      </c>
    </row>
    <row r="23" spans="1:11" s="132" customFormat="1" ht="14.25" customHeight="1">
      <c r="A23" s="129">
        <v>20</v>
      </c>
      <c r="B23" s="196"/>
      <c r="C23" s="99" t="s">
        <v>23</v>
      </c>
      <c r="D23" s="279">
        <v>38730</v>
      </c>
      <c r="E23" s="133" t="s">
        <v>58</v>
      </c>
      <c r="F23" s="99" t="s">
        <v>31</v>
      </c>
      <c r="G23" s="48">
        <v>62</v>
      </c>
      <c r="H23" s="48">
        <v>19</v>
      </c>
      <c r="I23" s="288">
        <f>620634.5+342052.5+188118+10733+4394+3499+5130.5+267+2707.5+1265.5+1567+387+1177+148+551+59+124+2376+688</f>
        <v>1185878.5</v>
      </c>
      <c r="J23" s="280">
        <f>71532+39787+22209+1403+667+665+1174+78+545+187+307+74+286+21+88+9+19+475+124</f>
        <v>139650</v>
      </c>
      <c r="K23" s="285">
        <f>+I23/J23</f>
        <v>8.491790189760115</v>
      </c>
    </row>
    <row r="24" spans="1:11" s="132" customFormat="1" ht="14.25" customHeight="1">
      <c r="A24" s="129">
        <v>21</v>
      </c>
      <c r="B24" s="196"/>
      <c r="C24" s="101" t="s">
        <v>51</v>
      </c>
      <c r="D24" s="277">
        <v>38800</v>
      </c>
      <c r="E24" s="101" t="s">
        <v>61</v>
      </c>
      <c r="F24" s="101" t="s">
        <v>62</v>
      </c>
      <c r="G24" s="53">
        <v>92</v>
      </c>
      <c r="H24" s="131">
        <v>16</v>
      </c>
      <c r="I24" s="287">
        <f>481751.5+308419.5+242119.5+52953+38471.5+16408.5+18127+1517+5096+60+3053+445.5+482+889+3926+253</f>
        <v>1173972</v>
      </c>
      <c r="J24" s="278">
        <f>67910+40806+32344+8727+9142+4213+4473+313+1639+13+1011+76+110+151+1151+49</f>
        <v>172128</v>
      </c>
      <c r="K24" s="284">
        <f>+I24/J24</f>
        <v>6.820343000557725</v>
      </c>
    </row>
    <row r="25" spans="1:11" s="132" customFormat="1" ht="14.25" customHeight="1">
      <c r="A25" s="129">
        <v>22</v>
      </c>
      <c r="B25" s="196"/>
      <c r="C25" s="99" t="s">
        <v>145</v>
      </c>
      <c r="D25" s="279">
        <v>38737</v>
      </c>
      <c r="E25" s="133" t="s">
        <v>58</v>
      </c>
      <c r="F25" s="99" t="s">
        <v>65</v>
      </c>
      <c r="G25" s="48">
        <v>59</v>
      </c>
      <c r="H25" s="48">
        <v>15</v>
      </c>
      <c r="I25" s="288">
        <f>608427+380282+114207+9532.5+267+10793+13396.5+5792+7887+5035.5+7591+2654+5417+339+1456+491</f>
        <v>1173567.5</v>
      </c>
      <c r="J25" s="280">
        <f>84958+53848+16688+1589+36+2247+2850+1209+1697+1120+1428+513+1135+61+416+131</f>
        <v>169926</v>
      </c>
      <c r="K25" s="285">
        <f>+I25/J25</f>
        <v>6.906344526440922</v>
      </c>
    </row>
    <row r="26" spans="1:11" s="132" customFormat="1" ht="14.25" customHeight="1">
      <c r="A26" s="129">
        <v>23</v>
      </c>
      <c r="B26" s="196"/>
      <c r="C26" s="101" t="s">
        <v>113</v>
      </c>
      <c r="D26" s="277">
        <v>38856</v>
      </c>
      <c r="E26" s="101" t="s">
        <v>59</v>
      </c>
      <c r="F26" s="101" t="s">
        <v>210</v>
      </c>
      <c r="G26" s="53">
        <v>160</v>
      </c>
      <c r="H26" s="131">
        <v>12</v>
      </c>
      <c r="I26" s="287">
        <v>1151766</v>
      </c>
      <c r="J26" s="278">
        <v>179772</v>
      </c>
      <c r="K26" s="284">
        <f>+I26/J26</f>
        <v>6.406815299379214</v>
      </c>
    </row>
    <row r="27" spans="1:11" s="132" customFormat="1" ht="14.25" customHeight="1">
      <c r="A27" s="129">
        <v>24</v>
      </c>
      <c r="B27" s="196"/>
      <c r="C27" s="99" t="s">
        <v>146</v>
      </c>
      <c r="D27" s="279">
        <v>38772</v>
      </c>
      <c r="E27" s="133" t="s">
        <v>58</v>
      </c>
      <c r="F27" s="99" t="s">
        <v>71</v>
      </c>
      <c r="G27" s="48">
        <v>83</v>
      </c>
      <c r="H27" s="48">
        <v>12</v>
      </c>
      <c r="I27" s="288">
        <f>567539+316479.5+147520.5+33631.5+20525+10752+2179+662+816+695+493+408</f>
        <v>1101700.5</v>
      </c>
      <c r="J27" s="280">
        <f>70751+40533+20089+5992+4309+2533+671+110+159+161+111+54</f>
        <v>145473</v>
      </c>
      <c r="K27" s="285">
        <f>+I27/J27</f>
        <v>7.573230083933101</v>
      </c>
    </row>
    <row r="28" spans="1:11" s="132" customFormat="1" ht="14.25" customHeight="1">
      <c r="A28" s="129">
        <v>25</v>
      </c>
      <c r="B28" s="196"/>
      <c r="C28" s="218" t="s">
        <v>22</v>
      </c>
      <c r="D28" s="279">
        <v>38779</v>
      </c>
      <c r="E28" s="218" t="s">
        <v>58</v>
      </c>
      <c r="F28" s="218" t="s">
        <v>65</v>
      </c>
      <c r="G28" s="136">
        <v>96</v>
      </c>
      <c r="H28" s="136">
        <v>14</v>
      </c>
      <c r="I28" s="288">
        <f>548794+335797+701.5+148448.5+3571+32617.5+14092-3800+4657-453+614+455+1282.5+769+847+550+261+927</f>
        <v>1090131</v>
      </c>
      <c r="J28" s="280">
        <f>69211+43223+82+20305+51+6206+3183-272+1252-105+122+156+265+127+180+266+61+213</f>
        <v>144526</v>
      </c>
      <c r="K28" s="285">
        <f>+I28/J28</f>
        <v>7.542801987185697</v>
      </c>
    </row>
    <row r="29" spans="1:11" s="132" customFormat="1" ht="14.25" customHeight="1">
      <c r="A29" s="129">
        <v>26</v>
      </c>
      <c r="B29" s="196"/>
      <c r="C29" s="99" t="s">
        <v>78</v>
      </c>
      <c r="D29" s="279">
        <v>38814</v>
      </c>
      <c r="E29" s="133" t="s">
        <v>58</v>
      </c>
      <c r="F29" s="99" t="s">
        <v>79</v>
      </c>
      <c r="G29" s="48">
        <v>124</v>
      </c>
      <c r="H29" s="48">
        <v>18</v>
      </c>
      <c r="I29" s="288">
        <f>439414+274192+192421+64.5+69171.5+43293.5-3918+20352-1014+12440+194+1138+1592+2424+1929+445+265+289+276+179+204+1116</f>
        <v>1056467.5</v>
      </c>
      <c r="J29" s="280">
        <f>65914+42392+32259+2+13519+9474-1031+5275-202+2638+58+320+376+596+488+111+82+85+78+52+46+269</f>
        <v>172801</v>
      </c>
      <c r="K29" s="285">
        <f>+I29/J29</f>
        <v>6.113781170247857</v>
      </c>
    </row>
    <row r="30" spans="1:11" s="132" customFormat="1" ht="14.25" customHeight="1">
      <c r="A30" s="129">
        <v>27</v>
      </c>
      <c r="B30" s="196"/>
      <c r="C30" s="101" t="s">
        <v>300</v>
      </c>
      <c r="D30" s="277">
        <v>38821</v>
      </c>
      <c r="E30" s="101" t="s">
        <v>59</v>
      </c>
      <c r="F30" s="101" t="s">
        <v>64</v>
      </c>
      <c r="G30" s="53">
        <v>94</v>
      </c>
      <c r="H30" s="131">
        <v>18</v>
      </c>
      <c r="I30" s="287">
        <v>1008494</v>
      </c>
      <c r="J30" s="278">
        <v>149372</v>
      </c>
      <c r="K30" s="284">
        <f>+I30/J30</f>
        <v>6.751559863963795</v>
      </c>
    </row>
    <row r="31" spans="1:11" s="132" customFormat="1" ht="14.25" customHeight="1">
      <c r="A31" s="129">
        <v>28</v>
      </c>
      <c r="B31" s="196"/>
      <c r="C31" s="101" t="s">
        <v>94</v>
      </c>
      <c r="D31" s="277">
        <v>38835</v>
      </c>
      <c r="E31" s="101" t="s">
        <v>59</v>
      </c>
      <c r="F31" s="101" t="s">
        <v>69</v>
      </c>
      <c r="G31" s="53">
        <v>71</v>
      </c>
      <c r="H31" s="131">
        <v>15</v>
      </c>
      <c r="I31" s="287">
        <v>1006142</v>
      </c>
      <c r="J31" s="278">
        <v>124128</v>
      </c>
      <c r="K31" s="284">
        <f>+I31/J31</f>
        <v>8.10568123227636</v>
      </c>
    </row>
    <row r="32" spans="1:11" s="132" customFormat="1" ht="14.25" customHeight="1">
      <c r="A32" s="129">
        <v>29</v>
      </c>
      <c r="B32" s="196"/>
      <c r="C32" s="101" t="s">
        <v>37</v>
      </c>
      <c r="D32" s="277">
        <v>38779</v>
      </c>
      <c r="E32" s="101" t="s">
        <v>59</v>
      </c>
      <c r="F32" s="101" t="s">
        <v>64</v>
      </c>
      <c r="G32" s="53">
        <v>60</v>
      </c>
      <c r="H32" s="131">
        <v>23</v>
      </c>
      <c r="I32" s="287">
        <v>975925</v>
      </c>
      <c r="J32" s="278">
        <v>145466</v>
      </c>
      <c r="K32" s="284">
        <f>+I32/J32</f>
        <v>6.708956044711479</v>
      </c>
    </row>
    <row r="33" spans="1:11" s="132" customFormat="1" ht="14.25" customHeight="1">
      <c r="A33" s="129">
        <v>30</v>
      </c>
      <c r="B33" s="196"/>
      <c r="C33" s="101" t="s">
        <v>259</v>
      </c>
      <c r="D33" s="277">
        <v>38926</v>
      </c>
      <c r="E33" s="101" t="s">
        <v>59</v>
      </c>
      <c r="F33" s="101" t="s">
        <v>69</v>
      </c>
      <c r="G33" s="53">
        <v>120</v>
      </c>
      <c r="H33" s="131">
        <v>2</v>
      </c>
      <c r="I33" s="287">
        <v>964441</v>
      </c>
      <c r="J33" s="278">
        <v>128050</v>
      </c>
      <c r="K33" s="284">
        <f>+I33/J33</f>
        <v>7.531753221397891</v>
      </c>
    </row>
    <row r="34" spans="1:11" s="132" customFormat="1" ht="14.25" customHeight="1">
      <c r="A34" s="129">
        <v>31</v>
      </c>
      <c r="B34" s="196"/>
      <c r="C34" s="101" t="s">
        <v>95</v>
      </c>
      <c r="D34" s="277">
        <v>38835</v>
      </c>
      <c r="E34" s="101" t="s">
        <v>61</v>
      </c>
      <c r="F34" s="101" t="s">
        <v>102</v>
      </c>
      <c r="G34" s="53">
        <v>65</v>
      </c>
      <c r="H34" s="131">
        <v>15</v>
      </c>
      <c r="I34" s="287">
        <f>931000.5+3911.5+6678.5+4354.5+1114+2335+3189+962</f>
        <v>953545</v>
      </c>
      <c r="J34" s="278">
        <f>51957+35225+20957+7725+6499+6734+4731+2957+723+1206+742+181+339+486+162</f>
        <v>140624</v>
      </c>
      <c r="K34" s="284">
        <f>+I34/J34</f>
        <v>6.780812663556719</v>
      </c>
    </row>
    <row r="35" spans="1:11" s="132" customFormat="1" ht="14.25" customHeight="1">
      <c r="A35" s="129">
        <v>32</v>
      </c>
      <c r="B35" s="196"/>
      <c r="C35" s="101" t="s">
        <v>147</v>
      </c>
      <c r="D35" s="277">
        <v>38737</v>
      </c>
      <c r="E35" s="101" t="s">
        <v>61</v>
      </c>
      <c r="F35" s="101" t="s">
        <v>73</v>
      </c>
      <c r="G35" s="53">
        <v>43</v>
      </c>
      <c r="H35" s="131">
        <v>19</v>
      </c>
      <c r="I35" s="287">
        <f>396203.5+294727+144308+39007.5+20845+13381+3440+5237.5+6333+2618+1285+5683+2376+297+2376+1345+535+147+1574</f>
        <v>941718.5</v>
      </c>
      <c r="J35" s="278">
        <f>47896+35851+17460+6558+3746+4007+1374+1611+1950+556+169+1830+1188+72+792+240+107+49+397</f>
        <v>125853</v>
      </c>
      <c r="K35" s="284">
        <f>+I35/J35</f>
        <v>7.4826861497143495</v>
      </c>
    </row>
    <row r="36" spans="1:11" s="132" customFormat="1" ht="14.25" customHeight="1">
      <c r="A36" s="129">
        <v>33</v>
      </c>
      <c r="B36" s="196"/>
      <c r="C36" s="99" t="s">
        <v>57</v>
      </c>
      <c r="D36" s="279">
        <v>38807</v>
      </c>
      <c r="E36" s="133" t="s">
        <v>58</v>
      </c>
      <c r="F36" s="99" t="s">
        <v>31</v>
      </c>
      <c r="G36" s="48">
        <v>18</v>
      </c>
      <c r="H36" s="48">
        <v>13</v>
      </c>
      <c r="I36" s="288">
        <f>360631+281662+146898.5-10+41732+5+35353+15128+3266+1520+1188+422+446.5+766+503</f>
        <v>889511</v>
      </c>
      <c r="J36" s="280">
        <f>47208+36381+19166-5+6638+7219+4011+941+529+229+99+84+177+86</f>
        <v>122763</v>
      </c>
      <c r="K36" s="285">
        <f>+I36/J36</f>
        <v>7.24575808671994</v>
      </c>
    </row>
    <row r="37" spans="1:11" s="132" customFormat="1" ht="14.25" customHeight="1">
      <c r="A37" s="129">
        <v>34</v>
      </c>
      <c r="B37" s="196"/>
      <c r="C37" s="99" t="s">
        <v>48</v>
      </c>
      <c r="D37" s="279">
        <v>38800</v>
      </c>
      <c r="E37" s="99" t="s">
        <v>41</v>
      </c>
      <c r="F37" s="99" t="s">
        <v>81</v>
      </c>
      <c r="G37" s="48">
        <v>58</v>
      </c>
      <c r="H37" s="48">
        <v>20</v>
      </c>
      <c r="I37" s="289">
        <f>350945.5+222517.5+139156.5+40897.5+38142.5+25481.5+16036.5+2540+5715.5+4760+5176+3952+1523+1314+3068+3142.5+1229.5+841.5+1265+1460.5</f>
        <v>869165</v>
      </c>
      <c r="J37" s="278">
        <f>46256+31606+20219+8293+8608+6050+3760+524+1828+885+1287+758+233+204+640+566+226+133+179+273</f>
        <v>132528</v>
      </c>
      <c r="K37" s="284">
        <f>IF(I37&lt;&gt;0,I37/J37,"")</f>
        <v>6.5583499335989375</v>
      </c>
    </row>
    <row r="38" spans="1:11" s="132" customFormat="1" ht="14.25" customHeight="1">
      <c r="A38" s="129">
        <v>35</v>
      </c>
      <c r="B38" s="196"/>
      <c r="C38" s="101" t="s">
        <v>142</v>
      </c>
      <c r="D38" s="277">
        <v>38730</v>
      </c>
      <c r="E38" s="101" t="s">
        <v>59</v>
      </c>
      <c r="F38" s="101" t="s">
        <v>64</v>
      </c>
      <c r="G38" s="53">
        <v>116</v>
      </c>
      <c r="H38" s="131">
        <v>30</v>
      </c>
      <c r="I38" s="287">
        <v>827649</v>
      </c>
      <c r="J38" s="278">
        <v>467030</v>
      </c>
      <c r="K38" s="284">
        <f>+I38/J38</f>
        <v>1.7721538230948761</v>
      </c>
    </row>
    <row r="39" spans="1:11" s="132" customFormat="1" ht="14.25" customHeight="1">
      <c r="A39" s="129">
        <v>36</v>
      </c>
      <c r="B39" s="196"/>
      <c r="C39" s="101" t="s">
        <v>111</v>
      </c>
      <c r="D39" s="277">
        <v>38772</v>
      </c>
      <c r="E39" s="101" t="s">
        <v>59</v>
      </c>
      <c r="F39" s="101" t="s">
        <v>69</v>
      </c>
      <c r="G39" s="131">
        <v>62</v>
      </c>
      <c r="H39" s="131">
        <v>22</v>
      </c>
      <c r="I39" s="287">
        <v>827270</v>
      </c>
      <c r="J39" s="278">
        <v>109487</v>
      </c>
      <c r="K39" s="284">
        <f>+I39/J39</f>
        <v>7.5558742133769305</v>
      </c>
    </row>
    <row r="40" spans="1:11" s="132" customFormat="1" ht="14.25" customHeight="1">
      <c r="A40" s="129">
        <v>37</v>
      </c>
      <c r="B40" s="196"/>
      <c r="C40" s="99" t="s">
        <v>88</v>
      </c>
      <c r="D40" s="279">
        <v>38828</v>
      </c>
      <c r="E40" s="133" t="s">
        <v>58</v>
      </c>
      <c r="F40" s="99" t="s">
        <v>71</v>
      </c>
      <c r="G40" s="48">
        <v>59</v>
      </c>
      <c r="H40" s="48">
        <v>15</v>
      </c>
      <c r="I40" s="288">
        <f>365673.5+242198.5+102288+967.5+39022+4819.5+5052.5+2597+1947+372+616+2131.5+647+474+423+3440.5</f>
        <v>772669.5</v>
      </c>
      <c r="J40" s="280">
        <f>45213+29847+13085+1+6124+1313+1025+532+463+93+154+353+162+79+93+738</f>
        <v>99275</v>
      </c>
      <c r="K40" s="285">
        <f>+I40/J40</f>
        <v>7.78312263913372</v>
      </c>
    </row>
    <row r="41" spans="1:11" s="132" customFormat="1" ht="14.25" customHeight="1">
      <c r="A41" s="129">
        <v>38</v>
      </c>
      <c r="B41" s="196"/>
      <c r="C41" s="99" t="s">
        <v>148</v>
      </c>
      <c r="D41" s="279">
        <v>38793</v>
      </c>
      <c r="E41" s="133" t="s">
        <v>58</v>
      </c>
      <c r="F41" s="99" t="s">
        <v>31</v>
      </c>
      <c r="G41" s="48">
        <v>61</v>
      </c>
      <c r="H41" s="48">
        <v>13</v>
      </c>
      <c r="I41" s="288">
        <f>382650.25+216772+80793+19622+15213+10279+6237+3281.5+545+179+1009+295+461.5</f>
        <v>737337.25</v>
      </c>
      <c r="J41" s="280">
        <f>44423+25158+2+10694+4081+3731+2440+1502+538+87+42+240+59+71</f>
        <v>93068</v>
      </c>
      <c r="K41" s="285">
        <f>+I41/J41</f>
        <v>7.9225646838870505</v>
      </c>
    </row>
    <row r="42" spans="1:11" s="132" customFormat="1" ht="14.25" customHeight="1">
      <c r="A42" s="129">
        <v>39</v>
      </c>
      <c r="B42" s="196"/>
      <c r="C42" s="99" t="s">
        <v>215</v>
      </c>
      <c r="D42" s="279">
        <v>38765</v>
      </c>
      <c r="E42" s="133" t="s">
        <v>58</v>
      </c>
      <c r="F42" s="99" t="s">
        <v>70</v>
      </c>
      <c r="G42" s="48">
        <v>23</v>
      </c>
      <c r="H42" s="48">
        <v>17</v>
      </c>
      <c r="I42" s="288">
        <f>233855.5+204363.5+128310.5+63025+34881+574.5+33654+11641+7934+7483+300+4766+188+102+1767.5+210+1188+832+2014</f>
        <v>737089.5</v>
      </c>
      <c r="J42" s="280">
        <f>23969+21050+14093+7549+5203+51+5592+2578+1510+1129+34+863+23+411+42+198+49+475</f>
        <v>84819</v>
      </c>
      <c r="K42" s="285">
        <f>+I42/J42</f>
        <v>8.690146075761326</v>
      </c>
    </row>
    <row r="43" spans="1:11" s="132" customFormat="1" ht="14.25" customHeight="1">
      <c r="A43" s="129">
        <v>40</v>
      </c>
      <c r="B43" s="196"/>
      <c r="C43" s="101" t="s">
        <v>201</v>
      </c>
      <c r="D43" s="277">
        <v>38877</v>
      </c>
      <c r="E43" s="101" t="s">
        <v>59</v>
      </c>
      <c r="F43" s="101" t="s">
        <v>64</v>
      </c>
      <c r="G43" s="53">
        <v>60</v>
      </c>
      <c r="H43" s="131">
        <v>9</v>
      </c>
      <c r="I43" s="287">
        <v>638496</v>
      </c>
      <c r="J43" s="278">
        <v>79975</v>
      </c>
      <c r="K43" s="284">
        <f>+I43/J43</f>
        <v>7.983694904657706</v>
      </c>
    </row>
    <row r="44" spans="1:11" s="132" customFormat="1" ht="14.25" customHeight="1">
      <c r="A44" s="129">
        <v>41</v>
      </c>
      <c r="B44" s="196"/>
      <c r="C44" s="101" t="s">
        <v>89</v>
      </c>
      <c r="D44" s="277">
        <v>38828</v>
      </c>
      <c r="E44" s="101" t="s">
        <v>61</v>
      </c>
      <c r="F44" s="101" t="s">
        <v>73</v>
      </c>
      <c r="G44" s="53">
        <v>43</v>
      </c>
      <c r="H44" s="131">
        <v>16</v>
      </c>
      <c r="I44" s="287">
        <f>221837.5+151726+100334.5+58293.5+26175.5+11161+17463.5+3291+21578+7312+4262.5+2303+855+1116+823+670</f>
        <v>629202</v>
      </c>
      <c r="J44" s="278">
        <f>31465+21243+15047+11409+5192+2380+3862+919+4153+1349+750+401+171+250+160+133</f>
        <v>98884</v>
      </c>
      <c r="K44" s="284">
        <f>+I44/J44</f>
        <v>6.363031430767363</v>
      </c>
    </row>
    <row r="45" spans="1:11" s="132" customFormat="1" ht="14.25" customHeight="1">
      <c r="A45" s="129">
        <v>42</v>
      </c>
      <c r="B45" s="196"/>
      <c r="C45" s="100" t="s">
        <v>191</v>
      </c>
      <c r="D45" s="277">
        <v>38863</v>
      </c>
      <c r="E45" s="100" t="s">
        <v>118</v>
      </c>
      <c r="F45" s="100" t="s">
        <v>67</v>
      </c>
      <c r="G45" s="93">
        <v>35</v>
      </c>
      <c r="H45" s="93">
        <v>11</v>
      </c>
      <c r="I45" s="287">
        <f>149883.5+135641.5+82301.5+72589.5+39819+39540+36570.5+16522+7667.5+7505+3512</f>
        <v>591552</v>
      </c>
      <c r="J45" s="278">
        <f>19608+17668+11309+10378+6088+6513+6684+3212+1345+1482+722</f>
        <v>85009</v>
      </c>
      <c r="K45" s="285">
        <f>+I45/J45</f>
        <v>6.958698490748039</v>
      </c>
    </row>
    <row r="46" spans="1:11" s="132" customFormat="1" ht="14.25" customHeight="1">
      <c r="A46" s="129">
        <v>43</v>
      </c>
      <c r="B46" s="196"/>
      <c r="C46" s="99" t="s">
        <v>26</v>
      </c>
      <c r="D46" s="279">
        <v>38716</v>
      </c>
      <c r="E46" s="133" t="s">
        <v>58</v>
      </c>
      <c r="F46" s="99" t="s">
        <v>65</v>
      </c>
      <c r="G46" s="48">
        <v>60</v>
      </c>
      <c r="H46" s="48">
        <v>21</v>
      </c>
      <c r="I46" s="288">
        <f>585119+1780+1044+82.5+240+71+56+83+82+888</f>
        <v>589445.5</v>
      </c>
      <c r="J46" s="280">
        <f>83689+369+235+15+48+17+13+18+18+222</f>
        <v>84644</v>
      </c>
      <c r="K46" s="285">
        <f>+I46/J46</f>
        <v>6.963819053919947</v>
      </c>
    </row>
    <row r="47" spans="1:11" s="132" customFormat="1" ht="14.25" customHeight="1">
      <c r="A47" s="129">
        <v>44</v>
      </c>
      <c r="B47" s="196"/>
      <c r="C47" s="99" t="s">
        <v>278</v>
      </c>
      <c r="D47" s="279">
        <v>38933</v>
      </c>
      <c r="E47" s="133" t="s">
        <v>58</v>
      </c>
      <c r="F47" s="99" t="s">
        <v>31</v>
      </c>
      <c r="G47" s="48">
        <v>56</v>
      </c>
      <c r="H47" s="48">
        <v>1</v>
      </c>
      <c r="I47" s="288">
        <v>561160.5</v>
      </c>
      <c r="J47" s="280">
        <v>65355</v>
      </c>
      <c r="K47" s="285">
        <f>+I47/J47</f>
        <v>8.586343814551297</v>
      </c>
    </row>
    <row r="48" spans="1:11" s="132" customFormat="1" ht="14.25" customHeight="1">
      <c r="A48" s="129">
        <v>45</v>
      </c>
      <c r="B48" s="196"/>
      <c r="C48" s="101" t="s">
        <v>63</v>
      </c>
      <c r="D48" s="277">
        <v>38807</v>
      </c>
      <c r="E48" s="101" t="s">
        <v>59</v>
      </c>
      <c r="F48" s="101" t="s">
        <v>64</v>
      </c>
      <c r="G48" s="131">
        <v>62</v>
      </c>
      <c r="H48" s="131">
        <v>17</v>
      </c>
      <c r="I48" s="287">
        <v>548177</v>
      </c>
      <c r="J48" s="278">
        <v>71925</v>
      </c>
      <c r="K48" s="284">
        <f>+I48/J48</f>
        <v>7.621508515815085</v>
      </c>
    </row>
    <row r="49" spans="1:11" s="132" customFormat="1" ht="14.25" customHeight="1">
      <c r="A49" s="129">
        <v>46</v>
      </c>
      <c r="B49" s="196"/>
      <c r="C49" s="101" t="s">
        <v>116</v>
      </c>
      <c r="D49" s="277">
        <v>38786</v>
      </c>
      <c r="E49" s="101" t="s">
        <v>59</v>
      </c>
      <c r="F49" s="101" t="s">
        <v>72</v>
      </c>
      <c r="G49" s="131">
        <v>63</v>
      </c>
      <c r="H49" s="131">
        <v>11</v>
      </c>
      <c r="I49" s="287">
        <v>508013</v>
      </c>
      <c r="J49" s="278">
        <v>64201</v>
      </c>
      <c r="K49" s="284">
        <f>+I49/J49</f>
        <v>7.912851824737932</v>
      </c>
    </row>
    <row r="50" spans="1:11" s="132" customFormat="1" ht="14.25" customHeight="1">
      <c r="A50" s="129">
        <v>47</v>
      </c>
      <c r="B50" s="196"/>
      <c r="C50" s="99" t="s">
        <v>46</v>
      </c>
      <c r="D50" s="279">
        <v>38800</v>
      </c>
      <c r="E50" s="133" t="s">
        <v>58</v>
      </c>
      <c r="F50" s="99" t="s">
        <v>107</v>
      </c>
      <c r="G50" s="48">
        <v>42</v>
      </c>
      <c r="H50" s="48">
        <v>12</v>
      </c>
      <c r="I50" s="288">
        <f>288395.5+117307+73357+9936.5+3180.5+6040+3145+3698+425+75+340+340+815.5</f>
        <v>507055</v>
      </c>
      <c r="J50" s="280">
        <f>32591+13752+9420+1407+573+1208+527+673+68+34+68+117</f>
        <v>60438</v>
      </c>
      <c r="K50" s="285">
        <f>+I50/J50</f>
        <v>8.389672060624111</v>
      </c>
    </row>
    <row r="51" spans="1:11" s="130" customFormat="1" ht="14.25" customHeight="1">
      <c r="A51" s="129">
        <v>48</v>
      </c>
      <c r="B51" s="196"/>
      <c r="C51" s="101" t="s">
        <v>279</v>
      </c>
      <c r="D51" s="277">
        <v>38933</v>
      </c>
      <c r="E51" s="101" t="s">
        <v>59</v>
      </c>
      <c r="F51" s="101" t="s">
        <v>64</v>
      </c>
      <c r="G51" s="53">
        <v>130</v>
      </c>
      <c r="H51" s="131">
        <v>130</v>
      </c>
      <c r="I51" s="287">
        <v>494874</v>
      </c>
      <c r="J51" s="278">
        <v>67225</v>
      </c>
      <c r="K51" s="284">
        <f>+I51/J51</f>
        <v>7.361457791000372</v>
      </c>
    </row>
    <row r="52" spans="1:11" s="130" customFormat="1" ht="14.25" customHeight="1">
      <c r="A52" s="129">
        <v>49</v>
      </c>
      <c r="B52" s="196"/>
      <c r="C52" s="101" t="s">
        <v>149</v>
      </c>
      <c r="D52" s="277">
        <v>38751</v>
      </c>
      <c r="E52" s="101" t="s">
        <v>59</v>
      </c>
      <c r="F52" s="101" t="s">
        <v>150</v>
      </c>
      <c r="G52" s="131">
        <v>27</v>
      </c>
      <c r="H52" s="131">
        <v>15</v>
      </c>
      <c r="I52" s="287">
        <v>479686</v>
      </c>
      <c r="J52" s="278">
        <v>55874</v>
      </c>
      <c r="K52" s="284">
        <f>+I52/J52</f>
        <v>8.585137989046784</v>
      </c>
    </row>
    <row r="53" spans="1:11" s="130" customFormat="1" ht="14.25" customHeight="1">
      <c r="A53" s="129">
        <v>50</v>
      </c>
      <c r="B53" s="196"/>
      <c r="C53" s="100" t="s">
        <v>217</v>
      </c>
      <c r="D53" s="277">
        <v>38891</v>
      </c>
      <c r="E53" s="100" t="s">
        <v>118</v>
      </c>
      <c r="F53" s="100" t="s">
        <v>67</v>
      </c>
      <c r="G53" s="93">
        <v>45</v>
      </c>
      <c r="H53" s="93">
        <v>7</v>
      </c>
      <c r="I53" s="287">
        <f>154658.5+107804+83531.5+43902+30665+24700+11888</f>
        <v>457149</v>
      </c>
      <c r="J53" s="278">
        <f>20153+14417+13506+7951+5799+4754+2261</f>
        <v>68841</v>
      </c>
      <c r="K53" s="285">
        <f>+I53/J53</f>
        <v>6.640650193925132</v>
      </c>
    </row>
    <row r="54" spans="1:11" s="130" customFormat="1" ht="14.25" customHeight="1">
      <c r="A54" s="129">
        <v>51</v>
      </c>
      <c r="B54" s="196"/>
      <c r="C54" s="101" t="s">
        <v>50</v>
      </c>
      <c r="D54" s="277">
        <v>38793</v>
      </c>
      <c r="E54" s="101" t="s">
        <v>61</v>
      </c>
      <c r="F54" s="101" t="s">
        <v>115</v>
      </c>
      <c r="G54" s="131">
        <v>50</v>
      </c>
      <c r="H54" s="131">
        <v>12</v>
      </c>
      <c r="I54" s="287">
        <f>196913+123210+45760+23987+14825+9931+11940+5017.5+2178+911+318.5+3020</f>
        <v>438011</v>
      </c>
      <c r="J54" s="278">
        <f>26732+15006+5997+4114+3495+3333+3072+1744+485+414+91+1007</f>
        <v>65490</v>
      </c>
      <c r="K54" s="285">
        <f>+I54/J54</f>
        <v>6.6882119407543135</v>
      </c>
    </row>
    <row r="55" spans="1:11" s="130" customFormat="1" ht="14.25" customHeight="1">
      <c r="A55" s="129">
        <v>52</v>
      </c>
      <c r="B55" s="196"/>
      <c r="C55" s="101" t="s">
        <v>194</v>
      </c>
      <c r="D55" s="277">
        <v>38870</v>
      </c>
      <c r="E55" s="101" t="s">
        <v>59</v>
      </c>
      <c r="F55" s="101" t="s">
        <v>64</v>
      </c>
      <c r="G55" s="53">
        <v>82</v>
      </c>
      <c r="H55" s="131">
        <v>10</v>
      </c>
      <c r="I55" s="287">
        <v>429730</v>
      </c>
      <c r="J55" s="278">
        <v>61523</v>
      </c>
      <c r="K55" s="284">
        <f>+I55/J55</f>
        <v>6.984867447946296</v>
      </c>
    </row>
    <row r="56" spans="1:11" s="130" customFormat="1" ht="14.25" customHeight="1">
      <c r="A56" s="129">
        <v>53</v>
      </c>
      <c r="B56" s="196"/>
      <c r="C56" s="99" t="s">
        <v>226</v>
      </c>
      <c r="D56" s="279">
        <v>38898</v>
      </c>
      <c r="E56" s="133" t="s">
        <v>58</v>
      </c>
      <c r="F56" s="99" t="s">
        <v>65</v>
      </c>
      <c r="G56" s="48">
        <v>52</v>
      </c>
      <c r="H56" s="48">
        <v>6</v>
      </c>
      <c r="I56" s="288">
        <f>178154.5+113428-10+65774+41050.5+21920.5+111+7515.5</f>
        <v>427944</v>
      </c>
      <c r="J56" s="280">
        <f>22672+15039+9332+6541+3979+26+1490</f>
        <v>59079</v>
      </c>
      <c r="K56" s="285">
        <f>+I56/J56</f>
        <v>7.243589092570964</v>
      </c>
    </row>
    <row r="57" spans="1:11" s="132" customFormat="1" ht="14.25" customHeight="1">
      <c r="A57" s="129">
        <v>54</v>
      </c>
      <c r="B57" s="195"/>
      <c r="C57" s="99" t="s">
        <v>80</v>
      </c>
      <c r="D57" s="279">
        <v>38814</v>
      </c>
      <c r="E57" s="99" t="s">
        <v>41</v>
      </c>
      <c r="F57" s="99" t="s">
        <v>81</v>
      </c>
      <c r="G57" s="48">
        <v>56</v>
      </c>
      <c r="H57" s="48">
        <v>14</v>
      </c>
      <c r="I57" s="289">
        <f>217941.5+99459+32613+17816.5+8424.5+3203+531+1188+1702+1401+1683+130+508+155</f>
        <v>386755.5</v>
      </c>
      <c r="J57" s="278">
        <f>30137+15034+5570+3956+2001+658+128+237+338+298+250+16+55+31</f>
        <v>58709</v>
      </c>
      <c r="K57" s="284">
        <f>IF(I57&lt;&gt;0,I57/J57,"")</f>
        <v>6.587669692892061</v>
      </c>
    </row>
    <row r="58" spans="1:11" s="132" customFormat="1" ht="14.25" customHeight="1">
      <c r="A58" s="129">
        <v>55</v>
      </c>
      <c r="B58" s="195"/>
      <c r="C58" s="101" t="s">
        <v>103</v>
      </c>
      <c r="D58" s="277">
        <v>38849</v>
      </c>
      <c r="E58" s="101" t="s">
        <v>61</v>
      </c>
      <c r="F58" s="101" t="s">
        <v>62</v>
      </c>
      <c r="G58" s="131">
        <v>51</v>
      </c>
      <c r="H58" s="131">
        <v>12</v>
      </c>
      <c r="I58" s="287">
        <f>165448.5+80304.5+33898+25466.5+45263+18896+5078+2191.5+6548+527+207+21</f>
        <v>383849</v>
      </c>
      <c r="J58" s="278">
        <f>23339+10797+5046+5061+9442+3877+1054+385+1236+114+46+3</f>
        <v>60400</v>
      </c>
      <c r="K58" s="284">
        <f>+I58/J58</f>
        <v>6.355115894039735</v>
      </c>
    </row>
    <row r="59" spans="1:11" s="132" customFormat="1" ht="14.25" customHeight="1">
      <c r="A59" s="129">
        <v>56</v>
      </c>
      <c r="B59" s="195"/>
      <c r="C59" s="101" t="s">
        <v>85</v>
      </c>
      <c r="D59" s="277">
        <v>38814</v>
      </c>
      <c r="E59" s="271" t="s">
        <v>61</v>
      </c>
      <c r="F59" s="101" t="s">
        <v>109</v>
      </c>
      <c r="G59" s="131">
        <v>50</v>
      </c>
      <c r="H59" s="131">
        <v>9</v>
      </c>
      <c r="I59" s="287">
        <f>159204+117003.5+55112+26308.5+8703+2820+3475+32+425.5</f>
        <v>373083.5</v>
      </c>
      <c r="J59" s="278">
        <f>19860+13877+7175+4316+1437+527+1077+4+109</f>
        <v>48382</v>
      </c>
      <c r="K59" s="285">
        <f>+I59/J59</f>
        <v>7.7112045802157825</v>
      </c>
    </row>
    <row r="60" spans="1:11" s="132" customFormat="1" ht="14.25" customHeight="1">
      <c r="A60" s="129">
        <v>57</v>
      </c>
      <c r="B60" s="195"/>
      <c r="C60" s="101" t="s">
        <v>190</v>
      </c>
      <c r="D60" s="277">
        <v>38863</v>
      </c>
      <c r="E60" s="101" t="s">
        <v>59</v>
      </c>
      <c r="F60" s="101" t="s">
        <v>64</v>
      </c>
      <c r="G60" s="53">
        <v>47</v>
      </c>
      <c r="H60" s="131">
        <v>11</v>
      </c>
      <c r="I60" s="287">
        <v>372547</v>
      </c>
      <c r="J60" s="278">
        <v>48726</v>
      </c>
      <c r="K60" s="284">
        <f>+I60/J60</f>
        <v>7.645753807002421</v>
      </c>
    </row>
    <row r="61" spans="1:11" s="132" customFormat="1" ht="14.25" customHeight="1">
      <c r="A61" s="129">
        <v>58</v>
      </c>
      <c r="B61" s="195"/>
      <c r="C61" s="101" t="s">
        <v>151</v>
      </c>
      <c r="D61" s="277">
        <v>38765</v>
      </c>
      <c r="E61" s="101" t="s">
        <v>59</v>
      </c>
      <c r="F61" s="101" t="s">
        <v>72</v>
      </c>
      <c r="G61" s="131">
        <v>41</v>
      </c>
      <c r="H61" s="131">
        <v>22</v>
      </c>
      <c r="I61" s="356">
        <v>338013</v>
      </c>
      <c r="J61" s="278">
        <v>46266</v>
      </c>
      <c r="K61" s="285">
        <f>+I61/J61</f>
        <v>7.3058617559330825</v>
      </c>
    </row>
    <row r="62" spans="1:11" s="132" customFormat="1" ht="14.25" customHeight="1">
      <c r="A62" s="129">
        <v>59</v>
      </c>
      <c r="B62" s="195"/>
      <c r="C62" s="99" t="s">
        <v>202</v>
      </c>
      <c r="D62" s="279">
        <v>38877</v>
      </c>
      <c r="E62" s="133" t="s">
        <v>58</v>
      </c>
      <c r="F62" s="99" t="s">
        <v>31</v>
      </c>
      <c r="G62" s="48">
        <v>55</v>
      </c>
      <c r="H62" s="48">
        <v>9</v>
      </c>
      <c r="I62" s="288">
        <f>146528+104613.5+29219+10904.5+27602+3356.5+4237+2932+96</f>
        <v>329488.5</v>
      </c>
      <c r="J62" s="280">
        <f>18308+13411+4628+2089+4908+624+560+741+16</f>
        <v>45285</v>
      </c>
      <c r="K62" s="285">
        <f>+I62/J62</f>
        <v>7.2758860549850946</v>
      </c>
    </row>
    <row r="63" spans="1:11" s="132" customFormat="1" ht="14.25" customHeight="1">
      <c r="A63" s="129">
        <v>60</v>
      </c>
      <c r="B63" s="195"/>
      <c r="C63" s="99" t="s">
        <v>84</v>
      </c>
      <c r="D63" s="279">
        <v>38821</v>
      </c>
      <c r="E63" s="133" t="s">
        <v>58</v>
      </c>
      <c r="F63" s="99" t="s">
        <v>83</v>
      </c>
      <c r="G63" s="48">
        <v>32</v>
      </c>
      <c r="H63" s="48">
        <v>15</v>
      </c>
      <c r="I63" s="288">
        <f>122911+88335.5+16+40828.5+16007.5+37291.5+2997+4262.5+1548.5+1019+773+795+232+858+832+2816</f>
        <v>321523</v>
      </c>
      <c r="J63" s="280">
        <f>13093+9562-3+4800+2670+6683+902+881+241+192+176+168+59+189+49+487</f>
        <v>40149</v>
      </c>
      <c r="K63" s="285">
        <f>+I63/J63</f>
        <v>8.008244290019677</v>
      </c>
    </row>
    <row r="64" spans="1:11" s="132" customFormat="1" ht="14.25" customHeight="1">
      <c r="A64" s="129">
        <v>61</v>
      </c>
      <c r="B64" s="195"/>
      <c r="C64" s="218" t="s">
        <v>91</v>
      </c>
      <c r="D64" s="279">
        <v>38821</v>
      </c>
      <c r="E64" s="218" t="s">
        <v>58</v>
      </c>
      <c r="F64" s="218" t="s">
        <v>65</v>
      </c>
      <c r="G64" s="136">
        <v>53</v>
      </c>
      <c r="H64" s="136">
        <v>12</v>
      </c>
      <c r="I64" s="288">
        <f>155465+86253.5+51+32563.5+13957.5+17705+3940.5+3158+2263.5+805+2009+1244+1790.5</f>
        <v>321206</v>
      </c>
      <c r="J64" s="280">
        <f>21109+11912+4921+2568+3792+939+610+410+149+599+244+639</f>
        <v>47892</v>
      </c>
      <c r="K64" s="285">
        <f>+I64/J64</f>
        <v>6.706882151507559</v>
      </c>
    </row>
    <row r="65" spans="1:11" s="132" customFormat="1" ht="14.25" customHeight="1">
      <c r="A65" s="129">
        <v>62</v>
      </c>
      <c r="B65" s="195"/>
      <c r="C65" s="101" t="s">
        <v>152</v>
      </c>
      <c r="D65" s="277">
        <v>38772</v>
      </c>
      <c r="E65" s="101" t="s">
        <v>61</v>
      </c>
      <c r="F65" s="101" t="s">
        <v>62</v>
      </c>
      <c r="G65" s="131">
        <v>49</v>
      </c>
      <c r="H65" s="131">
        <v>11</v>
      </c>
      <c r="I65" s="287">
        <f>151711.5+80204.5+40498+22773.5+10013.5+8954+2475+789.5+1863+538.5+173</f>
        <v>319994</v>
      </c>
      <c r="J65" s="278">
        <f>20342+10373+5841+6919+2082+2313+566+196+713+99+43</f>
        <v>49487</v>
      </c>
      <c r="K65" s="285">
        <f>+I65/J65</f>
        <v>6.466223452623922</v>
      </c>
    </row>
    <row r="66" spans="1:11" s="132" customFormat="1" ht="14.25" customHeight="1">
      <c r="A66" s="129">
        <v>63</v>
      </c>
      <c r="B66" s="195"/>
      <c r="C66" s="101" t="s">
        <v>90</v>
      </c>
      <c r="D66" s="277">
        <v>38828</v>
      </c>
      <c r="E66" s="101" t="s">
        <v>59</v>
      </c>
      <c r="F66" s="101" t="s">
        <v>64</v>
      </c>
      <c r="G66" s="53">
        <v>46</v>
      </c>
      <c r="H66" s="131">
        <v>16</v>
      </c>
      <c r="I66" s="287">
        <v>296037</v>
      </c>
      <c r="J66" s="278">
        <v>38457</v>
      </c>
      <c r="K66" s="284">
        <f>+I66/J66</f>
        <v>7.697870348701147</v>
      </c>
    </row>
    <row r="67" spans="1:11" s="132" customFormat="1" ht="14.25" customHeight="1">
      <c r="A67" s="129">
        <v>64</v>
      </c>
      <c r="B67" s="195"/>
      <c r="C67" s="99" t="s">
        <v>195</v>
      </c>
      <c r="D67" s="279">
        <v>38870</v>
      </c>
      <c r="E67" s="133" t="s">
        <v>58</v>
      </c>
      <c r="F67" s="99" t="s">
        <v>107</v>
      </c>
      <c r="G67" s="48">
        <v>40</v>
      </c>
      <c r="H67" s="48">
        <v>10</v>
      </c>
      <c r="I67" s="288">
        <f>123140+96383.5+44072+11870.5+8393.5+4992+1723+3092.5+797+1021</f>
        <v>295485</v>
      </c>
      <c r="J67" s="280">
        <f>14489+11433+5334+1832+1529+913+311+544+92+169</f>
        <v>36646</v>
      </c>
      <c r="K67" s="285">
        <f>+I67/J67</f>
        <v>8.06322654587131</v>
      </c>
    </row>
    <row r="68" spans="1:11" s="132" customFormat="1" ht="14.25" customHeight="1">
      <c r="A68" s="129">
        <v>65</v>
      </c>
      <c r="B68" s="195"/>
      <c r="C68" s="101" t="s">
        <v>250</v>
      </c>
      <c r="D68" s="277">
        <v>38751</v>
      </c>
      <c r="E68" s="101" t="s">
        <v>61</v>
      </c>
      <c r="F68" s="101" t="s">
        <v>62</v>
      </c>
      <c r="G68" s="53">
        <v>25</v>
      </c>
      <c r="H68" s="131">
        <v>11</v>
      </c>
      <c r="I68" s="287">
        <f>146501+85325+27589+9250+4131+1021+1126.5+400+89+2186+358</f>
        <v>277976.5</v>
      </c>
      <c r="J68" s="278">
        <f>15312+9126+3021+1298+698+163+220+57+21+382+81</f>
        <v>30379</v>
      </c>
      <c r="K68" s="284">
        <f>+I68/J68</f>
        <v>9.15028473616643</v>
      </c>
    </row>
    <row r="69" spans="1:11" s="132" customFormat="1" ht="14.25" customHeight="1">
      <c r="A69" s="129">
        <v>66</v>
      </c>
      <c r="B69" s="195"/>
      <c r="C69" s="99" t="s">
        <v>235</v>
      </c>
      <c r="D69" s="279">
        <v>38905</v>
      </c>
      <c r="E69" s="133" t="s">
        <v>58</v>
      </c>
      <c r="F69" s="99" t="s">
        <v>71</v>
      </c>
      <c r="G69" s="48">
        <v>41</v>
      </c>
      <c r="H69" s="48">
        <v>5</v>
      </c>
      <c r="I69" s="288">
        <f>140314+70312.5+30656.5+23583.5+8006.5</f>
        <v>272873</v>
      </c>
      <c r="J69" s="280">
        <f>15340+7802+3992+3802+1642</f>
        <v>32578</v>
      </c>
      <c r="K69" s="285">
        <f>+I69/J69</f>
        <v>8.375989931855853</v>
      </c>
    </row>
    <row r="70" spans="1:11" s="132" customFormat="1" ht="14.25" customHeight="1">
      <c r="A70" s="129">
        <v>67</v>
      </c>
      <c r="B70" s="195"/>
      <c r="C70" s="101" t="s">
        <v>203</v>
      </c>
      <c r="D70" s="277">
        <v>38877</v>
      </c>
      <c r="E70" s="101" t="s">
        <v>61</v>
      </c>
      <c r="F70" s="101" t="s">
        <v>73</v>
      </c>
      <c r="G70" s="53">
        <v>50</v>
      </c>
      <c r="H70" s="131">
        <v>9</v>
      </c>
      <c r="I70" s="287">
        <f>105526.5+80630+23538+22039+18613.5+7788+1983.5+1001.5+774</f>
        <v>261894</v>
      </c>
      <c r="J70" s="278">
        <f>13528+10356+3577+4465+3628+1925+456+212+143</f>
        <v>38290</v>
      </c>
      <c r="K70" s="284">
        <f>+I70/J70</f>
        <v>6.839749281796814</v>
      </c>
    </row>
    <row r="71" spans="1:11" s="132" customFormat="1" ht="14.25" customHeight="1">
      <c r="A71" s="129">
        <v>68</v>
      </c>
      <c r="B71" s="195"/>
      <c r="C71" s="99" t="s">
        <v>153</v>
      </c>
      <c r="D71" s="279">
        <v>38737</v>
      </c>
      <c r="E71" s="133" t="s">
        <v>59</v>
      </c>
      <c r="F71" s="99" t="s">
        <v>154</v>
      </c>
      <c r="G71" s="48">
        <v>28</v>
      </c>
      <c r="H71" s="48">
        <v>12</v>
      </c>
      <c r="I71" s="356">
        <v>246387</v>
      </c>
      <c r="J71" s="278">
        <v>30377</v>
      </c>
      <c r="K71" s="284">
        <f>IF(I71&lt;&gt;0,I71/J71,"")</f>
        <v>8.110972117062252</v>
      </c>
    </row>
    <row r="72" spans="1:11" s="132" customFormat="1" ht="14.25" customHeight="1">
      <c r="A72" s="129">
        <v>69</v>
      </c>
      <c r="B72" s="195"/>
      <c r="C72" s="99" t="s">
        <v>96</v>
      </c>
      <c r="D72" s="279">
        <v>38835</v>
      </c>
      <c r="E72" s="133" t="s">
        <v>58</v>
      </c>
      <c r="F72" s="99" t="s">
        <v>107</v>
      </c>
      <c r="G72" s="48">
        <v>40</v>
      </c>
      <c r="H72" s="48">
        <v>13</v>
      </c>
      <c r="I72" s="288">
        <f>140527+60007+17227+3041.5+24+5449.5+8065.5+2589.5+722.5+832+1861.5+564+547+2014</f>
        <v>243472</v>
      </c>
      <c r="J72" s="280">
        <f>16242+7267+2760+627+1138+1358+550+141+166+373+180+135+475</f>
        <v>31412</v>
      </c>
      <c r="K72" s="285">
        <f>+I72/J72</f>
        <v>7.7509232140583215</v>
      </c>
    </row>
    <row r="73" spans="1:11" s="132" customFormat="1" ht="14.25" customHeight="1">
      <c r="A73" s="129">
        <v>70</v>
      </c>
      <c r="B73" s="195"/>
      <c r="C73" s="99" t="s">
        <v>49</v>
      </c>
      <c r="D73" s="279">
        <v>38793</v>
      </c>
      <c r="E73" s="99" t="s">
        <v>41</v>
      </c>
      <c r="F73" s="99" t="s">
        <v>67</v>
      </c>
      <c r="G73" s="48">
        <v>71</v>
      </c>
      <c r="H73" s="48">
        <v>17</v>
      </c>
      <c r="I73" s="289">
        <f>139188.5+65126.5+15320+6439+3617+3772+4116+209.5+299+80+130+145+1032+392+477+494+747</f>
        <v>241584.5</v>
      </c>
      <c r="J73" s="278">
        <f>20151+10232+2945+1343+1021+739+717+69+58+16+26+29+187+97+108+130+150</f>
        <v>38018</v>
      </c>
      <c r="K73" s="284">
        <f>IF(I73&lt;&gt;0,I73/J73,"")</f>
        <v>6.354476826766269</v>
      </c>
    </row>
    <row r="74" spans="1:11" s="132" customFormat="1" ht="14.25" customHeight="1">
      <c r="A74" s="129">
        <v>71</v>
      </c>
      <c r="B74" s="195"/>
      <c r="C74" s="100" t="s">
        <v>204</v>
      </c>
      <c r="D74" s="277">
        <v>38877</v>
      </c>
      <c r="E74" s="100" t="s">
        <v>118</v>
      </c>
      <c r="F74" s="100" t="s">
        <v>172</v>
      </c>
      <c r="G74" s="93">
        <v>64</v>
      </c>
      <c r="H74" s="93">
        <v>9</v>
      </c>
      <c r="I74" s="287">
        <f>94169.5+63426.5+19841+16453.5+12618.5+9991+4741+3516+3356</f>
        <v>228113</v>
      </c>
      <c r="J74" s="278">
        <f>14426+9567+3182+3017+2315+1729+923+616+640</f>
        <v>36415</v>
      </c>
      <c r="K74" s="285">
        <f>+I74/J74</f>
        <v>6.264259233832212</v>
      </c>
    </row>
    <row r="75" spans="1:11" s="132" customFormat="1" ht="14.25" customHeight="1">
      <c r="A75" s="129">
        <v>72</v>
      </c>
      <c r="B75" s="195"/>
      <c r="C75" s="101" t="s">
        <v>213</v>
      </c>
      <c r="D75" s="277">
        <v>38849</v>
      </c>
      <c r="E75" s="101" t="s">
        <v>35</v>
      </c>
      <c r="F75" s="101" t="s">
        <v>73</v>
      </c>
      <c r="G75" s="131">
        <v>21</v>
      </c>
      <c r="H75" s="131">
        <v>13</v>
      </c>
      <c r="I75" s="287">
        <v>226426.79</v>
      </c>
      <c r="J75" s="278">
        <v>29183</v>
      </c>
      <c r="K75" s="284">
        <f>+I75/J75</f>
        <v>7.758859267381695</v>
      </c>
    </row>
    <row r="76" spans="1:11" s="130" customFormat="1" ht="14.25" customHeight="1">
      <c r="A76" s="129">
        <v>73</v>
      </c>
      <c r="B76" s="195"/>
      <c r="C76" s="100" t="s">
        <v>227</v>
      </c>
      <c r="D76" s="277">
        <v>38898</v>
      </c>
      <c r="E76" s="100" t="s">
        <v>118</v>
      </c>
      <c r="F76" s="100" t="s">
        <v>244</v>
      </c>
      <c r="G76" s="93">
        <v>47</v>
      </c>
      <c r="H76" s="93">
        <v>6</v>
      </c>
      <c r="I76" s="287">
        <f>88058+66057+19237+18780.5+15348+7714</f>
        <v>215194.5</v>
      </c>
      <c r="J76" s="278">
        <f>11470+9021+3194+3443+2936+1679</f>
        <v>31743</v>
      </c>
      <c r="K76" s="285">
        <f>+I76/J76</f>
        <v>6.7792741706833</v>
      </c>
    </row>
    <row r="77" spans="1:11" s="130" customFormat="1" ht="14.25" customHeight="1">
      <c r="A77" s="129">
        <v>74</v>
      </c>
      <c r="B77" s="195"/>
      <c r="C77" s="99" t="s">
        <v>104</v>
      </c>
      <c r="D77" s="279">
        <v>38849</v>
      </c>
      <c r="E77" s="133" t="s">
        <v>58</v>
      </c>
      <c r="F77" s="99" t="s">
        <v>105</v>
      </c>
      <c r="G77" s="48">
        <v>14</v>
      </c>
      <c r="H77" s="48">
        <v>12</v>
      </c>
      <c r="I77" s="288">
        <f>93564+52250+16170+13446.5+8167+4768+4695.5+4957+6184.5+3669.5+3545+2817</f>
        <v>214234</v>
      </c>
      <c r="J77" s="280">
        <f>10662+5936+2085+2265+1476+901+664+835+875+531+728+581</f>
        <v>27539</v>
      </c>
      <c r="K77" s="285">
        <f>+I77/J77</f>
        <v>7.7792948182577435</v>
      </c>
    </row>
    <row r="78" spans="1:11" s="130" customFormat="1" ht="14.25" customHeight="1">
      <c r="A78" s="129">
        <v>75</v>
      </c>
      <c r="B78" s="195"/>
      <c r="C78" s="101" t="s">
        <v>155</v>
      </c>
      <c r="D78" s="277">
        <v>38786</v>
      </c>
      <c r="E78" s="101" t="s">
        <v>61</v>
      </c>
      <c r="F78" s="101" t="s">
        <v>67</v>
      </c>
      <c r="G78" s="131">
        <v>30</v>
      </c>
      <c r="H78" s="131">
        <v>15</v>
      </c>
      <c r="I78" s="287">
        <f>94630+42901+16809.5+16862+11072+2518+4525+910+841+1579.5+454+0+262+49+49</f>
        <v>193462</v>
      </c>
      <c r="J78" s="278">
        <f>12856+5706+2789+3336+2239+567+1047+161+186+380+57+0+33+7+7</f>
        <v>29371</v>
      </c>
      <c r="K78" s="284">
        <f>+I78/J78</f>
        <v>6.586837356576215</v>
      </c>
    </row>
    <row r="79" spans="1:11" s="130" customFormat="1" ht="14.25" customHeight="1">
      <c r="A79" s="129">
        <v>76</v>
      </c>
      <c r="B79" s="195"/>
      <c r="C79" s="101" t="s">
        <v>239</v>
      </c>
      <c r="D79" s="277">
        <v>38807</v>
      </c>
      <c r="E79" s="101" t="s">
        <v>61</v>
      </c>
      <c r="F79" s="101" t="s">
        <v>62</v>
      </c>
      <c r="G79" s="131">
        <v>20</v>
      </c>
      <c r="H79" s="131">
        <v>11</v>
      </c>
      <c r="I79" s="287">
        <f>79858.5+57561+16625.5+10101+9488+11377.5+5276.5+160.5+942+420+1482</f>
        <v>193292.5</v>
      </c>
      <c r="J79" s="278">
        <f>9494+7131+2064+2030+1770+2617+1051+31+161+83+398</f>
        <v>26830</v>
      </c>
      <c r="K79" s="284">
        <f>+I79/J79</f>
        <v>7.204342154304882</v>
      </c>
    </row>
    <row r="80" spans="1:11" s="130" customFormat="1" ht="14.25" customHeight="1">
      <c r="A80" s="129">
        <v>77</v>
      </c>
      <c r="B80" s="195"/>
      <c r="C80" s="99" t="s">
        <v>156</v>
      </c>
      <c r="D80" s="279">
        <v>38758</v>
      </c>
      <c r="E80" s="133" t="s">
        <v>59</v>
      </c>
      <c r="F80" s="99" t="s">
        <v>69</v>
      </c>
      <c r="G80" s="48">
        <v>46</v>
      </c>
      <c r="H80" s="48">
        <v>12</v>
      </c>
      <c r="I80" s="287">
        <v>181942</v>
      </c>
      <c r="J80" s="278">
        <v>24046</v>
      </c>
      <c r="K80" s="284">
        <f>IF(I80&lt;&gt;0,I80/J80,"")</f>
        <v>7.566414372452799</v>
      </c>
    </row>
    <row r="81" spans="1:11" s="130" customFormat="1" ht="14.25" customHeight="1">
      <c r="A81" s="129">
        <v>78</v>
      </c>
      <c r="B81" s="195"/>
      <c r="C81" s="99" t="s">
        <v>47</v>
      </c>
      <c r="D81" s="279">
        <v>38800</v>
      </c>
      <c r="E81" s="133" t="s">
        <v>58</v>
      </c>
      <c r="F81" s="99" t="s">
        <v>65</v>
      </c>
      <c r="G81" s="48">
        <v>16</v>
      </c>
      <c r="H81" s="48">
        <v>11</v>
      </c>
      <c r="I81" s="288">
        <f>82365.5+56251.5+17508+5415.5+3304+3006+1642+540+283+1164+77+516.5</f>
        <v>172073</v>
      </c>
      <c r="J81" s="280">
        <f>8878+5706+2045+866+701+556+302+135+56+222+11+129</f>
        <v>19607</v>
      </c>
      <c r="K81" s="285">
        <f>+I81/J81</f>
        <v>8.776100372316009</v>
      </c>
    </row>
    <row r="82" spans="1:11" s="130" customFormat="1" ht="14.25" customHeight="1">
      <c r="A82" s="129">
        <v>79</v>
      </c>
      <c r="B82" s="195"/>
      <c r="C82" s="99" t="s">
        <v>280</v>
      </c>
      <c r="D82" s="279">
        <v>38933</v>
      </c>
      <c r="E82" s="133" t="s">
        <v>58</v>
      </c>
      <c r="F82" s="99" t="s">
        <v>65</v>
      </c>
      <c r="G82" s="48">
        <v>47</v>
      </c>
      <c r="H82" s="48">
        <v>1</v>
      </c>
      <c r="I82" s="288">
        <v>168234.5</v>
      </c>
      <c r="J82" s="280">
        <v>21398</v>
      </c>
      <c r="K82" s="285">
        <f>+I82/J82</f>
        <v>7.862160014954669</v>
      </c>
    </row>
    <row r="83" spans="1:11" s="130" customFormat="1" ht="14.25" customHeight="1">
      <c r="A83" s="129">
        <v>80</v>
      </c>
      <c r="B83" s="195"/>
      <c r="C83" s="269" t="s">
        <v>39</v>
      </c>
      <c r="D83" s="279">
        <v>38793</v>
      </c>
      <c r="E83" s="269" t="s">
        <v>34</v>
      </c>
      <c r="F83" s="269" t="s">
        <v>68</v>
      </c>
      <c r="G83" s="209">
        <v>33</v>
      </c>
      <c r="H83" s="209" t="s">
        <v>298</v>
      </c>
      <c r="I83" s="288">
        <v>164457.5</v>
      </c>
      <c r="J83" s="280">
        <v>33454.333333333336</v>
      </c>
      <c r="K83" s="285">
        <f>+I83/J83</f>
        <v>4.91588035431384</v>
      </c>
    </row>
    <row r="84" spans="1:11" s="130" customFormat="1" ht="14.25" customHeight="1">
      <c r="A84" s="129">
        <v>81</v>
      </c>
      <c r="B84" s="195"/>
      <c r="C84" s="99" t="s">
        <v>209</v>
      </c>
      <c r="D84" s="279">
        <v>38884</v>
      </c>
      <c r="E84" s="133" t="s">
        <v>58</v>
      </c>
      <c r="F84" s="99" t="s">
        <v>71</v>
      </c>
      <c r="G84" s="48">
        <v>24</v>
      </c>
      <c r="H84" s="48">
        <v>8</v>
      </c>
      <c r="I84" s="288">
        <f>82801+37338.5+9794.5+14532.5+5430+4036+2927+361</f>
        <v>157220.5</v>
      </c>
      <c r="J84" s="280">
        <f>9055+4102+1458+2262+953+774+616+108</f>
        <v>19328</v>
      </c>
      <c r="K84" s="285">
        <f>+I84/J84</f>
        <v>8.134338783112582</v>
      </c>
    </row>
    <row r="85" spans="1:11" s="130" customFormat="1" ht="14.25" customHeight="1">
      <c r="A85" s="129">
        <v>82</v>
      </c>
      <c r="B85" s="195"/>
      <c r="C85" s="99" t="s">
        <v>281</v>
      </c>
      <c r="D85" s="279">
        <v>38933</v>
      </c>
      <c r="E85" s="99" t="s">
        <v>41</v>
      </c>
      <c r="F85" s="99" t="s">
        <v>67</v>
      </c>
      <c r="G85" s="48">
        <v>47</v>
      </c>
      <c r="H85" s="48">
        <v>1</v>
      </c>
      <c r="I85" s="289">
        <v>152748</v>
      </c>
      <c r="J85" s="278">
        <v>19117</v>
      </c>
      <c r="K85" s="284">
        <f>IF(I85&lt;&gt;0,I85/J85,"")</f>
        <v>7.990165820997018</v>
      </c>
    </row>
    <row r="86" spans="1:11" s="130" customFormat="1" ht="14.25" customHeight="1">
      <c r="A86" s="129">
        <v>83</v>
      </c>
      <c r="B86" s="195"/>
      <c r="C86" s="99" t="s">
        <v>92</v>
      </c>
      <c r="D86" s="279">
        <v>38828</v>
      </c>
      <c r="E86" s="99" t="s">
        <v>55</v>
      </c>
      <c r="F86" s="99" t="s">
        <v>69</v>
      </c>
      <c r="G86" s="48">
        <v>46</v>
      </c>
      <c r="H86" s="48">
        <v>12</v>
      </c>
      <c r="I86" s="358">
        <v>149396</v>
      </c>
      <c r="J86" s="359">
        <v>21172</v>
      </c>
      <c r="K86" s="285">
        <f>+I86/J86</f>
        <v>7.056300774607973</v>
      </c>
    </row>
    <row r="87" spans="1:11" s="130" customFormat="1" ht="14.25" customHeight="1">
      <c r="A87" s="129">
        <v>84</v>
      </c>
      <c r="B87" s="195"/>
      <c r="C87" s="269" t="s">
        <v>228</v>
      </c>
      <c r="D87" s="279">
        <v>38898</v>
      </c>
      <c r="E87" s="269" t="s">
        <v>93</v>
      </c>
      <c r="F87" s="269" t="s">
        <v>165</v>
      </c>
      <c r="G87" s="209" t="s">
        <v>229</v>
      </c>
      <c r="H87" s="209" t="s">
        <v>283</v>
      </c>
      <c r="I87" s="288">
        <v>146672</v>
      </c>
      <c r="J87" s="280">
        <v>21102</v>
      </c>
      <c r="K87" s="285">
        <f>+I87/J87</f>
        <v>6.950620794237513</v>
      </c>
    </row>
    <row r="88" spans="1:11" s="130" customFormat="1" ht="14.25" customHeight="1">
      <c r="A88" s="129">
        <v>85</v>
      </c>
      <c r="B88" s="195"/>
      <c r="C88" s="99" t="s">
        <v>218</v>
      </c>
      <c r="D88" s="279">
        <v>38891</v>
      </c>
      <c r="E88" s="99" t="s">
        <v>41</v>
      </c>
      <c r="F88" s="99" t="s">
        <v>219</v>
      </c>
      <c r="G88" s="48">
        <v>55</v>
      </c>
      <c r="H88" s="48">
        <v>7</v>
      </c>
      <c r="I88" s="289">
        <f>67295+44281+11549+4526+2634.5+2574.5+1704</f>
        <v>134564</v>
      </c>
      <c r="J88" s="278">
        <f>8542+6209+1796+898+481+469+266</f>
        <v>18661</v>
      </c>
      <c r="K88" s="284">
        <f>IF(I88&lt;&gt;0,I88/J88,"")</f>
        <v>7.210974760195059</v>
      </c>
    </row>
    <row r="89" spans="1:11" s="130" customFormat="1" ht="14.25" customHeight="1">
      <c r="A89" s="129">
        <v>86</v>
      </c>
      <c r="B89" s="195"/>
      <c r="C89" s="101" t="s">
        <v>157</v>
      </c>
      <c r="D89" s="277">
        <v>38765</v>
      </c>
      <c r="E89" s="101" t="s">
        <v>61</v>
      </c>
      <c r="F89" s="101" t="s">
        <v>158</v>
      </c>
      <c r="G89" s="131">
        <v>30</v>
      </c>
      <c r="H89" s="131">
        <v>12</v>
      </c>
      <c r="I89" s="287">
        <f>62768+32353+12961+8129+4050.5+1984.5+2460+376+907+1161.5+935+185</f>
        <v>128270.5</v>
      </c>
      <c r="J89" s="278">
        <f>8337+4470+2425+1438+815+505+607+85+187+317+218+44</f>
        <v>19448</v>
      </c>
      <c r="K89" s="285">
        <f>+I89/J89</f>
        <v>6.5955625257095845</v>
      </c>
    </row>
    <row r="90" spans="1:11" s="130" customFormat="1" ht="14.25" customHeight="1">
      <c r="A90" s="129">
        <v>87</v>
      </c>
      <c r="B90" s="195"/>
      <c r="C90" s="100" t="s">
        <v>160</v>
      </c>
      <c r="D90" s="277">
        <v>38716</v>
      </c>
      <c r="E90" s="100" t="s">
        <v>118</v>
      </c>
      <c r="F90" s="100" t="s">
        <v>161</v>
      </c>
      <c r="G90" s="93">
        <v>9</v>
      </c>
      <c r="H90" s="93">
        <v>30</v>
      </c>
      <c r="I90" s="287">
        <f>41335+22428+10569.5+2994.5+6995.5+477+1541+1030+1308+1168.5+974+1343+1399+1115+913+1257+1859.5+2654.5+10471+2543+294+573+4437+2101.5+1610+786+959.5+1180+179+833</f>
        <v>127329</v>
      </c>
      <c r="J90" s="278">
        <f>5101+2761+1545+448+1608+159+304+206+436+246+162+276+329+246+181+254+303+684+2148+666+66+111+863+472+372+254+264+291+34+174</f>
        <v>20964</v>
      </c>
      <c r="K90" s="285">
        <f>+I90/J90</f>
        <v>6.073697767601603</v>
      </c>
    </row>
    <row r="91" spans="1:11" s="130" customFormat="1" ht="14.25" customHeight="1">
      <c r="A91" s="129">
        <v>88</v>
      </c>
      <c r="B91" s="195"/>
      <c r="C91" s="222" t="s">
        <v>159</v>
      </c>
      <c r="D91" s="279">
        <v>38765</v>
      </c>
      <c r="E91" s="222" t="s">
        <v>59</v>
      </c>
      <c r="F91" s="222" t="s">
        <v>55</v>
      </c>
      <c r="G91" s="135">
        <v>20</v>
      </c>
      <c r="H91" s="135">
        <v>7</v>
      </c>
      <c r="I91" s="288">
        <v>125109</v>
      </c>
      <c r="J91" s="280">
        <v>13297</v>
      </c>
      <c r="K91" s="284">
        <f>I91/J91</f>
        <v>9.408814018199594</v>
      </c>
    </row>
    <row r="92" spans="1:11" s="130" customFormat="1" ht="14.25" customHeight="1">
      <c r="A92" s="129">
        <v>89</v>
      </c>
      <c r="B92" s="195"/>
      <c r="C92" s="99" t="s">
        <v>260</v>
      </c>
      <c r="D92" s="279">
        <v>38926</v>
      </c>
      <c r="E92" s="133" t="s">
        <v>58</v>
      </c>
      <c r="F92" s="99" t="s">
        <v>79</v>
      </c>
      <c r="G92" s="48">
        <v>40</v>
      </c>
      <c r="H92" s="48">
        <v>2</v>
      </c>
      <c r="I92" s="288">
        <f>91658.5+33087.5</f>
        <v>124746</v>
      </c>
      <c r="J92" s="280">
        <f>11479+4175</f>
        <v>15654</v>
      </c>
      <c r="K92" s="285">
        <f>+I92/J92</f>
        <v>7.968953622077424</v>
      </c>
    </row>
    <row r="93" spans="1:11" s="130" customFormat="1" ht="14.25" customHeight="1">
      <c r="A93" s="129">
        <v>90</v>
      </c>
      <c r="B93" s="195"/>
      <c r="C93" s="101" t="s">
        <v>97</v>
      </c>
      <c r="D93" s="277">
        <v>38835</v>
      </c>
      <c r="E93" s="101" t="s">
        <v>61</v>
      </c>
      <c r="F93" s="101" t="s">
        <v>62</v>
      </c>
      <c r="G93" s="131">
        <v>15</v>
      </c>
      <c r="H93" s="131">
        <v>13</v>
      </c>
      <c r="I93" s="287">
        <f>60845.5+35645.5+5851+2968.5+2340.5+3653.5+711.5+2954.5+1334.5+1829.5+496+797.5+903</f>
        <v>120331</v>
      </c>
      <c r="J93" s="278">
        <f>6762+4054+1018+542+466+689+150+650+287+366+103+162+175</f>
        <v>15424</v>
      </c>
      <c r="K93" s="285">
        <f>+I93/J93</f>
        <v>7.8015430497925315</v>
      </c>
    </row>
    <row r="94" spans="1:11" s="130" customFormat="1" ht="14.25" customHeight="1">
      <c r="A94" s="129">
        <v>91</v>
      </c>
      <c r="B94" s="195"/>
      <c r="C94" s="101" t="s">
        <v>25</v>
      </c>
      <c r="D94" s="277">
        <v>38758</v>
      </c>
      <c r="E94" s="101" t="s">
        <v>61</v>
      </c>
      <c r="F94" s="101" t="s">
        <v>62</v>
      </c>
      <c r="G94" s="53">
        <v>10</v>
      </c>
      <c r="H94" s="131">
        <v>14</v>
      </c>
      <c r="I94" s="287">
        <f>43085.5+25538.5+13529.5+10266+5793+7370.5+3427.5+2770+873+285+265+285+60+614</f>
        <v>114162.5</v>
      </c>
      <c r="J94" s="278">
        <f>4921+3009+1674+2167+814+1163+450+1256+176+30+28+30+6+112</f>
        <v>15836</v>
      </c>
      <c r="K94" s="285">
        <f>+I94/J94</f>
        <v>7.209049002273301</v>
      </c>
    </row>
    <row r="95" spans="1:11" s="130" customFormat="1" ht="14.25" customHeight="1">
      <c r="A95" s="129">
        <v>92</v>
      </c>
      <c r="B95" s="195"/>
      <c r="C95" s="101" t="s">
        <v>242</v>
      </c>
      <c r="D95" s="277">
        <v>38912</v>
      </c>
      <c r="E95" s="101" t="s">
        <v>61</v>
      </c>
      <c r="F95" s="101" t="s">
        <v>62</v>
      </c>
      <c r="G95" s="53">
        <v>15</v>
      </c>
      <c r="H95" s="131">
        <v>4</v>
      </c>
      <c r="I95" s="287">
        <f>41125+39769.5+19811.5+7440.5</f>
        <v>108146.5</v>
      </c>
      <c r="J95" s="278">
        <f>4924+4533+2591+1295</f>
        <v>13343</v>
      </c>
      <c r="K95" s="284">
        <f>+I95/J95</f>
        <v>8.105111294311625</v>
      </c>
    </row>
    <row r="96" spans="1:11" s="130" customFormat="1" ht="14.25" customHeight="1">
      <c r="A96" s="129">
        <v>93</v>
      </c>
      <c r="B96" s="195"/>
      <c r="C96" s="101" t="s">
        <v>230</v>
      </c>
      <c r="D96" s="277">
        <v>38898</v>
      </c>
      <c r="E96" s="269" t="s">
        <v>93</v>
      </c>
      <c r="F96" s="101" t="s">
        <v>231</v>
      </c>
      <c r="G96" s="131">
        <v>7</v>
      </c>
      <c r="H96" s="131">
        <v>6</v>
      </c>
      <c r="I96" s="287">
        <v>105304.5</v>
      </c>
      <c r="J96" s="278">
        <v>14033</v>
      </c>
      <c r="K96" s="284">
        <f>+I96/J96</f>
        <v>7.504061854200812</v>
      </c>
    </row>
    <row r="97" spans="1:11" s="130" customFormat="1" ht="14.25" customHeight="1">
      <c r="A97" s="129">
        <v>94</v>
      </c>
      <c r="B97" s="195"/>
      <c r="C97" s="223" t="s">
        <v>117</v>
      </c>
      <c r="D97" s="290">
        <v>38793</v>
      </c>
      <c r="E97" s="223" t="s">
        <v>93</v>
      </c>
      <c r="F97" s="223" t="s">
        <v>98</v>
      </c>
      <c r="G97" s="131">
        <v>4</v>
      </c>
      <c r="H97" s="131">
        <v>10</v>
      </c>
      <c r="I97" s="356">
        <v>103297</v>
      </c>
      <c r="J97" s="357">
        <v>12362</v>
      </c>
      <c r="K97" s="285">
        <f>+I97/J97</f>
        <v>8.3560103543116</v>
      </c>
    </row>
    <row r="98" spans="1:11" s="130" customFormat="1" ht="14.25" customHeight="1">
      <c r="A98" s="129">
        <v>95</v>
      </c>
      <c r="B98" s="195"/>
      <c r="C98" s="223" t="s">
        <v>162</v>
      </c>
      <c r="D98" s="277">
        <v>38779</v>
      </c>
      <c r="E98" s="223" t="s">
        <v>93</v>
      </c>
      <c r="F98" s="223" t="s">
        <v>163</v>
      </c>
      <c r="G98" s="182" t="s">
        <v>199</v>
      </c>
      <c r="H98" s="182">
        <v>9</v>
      </c>
      <c r="I98" s="356">
        <v>96787.5</v>
      </c>
      <c r="J98" s="357">
        <v>12101</v>
      </c>
      <c r="K98" s="284">
        <f>IF(I98&lt;&gt;0,I98/J98,"")</f>
        <v>7.998305925130155</v>
      </c>
    </row>
    <row r="99" spans="1:11" s="130" customFormat="1" ht="14.25" customHeight="1">
      <c r="A99" s="129">
        <v>96</v>
      </c>
      <c r="B99" s="195"/>
      <c r="C99" s="99" t="s">
        <v>99</v>
      </c>
      <c r="D99" s="279">
        <v>38842</v>
      </c>
      <c r="E99" s="133" t="s">
        <v>58</v>
      </c>
      <c r="F99" s="99" t="s">
        <v>77</v>
      </c>
      <c r="G99" s="48">
        <v>14</v>
      </c>
      <c r="H99" s="48">
        <v>13</v>
      </c>
      <c r="I99" s="288">
        <f>41489.5+21950+1583.5+1943+4071+3569+5471+652-603+5736+3522+144+2451+2980</f>
        <v>94959</v>
      </c>
      <c r="J99" s="280">
        <f>4497+2417+200+294+1148+867+1264+152-128+1003+614+32+252+648</f>
        <v>13260</v>
      </c>
      <c r="K99" s="285">
        <f>+I99/J99</f>
        <v>7.1613122171945705</v>
      </c>
    </row>
    <row r="100" spans="1:11" s="130" customFormat="1" ht="14.25" customHeight="1">
      <c r="A100" s="129">
        <v>97</v>
      </c>
      <c r="B100" s="195"/>
      <c r="C100" s="100" t="s">
        <v>132</v>
      </c>
      <c r="D100" s="277">
        <v>38814</v>
      </c>
      <c r="E100" s="100" t="s">
        <v>118</v>
      </c>
      <c r="F100" s="100" t="s">
        <v>133</v>
      </c>
      <c r="G100" s="93">
        <v>14</v>
      </c>
      <c r="H100" s="93">
        <v>14</v>
      </c>
      <c r="I100" s="287">
        <f>43111+13278+6067.5+7325+7474+6516.5+154+328+3068+571+1240+894+596+476</f>
        <v>91099</v>
      </c>
      <c r="J100" s="278">
        <f>4620+1821+1003+1445+1813+1225+30+68+737+144+310+211+149+119</f>
        <v>13695</v>
      </c>
      <c r="K100" s="284">
        <f>+I100/J100</f>
        <v>6.651989777290982</v>
      </c>
    </row>
    <row r="101" spans="1:11" s="132" customFormat="1" ht="14.25" customHeight="1">
      <c r="A101" s="129">
        <v>98</v>
      </c>
      <c r="B101" s="195"/>
      <c r="C101" s="99" t="s">
        <v>189</v>
      </c>
      <c r="D101" s="279">
        <v>38863</v>
      </c>
      <c r="E101" s="133" t="s">
        <v>58</v>
      </c>
      <c r="F101" s="99" t="s">
        <v>77</v>
      </c>
      <c r="G101" s="48">
        <v>17</v>
      </c>
      <c r="H101" s="48">
        <v>11</v>
      </c>
      <c r="I101" s="288">
        <f>28731.5+16998+5846.5+16940.5+5236+3985.5+2506.5+1567+74+532.5+1262.5</f>
        <v>83680.5</v>
      </c>
      <c r="J101" s="280">
        <f>3778+2334+1022+2867+1066+666+488+307+14+117+320</f>
        <v>12979</v>
      </c>
      <c r="K101" s="285">
        <f>+I101/J101</f>
        <v>6.447376531319824</v>
      </c>
    </row>
    <row r="102" spans="1:11" s="132" customFormat="1" ht="14.25" customHeight="1">
      <c r="A102" s="129">
        <v>99</v>
      </c>
      <c r="B102" s="195"/>
      <c r="C102" s="99" t="s">
        <v>303</v>
      </c>
      <c r="D102" s="279">
        <v>38779</v>
      </c>
      <c r="E102" s="99" t="s">
        <v>165</v>
      </c>
      <c r="F102" s="99" t="s">
        <v>304</v>
      </c>
      <c r="G102" s="48">
        <v>8</v>
      </c>
      <c r="H102" s="48">
        <v>10</v>
      </c>
      <c r="I102" s="358">
        <v>82551.4</v>
      </c>
      <c r="J102" s="359">
        <v>9820</v>
      </c>
      <c r="K102" s="284">
        <f>IF(I102&lt;&gt;0,I102/J102,"")</f>
        <v>8.406456211812626</v>
      </c>
    </row>
    <row r="103" spans="1:11" s="132" customFormat="1" ht="14.25" customHeight="1">
      <c r="A103" s="129">
        <v>100</v>
      </c>
      <c r="B103" s="197"/>
      <c r="C103" s="99" t="s">
        <v>164</v>
      </c>
      <c r="D103" s="279">
        <v>38779</v>
      </c>
      <c r="E103" s="99" t="s">
        <v>165</v>
      </c>
      <c r="F103" s="224" t="s">
        <v>166</v>
      </c>
      <c r="G103" s="48">
        <v>8</v>
      </c>
      <c r="H103" s="48">
        <v>9</v>
      </c>
      <c r="I103" s="358">
        <v>82351.4</v>
      </c>
      <c r="J103" s="359">
        <v>9780</v>
      </c>
      <c r="K103" s="285">
        <f>+I103/J103</f>
        <v>8.42038854805726</v>
      </c>
    </row>
    <row r="104" spans="1:11" s="132" customFormat="1" ht="14.25" customHeight="1">
      <c r="A104" s="129">
        <v>101</v>
      </c>
      <c r="B104" s="197"/>
      <c r="C104" s="99" t="s">
        <v>205</v>
      </c>
      <c r="D104" s="279">
        <v>38877</v>
      </c>
      <c r="E104" s="99" t="s">
        <v>165</v>
      </c>
      <c r="F104" s="99" t="s">
        <v>211</v>
      </c>
      <c r="G104" s="48">
        <v>12</v>
      </c>
      <c r="H104" s="48">
        <v>11</v>
      </c>
      <c r="I104" s="358">
        <v>82170.51</v>
      </c>
      <c r="J104" s="359">
        <v>11439</v>
      </c>
      <c r="K104" s="284">
        <f>IF(I104&lt;&gt;0,I104/J104,"")</f>
        <v>7.183364804615787</v>
      </c>
    </row>
    <row r="105" spans="1:11" s="132" customFormat="1" ht="14.25" customHeight="1">
      <c r="A105" s="129">
        <v>102</v>
      </c>
      <c r="B105" s="197"/>
      <c r="C105" s="100" t="s">
        <v>122</v>
      </c>
      <c r="D105" s="277">
        <v>38744</v>
      </c>
      <c r="E105" s="100" t="s">
        <v>118</v>
      </c>
      <c r="F105" s="100" t="s">
        <v>172</v>
      </c>
      <c r="G105" s="93">
        <v>7</v>
      </c>
      <c r="H105" s="93">
        <v>24</v>
      </c>
      <c r="I105" s="287">
        <f>23060.5+7183+3670+700+2376+2273+1430+3390+1771.5+3246+11360+7257.5+2859+2510+4107+155+170+490+579+165+77+352+780+621</f>
        <v>80582.5</v>
      </c>
      <c r="J105" s="278">
        <f>2772+1034+467+35+792+451+260+597+327+776+1582+1115+514+499+716+31+45+79+173+21+19+87+140+127</f>
        <v>12659</v>
      </c>
      <c r="K105" s="285">
        <f>+I105/J105</f>
        <v>6.365629196619007</v>
      </c>
    </row>
    <row r="106" spans="1:11" s="132" customFormat="1" ht="14.25" customHeight="1">
      <c r="A106" s="129">
        <v>103</v>
      </c>
      <c r="B106" s="197"/>
      <c r="C106" s="269" t="s">
        <v>261</v>
      </c>
      <c r="D106" s="279">
        <v>38926</v>
      </c>
      <c r="E106" s="269" t="s">
        <v>70</v>
      </c>
      <c r="F106" s="269" t="s">
        <v>69</v>
      </c>
      <c r="G106" s="209" t="s">
        <v>262</v>
      </c>
      <c r="H106" s="209" t="s">
        <v>282</v>
      </c>
      <c r="I106" s="288">
        <v>80473</v>
      </c>
      <c r="J106" s="280">
        <v>9880</v>
      </c>
      <c r="K106" s="285">
        <f>+I106/J106</f>
        <v>8.14504048582996</v>
      </c>
    </row>
    <row r="107" spans="1:11" s="132" customFormat="1" ht="14.25" customHeight="1">
      <c r="A107" s="129">
        <v>104</v>
      </c>
      <c r="B107" s="197"/>
      <c r="C107" s="219" t="s">
        <v>100</v>
      </c>
      <c r="D107" s="277">
        <v>38842</v>
      </c>
      <c r="E107" s="219" t="s">
        <v>61</v>
      </c>
      <c r="F107" s="219" t="s">
        <v>101</v>
      </c>
      <c r="G107" s="93">
        <v>40</v>
      </c>
      <c r="H107" s="93">
        <v>9</v>
      </c>
      <c r="I107" s="287">
        <f>38973.5+16801.5+3724.5+1143.5+878.5+1522+359+3464+275</f>
        <v>67141.5</v>
      </c>
      <c r="J107" s="278">
        <f>6538+2897+696+259+197+344+86+866+62</f>
        <v>11945</v>
      </c>
      <c r="K107" s="285">
        <f>+I107/J107</f>
        <v>5.620887400586019</v>
      </c>
    </row>
    <row r="108" spans="1:11" s="132" customFormat="1" ht="14.25" customHeight="1">
      <c r="A108" s="129">
        <v>105</v>
      </c>
      <c r="B108" s="197"/>
      <c r="C108" s="100" t="s">
        <v>124</v>
      </c>
      <c r="D108" s="277">
        <v>38723</v>
      </c>
      <c r="E108" s="100" t="s">
        <v>118</v>
      </c>
      <c r="F108" s="100" t="s">
        <v>125</v>
      </c>
      <c r="G108" s="93">
        <v>3</v>
      </c>
      <c r="H108" s="93">
        <v>18</v>
      </c>
      <c r="I108" s="287">
        <f>22570+12751+6691+4543+3462+1141+1389+1484.5+48+38+1782+1068+714+1188+2340+2005+1451+1195.5</f>
        <v>65861</v>
      </c>
      <c r="J108" s="278">
        <f>2787+1607+844+585+460+145+463+399+9+7+594+356+238+396+780+313+221+233</f>
        <v>10437</v>
      </c>
      <c r="K108" s="285">
        <f>+I108/J108</f>
        <v>6.310338219794961</v>
      </c>
    </row>
    <row r="109" spans="1:11" s="132" customFormat="1" ht="14.25" customHeight="1">
      <c r="A109" s="129">
        <v>106</v>
      </c>
      <c r="B109" s="197"/>
      <c r="C109" s="101" t="s">
        <v>233</v>
      </c>
      <c r="D109" s="277">
        <v>38828</v>
      </c>
      <c r="E109" s="101" t="s">
        <v>70</v>
      </c>
      <c r="F109" s="101" t="s">
        <v>206</v>
      </c>
      <c r="G109" s="131">
        <v>5</v>
      </c>
      <c r="H109" s="131">
        <v>13</v>
      </c>
      <c r="I109" s="287">
        <v>58493</v>
      </c>
      <c r="J109" s="278">
        <v>8839</v>
      </c>
      <c r="K109" s="285">
        <f>+I109/J109</f>
        <v>6.617603801334993</v>
      </c>
    </row>
    <row r="110" spans="1:11" s="132" customFormat="1" ht="14.25" customHeight="1">
      <c r="A110" s="129">
        <v>107</v>
      </c>
      <c r="B110" s="197"/>
      <c r="C110" s="100" t="s">
        <v>128</v>
      </c>
      <c r="D110" s="277">
        <v>38758</v>
      </c>
      <c r="E110" s="225" t="s">
        <v>118</v>
      </c>
      <c r="F110" s="100" t="s">
        <v>129</v>
      </c>
      <c r="G110" s="93">
        <v>4</v>
      </c>
      <c r="H110" s="93">
        <v>21</v>
      </c>
      <c r="I110" s="287">
        <f>12456+7990+4147+1031+2942.5+1687.5+5526.5+3841.5+1352.5+925+2425+2735+1963+2610.5+374+1948+1054+1475.5+196+636+243</f>
        <v>57559.5</v>
      </c>
      <c r="J110" s="278">
        <f>1552+1090+669+166+430+252+1516+804+308+163+443+768+612+467+81+595+318+329+55+115+81</f>
        <v>10814</v>
      </c>
      <c r="K110" s="284">
        <f>IF(I110&lt;&gt;0,I110/J110,"")</f>
        <v>5.3226835583502865</v>
      </c>
    </row>
    <row r="111" spans="1:11" s="132" customFormat="1" ht="14.25" customHeight="1">
      <c r="A111" s="129">
        <v>108</v>
      </c>
      <c r="B111" s="197"/>
      <c r="C111" s="100" t="s">
        <v>123</v>
      </c>
      <c r="D111" s="277">
        <v>38779</v>
      </c>
      <c r="E111" s="225" t="s">
        <v>118</v>
      </c>
      <c r="F111" s="100" t="s">
        <v>223</v>
      </c>
      <c r="G111" s="93">
        <v>10</v>
      </c>
      <c r="H111" s="93">
        <v>21</v>
      </c>
      <c r="I111" s="287">
        <f>19635+7029.5+1939.5+1932.5+1425+2285+846+5995.5+272.5+3026+831+1782+1425+2693.5+831+321+104+2033+455+780+635</f>
        <v>56277</v>
      </c>
      <c r="J111" s="278">
        <f>2548+994+309+438+475+587+190+1491+27+979+277+594+475+870+277+75+26+361+82+165+100</f>
        <v>11340</v>
      </c>
      <c r="K111" s="284">
        <f>IF(I111&lt;&gt;0,I111/J111,"")</f>
        <v>4.962698412698413</v>
      </c>
    </row>
    <row r="112" spans="1:11" s="132" customFormat="1" ht="14.25" customHeight="1">
      <c r="A112" s="129">
        <v>109</v>
      </c>
      <c r="B112" s="197"/>
      <c r="C112" s="101" t="s">
        <v>243</v>
      </c>
      <c r="D112" s="277">
        <v>38912</v>
      </c>
      <c r="E112" s="269" t="s">
        <v>93</v>
      </c>
      <c r="F112" s="101" t="s">
        <v>231</v>
      </c>
      <c r="G112" s="131">
        <v>11</v>
      </c>
      <c r="H112" s="131">
        <v>4</v>
      </c>
      <c r="I112" s="287">
        <v>56267</v>
      </c>
      <c r="J112" s="278">
        <v>6944</v>
      </c>
      <c r="K112" s="284">
        <f>+I112/J112</f>
        <v>8.102966589861751</v>
      </c>
    </row>
    <row r="113" spans="1:11" s="132" customFormat="1" ht="14.25" customHeight="1">
      <c r="A113" s="129">
        <v>110</v>
      </c>
      <c r="B113" s="197"/>
      <c r="C113" s="101" t="s">
        <v>257</v>
      </c>
      <c r="D113" s="277">
        <v>38786</v>
      </c>
      <c r="E113" s="101" t="s">
        <v>70</v>
      </c>
      <c r="F113" s="101" t="s">
        <v>121</v>
      </c>
      <c r="G113" s="131">
        <v>4</v>
      </c>
      <c r="H113" s="131">
        <v>11</v>
      </c>
      <c r="I113" s="287">
        <v>52565</v>
      </c>
      <c r="J113" s="278">
        <v>7017</v>
      </c>
      <c r="K113" s="284">
        <f>+I113/J113</f>
        <v>7.491093059712128</v>
      </c>
    </row>
    <row r="114" spans="1:11" s="132" customFormat="1" ht="14.25" customHeight="1">
      <c r="A114" s="129">
        <v>111</v>
      </c>
      <c r="B114" s="197"/>
      <c r="C114" s="100" t="s">
        <v>198</v>
      </c>
      <c r="D114" s="277">
        <v>38870</v>
      </c>
      <c r="E114" s="100" t="s">
        <v>118</v>
      </c>
      <c r="F114" s="100" t="s">
        <v>133</v>
      </c>
      <c r="G114" s="93">
        <v>5</v>
      </c>
      <c r="H114" s="93">
        <v>7</v>
      </c>
      <c r="I114" s="287">
        <f>20882.25+8209.5+3896+2400+1136+1611+7379.5+2057+1578+454+596</f>
        <v>50199.25</v>
      </c>
      <c r="J114" s="278">
        <f>2709+885+473+442+218+235+996+335+288+86+108</f>
        <v>6775</v>
      </c>
      <c r="K114" s="285">
        <f>+I114/J114</f>
        <v>7.4094833948339485</v>
      </c>
    </row>
    <row r="115" spans="1:11" s="132" customFormat="1" ht="14.25" customHeight="1">
      <c r="A115" s="129">
        <v>112</v>
      </c>
      <c r="B115" s="197"/>
      <c r="C115" s="101" t="s">
        <v>196</v>
      </c>
      <c r="D115" s="277">
        <v>38870</v>
      </c>
      <c r="E115" s="269" t="s">
        <v>93</v>
      </c>
      <c r="F115" s="101" t="s">
        <v>197</v>
      </c>
      <c r="G115" s="131">
        <v>5</v>
      </c>
      <c r="H115" s="131">
        <v>7</v>
      </c>
      <c r="I115" s="287">
        <v>45165</v>
      </c>
      <c r="J115" s="278">
        <v>5611</v>
      </c>
      <c r="K115" s="284">
        <f>+I115/J115</f>
        <v>8.049367314204241</v>
      </c>
    </row>
    <row r="116" spans="1:11" s="132" customFormat="1" ht="14.25" customHeight="1">
      <c r="A116" s="129">
        <v>113</v>
      </c>
      <c r="B116" s="197"/>
      <c r="C116" s="269" t="s">
        <v>108</v>
      </c>
      <c r="D116" s="279">
        <v>38835</v>
      </c>
      <c r="E116" s="269" t="s">
        <v>93</v>
      </c>
      <c r="F116" s="269" t="s">
        <v>98</v>
      </c>
      <c r="G116" s="209" t="s">
        <v>200</v>
      </c>
      <c r="H116" s="209" t="s">
        <v>200</v>
      </c>
      <c r="I116" s="356">
        <v>41766</v>
      </c>
      <c r="J116" s="357">
        <v>5455</v>
      </c>
      <c r="K116" s="284">
        <f>+I116/J116</f>
        <v>7.656461961503208</v>
      </c>
    </row>
    <row r="117" spans="1:11" s="132" customFormat="1" ht="14.25" customHeight="1">
      <c r="A117" s="129">
        <v>114</v>
      </c>
      <c r="B117" s="197"/>
      <c r="C117" s="269" t="s">
        <v>263</v>
      </c>
      <c r="D117" s="277">
        <v>38921</v>
      </c>
      <c r="E117" s="269" t="s">
        <v>93</v>
      </c>
      <c r="F117" s="269" t="s">
        <v>231</v>
      </c>
      <c r="G117" s="209" t="s">
        <v>264</v>
      </c>
      <c r="H117" s="209" t="s">
        <v>282</v>
      </c>
      <c r="I117" s="288">
        <v>40538.5</v>
      </c>
      <c r="J117" s="280">
        <v>4848</v>
      </c>
      <c r="K117" s="285">
        <f>+I117/J117</f>
        <v>8.361901815181518</v>
      </c>
    </row>
    <row r="118" spans="1:11" s="132" customFormat="1" ht="14.25" customHeight="1">
      <c r="A118" s="129">
        <v>115</v>
      </c>
      <c r="B118" s="197"/>
      <c r="C118" s="99" t="s">
        <v>106</v>
      </c>
      <c r="D118" s="279">
        <v>38849</v>
      </c>
      <c r="E118" s="133" t="s">
        <v>58</v>
      </c>
      <c r="F118" s="99" t="s">
        <v>70</v>
      </c>
      <c r="G118" s="48">
        <v>20</v>
      </c>
      <c r="H118" s="48">
        <v>13</v>
      </c>
      <c r="I118" s="288">
        <f>28036+3671+205.5+163+1253+2839.5+647+761+270+636+824.5+185+631.5</f>
        <v>40123</v>
      </c>
      <c r="J118" s="280">
        <f>3110+476+42+29+189+527+120+144+61+99+132+37+116</f>
        <v>5082</v>
      </c>
      <c r="K118" s="285">
        <f>+I118/J118</f>
        <v>7.895120031483668</v>
      </c>
    </row>
    <row r="119" spans="1:11" s="132" customFormat="1" ht="14.25" customHeight="1">
      <c r="A119" s="129">
        <v>116</v>
      </c>
      <c r="B119" s="197"/>
      <c r="C119" s="100" t="s">
        <v>120</v>
      </c>
      <c r="D119" s="277">
        <v>38849</v>
      </c>
      <c r="E119" s="225" t="s">
        <v>118</v>
      </c>
      <c r="F119" s="100" t="s">
        <v>121</v>
      </c>
      <c r="G119" s="93">
        <v>4</v>
      </c>
      <c r="H119" s="93">
        <v>9</v>
      </c>
      <c r="I119" s="287">
        <f>12183.25+8569+5406+1833+4570+3387+1518.5+434.5+616.5+714</f>
        <v>39231.75</v>
      </c>
      <c r="J119" s="278">
        <f>1678+1149+734+247+1506+495+228+65+102+238</f>
        <v>6442</v>
      </c>
      <c r="K119" s="284">
        <f>IF(I119&lt;&gt;0,I119/J119,"")</f>
        <v>6.089995343061161</v>
      </c>
    </row>
    <row r="120" spans="1:11" s="132" customFormat="1" ht="14.25" customHeight="1">
      <c r="A120" s="129">
        <v>117</v>
      </c>
      <c r="B120" s="197"/>
      <c r="C120" s="99" t="s">
        <v>167</v>
      </c>
      <c r="D120" s="279">
        <v>38793</v>
      </c>
      <c r="E120" s="99" t="s">
        <v>41</v>
      </c>
      <c r="F120" s="99" t="s">
        <v>168</v>
      </c>
      <c r="G120" s="48">
        <v>2</v>
      </c>
      <c r="H120" s="48">
        <v>14</v>
      </c>
      <c r="I120" s="289">
        <f>34394.5+636+91+134</f>
        <v>35255.5</v>
      </c>
      <c r="J120" s="278">
        <f>4287+79+17+25</f>
        <v>4408</v>
      </c>
      <c r="K120" s="284">
        <f>IF(I120&lt;&gt;0,I120/J120,"")</f>
        <v>7.99807168784029</v>
      </c>
    </row>
    <row r="121" spans="1:11" s="132" customFormat="1" ht="14.25" customHeight="1">
      <c r="A121" s="129">
        <v>118</v>
      </c>
      <c r="B121" s="197"/>
      <c r="C121" s="100" t="s">
        <v>119</v>
      </c>
      <c r="D121" s="277">
        <v>38856</v>
      </c>
      <c r="E121" s="100" t="s">
        <v>118</v>
      </c>
      <c r="F121" s="100" t="s">
        <v>121</v>
      </c>
      <c r="G121" s="93">
        <v>10</v>
      </c>
      <c r="H121" s="93">
        <v>9</v>
      </c>
      <c r="I121" s="287">
        <f>21534.5+7198.5+1602+1559+1382+474+1068+104+284</f>
        <v>35206</v>
      </c>
      <c r="J121" s="278">
        <f>3022+1231+222+243+253+158+356+15+44</f>
        <v>5544</v>
      </c>
      <c r="K121" s="285">
        <f>+I121/J121</f>
        <v>6.3502886002886</v>
      </c>
    </row>
    <row r="122" spans="1:11" s="132" customFormat="1" ht="14.25" customHeight="1">
      <c r="A122" s="129">
        <v>119</v>
      </c>
      <c r="B122" s="197"/>
      <c r="C122" s="101" t="s">
        <v>255</v>
      </c>
      <c r="D122" s="277">
        <v>38919</v>
      </c>
      <c r="E122" s="101" t="s">
        <v>61</v>
      </c>
      <c r="F122" s="101" t="s">
        <v>265</v>
      </c>
      <c r="G122" s="53">
        <v>10</v>
      </c>
      <c r="H122" s="131">
        <v>3</v>
      </c>
      <c r="I122" s="287">
        <f>16518+9313.5+7099.5</f>
        <v>32931</v>
      </c>
      <c r="J122" s="278">
        <f>1879+1086+1042</f>
        <v>4007</v>
      </c>
      <c r="K122" s="284">
        <f>+I122/J122</f>
        <v>8.21836785625156</v>
      </c>
    </row>
    <row r="123" spans="1:11" s="132" customFormat="1" ht="14.25" customHeight="1">
      <c r="A123" s="129">
        <v>120</v>
      </c>
      <c r="B123" s="197"/>
      <c r="C123" s="101" t="s">
        <v>169</v>
      </c>
      <c r="D123" s="277">
        <v>38786</v>
      </c>
      <c r="E123" s="101" t="s">
        <v>35</v>
      </c>
      <c r="F123" s="101" t="s">
        <v>170</v>
      </c>
      <c r="G123" s="131">
        <v>7</v>
      </c>
      <c r="H123" s="131">
        <v>15</v>
      </c>
      <c r="I123" s="287">
        <v>32062.5</v>
      </c>
      <c r="J123" s="278">
        <v>7117</v>
      </c>
      <c r="K123" s="284">
        <f>+I123/J123</f>
        <v>4.505058311086132</v>
      </c>
    </row>
    <row r="124" spans="1:11" s="132" customFormat="1" ht="14.25" customHeight="1">
      <c r="A124" s="129">
        <v>121</v>
      </c>
      <c r="B124" s="197"/>
      <c r="C124" s="100" t="s">
        <v>130</v>
      </c>
      <c r="D124" s="277">
        <v>38828</v>
      </c>
      <c r="E124" s="225" t="s">
        <v>118</v>
      </c>
      <c r="F124" s="100" t="s">
        <v>131</v>
      </c>
      <c r="G124" s="93">
        <v>6</v>
      </c>
      <c r="H124" s="93">
        <v>14</v>
      </c>
      <c r="I124" s="287">
        <f>8964+4246+2175+6296+364+3248+189+2148.5+879.5+474+84+307+252+195</f>
        <v>29822</v>
      </c>
      <c r="J124" s="278">
        <f>1055+574+361+886+56+580+32+529+180+158+11+58+51+42</f>
        <v>4573</v>
      </c>
      <c r="K124" s="284">
        <f>IF(I124&lt;&gt;0,I124/J124,"")</f>
        <v>6.521320795976383</v>
      </c>
    </row>
    <row r="125" spans="1:11" s="132" customFormat="1" ht="14.25" customHeight="1">
      <c r="A125" s="129">
        <v>122</v>
      </c>
      <c r="B125" s="197"/>
      <c r="C125" s="100" t="s">
        <v>245</v>
      </c>
      <c r="D125" s="277">
        <v>38905</v>
      </c>
      <c r="E125" s="100" t="s">
        <v>118</v>
      </c>
      <c r="F125" s="100" t="s">
        <v>246</v>
      </c>
      <c r="G125" s="93">
        <v>10</v>
      </c>
      <c r="H125" s="93">
        <v>5</v>
      </c>
      <c r="I125" s="287">
        <f>13259+2856.5+4926+4327+1719</f>
        <v>27087.5</v>
      </c>
      <c r="J125" s="278">
        <f>1361+397+710+656+352</f>
        <v>3476</v>
      </c>
      <c r="K125" s="285">
        <f>+I125/J125</f>
        <v>7.792721518987341</v>
      </c>
    </row>
    <row r="126" spans="1:11" s="132" customFormat="1" ht="14.25" customHeight="1">
      <c r="A126" s="129">
        <v>123</v>
      </c>
      <c r="B126" s="197"/>
      <c r="C126" s="100" t="s">
        <v>171</v>
      </c>
      <c r="D126" s="277">
        <v>38751</v>
      </c>
      <c r="E126" s="100" t="s">
        <v>118</v>
      </c>
      <c r="F126" s="100" t="s">
        <v>172</v>
      </c>
      <c r="G126" s="93">
        <v>1</v>
      </c>
      <c r="H126" s="93">
        <v>11</v>
      </c>
      <c r="I126" s="287">
        <f>6339+5656+3753+2609+448+675+1816+2430+1068+117+22</f>
        <v>24933</v>
      </c>
      <c r="J126" s="278">
        <f>796+708+467+329+60+87+264+364+356+20+4</f>
        <v>3455</v>
      </c>
      <c r="K126" s="285">
        <f>+I126/J126</f>
        <v>7.2164978292329955</v>
      </c>
    </row>
    <row r="127" spans="1:11" s="132" customFormat="1" ht="14.25" customHeight="1">
      <c r="A127" s="129">
        <v>124</v>
      </c>
      <c r="B127" s="197"/>
      <c r="C127" s="101" t="s">
        <v>212</v>
      </c>
      <c r="D127" s="277">
        <v>38884</v>
      </c>
      <c r="E127" s="269" t="s">
        <v>93</v>
      </c>
      <c r="F127" s="101" t="s">
        <v>77</v>
      </c>
      <c r="G127" s="131">
        <v>10</v>
      </c>
      <c r="H127" s="131">
        <v>8</v>
      </c>
      <c r="I127" s="287">
        <v>23412</v>
      </c>
      <c r="J127" s="278">
        <v>3649</v>
      </c>
      <c r="K127" s="284">
        <f>+I127/J127</f>
        <v>6.416004384762949</v>
      </c>
    </row>
    <row r="128" spans="1:11" s="132" customFormat="1" ht="14.25" customHeight="1">
      <c r="A128" s="129">
        <v>125</v>
      </c>
      <c r="B128" s="197"/>
      <c r="C128" s="100" t="s">
        <v>175</v>
      </c>
      <c r="D128" s="277">
        <v>38779</v>
      </c>
      <c r="E128" s="100" t="s">
        <v>118</v>
      </c>
      <c r="F128" s="100" t="s">
        <v>176</v>
      </c>
      <c r="G128" s="93">
        <v>6</v>
      </c>
      <c r="H128" s="93">
        <v>11</v>
      </c>
      <c r="I128" s="287">
        <f>9397.5+2137+188+1545+1416+96+2312+762+753+42+160</f>
        <v>18808.5</v>
      </c>
      <c r="J128" s="278">
        <f>1039+275+26+515+419+32+332+112+137+7+28</f>
        <v>2922</v>
      </c>
      <c r="K128" s="285">
        <f>+I128/J128</f>
        <v>6.436858316221766</v>
      </c>
    </row>
    <row r="129" spans="1:11" s="132" customFormat="1" ht="14.25" customHeight="1">
      <c r="A129" s="129">
        <v>126</v>
      </c>
      <c r="B129" s="197"/>
      <c r="C129" s="100" t="s">
        <v>134</v>
      </c>
      <c r="D129" s="277">
        <v>38835</v>
      </c>
      <c r="E129" s="100" t="s">
        <v>118</v>
      </c>
      <c r="F129" s="100" t="s">
        <v>220</v>
      </c>
      <c r="G129" s="93">
        <v>5</v>
      </c>
      <c r="H129" s="93">
        <v>12</v>
      </c>
      <c r="I129" s="287">
        <f>497.5+5960+2567+1138+75+2686+941.5+877+1134+831+191+360+410</f>
        <v>17668</v>
      </c>
      <c r="J129" s="278">
        <f>103+657+317+178+15+682+143+159+211+277+45+68+86</f>
        <v>2941</v>
      </c>
      <c r="K129" s="285">
        <f>+I129/J129</f>
        <v>6.0074804488269296</v>
      </c>
    </row>
    <row r="130" spans="1:11" s="132" customFormat="1" ht="14.25" customHeight="1">
      <c r="A130" s="129">
        <v>127</v>
      </c>
      <c r="B130" s="197"/>
      <c r="C130" s="100" t="s">
        <v>232</v>
      </c>
      <c r="D130" s="277">
        <v>38898</v>
      </c>
      <c r="E130" s="100" t="s">
        <v>118</v>
      </c>
      <c r="F130" s="100" t="s">
        <v>252</v>
      </c>
      <c r="G130" s="93">
        <v>5</v>
      </c>
      <c r="H130" s="93">
        <v>6</v>
      </c>
      <c r="I130" s="287">
        <f>6551.5+3573+601+2282+519.5+723</f>
        <v>14250</v>
      </c>
      <c r="J130" s="278">
        <f>756+441+97+365+71+118</f>
        <v>1848</v>
      </c>
      <c r="K130" s="285">
        <f>+I130/J130</f>
        <v>7.711038961038961</v>
      </c>
    </row>
    <row r="131" spans="1:11" s="132" customFormat="1" ht="14.25" customHeight="1">
      <c r="A131" s="129">
        <v>128</v>
      </c>
      <c r="B131" s="197"/>
      <c r="C131" s="99" t="s">
        <v>173</v>
      </c>
      <c r="D131" s="277">
        <v>38772</v>
      </c>
      <c r="E131" s="99" t="s">
        <v>77</v>
      </c>
      <c r="F131" s="99" t="s">
        <v>174</v>
      </c>
      <c r="G131" s="136">
        <v>1</v>
      </c>
      <c r="H131" s="135">
        <v>6</v>
      </c>
      <c r="I131" s="358">
        <v>14052</v>
      </c>
      <c r="J131" s="359">
        <v>1802</v>
      </c>
      <c r="K131" s="285">
        <f>+I131/J131</f>
        <v>7.798002219755827</v>
      </c>
    </row>
    <row r="132" spans="1:11" s="132" customFormat="1" ht="14.25" customHeight="1">
      <c r="A132" s="129">
        <v>129</v>
      </c>
      <c r="B132" s="197"/>
      <c r="C132" s="100" t="s">
        <v>268</v>
      </c>
      <c r="D132" s="277">
        <v>38919</v>
      </c>
      <c r="E132" s="100" t="s">
        <v>118</v>
      </c>
      <c r="F132" s="100" t="s">
        <v>172</v>
      </c>
      <c r="G132" s="93">
        <v>4</v>
      </c>
      <c r="H132" s="93">
        <v>3</v>
      </c>
      <c r="I132" s="287">
        <f>3116.25+6870.5+2836+1054</f>
        <v>13876.75</v>
      </c>
      <c r="J132" s="278">
        <f>523+774+396+145</f>
        <v>1838</v>
      </c>
      <c r="K132" s="285">
        <f>+I132/J132</f>
        <v>7.549918389553863</v>
      </c>
    </row>
    <row r="133" spans="1:11" s="132" customFormat="1" ht="14.25" customHeight="1">
      <c r="A133" s="129">
        <v>130</v>
      </c>
      <c r="B133" s="197"/>
      <c r="C133" s="101" t="s">
        <v>214</v>
      </c>
      <c r="D133" s="277">
        <v>38884</v>
      </c>
      <c r="E133" s="101" t="s">
        <v>61</v>
      </c>
      <c r="F133" s="101" t="s">
        <v>207</v>
      </c>
      <c r="G133" s="53">
        <v>4</v>
      </c>
      <c r="H133" s="131">
        <v>8</v>
      </c>
      <c r="I133" s="287">
        <f>4549+2813+1503+1330+830+744.5+498+1047</f>
        <v>13314.5</v>
      </c>
      <c r="J133" s="278">
        <f>644+413+227+234+160+156+99+195</f>
        <v>2128</v>
      </c>
      <c r="K133" s="284">
        <f>+I133/J133</f>
        <v>6.256813909774436</v>
      </c>
    </row>
    <row r="134" spans="1:11" s="132" customFormat="1" ht="14.25" customHeight="1">
      <c r="A134" s="129">
        <v>131</v>
      </c>
      <c r="B134" s="197"/>
      <c r="C134" s="101" t="s">
        <v>177</v>
      </c>
      <c r="D134" s="277">
        <v>38723</v>
      </c>
      <c r="E134" s="225" t="s">
        <v>118</v>
      </c>
      <c r="F134" s="101" t="s">
        <v>178</v>
      </c>
      <c r="G134" s="131">
        <v>5</v>
      </c>
      <c r="H134" s="131">
        <v>8</v>
      </c>
      <c r="I134" s="287">
        <f>7149+2747+756+1338+270+74+91+462</f>
        <v>12887</v>
      </c>
      <c r="J134" s="278">
        <f>932+357+92+247+90+24+25+88</f>
        <v>1855</v>
      </c>
      <c r="K134" s="285">
        <f>+I134/J134</f>
        <v>6.947169811320754</v>
      </c>
    </row>
    <row r="135" spans="1:11" s="132" customFormat="1" ht="14.25" customHeight="1">
      <c r="A135" s="129">
        <v>132</v>
      </c>
      <c r="B135" s="197"/>
      <c r="C135" s="100" t="s">
        <v>251</v>
      </c>
      <c r="D135" s="277">
        <v>38905</v>
      </c>
      <c r="E135" s="100" t="s">
        <v>118</v>
      </c>
      <c r="F135" s="100" t="s">
        <v>252</v>
      </c>
      <c r="G135" s="93">
        <v>5</v>
      </c>
      <c r="H135" s="93">
        <v>5</v>
      </c>
      <c r="I135" s="287">
        <f>8511+1752+1606+618+128</f>
        <v>12615</v>
      </c>
      <c r="J135" s="278">
        <f>922+255+257+76+16</f>
        <v>1526</v>
      </c>
      <c r="K135" s="285">
        <f>+I135/J135</f>
        <v>8.266710353866317</v>
      </c>
    </row>
    <row r="136" spans="1:11" s="132" customFormat="1" ht="14.25" customHeight="1">
      <c r="A136" s="129">
        <v>133</v>
      </c>
      <c r="B136" s="197"/>
      <c r="C136" s="100" t="s">
        <v>247</v>
      </c>
      <c r="D136" s="277">
        <v>38912</v>
      </c>
      <c r="E136" s="100" t="s">
        <v>118</v>
      </c>
      <c r="F136" s="100" t="s">
        <v>248</v>
      </c>
      <c r="G136" s="93">
        <v>1</v>
      </c>
      <c r="H136" s="93">
        <v>4</v>
      </c>
      <c r="I136" s="287">
        <f>3860+2691+2385+1350+1075</f>
        <v>11361</v>
      </c>
      <c r="J136" s="278">
        <f>509+453+477+230+215</f>
        <v>1884</v>
      </c>
      <c r="K136" s="285">
        <f>+I136/J136</f>
        <v>6.030254777070064</v>
      </c>
    </row>
    <row r="137" spans="1:11" s="132" customFormat="1" ht="14.25" customHeight="1">
      <c r="A137" s="129">
        <v>134</v>
      </c>
      <c r="B137" s="197"/>
      <c r="C137" s="100" t="s">
        <v>266</v>
      </c>
      <c r="D137" s="277">
        <v>38926</v>
      </c>
      <c r="E137" s="100" t="s">
        <v>118</v>
      </c>
      <c r="F137" s="100" t="s">
        <v>267</v>
      </c>
      <c r="G137" s="93">
        <v>14</v>
      </c>
      <c r="H137" s="93">
        <v>2</v>
      </c>
      <c r="I137" s="287">
        <f>7752+1550</f>
        <v>9302</v>
      </c>
      <c r="J137" s="278">
        <f>958+237</f>
        <v>1195</v>
      </c>
      <c r="K137" s="285">
        <f>+I137/J137</f>
        <v>7.784100418410042</v>
      </c>
    </row>
    <row r="138" spans="1:11" s="132" customFormat="1" ht="14.25" customHeight="1">
      <c r="A138" s="129">
        <v>135</v>
      </c>
      <c r="B138" s="197"/>
      <c r="C138" s="99" t="s">
        <v>179</v>
      </c>
      <c r="D138" s="290">
        <v>38821</v>
      </c>
      <c r="E138" s="101" t="s">
        <v>93</v>
      </c>
      <c r="F138" s="101" t="s">
        <v>180</v>
      </c>
      <c r="G138" s="131">
        <v>5</v>
      </c>
      <c r="H138" s="131">
        <v>5</v>
      </c>
      <c r="I138" s="356">
        <v>6450.5</v>
      </c>
      <c r="J138" s="357">
        <v>1115</v>
      </c>
      <c r="K138" s="284">
        <f>+I138/J138</f>
        <v>5.785201793721973</v>
      </c>
    </row>
    <row r="139" spans="1:11" s="132" customFormat="1" ht="14.25" customHeight="1">
      <c r="A139" s="129">
        <v>136</v>
      </c>
      <c r="B139" s="197"/>
      <c r="C139" s="101" t="s">
        <v>181</v>
      </c>
      <c r="D139" s="279">
        <v>38758</v>
      </c>
      <c r="E139" s="101" t="s">
        <v>77</v>
      </c>
      <c r="F139" s="101" t="s">
        <v>182</v>
      </c>
      <c r="G139" s="131">
        <v>4</v>
      </c>
      <c r="H139" s="131">
        <v>10</v>
      </c>
      <c r="I139" s="288">
        <v>6143</v>
      </c>
      <c r="J139" s="280">
        <v>976</v>
      </c>
      <c r="K139" s="285">
        <f>+I139/J139</f>
        <v>6.29405737704918</v>
      </c>
    </row>
    <row r="140" spans="1:11" s="132" customFormat="1" ht="14.25" customHeight="1">
      <c r="A140" s="129">
        <v>137</v>
      </c>
      <c r="B140" s="197"/>
      <c r="C140" s="100" t="s">
        <v>126</v>
      </c>
      <c r="D140" s="277">
        <v>38849</v>
      </c>
      <c r="E140" s="100" t="s">
        <v>118</v>
      </c>
      <c r="F140" s="100" t="s">
        <v>127</v>
      </c>
      <c r="G140" s="93">
        <v>1</v>
      </c>
      <c r="H140" s="93">
        <v>6</v>
      </c>
      <c r="I140" s="287">
        <f>3427.5+602+330+168+951+77+360</f>
        <v>5915.5</v>
      </c>
      <c r="J140" s="278">
        <f>772+80+66+24+317+11+62</f>
        <v>1332</v>
      </c>
      <c r="K140" s="284">
        <f>+I140/J140</f>
        <v>4.441066066066066</v>
      </c>
    </row>
    <row r="141" spans="1:11" s="132" customFormat="1" ht="14.25" customHeight="1">
      <c r="A141" s="129">
        <v>138</v>
      </c>
      <c r="B141" s="197"/>
      <c r="C141" s="100" t="s">
        <v>222</v>
      </c>
      <c r="D141" s="277">
        <v>38891</v>
      </c>
      <c r="E141" s="100" t="s">
        <v>118</v>
      </c>
      <c r="F141" s="100" t="s">
        <v>121</v>
      </c>
      <c r="G141" s="93">
        <v>1</v>
      </c>
      <c r="H141" s="93">
        <v>3</v>
      </c>
      <c r="I141" s="287">
        <f>3624+741+309+44</f>
        <v>4718</v>
      </c>
      <c r="J141" s="278">
        <f>883+117+49+6</f>
        <v>1055</v>
      </c>
      <c r="K141" s="285">
        <f>+I141/J141</f>
        <v>4.472037914691943</v>
      </c>
    </row>
    <row r="142" spans="1:11" s="132" customFormat="1" ht="14.25" customHeight="1">
      <c r="A142" s="129">
        <v>139</v>
      </c>
      <c r="B142" s="197"/>
      <c r="C142" s="101" t="s">
        <v>183</v>
      </c>
      <c r="D142" s="277">
        <v>38807</v>
      </c>
      <c r="E142" s="99" t="s">
        <v>93</v>
      </c>
      <c r="F142" s="99" t="s">
        <v>163</v>
      </c>
      <c r="G142" s="131">
        <v>8</v>
      </c>
      <c r="H142" s="48">
        <v>5</v>
      </c>
      <c r="I142" s="356">
        <v>4628.5</v>
      </c>
      <c r="J142" s="357">
        <v>707</v>
      </c>
      <c r="K142" s="284">
        <f>IF(I142&lt;&gt;0,I142/J142,"")</f>
        <v>6.546676096181047</v>
      </c>
    </row>
    <row r="143" spans="1:11" s="132" customFormat="1" ht="14.25" customHeight="1" thickBot="1">
      <c r="A143" s="129">
        <v>140</v>
      </c>
      <c r="B143" s="210"/>
      <c r="C143" s="240" t="s">
        <v>240</v>
      </c>
      <c r="D143" s="286">
        <v>38905</v>
      </c>
      <c r="E143" s="275" t="s">
        <v>93</v>
      </c>
      <c r="F143" s="240" t="s">
        <v>93</v>
      </c>
      <c r="G143" s="227">
        <v>6</v>
      </c>
      <c r="H143" s="227">
        <v>1</v>
      </c>
      <c r="I143" s="368">
        <v>3614.5</v>
      </c>
      <c r="J143" s="369">
        <v>396</v>
      </c>
      <c r="K143" s="370">
        <f>+I143/J143</f>
        <v>9.127525252525253</v>
      </c>
    </row>
    <row r="144" spans="1:11" s="132" customFormat="1" ht="15">
      <c r="A144" s="137"/>
      <c r="B144" s="198"/>
      <c r="C144" s="199" t="s">
        <v>43</v>
      </c>
      <c r="D144" s="199"/>
      <c r="E144" s="200"/>
      <c r="F144" s="200"/>
      <c r="G144" s="201">
        <f>SUM(G4:G143)</f>
        <v>6663</v>
      </c>
      <c r="H144" s="199"/>
      <c r="I144" s="188">
        <f>SUM(I4:I143)</f>
        <v>131074836.32000002</v>
      </c>
      <c r="J144" s="261">
        <f>SUM(J4:J143)</f>
        <v>19446253.4</v>
      </c>
      <c r="K144" s="202">
        <f>I144/J144</f>
        <v>6.740364512580096</v>
      </c>
    </row>
    <row r="145" spans="1:11" s="132" customFormat="1" ht="15.75" thickBot="1">
      <c r="A145" s="137"/>
      <c r="B145" s="138"/>
      <c r="C145" s="35" t="s">
        <v>75</v>
      </c>
      <c r="D145" s="35"/>
      <c r="E145" s="37"/>
      <c r="F145" s="37"/>
      <c r="G145" s="36">
        <v>5490</v>
      </c>
      <c r="H145" s="35"/>
      <c r="I145" s="171">
        <v>103198176.14</v>
      </c>
      <c r="J145" s="262">
        <v>15942564</v>
      </c>
      <c r="K145" s="139">
        <f>I145/J145</f>
        <v>6.473122901686328</v>
      </c>
    </row>
    <row r="146" spans="1:11" s="132" customFormat="1" ht="13.5" thickBot="1">
      <c r="A146" s="140"/>
      <c r="C146" s="141"/>
      <c r="D146" s="142"/>
      <c r="E146" s="142"/>
      <c r="F146" s="142"/>
      <c r="G146" s="142"/>
      <c r="H146" s="142"/>
      <c r="I146" s="250"/>
      <c r="J146" s="254"/>
      <c r="K146" s="143"/>
    </row>
    <row r="147" spans="1:11" s="146" customFormat="1" ht="12.75" customHeight="1">
      <c r="A147" s="144"/>
      <c r="B147" s="145"/>
      <c r="C147" s="366" t="s">
        <v>12</v>
      </c>
      <c r="D147" s="366"/>
      <c r="E147" s="364" t="s">
        <v>184</v>
      </c>
      <c r="F147" s="88"/>
      <c r="G147" s="364" t="s">
        <v>185</v>
      </c>
      <c r="H147" s="364"/>
      <c r="I147" s="362" t="s">
        <v>16</v>
      </c>
      <c r="J147" s="363"/>
      <c r="K147" s="360" t="s">
        <v>138</v>
      </c>
    </row>
    <row r="148" spans="1:11" s="146" customFormat="1" ht="26.25" customHeight="1" thickBot="1">
      <c r="A148" s="147"/>
      <c r="B148" s="148"/>
      <c r="C148" s="367"/>
      <c r="D148" s="367"/>
      <c r="E148" s="365"/>
      <c r="F148" s="149"/>
      <c r="G148" s="365"/>
      <c r="H148" s="365"/>
      <c r="I148" s="249" t="s">
        <v>139</v>
      </c>
      <c r="J148" s="255" t="s">
        <v>3</v>
      </c>
      <c r="K148" s="361"/>
    </row>
    <row r="149" spans="1:11" ht="15">
      <c r="A149" s="129">
        <v>1</v>
      </c>
      <c r="B149" s="150"/>
      <c r="C149" s="151" t="s">
        <v>186</v>
      </c>
      <c r="D149" s="152"/>
      <c r="E149" s="152">
        <v>13</v>
      </c>
      <c r="F149" s="152"/>
      <c r="G149" s="153">
        <f>G4+G5+G7+G10+G11+G17+G27+G30+G80+G85+G101+G117+G132</f>
        <v>1372</v>
      </c>
      <c r="H149" s="152"/>
      <c r="I149" s="251">
        <f>I4+I5+I7+I10+I11+I16+I26+I29+I83+I89+I107+I123+I13</f>
        <v>60828988.720000006</v>
      </c>
      <c r="J149" s="256">
        <f>J4+J5+J7+J10+J11+J16+J26+J29+J83+J89+J107+J123+J137</f>
        <v>9181503.4</v>
      </c>
      <c r="K149" s="154">
        <f>I149/J149</f>
        <v>6.625166497242707</v>
      </c>
    </row>
    <row r="150" spans="1:11" ht="15.75" thickBot="1">
      <c r="A150" s="129">
        <v>2</v>
      </c>
      <c r="B150" s="156"/>
      <c r="C150" s="157" t="s">
        <v>187</v>
      </c>
      <c r="D150" s="158"/>
      <c r="E150" s="158">
        <v>127</v>
      </c>
      <c r="F150" s="158"/>
      <c r="G150" s="159">
        <f>G144-G149</f>
        <v>5291</v>
      </c>
      <c r="H150" s="158"/>
      <c r="I150" s="252">
        <f>I144-I149</f>
        <v>70245847.60000002</v>
      </c>
      <c r="J150" s="257">
        <f>J144-J149</f>
        <v>10264749.999999998</v>
      </c>
      <c r="K150" s="160">
        <f>I150/J150</f>
        <v>6.843405596824086</v>
      </c>
    </row>
    <row r="151" spans="2:11" ht="15.75" thickBot="1">
      <c r="B151" s="161"/>
      <c r="C151" s="162"/>
      <c r="D151" s="163"/>
      <c r="E151" s="163">
        <f>SUM(E149:E150)</f>
        <v>140</v>
      </c>
      <c r="F151" s="163"/>
      <c r="G151" s="164">
        <f>SUM(G149:G150)</f>
        <v>6663</v>
      </c>
      <c r="H151" s="163"/>
      <c r="I151" s="253">
        <f>SUM(I149:I150)</f>
        <v>131074836.32000002</v>
      </c>
      <c r="J151" s="263">
        <f>SUM(J149:J150)</f>
        <v>19446253.4</v>
      </c>
      <c r="K151" s="165">
        <f>I151/J151</f>
        <v>6.740364512580096</v>
      </c>
    </row>
    <row r="153" ht="14.25" customHeight="1" thickBot="1"/>
    <row r="154" spans="1:9" ht="15.75" thickBot="1">
      <c r="A154" s="168"/>
      <c r="B154" s="56"/>
      <c r="C154" s="212" t="s">
        <v>44</v>
      </c>
      <c r="D154" s="347" t="s">
        <v>188</v>
      </c>
      <c r="E154" s="348"/>
      <c r="F154" s="348"/>
      <c r="G154" s="349"/>
      <c r="H154" s="242"/>
      <c r="I154" s="259"/>
    </row>
    <row r="155" spans="1:11" ht="14.25" customHeight="1">
      <c r="A155" s="124">
        <v>1</v>
      </c>
      <c r="C155" s="229" t="s">
        <v>34</v>
      </c>
      <c r="D155" s="237">
        <v>4</v>
      </c>
      <c r="E155" s="264">
        <v>38324496</v>
      </c>
      <c r="F155" s="265">
        <v>5928815</v>
      </c>
      <c r="G155" s="243">
        <f>E155/F155</f>
        <v>6.464107245714363</v>
      </c>
      <c r="H155" s="244"/>
      <c r="I155" s="260"/>
      <c r="J155" s="241"/>
      <c r="K155" s="155"/>
    </row>
    <row r="156" spans="1:7" ht="14.25" customHeight="1">
      <c r="A156" s="169">
        <v>2</v>
      </c>
      <c r="B156" s="56"/>
      <c r="C156" s="230" t="s">
        <v>32</v>
      </c>
      <c r="D156" s="231">
        <v>25</v>
      </c>
      <c r="E156" s="238">
        <v>32142545.62</v>
      </c>
      <c r="F156" s="217">
        <v>4919423</v>
      </c>
      <c r="G156" s="245">
        <f>E156/F156</f>
        <v>6.533803988801126</v>
      </c>
    </row>
    <row r="157" spans="1:7" ht="14.25" customHeight="1">
      <c r="A157" s="169">
        <v>3</v>
      </c>
      <c r="B157" s="56"/>
      <c r="C157" s="230" t="s">
        <v>31</v>
      </c>
      <c r="D157" s="266">
        <v>32</v>
      </c>
      <c r="E157" s="238">
        <v>27405283.75</v>
      </c>
      <c r="F157" s="217">
        <v>3678591</v>
      </c>
      <c r="G157" s="245">
        <f>E157/F157</f>
        <v>7.449940411967517</v>
      </c>
    </row>
    <row r="158" spans="1:7" ht="14.25" customHeight="1">
      <c r="A158" s="169">
        <v>4</v>
      </c>
      <c r="B158" s="56"/>
      <c r="C158" s="230" t="s">
        <v>33</v>
      </c>
      <c r="D158" s="231">
        <v>23</v>
      </c>
      <c r="E158" s="238">
        <v>25452607</v>
      </c>
      <c r="F158" s="217">
        <v>3801021</v>
      </c>
      <c r="G158" s="245">
        <f>E158/F158</f>
        <v>6.696255295616625</v>
      </c>
    </row>
    <row r="159" spans="1:7" ht="14.25" customHeight="1">
      <c r="A159" s="169">
        <v>5</v>
      </c>
      <c r="B159" s="56"/>
      <c r="C159" s="230" t="s">
        <v>118</v>
      </c>
      <c r="D159" s="231">
        <v>26</v>
      </c>
      <c r="E159" s="238">
        <v>2298597.75</v>
      </c>
      <c r="F159" s="217">
        <v>350578</v>
      </c>
      <c r="G159" s="245">
        <f>E159/F159</f>
        <v>6.556594395541078</v>
      </c>
    </row>
    <row r="160" spans="1:7" ht="14.25" customHeight="1">
      <c r="A160" s="169">
        <v>6</v>
      </c>
      <c r="B160" s="56"/>
      <c r="C160" s="230" t="s">
        <v>76</v>
      </c>
      <c r="D160" s="231">
        <v>2</v>
      </c>
      <c r="E160" s="238">
        <v>2240042</v>
      </c>
      <c r="F160" s="217">
        <v>312208</v>
      </c>
      <c r="G160" s="245">
        <f>E160/F160</f>
        <v>7.174838569159022</v>
      </c>
    </row>
    <row r="161" spans="1:7" ht="14.25" customHeight="1">
      <c r="A161" s="169">
        <v>7</v>
      </c>
      <c r="B161" s="56"/>
      <c r="C161" s="230" t="s">
        <v>41</v>
      </c>
      <c r="D161" s="231">
        <v>6</v>
      </c>
      <c r="E161" s="238">
        <v>1820072.5</v>
      </c>
      <c r="F161" s="217">
        <v>271441</v>
      </c>
      <c r="G161" s="245">
        <f>E161/F161</f>
        <v>6.705223234515051</v>
      </c>
    </row>
    <row r="162" spans="1:7" ht="14.25" customHeight="1">
      <c r="A162" s="169">
        <v>8</v>
      </c>
      <c r="B162" s="56"/>
      <c r="C162" s="230" t="s">
        <v>93</v>
      </c>
      <c r="D162" s="231">
        <v>12</v>
      </c>
      <c r="E162" s="238">
        <v>673903</v>
      </c>
      <c r="F162" s="217">
        <v>88323</v>
      </c>
      <c r="G162" s="245">
        <f>E162/F162</f>
        <v>7.629983130102012</v>
      </c>
    </row>
    <row r="163" spans="1:7" ht="14.25" customHeight="1">
      <c r="A163" s="169">
        <v>9</v>
      </c>
      <c r="B163" s="56"/>
      <c r="C163" s="232" t="s">
        <v>35</v>
      </c>
      <c r="D163" s="231">
        <v>2</v>
      </c>
      <c r="E163" s="238">
        <v>258489.29</v>
      </c>
      <c r="F163" s="217">
        <v>36300</v>
      </c>
      <c r="G163" s="245">
        <f>E163/F163</f>
        <v>7.120917079889807</v>
      </c>
    </row>
    <row r="164" spans="1:7" ht="14.25" customHeight="1">
      <c r="A164" s="169">
        <v>10</v>
      </c>
      <c r="B164" s="56"/>
      <c r="C164" s="232" t="s">
        <v>165</v>
      </c>
      <c r="D164" s="231">
        <v>3</v>
      </c>
      <c r="E164" s="238">
        <v>247073.31</v>
      </c>
      <c r="F164" s="217">
        <v>31039</v>
      </c>
      <c r="G164" s="246">
        <f>E164/F164</f>
        <v>7.960092464319082</v>
      </c>
    </row>
    <row r="165" spans="1:7" ht="14.25" customHeight="1">
      <c r="A165" s="169">
        <v>11</v>
      </c>
      <c r="B165" s="56"/>
      <c r="C165" s="232" t="s">
        <v>36</v>
      </c>
      <c r="D165" s="231">
        <v>3</v>
      </c>
      <c r="E165" s="238">
        <v>191531</v>
      </c>
      <c r="F165" s="217">
        <v>23426</v>
      </c>
      <c r="G165" s="371">
        <f>E165/F165</f>
        <v>8.176001024502689</v>
      </c>
    </row>
    <row r="166" spans="1:7" ht="14.25" customHeight="1" thickBot="1">
      <c r="A166" s="169">
        <v>12</v>
      </c>
      <c r="B166" s="56"/>
      <c r="C166" s="233" t="s">
        <v>77</v>
      </c>
      <c r="D166" s="234">
        <v>2</v>
      </c>
      <c r="E166" s="239">
        <v>20195</v>
      </c>
      <c r="F166" s="235">
        <v>2778</v>
      </c>
      <c r="G166" s="247">
        <f>E166/F166</f>
        <v>7.269618430525558</v>
      </c>
    </row>
    <row r="167" spans="5:7" ht="14.25" customHeight="1">
      <c r="E167" s="203"/>
      <c r="F167" s="204"/>
      <c r="G167" s="204"/>
    </row>
    <row r="168" ht="14.25" customHeight="1">
      <c r="F168" s="204"/>
    </row>
  </sheetData>
  <mergeCells count="17">
    <mergeCell ref="B1:K1"/>
    <mergeCell ref="C2:C3"/>
    <mergeCell ref="D2:D3"/>
    <mergeCell ref="E2:E3"/>
    <mergeCell ref="F2:F3"/>
    <mergeCell ref="G2:G3"/>
    <mergeCell ref="H2:H3"/>
    <mergeCell ref="I2:J2"/>
    <mergeCell ref="K2:K3"/>
    <mergeCell ref="C147:C148"/>
    <mergeCell ref="D147:D148"/>
    <mergeCell ref="E147:E148"/>
    <mergeCell ref="G147:G148"/>
    <mergeCell ref="H147:H148"/>
    <mergeCell ref="I147:J147"/>
    <mergeCell ref="K147:K148"/>
    <mergeCell ref="D154:G154"/>
  </mergeCells>
  <printOptions/>
  <pageMargins left="0.75" right="0.75" top="0.63" bottom="0.49" header="0.12" footer="0.45"/>
  <pageSetup orientation="portrait" paperSize="9" scale="30" r:id="rId1"/>
  <ignoredErrors>
    <ignoredError sqref="G155 J27:J37 J39:J82 I84:J86 I6:I82 J6:J25 G167 G156:G166" unlockedFormula="1"/>
    <ignoredError sqref="K14:K80 K85:K142" formula="1"/>
    <ignoredError sqref="H7:H83 G87:H141 I128:J141" numberStoredAsText="1"/>
    <ignoredError sqref="I87:J127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.</cp:lastModifiedBy>
  <cp:lastPrinted>2006-08-14T13:20:04Z</cp:lastPrinted>
  <dcterms:created xsi:type="dcterms:W3CDTF">2006-03-17T12:24:26Z</dcterms:created>
  <dcterms:modified xsi:type="dcterms:W3CDTF">2006-08-14T13:20:09Z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