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480" windowHeight="11640" tabRatio="808" activeTab="0"/>
  </bookViews>
  <sheets>
    <sheet name="20 - 26 Apr' (WK 17)" sheetId="1" r:id="rId1"/>
    <sheet name="29 Dec' - 26 Apr'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'20 - 26 Apr'' (WK 17)'!$A$1:$O$98</definedName>
    <definedName name="_xlnm.Print_Area" localSheetId="1">'29 Dec' - 26 Apr' (Annual)'!$A$1:$J$114</definedName>
  </definedNames>
  <calcPr fullCalcOnLoad="1"/>
</workbook>
</file>

<file path=xl/sharedStrings.xml><?xml version="1.0" encoding="utf-8"?>
<sst xmlns="http://schemas.openxmlformats.org/spreadsheetml/2006/main" count="2129" uniqueCount="413">
  <si>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</si>
  <si>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</si>
  <si>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</si>
  <si>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</si>
  <si>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</si>
  <si>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</si>
  <si>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</si>
  <si>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</si>
  <si>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</si>
  <si>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</si>
  <si>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</si>
  <si>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</si>
  <si>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</si>
  <si>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</si>
  <si>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</si>
  <si>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</si>
  <si>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</si>
  <si>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</si>
  <si>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</si>
  <si>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</si>
  <si>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</si>
  <si>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</si>
  <si>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</si>
  <si>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</si>
  <si>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</si>
  <si>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</si>
  <si>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</si>
  <si>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</si>
  <si>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</si>
  <si>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</si>
  <si>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</si>
  <si>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</si>
  <si>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</si>
  <si>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</si>
  <si>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</si>
  <si>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</si>
  <si>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</si>
  <si>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</si>
  <si>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</si>
  <si>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</si>
  <si>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</si>
  <si>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</si>
  <si>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</si>
  <si>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</si>
  <si>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</si>
  <si>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</si>
  <si>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</si>
  <si>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</si>
  <si>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</si>
  <si>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</si>
  <si>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</si>
  <si>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</si>
  <si>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</si>
  <si>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</si>
  <si>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</si>
  <si>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</si>
  <si>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</si>
  <si>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</si>
  <si>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</si>
  <si>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</si>
  <si>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</si>
  <si>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</si>
  <si>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</si>
  <si>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</si>
  <si>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</si>
  <si>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</si>
  <si>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</si>
  <si>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</si>
  <si>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</si>
  <si>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</si>
  <si>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</si>
  <si>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</si>
  <si>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</si>
  <si>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</si>
  <si>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</si>
  <si>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</si>
  <si>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</si>
  <si>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</si>
  <si>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</si>
  <si>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</si>
  <si>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</si>
  <si>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</si>
  <si>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</si>
  <si>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</si>
  <si>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</si>
  <si>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</si>
  <si>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t>
  </si>
  <si>
    <t>FROSTBITE</t>
  </si>
  <si>
    <t>This Week's Total</t>
  </si>
  <si>
    <t>Films</t>
  </si>
  <si>
    <t>Admission</t>
  </si>
  <si>
    <t>GRUDGE 2</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</si>
  <si>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</si>
  <si>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</si>
  <si>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</si>
  <si>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</si>
  <si>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</si>
  <si>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</si>
  <si>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</si>
  <si>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</si>
  <si>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</si>
  <si>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</si>
  <si>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</si>
  <si>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</si>
  <si>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</si>
  <si>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</si>
  <si>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</si>
  <si>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</si>
  <si>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</si>
  <si>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</si>
  <si>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</si>
  <si>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</si>
  <si>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</si>
  <si>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</si>
  <si>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</si>
  <si>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</si>
  <si>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</si>
  <si>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</si>
  <si>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</si>
  <si>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</si>
  <si>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</si>
  <si>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</si>
  <si>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</si>
  <si>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</si>
  <si>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</si>
  <si>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</si>
  <si>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</si>
  <si>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</si>
  <si>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</si>
  <si>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</si>
  <si>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</si>
  <si>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</si>
  <si>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</si>
  <si>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</si>
  <si>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</si>
  <si>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</si>
  <si>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</si>
  <si>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</si>
  <si>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</si>
  <si>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</si>
  <si>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</si>
  <si>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</si>
  <si>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</si>
  <si>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</si>
  <si>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</si>
  <si>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</si>
  <si>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</si>
  <si>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</si>
  <si>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</si>
  <si>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</si>
  <si>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</si>
  <si>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</si>
  <si>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</si>
  <si>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</si>
  <si>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</si>
  <si>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</si>
  <si>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</si>
  <si>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</si>
  <si>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</si>
  <si>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</si>
  <si>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</si>
  <si>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</si>
  <si>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</si>
  <si>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30</t>
  </si>
  <si>
    <t>MAN OF THE YEAR</t>
  </si>
  <si>
    <t>EVERYONE'S HERO</t>
  </si>
  <si>
    <t>12:08 EAST OF BUCHAREST</t>
  </si>
  <si>
    <t>PARADISE NOW</t>
  </si>
  <si>
    <t>ROBOTS</t>
  </si>
  <si>
    <t>PINK PANTHER</t>
  </si>
  <si>
    <t>WOLF CREEK</t>
  </si>
  <si>
    <t>UNUTULMAYANLAR</t>
  </si>
  <si>
    <t>AKADEMI</t>
  </si>
  <si>
    <t>CLICK</t>
  </si>
  <si>
    <t>CRANK</t>
  </si>
  <si>
    <t>ÖZEN</t>
  </si>
  <si>
    <t>12-18</t>
  </si>
  <si>
    <t>Maskeli Beşler I.R.A.K</t>
  </si>
  <si>
    <t>HOLIDAY, THE</t>
  </si>
  <si>
    <t>19-25</t>
  </si>
  <si>
    <t>Son Osmanlı "Yandım Ali"</t>
  </si>
  <si>
    <t>MASKELİ BEŞLER I.R.A.K</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</si>
  <si>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</si>
  <si>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</si>
  <si>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</si>
  <si>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</si>
  <si>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</si>
  <si>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</si>
  <si>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</si>
  <si>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</si>
  <si>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</si>
  <si>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</si>
  <si>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</si>
  <si>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</si>
  <si>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</si>
  <si>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GRAND VOYAGE, LE</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</si>
  <si>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</si>
  <si>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</si>
  <si>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</si>
  <si>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</si>
  <si>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</si>
  <si>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</si>
  <si>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</si>
  <si>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</si>
  <si>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</si>
  <si>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</si>
  <si>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</si>
  <si>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</si>
  <si>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</si>
  <si>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</si>
  <si>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</si>
  <si>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</si>
  <si>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</si>
  <si>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</si>
  <si>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</si>
  <si>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</si>
  <si>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</si>
  <si>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</si>
  <si>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</si>
  <si>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</si>
  <si>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</si>
  <si>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</si>
  <si>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</si>
  <si>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13 (TZAMETI)</t>
  </si>
  <si>
    <t>AMERİKALILAR KARADENİZ'DE 2</t>
  </si>
  <si>
    <t>ENERGY</t>
  </si>
  <si>
    <t>163</t>
  </si>
  <si>
    <t>BLOOD DIAMOND</t>
  </si>
  <si>
    <t>02-08</t>
  </si>
  <si>
    <t>JOYEUX NOEL</t>
  </si>
  <si>
    <t>LES TEXTILES</t>
  </si>
  <si>
    <t>REEKER, THE</t>
  </si>
  <si>
    <t>STOLEN EYES</t>
  </si>
  <si>
    <t>YAKA FILM</t>
  </si>
  <si>
    <t>BARDA</t>
  </si>
  <si>
    <t>FILMAKAR</t>
  </si>
  <si>
    <t>55</t>
  </si>
  <si>
    <t>FILM POP</t>
  </si>
  <si>
    <t>INCONVENIENT TRUTH, AN</t>
  </si>
  <si>
    <t>MISTRESS OF SPICES</t>
  </si>
  <si>
    <t>JOSHUA THE JEW</t>
  </si>
  <si>
    <t>09-15</t>
  </si>
  <si>
    <t>ÇILGIN DERSANE</t>
  </si>
  <si>
    <t>YOUNG HANNIBAL</t>
  </si>
  <si>
    <t>NEŞELİ GENÇLİK</t>
  </si>
  <si>
    <t>DEREN</t>
  </si>
  <si>
    <t>BLACK DAHLIA, THE</t>
  </si>
  <si>
    <t>LE GRAND VOYAGE</t>
  </si>
  <si>
    <t>MAVI FILM</t>
  </si>
  <si>
    <t>16-22</t>
  </si>
  <si>
    <t>SEPTEMBER 11</t>
  </si>
  <si>
    <t>BABAM VE OĞLUM</t>
  </si>
  <si>
    <t>AVSAR</t>
  </si>
  <si>
    <t>SEX &amp; PHILOSOPHY</t>
  </si>
  <si>
    <t>ICE AGE 2: THE MELTDOWN</t>
  </si>
  <si>
    <t>NIGHT LISTENER, THE</t>
  </si>
  <si>
    <t>SCANNER DARKLY, A</t>
  </si>
  <si>
    <t>POLİS</t>
  </si>
  <si>
    <t>SHARK BAIT</t>
  </si>
  <si>
    <t>PERFUME: THE STORY OF A MURDERER</t>
  </si>
  <si>
    <t>PAINTED VEIL, THE</t>
  </si>
  <si>
    <t>QUEEN, THE</t>
  </si>
  <si>
    <t>GHOST RIDER</t>
  </si>
  <si>
    <t>AKSOY</t>
  </si>
  <si>
    <t>Hayalet Sürücü</t>
  </si>
  <si>
    <t>23-01</t>
  </si>
  <si>
    <t>GOMEDA</t>
  </si>
  <si>
    <t>DREAMGIRLS</t>
  </si>
  <si>
    <t>SİS VE GECE</t>
  </si>
  <si>
    <t>LETTERS FROM IWO JIMA</t>
  </si>
  <si>
    <t>MILLIONS</t>
  </si>
  <si>
    <t>BEŞ VAKİT</t>
  </si>
  <si>
    <t>ATLANTIK</t>
  </si>
  <si>
    <t>PURSUIT OF HAPPYNESS</t>
  </si>
  <si>
    <t xml:space="preserve">KNALLHART </t>
  </si>
  <si>
    <t>March</t>
  </si>
  <si>
    <t>23 Numara</t>
  </si>
  <si>
    <t>SAME PERIOD IN 2006</t>
  </si>
  <si>
    <t>GENESIS</t>
  </si>
  <si>
    <t>STUDIO CANAL</t>
  </si>
  <si>
    <t>COMME T'Y ES BELLE</t>
  </si>
  <si>
    <t>EUROPA</t>
  </si>
  <si>
    <t>DEPARTED, THE</t>
  </si>
  <si>
    <t>ROMANTİK</t>
  </si>
  <si>
    <t xml:space="preserve">PLATO </t>
  </si>
  <si>
    <t>98</t>
  </si>
  <si>
    <t>ADEM'İN TRENLERİ</t>
  </si>
  <si>
    <t>91</t>
  </si>
  <si>
    <t>74</t>
  </si>
  <si>
    <t>NOTES ON A SCANDAL</t>
  </si>
  <si>
    <t>LAST KING OF SCOTLAND, THE</t>
  </si>
  <si>
    <t>62</t>
  </si>
  <si>
    <t>MAVİ GÖZLÜ DEV</t>
  </si>
  <si>
    <t>NUMBER 23, THE</t>
  </si>
  <si>
    <t>ALPHA DOG</t>
  </si>
  <si>
    <t>BİR İHTİMAL DAHA VAR</t>
  </si>
  <si>
    <t>CINEMEDYA - ESEK</t>
  </si>
  <si>
    <t>LIVES OF OTHERS, THE</t>
  </si>
  <si>
    <t>18'LER TAKIMI</t>
  </si>
  <si>
    <t>4</t>
  </si>
  <si>
    <t>MOTORCYCLE DIARIES, THE</t>
  </si>
  <si>
    <t>AVSAR FILM</t>
  </si>
  <si>
    <t>YENİ SİNEMACILAR</t>
  </si>
  <si>
    <t>7</t>
  </si>
  <si>
    <t>NEW FRANCE</t>
  </si>
  <si>
    <t>JE NE SUIS PAS LA POUR ETRE AIME</t>
  </si>
  <si>
    <t>REZO</t>
  </si>
  <si>
    <t>PRESTIGE, THE</t>
  </si>
  <si>
    <t>PASSION OF JOSHUA THE JEW, THE</t>
  </si>
  <si>
    <t>Mavi Gözlü Dev</t>
  </si>
  <si>
    <t>MUTLULUK</t>
  </si>
  <si>
    <t>ANS</t>
  </si>
  <si>
    <t>BRIDGE TO TERABETHIA</t>
  </si>
  <si>
    <t>KARA</t>
  </si>
  <si>
    <t>ROCKY BALBOA</t>
  </si>
  <si>
    <t>HITCHER, THE</t>
  </si>
  <si>
    <t>UMUT ADASI</t>
  </si>
  <si>
    <t>KARIZMA</t>
  </si>
  <si>
    <t>BETA</t>
  </si>
  <si>
    <t>MUSIC AND LYRICS</t>
  </si>
  <si>
    <t>SHERRYBABY</t>
  </si>
  <si>
    <t>LE TEMPS QUI RESTE</t>
  </si>
  <si>
    <t>PI FILM - CELLULOID</t>
  </si>
  <si>
    <t>DONNIE DARKO</t>
  </si>
  <si>
    <t>PANDORA</t>
  </si>
  <si>
    <t>23-29</t>
  </si>
  <si>
    <t>5</t>
  </si>
  <si>
    <t>TMNT</t>
  </si>
  <si>
    <t>CURSE OF THE GOLDEN FLOWER, THE</t>
  </si>
  <si>
    <t>LITTLE CHILDREN, THE</t>
  </si>
  <si>
    <t>10</t>
  </si>
  <si>
    <t>PULSE</t>
  </si>
  <si>
    <t>TAKESHIS</t>
  </si>
  <si>
    <t>PI FILMCILIK</t>
  </si>
  <si>
    <t>CRYING OUT LOVE
IN THE CENTER OF THE WORLD</t>
  </si>
  <si>
    <t>TOHO</t>
  </si>
  <si>
    <t>AUDITION</t>
  </si>
  <si>
    <t>DOLLS</t>
  </si>
  <si>
    <t>LİMON</t>
  </si>
  <si>
    <t>30-05</t>
  </si>
  <si>
    <t>April</t>
  </si>
  <si>
    <t>Mutluluk</t>
  </si>
  <si>
    <t>MEET THE ROBINSONS</t>
  </si>
  <si>
    <t>APOCALYPTO</t>
  </si>
  <si>
    <t>LIVING AND DYING</t>
  </si>
  <si>
    <t>NEW FILMS</t>
  </si>
  <si>
    <t>ENERGY - SINEVIZYON</t>
  </si>
  <si>
    <t>PARIS, JE T'AIME</t>
  </si>
  <si>
    <t>ARZU - FIDA</t>
  </si>
  <si>
    <t>6</t>
  </si>
  <si>
    <t>06-12</t>
  </si>
  <si>
    <t>PREMONITION</t>
  </si>
  <si>
    <t>HYDE PARK</t>
  </si>
  <si>
    <t>90</t>
  </si>
  <si>
    <t>PAN'S LABYRINTH</t>
  </si>
  <si>
    <t>SATURNO CONTRO</t>
  </si>
  <si>
    <t>AFS</t>
  </si>
  <si>
    <t>14</t>
  </si>
  <si>
    <t>TELL NO ONE</t>
  </si>
  <si>
    <t>AURA</t>
  </si>
  <si>
    <t>GOOD SHEPERD, THE</t>
  </si>
  <si>
    <t>UGLY DUCKLING AND ME, THE</t>
  </si>
  <si>
    <t>ABONDONEMENT, THE</t>
  </si>
  <si>
    <t>DEATH OF A PRESIDENT</t>
  </si>
  <si>
    <t>A.E. FILM</t>
  </si>
  <si>
    <t>MANDERLAY</t>
  </si>
  <si>
    <t>GRBAVICA</t>
  </si>
  <si>
    <t>IRFAN</t>
  </si>
  <si>
    <t>PRINCESS</t>
  </si>
  <si>
    <t>Sıra Dışı</t>
  </si>
  <si>
    <t>8</t>
  </si>
  <si>
    <t>13-19</t>
  </si>
  <si>
    <t>*Dağıtımcı firmalardan R Film ve Barbar Film bu hafta film  dağıtmamıştır.</t>
  </si>
  <si>
    <t>090 FILMS SHOWN</t>
  </si>
  <si>
    <t>Messengers, The</t>
  </si>
  <si>
    <t>MANDATE</t>
  </si>
  <si>
    <t>NORBIT</t>
  </si>
  <si>
    <t>ZİNCİRBOZAN</t>
  </si>
  <si>
    <t>TURKMAX</t>
  </si>
  <si>
    <t>99</t>
  </si>
  <si>
    <t>BECAUSE I SAID SO</t>
  </si>
  <si>
    <t>42</t>
  </si>
  <si>
    <t>BLACK BOOK</t>
  </si>
  <si>
    <t>SEVGİLİM İSTANBUL</t>
  </si>
  <si>
    <t>AMENIS</t>
  </si>
  <si>
    <t>34</t>
  </si>
  <si>
    <t>RENAISSANCE</t>
  </si>
  <si>
    <t>BELGE</t>
  </si>
  <si>
    <t>BREAKING  AND ENTERING</t>
  </si>
  <si>
    <t>COMPANY, THE</t>
  </si>
  <si>
    <t>AVSAR FILM - TMC</t>
  </si>
  <si>
    <t>AE FOND KISS</t>
  </si>
  <si>
    <t>475 times</t>
  </si>
  <si>
    <r>
      <t xml:space="preserve">2007 Türkiye Annual Box Office Report  </t>
    </r>
    <r>
      <rPr>
        <sz val="16"/>
        <color indexed="9"/>
        <rFont val="Impact"/>
        <family val="2"/>
      </rPr>
      <t>29 Dec' '06 - 26 Apr' '07</t>
    </r>
  </si>
  <si>
    <r>
      <t>2007 Türkiye Ex Years Releases Annual Box Office Report</t>
    </r>
    <r>
      <rPr>
        <sz val="26"/>
        <color indexed="9"/>
        <rFont val="Impact"/>
        <family val="2"/>
      </rPr>
      <t xml:space="preserve">  </t>
    </r>
    <r>
      <rPr>
        <sz val="16"/>
        <color indexed="9"/>
        <rFont val="Impact"/>
        <family val="2"/>
      </rPr>
      <t>29 Dec' 06 - 26 Apr' '07</t>
    </r>
  </si>
  <si>
    <t>20-26</t>
  </si>
  <si>
    <t>069 FILMS SHOWN</t>
  </si>
  <si>
    <t>15</t>
  </si>
  <si>
    <t>3</t>
  </si>
  <si>
    <t>18</t>
  </si>
  <si>
    <t>PARS: KİRAZ OPERASYONU</t>
  </si>
  <si>
    <t>SINEGRAF</t>
  </si>
  <si>
    <t>PERFECT STRANGER</t>
  </si>
  <si>
    <t>ASTERIX AND THE VIKINGS</t>
  </si>
  <si>
    <t>MESSENGERS. THE</t>
  </si>
  <si>
    <t>89</t>
  </si>
  <si>
    <t>100</t>
  </si>
  <si>
    <t>SUMMER RAIN</t>
  </si>
  <si>
    <t>32</t>
  </si>
  <si>
    <t>7.SANAT</t>
  </si>
  <si>
    <t>IFR - PROMETE</t>
  </si>
  <si>
    <t>12</t>
  </si>
  <si>
    <t>Pars: Kiraz Operasyonu</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</si>
</sst>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51">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b/>
      <sz val="10"/>
      <name val="Century Gothic"/>
      <family val="2"/>
    </font>
    <font>
      <sz val="10"/>
      <name val="Impact"/>
      <family val="2"/>
    </font>
    <font>
      <sz val="14"/>
      <name val="Arial"/>
      <family val="2"/>
    </font>
    <font>
      <sz val="40"/>
      <color indexed="9"/>
      <name val="Impact"/>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sz val="40"/>
      <color indexed="9"/>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b/>
      <u val="single"/>
      <sz val="10"/>
      <name val="Arial"/>
      <family val="2"/>
    </font>
    <font>
      <sz val="7"/>
      <name val="Impact"/>
      <family val="2"/>
    </font>
    <font>
      <sz val="7"/>
      <color indexed="9"/>
      <name val="Impact"/>
      <family val="2"/>
    </font>
    <font>
      <b/>
      <sz val="9"/>
      <color indexed="10"/>
      <name val="Arial Narrow"/>
      <family val="2"/>
    </font>
    <font>
      <sz val="10"/>
      <color indexed="10"/>
      <name val="Arial"/>
      <family val="0"/>
    </font>
    <font>
      <b/>
      <sz val="9"/>
      <color indexed="12"/>
      <name val="Arial Narrow"/>
      <family val="2"/>
    </font>
  </fonts>
  <fills count="7">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17"/>
        <bgColor indexed="64"/>
      </patternFill>
    </fill>
  </fills>
  <borders count="50">
    <border>
      <left/>
      <right/>
      <top/>
      <bottom/>
      <diagonal/>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hair"/>
      <right>
        <color indexed="63"/>
      </right>
      <top style="hair"/>
      <bottom style="hair"/>
    </border>
    <border>
      <left style="hair"/>
      <right>
        <color indexed="63"/>
      </right>
      <top>
        <color indexed="63"/>
      </top>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style="medium"/>
      <bottom style="hair"/>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medium"/>
      <right>
        <color indexed="63"/>
      </right>
      <top style="medium"/>
      <bottom style="hair"/>
    </border>
    <border>
      <left style="thin"/>
      <right style="medium"/>
      <top style="medium"/>
      <bottom>
        <color indexed="63"/>
      </bottom>
    </border>
    <border>
      <left style="thin"/>
      <right style="medium"/>
      <top>
        <color indexed="63"/>
      </top>
      <bottom>
        <color indexed="63"/>
      </bottom>
    </border>
    <border>
      <left style="medium"/>
      <right style="hair"/>
      <top>
        <color indexed="63"/>
      </top>
      <bottom style="hair"/>
    </border>
    <border>
      <left style="medium"/>
      <right style="hair"/>
      <top style="hair"/>
      <bottom style="thin"/>
    </border>
    <border>
      <left>
        <color indexed="63"/>
      </left>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5">
    <xf numFmtId="0" fontId="0" fillId="0" borderId="0" xfId="0" applyAlignment="1">
      <alignment/>
    </xf>
    <xf numFmtId="43"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3"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3" fillId="0" borderId="0" xfId="0" applyNumberFormat="1" applyFont="1" applyFill="1" applyBorder="1" applyAlignment="1" applyProtection="1">
      <alignment horizontal="center" vertical="center"/>
      <protection locked="0"/>
    </xf>
    <xf numFmtId="184" fontId="7"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187" fontId="4" fillId="0" borderId="0" xfId="0" applyNumberFormat="1" applyFont="1" applyFill="1" applyBorder="1" applyAlignment="1" applyProtection="1">
      <alignment horizontal="right" vertical="center"/>
      <protection/>
    </xf>
    <xf numFmtId="187" fontId="13" fillId="0" borderId="0" xfId="0" applyNumberFormat="1" applyFont="1" applyFill="1" applyBorder="1" applyAlignment="1" applyProtection="1">
      <alignment horizontal="right" vertical="center"/>
      <protection locked="0"/>
    </xf>
    <xf numFmtId="187" fontId="7" fillId="0" borderId="0" xfId="0" applyNumberFormat="1" applyFont="1" applyFill="1" applyBorder="1" applyAlignment="1" applyProtection="1">
      <alignment horizontal="right" vertical="center"/>
      <protection locked="0"/>
    </xf>
    <xf numFmtId="193" fontId="4" fillId="0" borderId="0" xfId="0" applyNumberFormat="1" applyFont="1" applyFill="1" applyBorder="1" applyAlignment="1" applyProtection="1">
      <alignment horizontal="right" vertical="center"/>
      <protection/>
    </xf>
    <xf numFmtId="192" fontId="13" fillId="0" borderId="0" xfId="0" applyNumberFormat="1" applyFont="1" applyFill="1" applyBorder="1" applyAlignment="1" applyProtection="1">
      <alignment vertical="center"/>
      <protection locked="0"/>
    </xf>
    <xf numFmtId="0" fontId="14" fillId="0" borderId="0" xfId="0" applyFont="1" applyBorder="1" applyAlignment="1">
      <alignment horizontal="center" vertical="center"/>
    </xf>
    <xf numFmtId="187" fontId="12" fillId="0" borderId="0" xfId="0" applyNumberFormat="1" applyFont="1" applyFill="1" applyBorder="1" applyAlignment="1" applyProtection="1">
      <alignment horizontal="center" vertical="center"/>
      <protection locked="0"/>
    </xf>
    <xf numFmtId="192" fontId="3" fillId="0" borderId="0" xfId="0" applyNumberFormat="1" applyFont="1" applyFill="1" applyBorder="1" applyAlignment="1" applyProtection="1">
      <alignment vertical="center"/>
      <protection/>
    </xf>
    <xf numFmtId="192" fontId="7" fillId="0" borderId="0"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locked="0"/>
    </xf>
    <xf numFmtId="0" fontId="19" fillId="2" borderId="1" xfId="0" applyFont="1" applyFill="1" applyBorder="1" applyAlignment="1">
      <alignment vertical="center"/>
    </xf>
    <xf numFmtId="184"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3" fontId="19" fillId="2" borderId="1" xfId="0" applyNumberFormat="1" applyFont="1" applyFill="1" applyBorder="1" applyAlignment="1">
      <alignment horizontal="center" vertical="center"/>
    </xf>
    <xf numFmtId="192" fontId="19" fillId="2" borderId="1" xfId="0" applyNumberFormat="1" applyFont="1" applyFill="1" applyBorder="1" applyAlignment="1">
      <alignment vertical="center"/>
    </xf>
    <xf numFmtId="193" fontId="12" fillId="0" borderId="0" xfId="0" applyNumberFormat="1" applyFont="1" applyFill="1" applyBorder="1" applyAlignment="1" applyProtection="1">
      <alignment horizontal="right" vertical="center"/>
      <protection locked="0"/>
    </xf>
    <xf numFmtId="193" fontId="13"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9" fillId="2" borderId="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187" fontId="19" fillId="2" borderId="1" xfId="0" applyNumberFormat="1" applyFont="1" applyFill="1" applyBorder="1" applyAlignment="1">
      <alignment horizontal="right" vertical="center"/>
    </xf>
    <xf numFmtId="187" fontId="13" fillId="0" borderId="0" xfId="15" applyNumberFormat="1" applyFont="1" applyFill="1" applyBorder="1" applyAlignment="1" applyProtection="1">
      <alignment horizontal="right" vertical="center"/>
      <protection/>
    </xf>
    <xf numFmtId="192" fontId="3" fillId="0" borderId="0" xfId="0" applyNumberFormat="1" applyFont="1" applyFill="1" applyBorder="1" applyAlignment="1" applyProtection="1">
      <alignment horizontal="right" vertical="center"/>
      <protection/>
    </xf>
    <xf numFmtId="192" fontId="19" fillId="2" borderId="2" xfId="0" applyNumberFormat="1" applyFont="1" applyFill="1" applyBorder="1" applyAlignment="1">
      <alignment horizontal="right" vertical="center"/>
    </xf>
    <xf numFmtId="192" fontId="13" fillId="0" borderId="0" xfId="0" applyNumberFormat="1" applyFont="1" applyFill="1" applyBorder="1" applyAlignment="1" applyProtection="1">
      <alignment horizontal="right" vertical="center"/>
      <protection locked="0"/>
    </xf>
    <xf numFmtId="192" fontId="7" fillId="0" borderId="0" xfId="0" applyNumberFormat="1" applyFont="1" applyFill="1" applyBorder="1" applyAlignment="1" applyProtection="1">
      <alignment horizontal="right" vertical="center"/>
      <protection locked="0"/>
    </xf>
    <xf numFmtId="187" fontId="22" fillId="0" borderId="0" xfId="0" applyNumberFormat="1" applyFont="1" applyFill="1" applyBorder="1" applyAlignment="1" applyProtection="1">
      <alignment horizontal="right" vertical="center"/>
      <protection/>
    </xf>
    <xf numFmtId="187" fontId="18" fillId="2" borderId="1" xfId="0" applyNumberFormat="1" applyFont="1" applyFill="1" applyBorder="1" applyAlignment="1">
      <alignment horizontal="right" vertical="center"/>
    </xf>
    <xf numFmtId="187" fontId="23" fillId="0" borderId="0" xfId="0" applyNumberFormat="1" applyFont="1" applyFill="1" applyBorder="1" applyAlignment="1" applyProtection="1">
      <alignment horizontal="right" vertical="center"/>
      <protection locked="0"/>
    </xf>
    <xf numFmtId="187" fontId="24"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6" fillId="0" borderId="0" xfId="0" applyNumberFormat="1" applyFont="1" applyFill="1" applyBorder="1" applyAlignment="1" applyProtection="1">
      <alignment horizontal="right" vertical="center"/>
      <protection/>
    </xf>
    <xf numFmtId="1" fontId="26" fillId="0" borderId="0" xfId="0" applyNumberFormat="1" applyFont="1" applyFill="1" applyBorder="1" applyAlignment="1" applyProtection="1">
      <alignment horizontal="right" vertical="center"/>
      <protection locked="0"/>
    </xf>
    <xf numFmtId="0" fontId="29" fillId="0" borderId="3" xfId="0" applyNumberFormat="1" applyFont="1" applyFill="1" applyBorder="1" applyAlignment="1" applyProtection="1">
      <alignment horizontal="center" vertical="center" wrapText="1"/>
      <protection/>
    </xf>
    <xf numFmtId="4" fontId="32" fillId="0" borderId="1" xfId="0" applyNumberFormat="1" applyFont="1" applyFill="1" applyBorder="1" applyAlignment="1" applyProtection="1">
      <alignment horizontal="right" vertical="center" indent="1"/>
      <protection locked="0"/>
    </xf>
    <xf numFmtId="193" fontId="34" fillId="0" borderId="1" xfId="0" applyNumberFormat="1" applyFont="1" applyFill="1" applyBorder="1" applyAlignment="1" applyProtection="1">
      <alignment horizontal="right" vertical="center" indent="1"/>
      <protection locked="0"/>
    </xf>
    <xf numFmtId="4" fontId="32" fillId="0" borderId="4" xfId="0" applyNumberFormat="1" applyFont="1" applyFill="1" applyBorder="1" applyAlignment="1" applyProtection="1">
      <alignment horizontal="right" vertical="center" indent="1"/>
      <protection locked="0"/>
    </xf>
    <xf numFmtId="193" fontId="34" fillId="0" borderId="4" xfId="0" applyNumberFormat="1" applyFont="1" applyFill="1" applyBorder="1" applyAlignment="1" applyProtection="1">
      <alignment horizontal="right" vertical="center" indent="1"/>
      <protection locked="0"/>
    </xf>
    <xf numFmtId="0" fontId="32" fillId="0" borderId="5" xfId="0" applyFont="1" applyFill="1" applyBorder="1" applyAlignment="1" applyProtection="1">
      <alignment horizontal="center" vertical="center"/>
      <protection locked="0"/>
    </xf>
    <xf numFmtId="0" fontId="34" fillId="0" borderId="6" xfId="0" applyFont="1" applyFill="1" applyBorder="1" applyAlignment="1" applyProtection="1">
      <alignment horizontal="right" vertical="center"/>
      <protection locked="0"/>
    </xf>
    <xf numFmtId="0" fontId="34" fillId="0" borderId="7" xfId="0" applyFont="1" applyFill="1" applyBorder="1" applyAlignment="1" applyProtection="1">
      <alignment horizontal="right" vertical="center"/>
      <protection locked="0"/>
    </xf>
    <xf numFmtId="1" fontId="35" fillId="0" borderId="8" xfId="0" applyNumberFormat="1" applyFont="1" applyFill="1" applyBorder="1" applyAlignment="1" applyProtection="1">
      <alignment horizontal="right" vertical="center"/>
      <protection locked="0"/>
    </xf>
    <xf numFmtId="1" fontId="35" fillId="0" borderId="9" xfId="0" applyNumberFormat="1" applyFont="1" applyFill="1" applyBorder="1" applyAlignment="1" applyProtection="1">
      <alignment horizontal="right" vertical="center"/>
      <protection/>
    </xf>
    <xf numFmtId="1" fontId="35" fillId="0" borderId="10" xfId="0" applyNumberFormat="1" applyFont="1" applyFill="1" applyBorder="1" applyAlignment="1" applyProtection="1">
      <alignment horizontal="right" vertical="center"/>
      <protection/>
    </xf>
    <xf numFmtId="1" fontId="35" fillId="0" borderId="11" xfId="0" applyNumberFormat="1" applyFont="1" applyFill="1" applyBorder="1" applyAlignment="1" applyProtection="1">
      <alignment horizontal="right" vertical="center"/>
      <protection/>
    </xf>
    <xf numFmtId="0" fontId="34" fillId="0" borderId="12" xfId="0" applyFont="1" applyFill="1" applyBorder="1" applyAlignment="1" applyProtection="1">
      <alignment horizontal="right" vertical="center"/>
      <protection locked="0"/>
    </xf>
    <xf numFmtId="4" fontId="32" fillId="0" borderId="13" xfId="0" applyNumberFormat="1" applyFont="1" applyFill="1" applyBorder="1" applyAlignment="1" applyProtection="1">
      <alignment horizontal="right" vertical="center" indent="1"/>
      <protection locked="0"/>
    </xf>
    <xf numFmtId="193" fontId="34" fillId="0" borderId="13" xfId="0" applyNumberFormat="1" applyFont="1" applyFill="1" applyBorder="1" applyAlignment="1" applyProtection="1">
      <alignment horizontal="right" vertical="center" indent="1"/>
      <protection locked="0"/>
    </xf>
    <xf numFmtId="1" fontId="35" fillId="0" borderId="14" xfId="0" applyNumberFormat="1" applyFont="1" applyFill="1" applyBorder="1" applyAlignment="1" applyProtection="1">
      <alignment horizontal="right" vertical="center"/>
      <protection locked="0"/>
    </xf>
    <xf numFmtId="0" fontId="32" fillId="0" borderId="15" xfId="0" applyFont="1" applyFill="1" applyBorder="1" applyAlignment="1" applyProtection="1">
      <alignment horizontal="center" vertical="center"/>
      <protection locked="0"/>
    </xf>
    <xf numFmtId="184" fontId="32" fillId="0" borderId="16" xfId="0" applyNumberFormat="1"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0" fontId="32" fillId="0" borderId="17"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0" fontId="0" fillId="0" borderId="0" xfId="0" applyAlignment="1">
      <alignment horizontal="right" vertical="center"/>
    </xf>
    <xf numFmtId="1" fontId="28" fillId="0" borderId="18" xfId="0" applyNumberFormat="1" applyFont="1" applyFill="1" applyBorder="1" applyAlignment="1" applyProtection="1">
      <alignment horizontal="center" vertical="center" wrapText="1"/>
      <protection/>
    </xf>
    <xf numFmtId="1" fontId="30" fillId="0" borderId="19" xfId="0" applyNumberFormat="1" applyFont="1" applyFill="1" applyBorder="1" applyAlignment="1" applyProtection="1">
      <alignment horizontal="center" vertical="center" wrapText="1"/>
      <protection/>
    </xf>
    <xf numFmtId="187" fontId="29" fillId="0" borderId="20" xfId="0" applyNumberFormat="1" applyFont="1" applyFill="1" applyBorder="1" applyAlignment="1" applyProtection="1">
      <alignment horizontal="center" vertical="center" wrapText="1"/>
      <protection/>
    </xf>
    <xf numFmtId="193" fontId="29" fillId="0" borderId="20" xfId="0" applyNumberFormat="1" applyFont="1" applyFill="1" applyBorder="1" applyAlignment="1" applyProtection="1">
      <alignment horizontal="center" vertical="center" wrapText="1"/>
      <protection/>
    </xf>
    <xf numFmtId="0" fontId="20" fillId="0" borderId="0" xfId="0" applyFont="1" applyBorder="1" applyAlignment="1">
      <alignment vertical="center"/>
    </xf>
    <xf numFmtId="0" fontId="2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4"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4" fillId="0" borderId="0" xfId="0" applyNumberFormat="1" applyFont="1" applyBorder="1" applyAlignment="1">
      <alignment horizontal="righ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6" fillId="0" borderId="0" xfId="0" applyFont="1" applyFill="1" applyBorder="1" applyAlignment="1">
      <alignment horizontal="right" vertical="center"/>
    </xf>
    <xf numFmtId="0" fontId="26" fillId="0" borderId="0" xfId="0" applyFont="1" applyBorder="1" applyAlignment="1">
      <alignment horizontal="right" vertical="center"/>
    </xf>
    <xf numFmtId="193" fontId="39" fillId="0" borderId="0" xfId="0" applyNumberFormat="1" applyFont="1" applyFill="1" applyBorder="1" applyAlignment="1" applyProtection="1">
      <alignment horizontal="right" vertical="center"/>
      <protection/>
    </xf>
    <xf numFmtId="193" fontId="18" fillId="2" borderId="1" xfId="0" applyNumberFormat="1" applyFont="1" applyFill="1" applyBorder="1" applyAlignment="1">
      <alignment horizontal="right" vertical="center"/>
    </xf>
    <xf numFmtId="193" fontId="40" fillId="0" borderId="0" xfId="0" applyNumberFormat="1" applyFont="1" applyFill="1" applyBorder="1" applyAlignment="1" applyProtection="1">
      <alignment horizontal="right" vertical="center"/>
      <protection locked="0"/>
    </xf>
    <xf numFmtId="0" fontId="26" fillId="0" borderId="18" xfId="0" applyFont="1" applyFill="1" applyBorder="1" applyAlignment="1">
      <alignment horizontal="center" vertical="center"/>
    </xf>
    <xf numFmtId="0" fontId="27" fillId="0" borderId="19" xfId="0" applyFont="1" applyFill="1" applyBorder="1" applyAlignment="1">
      <alignment horizontal="center" vertical="center"/>
    </xf>
    <xf numFmtId="193" fontId="14" fillId="0" borderId="0" xfId="0" applyNumberFormat="1" applyFont="1" applyFill="1" applyBorder="1" applyAlignment="1">
      <alignment horizontal="right" vertical="center" indent="1"/>
    </xf>
    <xf numFmtId="193" fontId="14" fillId="0" borderId="0" xfId="0" applyNumberFormat="1" applyFont="1" applyBorder="1" applyAlignment="1">
      <alignment horizontal="right" vertical="center" indent="1"/>
    </xf>
    <xf numFmtId="0" fontId="29" fillId="0" borderId="18" xfId="0" applyFont="1" applyFill="1" applyBorder="1" applyAlignment="1">
      <alignment horizontal="center" vertical="center"/>
    </xf>
    <xf numFmtId="0" fontId="29" fillId="0" borderId="20" xfId="0" applyNumberFormat="1" applyFont="1" applyFill="1" applyBorder="1" applyAlignment="1">
      <alignment horizontal="center" wrapText="1"/>
    </xf>
    <xf numFmtId="0" fontId="36" fillId="0" borderId="21" xfId="0" applyFont="1" applyFill="1" applyBorder="1" applyAlignment="1">
      <alignment horizontal="center" vertical="center"/>
    </xf>
    <xf numFmtId="1" fontId="26" fillId="0" borderId="22"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9" fillId="2" borderId="13" xfId="0" applyNumberFormat="1" applyFont="1" applyFill="1" applyBorder="1" applyAlignment="1">
      <alignment horizontal="center" vertical="center"/>
    </xf>
    <xf numFmtId="0" fontId="19" fillId="2" borderId="13" xfId="0" applyFont="1" applyFill="1" applyBorder="1" applyAlignment="1">
      <alignment horizontal="center" vertical="center"/>
    </xf>
    <xf numFmtId="0" fontId="19" fillId="2" borderId="13" xfId="0" applyFont="1" applyFill="1" applyBorder="1" applyAlignment="1">
      <alignment vertical="center"/>
    </xf>
    <xf numFmtId="3" fontId="19" fillId="2" borderId="13" xfId="0" applyNumberFormat="1" applyFont="1" applyFill="1" applyBorder="1" applyAlignment="1">
      <alignment horizontal="center" vertical="center"/>
    </xf>
    <xf numFmtId="187" fontId="18" fillId="2" borderId="13" xfId="0" applyNumberFormat="1" applyFont="1" applyFill="1" applyBorder="1" applyAlignment="1">
      <alignment horizontal="right" vertical="center"/>
    </xf>
    <xf numFmtId="193" fontId="18" fillId="2" borderId="13" xfId="0" applyNumberFormat="1" applyFont="1" applyFill="1" applyBorder="1" applyAlignment="1">
      <alignment horizontal="right" vertical="center"/>
    </xf>
    <xf numFmtId="193" fontId="19" fillId="2" borderId="13" xfId="0" applyNumberFormat="1" applyFont="1" applyFill="1" applyBorder="1" applyAlignment="1">
      <alignment horizontal="right" vertical="center"/>
    </xf>
    <xf numFmtId="192" fontId="19" fillId="2" borderId="13" xfId="0" applyNumberFormat="1" applyFont="1" applyFill="1" applyBorder="1" applyAlignment="1">
      <alignment vertical="center"/>
    </xf>
    <xf numFmtId="187" fontId="19" fillId="2" borderId="13" xfId="0" applyNumberFormat="1" applyFont="1" applyFill="1" applyBorder="1" applyAlignment="1">
      <alignment horizontal="right" vertical="center"/>
    </xf>
    <xf numFmtId="192" fontId="19" fillId="2" borderId="23" xfId="0" applyNumberFormat="1" applyFont="1" applyFill="1" applyBorder="1" applyAlignment="1">
      <alignment horizontal="right" vertical="center"/>
    </xf>
    <xf numFmtId="0" fontId="42" fillId="0" borderId="0" xfId="0" applyFont="1" applyFill="1" applyBorder="1" applyAlignment="1" applyProtection="1">
      <alignment vertical="center"/>
      <protection locked="0"/>
    </xf>
    <xf numFmtId="184" fontId="16" fillId="0" borderId="1" xfId="0" applyNumberFormat="1" applyFont="1" applyFill="1" applyBorder="1" applyAlignment="1" applyProtection="1">
      <alignment horizontal="center" vertical="center"/>
      <protection locked="0"/>
    </xf>
    <xf numFmtId="184"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184" fontId="16" fillId="0" borderId="1" xfId="0" applyNumberFormat="1" applyFont="1" applyFill="1" applyBorder="1" applyAlignment="1" applyProtection="1">
      <alignment horizontal="center" vertical="center"/>
      <protection/>
    </xf>
    <xf numFmtId="3" fontId="16" fillId="0" borderId="1" xfId="0" applyNumberFormat="1" applyFont="1" applyFill="1" applyBorder="1" applyAlignment="1">
      <alignment horizontal="center" vertical="center"/>
    </xf>
    <xf numFmtId="0" fontId="16" fillId="0" borderId="24" xfId="0" applyFont="1" applyFill="1" applyBorder="1" applyAlignment="1" applyProtection="1">
      <alignment horizontal="left" vertical="center"/>
      <protection/>
    </xf>
    <xf numFmtId="193" fontId="43" fillId="0" borderId="1" xfId="0" applyNumberFormat="1" applyFont="1" applyFill="1" applyBorder="1" applyAlignment="1">
      <alignment horizontal="right" vertical="center"/>
    </xf>
    <xf numFmtId="0" fontId="14" fillId="0" borderId="0" xfId="0" applyFont="1" applyBorder="1" applyAlignment="1">
      <alignment horizontal="right" vertical="center" wrapText="1"/>
    </xf>
    <xf numFmtId="0" fontId="14" fillId="0" borderId="0" xfId="0" applyFont="1" applyAlignment="1">
      <alignment horizontal="right" vertical="center"/>
    </xf>
    <xf numFmtId="0" fontId="14" fillId="0" borderId="0" xfId="0" applyFont="1" applyAlignment="1">
      <alignment vertical="center" readingOrder="1"/>
    </xf>
    <xf numFmtId="0" fontId="16" fillId="0" borderId="1" xfId="0" applyFont="1" applyFill="1" applyBorder="1" applyAlignment="1" applyProtection="1">
      <alignment horizontal="left" vertical="center"/>
      <protection locked="0"/>
    </xf>
    <xf numFmtId="184" fontId="16" fillId="0" borderId="1" xfId="0" applyNumberFormat="1" applyFont="1" applyFill="1" applyBorder="1" applyAlignment="1" applyProtection="1">
      <alignment horizontal="left" vertical="center"/>
      <protection locked="0"/>
    </xf>
    <xf numFmtId="0" fontId="16" fillId="0" borderId="1" xfId="0" applyFont="1" applyFill="1" applyBorder="1" applyAlignment="1">
      <alignment horizontal="left" vertical="center"/>
    </xf>
    <xf numFmtId="49" fontId="16" fillId="0" borderId="1" xfId="0" applyNumberFormat="1"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protection/>
    </xf>
    <xf numFmtId="49" fontId="16" fillId="0" borderId="1" xfId="0" applyNumberFormat="1" applyFont="1" applyFill="1" applyBorder="1" applyAlignment="1">
      <alignment horizontal="left" vertical="center"/>
    </xf>
    <xf numFmtId="197" fontId="16" fillId="0" borderId="1" xfId="0" applyNumberFormat="1" applyFont="1" applyFill="1" applyBorder="1" applyAlignment="1">
      <alignment horizontal="left" vertical="center"/>
    </xf>
    <xf numFmtId="0" fontId="41" fillId="0" borderId="0" xfId="0" applyFont="1" applyFill="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18" fillId="2" borderId="1" xfId="0" applyFont="1" applyFill="1" applyBorder="1" applyAlignment="1">
      <alignment horizontal="center" vertical="center"/>
    </xf>
    <xf numFmtId="3" fontId="18" fillId="2" borderId="1" xfId="0" applyNumberFormat="1" applyFont="1" applyFill="1" applyBorder="1" applyAlignment="1">
      <alignment horizontal="center" vertical="center"/>
    </xf>
    <xf numFmtId="0" fontId="43" fillId="0" borderId="1" xfId="0" applyFont="1" applyFill="1" applyBorder="1" applyAlignment="1">
      <alignment horizontal="center" vertical="center"/>
    </xf>
    <xf numFmtId="0" fontId="0" fillId="2" borderId="1" xfId="0" applyFont="1" applyFill="1" applyBorder="1" applyAlignment="1">
      <alignment horizontal="center" vertical="center"/>
    </xf>
    <xf numFmtId="187" fontId="43" fillId="0" borderId="1" xfId="0" applyNumberFormat="1" applyFont="1" applyFill="1" applyBorder="1" applyAlignment="1">
      <alignment horizontal="right" vertical="center"/>
    </xf>
    <xf numFmtId="193" fontId="0" fillId="0" borderId="0" xfId="0" applyNumberFormat="1" applyBorder="1" applyAlignment="1">
      <alignment horizontal="center" vertical="center"/>
    </xf>
    <xf numFmtId="193" fontId="16" fillId="0" borderId="0" xfId="0" applyNumberFormat="1" applyFont="1" applyBorder="1" applyAlignment="1">
      <alignment vertical="center"/>
    </xf>
    <xf numFmtId="193" fontId="0" fillId="0" borderId="0" xfId="0" applyNumberFormat="1" applyBorder="1" applyAlignment="1">
      <alignment vertical="center"/>
    </xf>
    <xf numFmtId="49" fontId="16" fillId="0" borderId="24" xfId="0" applyNumberFormat="1" applyFont="1" applyFill="1" applyBorder="1" applyAlignment="1" applyProtection="1">
      <alignment vertical="center"/>
      <protection locked="0"/>
    </xf>
    <xf numFmtId="0" fontId="16" fillId="0" borderId="1" xfId="0" applyFont="1" applyFill="1" applyBorder="1" applyAlignment="1">
      <alignment horizontal="left"/>
    </xf>
    <xf numFmtId="0" fontId="16" fillId="0" borderId="24" xfId="0" applyFont="1" applyFill="1" applyBorder="1" applyAlignment="1" applyProtection="1">
      <alignment vertical="center"/>
      <protection locked="0"/>
    </xf>
    <xf numFmtId="0" fontId="16" fillId="0" borderId="24" xfId="0" applyFont="1" applyFill="1" applyBorder="1" applyAlignment="1">
      <alignment horizontal="left"/>
    </xf>
    <xf numFmtId="0" fontId="16" fillId="0" borderId="24" xfId="0" applyFont="1" applyFill="1" applyBorder="1" applyAlignment="1">
      <alignment vertical="center"/>
    </xf>
    <xf numFmtId="49" fontId="16" fillId="0" borderId="24" xfId="0" applyNumberFormat="1" applyFont="1" applyFill="1" applyBorder="1" applyAlignment="1">
      <alignment vertical="center"/>
    </xf>
    <xf numFmtId="184" fontId="16" fillId="0" borderId="1" xfId="0" applyNumberFormat="1" applyFont="1" applyFill="1" applyBorder="1" applyAlignment="1">
      <alignment horizontal="center"/>
    </xf>
    <xf numFmtId="184" fontId="0" fillId="0" borderId="0" xfId="0" applyNumberFormat="1" applyAlignment="1">
      <alignment horizontal="center" vertical="center"/>
    </xf>
    <xf numFmtId="49" fontId="34" fillId="0" borderId="13" xfId="0" applyNumberFormat="1" applyFont="1" applyFill="1" applyBorder="1" applyAlignment="1" applyProtection="1">
      <alignment horizontal="center" vertical="center"/>
      <protection locked="0"/>
    </xf>
    <xf numFmtId="49" fontId="34" fillId="0" borderId="1" xfId="0" applyNumberFormat="1" applyFont="1" applyFill="1" applyBorder="1" applyAlignment="1" applyProtection="1">
      <alignment horizontal="center" vertical="center"/>
      <protection locked="0"/>
    </xf>
    <xf numFmtId="49" fontId="34" fillId="0" borderId="4" xfId="0" applyNumberFormat="1" applyFont="1" applyFill="1" applyBorder="1" applyAlignment="1" applyProtection="1">
      <alignment horizontal="center" vertical="center"/>
      <protection locked="0"/>
    </xf>
    <xf numFmtId="193" fontId="43" fillId="0" borderId="2" xfId="15" applyNumberFormat="1" applyFont="1" applyFill="1" applyBorder="1" applyAlignment="1" applyProtection="1">
      <alignment horizontal="right" vertical="center"/>
      <protection locked="0"/>
    </xf>
    <xf numFmtId="193" fontId="43" fillId="0" borderId="2" xfId="0" applyNumberFormat="1" applyFont="1" applyFill="1" applyBorder="1" applyAlignment="1">
      <alignment horizontal="right"/>
    </xf>
    <xf numFmtId="193" fontId="43" fillId="0" borderId="2" xfId="15" applyNumberFormat="1" applyFont="1" applyFill="1" applyBorder="1" applyAlignment="1" applyProtection="1">
      <alignment horizontal="right" vertical="center"/>
      <protection/>
    </xf>
    <xf numFmtId="193" fontId="43" fillId="0" borderId="2" xfId="0" applyNumberFormat="1" applyFont="1" applyFill="1" applyBorder="1" applyAlignment="1">
      <alignment horizontal="right" vertical="center"/>
    </xf>
    <xf numFmtId="193" fontId="43" fillId="0" borderId="2" xfId="0" applyNumberFormat="1" applyFont="1" applyFill="1" applyBorder="1" applyAlignment="1" applyProtection="1">
      <alignment horizontal="right" vertical="center"/>
      <protection/>
    </xf>
    <xf numFmtId="193" fontId="43" fillId="0" borderId="2" xfId="0" applyNumberFormat="1" applyFont="1" applyFill="1" applyBorder="1" applyAlignment="1" applyProtection="1">
      <alignment horizontal="right" vertical="center"/>
      <protection locked="0"/>
    </xf>
    <xf numFmtId="192" fontId="16" fillId="0" borderId="2" xfId="0" applyNumberFormat="1" applyFont="1" applyBorder="1" applyAlignment="1">
      <alignment vertical="center"/>
    </xf>
    <xf numFmtId="192" fontId="18" fillId="2" borderId="2" xfId="0" applyNumberFormat="1" applyFont="1" applyFill="1" applyBorder="1" applyAlignment="1">
      <alignment horizontal="center" vertical="center"/>
    </xf>
    <xf numFmtId="0" fontId="43" fillId="0" borderId="24" xfId="0" applyFont="1" applyFill="1" applyBorder="1" applyAlignment="1">
      <alignment horizontal="right" vertical="center"/>
    </xf>
    <xf numFmtId="0" fontId="26" fillId="2" borderId="24" xfId="0" applyFont="1" applyFill="1" applyBorder="1" applyAlignment="1">
      <alignment horizontal="center" vertical="center"/>
    </xf>
    <xf numFmtId="0" fontId="43" fillId="3" borderId="25" xfId="0" applyFont="1" applyFill="1" applyBorder="1" applyAlignment="1">
      <alignment vertical="center"/>
    </xf>
    <xf numFmtId="0" fontId="43" fillId="3" borderId="4" xfId="0" applyFont="1" applyFill="1" applyBorder="1" applyAlignment="1">
      <alignment vertical="center"/>
    </xf>
    <xf numFmtId="187" fontId="43" fillId="3" borderId="4" xfId="0" applyNumberFormat="1" applyFont="1" applyFill="1" applyBorder="1" applyAlignment="1">
      <alignment vertical="center"/>
    </xf>
    <xf numFmtId="193" fontId="43" fillId="3" borderId="4" xfId="0" applyNumberFormat="1" applyFont="1" applyFill="1" applyBorder="1" applyAlignment="1">
      <alignment vertical="center"/>
    </xf>
    <xf numFmtId="192" fontId="43" fillId="3" borderId="26" xfId="0" applyNumberFormat="1" applyFont="1" applyFill="1" applyBorder="1" applyAlignment="1">
      <alignment vertical="center"/>
    </xf>
    <xf numFmtId="193" fontId="14" fillId="0" borderId="0" xfId="0" applyNumberFormat="1" applyFont="1" applyFill="1" applyBorder="1" applyAlignment="1">
      <alignment horizontal="right" vertical="center"/>
    </xf>
    <xf numFmtId="193" fontId="14" fillId="0" borderId="0" xfId="0" applyNumberFormat="1" applyFont="1" applyBorder="1" applyAlignment="1">
      <alignment horizontal="right" vertical="center"/>
    </xf>
    <xf numFmtId="193" fontId="14" fillId="0" borderId="0" xfId="0" applyNumberFormat="1" applyFont="1" applyBorder="1" applyAlignment="1">
      <alignment horizontal="right" vertical="center" wrapText="1"/>
    </xf>
    <xf numFmtId="193" fontId="14" fillId="0" borderId="0" xfId="0" applyNumberFormat="1" applyFont="1" applyAlignment="1">
      <alignment/>
    </xf>
    <xf numFmtId="0" fontId="32" fillId="0" borderId="0" xfId="0" applyFont="1" applyFill="1" applyBorder="1" applyAlignment="1" applyProtection="1">
      <alignment horizontal="center" vertical="center"/>
      <protection locked="0"/>
    </xf>
    <xf numFmtId="0" fontId="32" fillId="0" borderId="0" xfId="0" applyNumberFormat="1" applyFont="1" applyFill="1" applyBorder="1" applyAlignment="1" applyProtection="1">
      <alignment horizontal="center" vertical="center"/>
      <protection locked="0"/>
    </xf>
    <xf numFmtId="0" fontId="16" fillId="0" borderId="1" xfId="0" applyNumberFormat="1" applyFont="1" applyFill="1" applyBorder="1" applyAlignment="1">
      <alignment horizontal="left" vertical="center"/>
    </xf>
    <xf numFmtId="0" fontId="16" fillId="0" borderId="1" xfId="0" applyNumberFormat="1" applyFont="1" applyFill="1" applyBorder="1" applyAlignment="1" applyProtection="1">
      <alignment horizontal="left" vertical="center"/>
      <protection locked="0"/>
    </xf>
    <xf numFmtId="0" fontId="16" fillId="0" borderId="1"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vertical="center"/>
      <protection locked="0"/>
    </xf>
    <xf numFmtId="0" fontId="16" fillId="0" borderId="24" xfId="0" applyNumberFormat="1" applyFont="1" applyFill="1" applyBorder="1" applyAlignment="1">
      <alignment vertical="center"/>
    </xf>
    <xf numFmtId="0" fontId="16" fillId="0" borderId="24" xfId="0" applyNumberFormat="1" applyFont="1" applyFill="1" applyBorder="1" applyAlignment="1" applyProtection="1">
      <alignment vertical="center"/>
      <protection/>
    </xf>
    <xf numFmtId="184" fontId="16" fillId="0" borderId="27" xfId="0" applyNumberFormat="1" applyFont="1" applyFill="1" applyBorder="1" applyAlignment="1">
      <alignment horizontal="center" vertical="center"/>
    </xf>
    <xf numFmtId="0" fontId="27" fillId="0" borderId="21" xfId="0" applyFont="1" applyFill="1" applyBorder="1" applyAlignment="1">
      <alignment horizontal="center" vertical="center"/>
    </xf>
    <xf numFmtId="0" fontId="18" fillId="2" borderId="13" xfId="0" applyFont="1" applyFill="1" applyBorder="1" applyAlignment="1">
      <alignment horizontal="center" vertical="center"/>
    </xf>
    <xf numFmtId="3" fontId="18" fillId="2" borderId="13" xfId="0" applyNumberFormat="1" applyFont="1" applyFill="1" applyBorder="1" applyAlignment="1">
      <alignment horizontal="center" vertical="center"/>
    </xf>
    <xf numFmtId="187" fontId="18" fillId="2" borderId="13" xfId="0" applyNumberFormat="1" applyFont="1" applyFill="1" applyBorder="1" applyAlignment="1">
      <alignment horizontal="center" vertical="center"/>
    </xf>
    <xf numFmtId="193" fontId="18" fillId="2" borderId="13" xfId="0" applyNumberFormat="1" applyFont="1" applyFill="1" applyBorder="1" applyAlignment="1">
      <alignment horizontal="center" vertical="center"/>
    </xf>
    <xf numFmtId="192" fontId="18" fillId="2" borderId="23" xfId="0" applyNumberFormat="1" applyFont="1" applyFill="1" applyBorder="1" applyAlignment="1">
      <alignment horizontal="center" vertical="center"/>
    </xf>
    <xf numFmtId="0" fontId="26" fillId="0" borderId="28" xfId="0" applyFont="1" applyFill="1" applyBorder="1" applyAlignment="1" applyProtection="1">
      <alignment horizontal="right" vertical="center"/>
      <protection/>
    </xf>
    <xf numFmtId="0" fontId="43" fillId="3" borderId="4" xfId="0" applyFont="1" applyFill="1" applyBorder="1" applyAlignment="1">
      <alignment horizontal="center" vertical="center"/>
    </xf>
    <xf numFmtId="0" fontId="26" fillId="0" borderId="22" xfId="0" applyFont="1" applyFill="1" applyBorder="1" applyAlignment="1">
      <alignment horizontal="right" vertical="center"/>
    </xf>
    <xf numFmtId="0" fontId="26" fillId="0" borderId="29" xfId="0" applyFont="1" applyFill="1" applyBorder="1" applyAlignment="1" applyProtection="1">
      <alignment horizontal="right" vertical="center"/>
      <protection/>
    </xf>
    <xf numFmtId="193" fontId="43" fillId="0" borderId="30" xfId="0" applyNumberFormat="1" applyFont="1" applyFill="1" applyBorder="1" applyAlignment="1">
      <alignment vertical="center"/>
    </xf>
    <xf numFmtId="193" fontId="43" fillId="0" borderId="2" xfId="15" applyNumberFormat="1" applyFont="1" applyFill="1" applyBorder="1" applyAlignment="1" applyProtection="1">
      <alignment vertical="center"/>
      <protection locked="0"/>
    </xf>
    <xf numFmtId="193" fontId="43" fillId="0" borderId="2" xfId="0" applyNumberFormat="1" applyFont="1" applyFill="1" applyBorder="1" applyAlignment="1">
      <alignment vertical="center"/>
    </xf>
    <xf numFmtId="193" fontId="43" fillId="0" borderId="2" xfId="15" applyNumberFormat="1" applyFont="1" applyFill="1" applyBorder="1" applyAlignment="1" applyProtection="1">
      <alignment vertical="center"/>
      <protection/>
    </xf>
    <xf numFmtId="193" fontId="43" fillId="0" borderId="2" xfId="0" applyNumberFormat="1" applyFont="1" applyFill="1" applyBorder="1" applyAlignment="1" applyProtection="1">
      <alignment vertical="center"/>
      <protection/>
    </xf>
    <xf numFmtId="193" fontId="43" fillId="0" borderId="2" xfId="0" applyNumberFormat="1" applyFont="1" applyFill="1" applyBorder="1" applyAlignment="1" applyProtection="1">
      <alignment vertical="center"/>
      <protection locked="0"/>
    </xf>
    <xf numFmtId="0" fontId="16" fillId="0" borderId="25" xfId="0" applyFont="1" applyFill="1" applyBorder="1" applyAlignment="1">
      <alignment horizontal="left"/>
    </xf>
    <xf numFmtId="184" fontId="16" fillId="0" borderId="4" xfId="0" applyNumberFormat="1" applyFont="1" applyFill="1" applyBorder="1" applyAlignment="1">
      <alignment horizontal="center"/>
    </xf>
    <xf numFmtId="0" fontId="16" fillId="0" borderId="4" xfId="0" applyFont="1" applyFill="1" applyBorder="1" applyAlignment="1">
      <alignment horizontal="left" vertical="center"/>
    </xf>
    <xf numFmtId="0" fontId="16" fillId="0" borderId="4" xfId="0" applyFont="1" applyFill="1" applyBorder="1" applyAlignment="1">
      <alignment horizontal="left"/>
    </xf>
    <xf numFmtId="193" fontId="43" fillId="0" borderId="26" xfId="0" applyNumberFormat="1" applyFont="1" applyFill="1" applyBorder="1" applyAlignment="1">
      <alignment horizontal="right"/>
    </xf>
    <xf numFmtId="0" fontId="35" fillId="4" borderId="31" xfId="0" applyFont="1" applyFill="1" applyBorder="1" applyAlignment="1">
      <alignment horizontal="right"/>
    </xf>
    <xf numFmtId="49" fontId="35" fillId="4" borderId="32" xfId="0" applyNumberFormat="1" applyFont="1" applyFill="1" applyBorder="1" applyAlignment="1">
      <alignment horizontal="right"/>
    </xf>
    <xf numFmtId="0" fontId="35" fillId="4" borderId="32" xfId="0" applyFont="1" applyFill="1" applyBorder="1" applyAlignment="1">
      <alignment/>
    </xf>
    <xf numFmtId="0" fontId="35" fillId="4" borderId="32" xfId="0" applyFont="1" applyFill="1" applyBorder="1" applyAlignment="1">
      <alignment horizontal="right"/>
    </xf>
    <xf numFmtId="0" fontId="35" fillId="4" borderId="33" xfId="0" applyFont="1" applyFill="1" applyBorder="1" applyAlignment="1">
      <alignment horizontal="right"/>
    </xf>
    <xf numFmtId="0" fontId="35" fillId="5" borderId="31" xfId="0" applyFont="1" applyFill="1" applyBorder="1" applyAlignment="1">
      <alignment horizontal="right"/>
    </xf>
    <xf numFmtId="4" fontId="35" fillId="5" borderId="32" xfId="0" applyNumberFormat="1" applyFont="1" applyFill="1" applyBorder="1" applyAlignment="1">
      <alignment horizontal="right"/>
    </xf>
    <xf numFmtId="3" fontId="35" fillId="5" borderId="33" xfId="0" applyNumberFormat="1" applyFont="1" applyFill="1" applyBorder="1" applyAlignment="1">
      <alignment horizontal="right"/>
    </xf>
    <xf numFmtId="0" fontId="35" fillId="4" borderId="31" xfId="0" applyFont="1" applyFill="1" applyBorder="1" applyAlignment="1">
      <alignment/>
    </xf>
    <xf numFmtId="4" fontId="35" fillId="4" borderId="32" xfId="0" applyNumberFormat="1" applyFont="1" applyFill="1" applyBorder="1" applyAlignment="1">
      <alignment horizontal="right"/>
    </xf>
    <xf numFmtId="3" fontId="35" fillId="4" borderId="32" xfId="0" applyNumberFormat="1" applyFont="1" applyFill="1" applyBorder="1" applyAlignment="1">
      <alignment horizontal="right"/>
    </xf>
    <xf numFmtId="10" fontId="35" fillId="4" borderId="33" xfId="0" applyNumberFormat="1" applyFont="1" applyFill="1" applyBorder="1" applyAlignment="1">
      <alignment horizontal="right"/>
    </xf>
    <xf numFmtId="3" fontId="35" fillId="5" borderId="32" xfId="0" applyNumberFormat="1" applyFont="1" applyFill="1" applyBorder="1" applyAlignment="1">
      <alignment horizontal="right"/>
    </xf>
    <xf numFmtId="10" fontId="35" fillId="5" borderId="33" xfId="0" applyNumberFormat="1" applyFont="1" applyFill="1" applyBorder="1" applyAlignment="1">
      <alignment horizontal="right"/>
    </xf>
    <xf numFmtId="0" fontId="35" fillId="5" borderId="31" xfId="0" applyFont="1" applyFill="1" applyBorder="1" applyAlignment="1">
      <alignment/>
    </xf>
    <xf numFmtId="0" fontId="35" fillId="0" borderId="0" xfId="0" applyFont="1" applyFill="1" applyAlignment="1">
      <alignment/>
    </xf>
    <xf numFmtId="0" fontId="35" fillId="4" borderId="34" xfId="0" applyFont="1" applyFill="1" applyBorder="1" applyAlignment="1">
      <alignment horizontal="right"/>
    </xf>
    <xf numFmtId="0" fontId="35" fillId="5" borderId="34" xfId="0" applyFont="1" applyFill="1" applyBorder="1" applyAlignment="1">
      <alignment horizontal="right"/>
    </xf>
    <xf numFmtId="4" fontId="35" fillId="5" borderId="34" xfId="0" applyNumberFormat="1" applyFont="1" applyFill="1" applyBorder="1" applyAlignment="1">
      <alignment horizontal="right"/>
    </xf>
    <xf numFmtId="3" fontId="35" fillId="5" borderId="34" xfId="0" applyNumberFormat="1" applyFont="1" applyFill="1" applyBorder="1" applyAlignment="1">
      <alignment horizontal="right"/>
    </xf>
    <xf numFmtId="4" fontId="35" fillId="4" borderId="34" xfId="0" applyNumberFormat="1" applyFont="1" applyFill="1" applyBorder="1" applyAlignment="1">
      <alignment horizontal="right"/>
    </xf>
    <xf numFmtId="3" fontId="35" fillId="4" borderId="34" xfId="0" applyNumberFormat="1" applyFont="1" applyFill="1" applyBorder="1" applyAlignment="1">
      <alignment horizontal="right"/>
    </xf>
    <xf numFmtId="10" fontId="35" fillId="4" borderId="34" xfId="0" applyNumberFormat="1" applyFont="1" applyFill="1" applyBorder="1" applyAlignment="1">
      <alignment horizontal="right"/>
    </xf>
    <xf numFmtId="10" fontId="35" fillId="5" borderId="34" xfId="0" applyNumberFormat="1" applyFont="1" applyFill="1" applyBorder="1" applyAlignment="1">
      <alignment horizontal="right"/>
    </xf>
    <xf numFmtId="0" fontId="35" fillId="5" borderId="34" xfId="0" applyFont="1" applyFill="1" applyBorder="1" applyAlignment="1">
      <alignment/>
    </xf>
    <xf numFmtId="0" fontId="35" fillId="4" borderId="0" xfId="0" applyFont="1" applyFill="1" applyAlignment="1">
      <alignment horizontal="right"/>
    </xf>
    <xf numFmtId="49" fontId="35" fillId="4" borderId="0" xfId="0" applyNumberFormat="1" applyFont="1" applyFill="1" applyAlignment="1">
      <alignment horizontal="right"/>
    </xf>
    <xf numFmtId="0" fontId="35" fillId="4" borderId="0" xfId="0" applyFont="1" applyFill="1" applyAlignment="1">
      <alignment/>
    </xf>
    <xf numFmtId="0" fontId="35" fillId="5" borderId="0" xfId="0" applyFont="1" applyFill="1" applyAlignment="1">
      <alignment horizontal="right"/>
    </xf>
    <xf numFmtId="4" fontId="35" fillId="5" borderId="0" xfId="0" applyNumberFormat="1" applyFont="1" applyFill="1" applyAlignment="1">
      <alignment horizontal="right"/>
    </xf>
    <xf numFmtId="3" fontId="35" fillId="5" borderId="0" xfId="0" applyNumberFormat="1" applyFont="1" applyFill="1" applyAlignment="1">
      <alignment horizontal="right"/>
    </xf>
    <xf numFmtId="4" fontId="35" fillId="4" borderId="0" xfId="0" applyNumberFormat="1" applyFont="1" applyFill="1" applyAlignment="1">
      <alignment horizontal="right"/>
    </xf>
    <xf numFmtId="3" fontId="35" fillId="4" borderId="0" xfId="0" applyNumberFormat="1" applyFont="1" applyFill="1" applyAlignment="1">
      <alignment horizontal="right"/>
    </xf>
    <xf numFmtId="10" fontId="35" fillId="4" borderId="0" xfId="0" applyNumberFormat="1" applyFont="1" applyFill="1" applyAlignment="1">
      <alignment horizontal="right"/>
    </xf>
    <xf numFmtId="10" fontId="35" fillId="5" borderId="0" xfId="0" applyNumberFormat="1" applyFont="1" applyFill="1" applyAlignment="1">
      <alignment horizontal="right"/>
    </xf>
    <xf numFmtId="0" fontId="35" fillId="5" borderId="0" xfId="0" applyFont="1" applyFill="1" applyAlignment="1">
      <alignment/>
    </xf>
    <xf numFmtId="0" fontId="16" fillId="0" borderId="24" xfId="0" applyFont="1" applyFill="1" applyBorder="1" applyAlignment="1" applyProtection="1">
      <alignment vertical="center"/>
      <protection/>
    </xf>
    <xf numFmtId="0" fontId="46" fillId="0" borderId="0" xfId="0" applyFont="1" applyFill="1" applyBorder="1" applyAlignment="1" applyProtection="1">
      <alignment vertical="center"/>
      <protection locked="0"/>
    </xf>
    <xf numFmtId="0" fontId="46" fillId="0" borderId="0" xfId="0" applyFont="1" applyFill="1" applyBorder="1" applyAlignment="1" applyProtection="1">
      <alignment vertical="center" wrapText="1"/>
      <protection locked="0"/>
    </xf>
    <xf numFmtId="0" fontId="47" fillId="0" borderId="0" xfId="0" applyFont="1" applyFill="1" applyBorder="1" applyAlignment="1" applyProtection="1">
      <alignment vertical="center"/>
      <protection locked="0"/>
    </xf>
    <xf numFmtId="192" fontId="34" fillId="0" borderId="2" xfId="0"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left" vertical="center"/>
      <protection locked="0"/>
    </xf>
    <xf numFmtId="0" fontId="16" fillId="0" borderId="24" xfId="0" applyFont="1" applyFill="1" applyBorder="1" applyAlignment="1">
      <alignment horizontal="left" vertical="center"/>
    </xf>
    <xf numFmtId="49" fontId="16" fillId="0" borderId="24" xfId="0" applyNumberFormat="1" applyFont="1" applyFill="1" applyBorder="1" applyAlignment="1">
      <alignment horizontal="left" vertical="center"/>
    </xf>
    <xf numFmtId="49" fontId="16" fillId="0" borderId="24" xfId="0" applyNumberFormat="1" applyFont="1" applyFill="1" applyBorder="1" applyAlignment="1" applyProtection="1">
      <alignment horizontal="left" vertical="center"/>
      <protection locked="0"/>
    </xf>
    <xf numFmtId="200" fontId="43" fillId="0" borderId="1" xfId="0" applyNumberFormat="1" applyFont="1" applyFill="1" applyBorder="1" applyAlignment="1">
      <alignment vertical="center"/>
    </xf>
    <xf numFmtId="200" fontId="43" fillId="0" borderId="1" xfId="15" applyNumberFormat="1" applyFont="1" applyFill="1" applyBorder="1" applyAlignment="1" applyProtection="1">
      <alignment vertical="center"/>
      <protection locked="0"/>
    </xf>
    <xf numFmtId="200" fontId="43" fillId="0" borderId="1" xfId="15" applyNumberFormat="1" applyFont="1" applyFill="1" applyBorder="1" applyAlignment="1" applyProtection="1">
      <alignment vertical="center"/>
      <protection/>
    </xf>
    <xf numFmtId="200" fontId="43" fillId="0" borderId="27" xfId="0" applyNumberFormat="1" applyFont="1" applyFill="1" applyBorder="1" applyAlignment="1">
      <alignment vertical="center"/>
    </xf>
    <xf numFmtId="200" fontId="43" fillId="0" borderId="1" xfId="0" applyNumberFormat="1" applyFont="1" applyFill="1" applyBorder="1" applyAlignment="1">
      <alignment horizontal="right" vertical="center"/>
    </xf>
    <xf numFmtId="200" fontId="43" fillId="0" borderId="1" xfId="15" applyNumberFormat="1" applyFont="1" applyFill="1" applyBorder="1" applyAlignment="1" applyProtection="1">
      <alignment horizontal="right" vertical="center"/>
      <protection locked="0"/>
    </xf>
    <xf numFmtId="200" fontId="43" fillId="0" borderId="1" xfId="0" applyNumberFormat="1" applyFont="1" applyFill="1" applyBorder="1" applyAlignment="1">
      <alignment horizontal="right"/>
    </xf>
    <xf numFmtId="200" fontId="43" fillId="0" borderId="1" xfId="15" applyNumberFormat="1" applyFont="1" applyFill="1" applyBorder="1" applyAlignment="1" applyProtection="1">
      <alignment horizontal="right" vertical="center"/>
      <protection/>
    </xf>
    <xf numFmtId="200" fontId="43" fillId="0" borderId="1" xfId="0" applyNumberFormat="1" applyFont="1" applyFill="1" applyBorder="1" applyAlignment="1" applyProtection="1">
      <alignment vertical="center"/>
      <protection/>
    </xf>
    <xf numFmtId="200" fontId="43" fillId="0" borderId="1" xfId="0" applyNumberFormat="1" applyFont="1" applyFill="1" applyBorder="1" applyAlignment="1" applyProtection="1">
      <alignment horizontal="right" vertical="center"/>
      <protection/>
    </xf>
    <xf numFmtId="200" fontId="43" fillId="0" borderId="1" xfId="0" applyNumberFormat="1" applyFont="1" applyFill="1" applyBorder="1" applyAlignment="1" applyProtection="1">
      <alignment vertical="center"/>
      <protection locked="0"/>
    </xf>
    <xf numFmtId="200" fontId="43" fillId="0" borderId="1" xfId="0" applyNumberFormat="1" applyFont="1" applyFill="1" applyBorder="1" applyAlignment="1" applyProtection="1">
      <alignment horizontal="right" vertical="center"/>
      <protection locked="0"/>
    </xf>
    <xf numFmtId="200" fontId="43" fillId="0" borderId="4" xfId="0" applyNumberFormat="1" applyFont="1" applyFill="1" applyBorder="1" applyAlignment="1">
      <alignment horizontal="right"/>
    </xf>
    <xf numFmtId="200" fontId="18" fillId="2" borderId="13" xfId="0" applyNumberFormat="1" applyFont="1" applyFill="1" applyBorder="1" applyAlignment="1">
      <alignment horizontal="center" vertical="center"/>
    </xf>
    <xf numFmtId="200" fontId="14" fillId="0" borderId="0" xfId="0" applyNumberFormat="1" applyFont="1" applyFill="1" applyBorder="1" applyAlignment="1">
      <alignment horizontal="center" vertical="center"/>
    </xf>
    <xf numFmtId="200" fontId="14" fillId="0" borderId="0" xfId="0" applyNumberFormat="1" applyFont="1" applyBorder="1" applyAlignment="1">
      <alignment horizontal="center" vertical="center"/>
    </xf>
    <xf numFmtId="200" fontId="14" fillId="0" borderId="0" xfId="0" applyNumberFormat="1" applyFont="1" applyBorder="1" applyAlignment="1">
      <alignment horizontal="right" vertical="center" wrapText="1"/>
    </xf>
    <xf numFmtId="200" fontId="14" fillId="0" borderId="0" xfId="0" applyNumberFormat="1" applyFont="1" applyAlignment="1">
      <alignment/>
    </xf>
    <xf numFmtId="192" fontId="16" fillId="0" borderId="2" xfId="22" applyNumberFormat="1" applyFont="1" applyFill="1" applyBorder="1" applyAlignment="1" applyProtection="1">
      <alignment vertical="center"/>
      <protection/>
    </xf>
    <xf numFmtId="184" fontId="16" fillId="0" borderId="4" xfId="0" applyNumberFormat="1" applyFont="1" applyFill="1" applyBorder="1" applyAlignment="1">
      <alignment horizontal="center" vertical="center"/>
    </xf>
    <xf numFmtId="1" fontId="26" fillId="0" borderId="35" xfId="0" applyNumberFormat="1" applyFont="1" applyFill="1" applyBorder="1" applyAlignment="1" applyProtection="1">
      <alignment horizontal="right" vertical="center"/>
      <protection/>
    </xf>
    <xf numFmtId="1" fontId="26" fillId="0" borderId="36" xfId="0" applyNumberFormat="1" applyFont="1" applyFill="1" applyBorder="1" applyAlignment="1" applyProtection="1">
      <alignment horizontal="right" vertical="center"/>
      <protection/>
    </xf>
    <xf numFmtId="184" fontId="16" fillId="0" borderId="1" xfId="0" applyNumberFormat="1" applyFont="1" applyFill="1" applyBorder="1" applyAlignment="1" applyProtection="1">
      <alignment vertical="center"/>
      <protection locked="0"/>
    </xf>
    <xf numFmtId="0" fontId="16" fillId="0" borderId="1" xfId="0" applyFont="1" applyFill="1" applyBorder="1" applyAlignment="1" applyProtection="1">
      <alignment vertical="center"/>
      <protection locked="0"/>
    </xf>
    <xf numFmtId="0" fontId="16" fillId="0" borderId="1" xfId="0" applyFont="1" applyFill="1" applyBorder="1" applyAlignment="1">
      <alignment/>
    </xf>
    <xf numFmtId="49" fontId="16" fillId="0" borderId="1" xfId="0" applyNumberFormat="1" applyFont="1" applyFill="1" applyBorder="1" applyAlignment="1" applyProtection="1">
      <alignment vertical="center"/>
      <protection locked="0"/>
    </xf>
    <xf numFmtId="197" fontId="16" fillId="0" borderId="1" xfId="0" applyNumberFormat="1" applyFont="1" applyFill="1" applyBorder="1" applyAlignment="1">
      <alignment vertical="center"/>
    </xf>
    <xf numFmtId="49" fontId="16" fillId="0" borderId="1" xfId="0" applyNumberFormat="1" applyFont="1" applyFill="1" applyBorder="1" applyAlignment="1">
      <alignment vertical="center"/>
    </xf>
    <xf numFmtId="0" fontId="16"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vertical="center"/>
      <protection/>
    </xf>
    <xf numFmtId="200" fontId="29" fillId="0" borderId="20" xfId="0" applyNumberFormat="1" applyFont="1" applyFill="1" applyBorder="1" applyAlignment="1" applyProtection="1">
      <alignment horizontal="center" vertical="center" wrapText="1"/>
      <protection/>
    </xf>
    <xf numFmtId="193" fontId="29" fillId="0" borderId="37" xfId="0" applyNumberFormat="1" applyFont="1" applyFill="1" applyBorder="1" applyAlignment="1" applyProtection="1">
      <alignment horizontal="center" vertical="center" wrapText="1"/>
      <protection/>
    </xf>
    <xf numFmtId="0" fontId="16" fillId="0" borderId="1" xfId="0" applyFont="1" applyFill="1" applyBorder="1" applyAlignment="1">
      <alignment vertical="center"/>
    </xf>
    <xf numFmtId="0" fontId="16" fillId="0" borderId="24" xfId="0" applyFont="1" applyFill="1" applyBorder="1" applyAlignment="1">
      <alignment/>
    </xf>
    <xf numFmtId="0" fontId="26" fillId="0" borderId="35" xfId="0" applyFont="1" applyFill="1" applyBorder="1" applyAlignment="1">
      <alignment horizontal="right" vertical="center"/>
    </xf>
    <xf numFmtId="0" fontId="26" fillId="0" borderId="36" xfId="0" applyFont="1" applyFill="1" applyBorder="1" applyAlignment="1">
      <alignment horizontal="right" vertical="center"/>
    </xf>
    <xf numFmtId="0" fontId="48" fillId="5" borderId="34" xfId="0" applyFont="1" applyFill="1" applyBorder="1" applyAlignment="1">
      <alignment horizontal="right"/>
    </xf>
    <xf numFmtId="4" fontId="48" fillId="5" borderId="34" xfId="0" applyNumberFormat="1" applyFont="1" applyFill="1" applyBorder="1" applyAlignment="1">
      <alignment horizontal="right"/>
    </xf>
    <xf numFmtId="3" fontId="48" fillId="5" borderId="34" xfId="0" applyNumberFormat="1" applyFont="1" applyFill="1" applyBorder="1" applyAlignment="1">
      <alignment horizontal="right"/>
    </xf>
    <xf numFmtId="4" fontId="48" fillId="4" borderId="34" xfId="0" applyNumberFormat="1" applyFont="1" applyFill="1" applyBorder="1" applyAlignment="1">
      <alignment horizontal="right"/>
    </xf>
    <xf numFmtId="3" fontId="48" fillId="4" borderId="34" xfId="0" applyNumberFormat="1" applyFont="1" applyFill="1" applyBorder="1" applyAlignment="1">
      <alignment horizontal="right"/>
    </xf>
    <xf numFmtId="10" fontId="48" fillId="4" borderId="34" xfId="0" applyNumberFormat="1" applyFont="1" applyFill="1" applyBorder="1" applyAlignment="1">
      <alignment horizontal="right"/>
    </xf>
    <xf numFmtId="10" fontId="48" fillId="5" borderId="34" xfId="0" applyNumberFormat="1" applyFont="1" applyFill="1" applyBorder="1" applyAlignment="1">
      <alignment horizontal="right"/>
    </xf>
    <xf numFmtId="0" fontId="48" fillId="4" borderId="34" xfId="0" applyFont="1" applyFill="1" applyBorder="1" applyAlignment="1">
      <alignment horizontal="right"/>
    </xf>
    <xf numFmtId="0" fontId="48" fillId="5" borderId="34" xfId="0" applyFont="1" applyFill="1" applyBorder="1" applyAlignment="1">
      <alignment/>
    </xf>
    <xf numFmtId="0" fontId="48" fillId="0" borderId="0" xfId="0" applyFont="1" applyFill="1" applyAlignment="1">
      <alignment/>
    </xf>
    <xf numFmtId="192" fontId="16" fillId="0" borderId="2" xfId="15" applyNumberFormat="1" applyFont="1" applyFill="1" applyBorder="1" applyAlignment="1" applyProtection="1">
      <alignment vertical="center"/>
      <protection/>
    </xf>
    <xf numFmtId="187" fontId="29" fillId="0" borderId="20" xfId="0" applyNumberFormat="1" applyFont="1" applyFill="1" applyBorder="1" applyAlignment="1" applyProtection="1">
      <alignment horizontal="center" wrapText="1"/>
      <protection/>
    </xf>
    <xf numFmtId="193" fontId="29" fillId="0" borderId="20" xfId="0" applyNumberFormat="1" applyFont="1" applyFill="1" applyBorder="1" applyAlignment="1" applyProtection="1">
      <alignment horizontal="center" wrapText="1"/>
      <protection/>
    </xf>
    <xf numFmtId="192" fontId="29" fillId="0" borderId="20" xfId="0" applyNumberFormat="1" applyFont="1" applyFill="1" applyBorder="1" applyAlignment="1" applyProtection="1">
      <alignment horizontal="center" wrapText="1"/>
      <protection/>
    </xf>
    <xf numFmtId="192" fontId="29" fillId="0" borderId="37" xfId="0" applyNumberFormat="1" applyFont="1" applyFill="1" applyBorder="1" applyAlignment="1" applyProtection="1">
      <alignment horizontal="center" wrapText="1"/>
      <protection/>
    </xf>
    <xf numFmtId="193" fontId="16" fillId="0" borderId="1" xfId="15" applyNumberFormat="1" applyFont="1" applyFill="1" applyBorder="1" applyAlignment="1" applyProtection="1">
      <alignment vertical="center"/>
      <protection locked="0"/>
    </xf>
    <xf numFmtId="193" fontId="16" fillId="0" borderId="1" xfId="0" applyNumberFormat="1" applyFont="1" applyFill="1" applyBorder="1" applyAlignment="1">
      <alignment vertical="center"/>
    </xf>
    <xf numFmtId="193" fontId="16" fillId="0" borderId="1" xfId="0" applyNumberFormat="1" applyFont="1" applyFill="1" applyBorder="1" applyAlignment="1" applyProtection="1">
      <alignment vertical="center"/>
      <protection/>
    </xf>
    <xf numFmtId="192" fontId="34" fillId="0" borderId="26" xfId="0" applyNumberFormat="1" applyFont="1" applyFill="1" applyBorder="1" applyAlignment="1" applyProtection="1">
      <alignment horizontal="right" vertical="center"/>
      <protection locked="0"/>
    </xf>
    <xf numFmtId="2" fontId="35" fillId="4" borderId="34" xfId="0" applyNumberFormat="1" applyFont="1" applyFill="1" applyBorder="1" applyAlignment="1">
      <alignment/>
    </xf>
    <xf numFmtId="2" fontId="48" fillId="4" borderId="34" xfId="0" applyNumberFormat="1" applyFont="1" applyFill="1" applyBorder="1" applyAlignment="1">
      <alignment/>
    </xf>
    <xf numFmtId="0" fontId="43" fillId="0" borderId="38" xfId="0" applyFont="1" applyFill="1" applyBorder="1" applyAlignment="1" applyProtection="1">
      <alignment horizontal="right" vertical="center"/>
      <protection/>
    </xf>
    <xf numFmtId="0" fontId="16" fillId="0" borderId="27" xfId="0" applyFont="1" applyBorder="1" applyAlignment="1">
      <alignment vertical="center"/>
    </xf>
    <xf numFmtId="0" fontId="16" fillId="0" borderId="27" xfId="0" applyFont="1" applyBorder="1" applyAlignment="1">
      <alignment horizontal="center" vertical="center"/>
    </xf>
    <xf numFmtId="3" fontId="16" fillId="0" borderId="27" xfId="0" applyNumberFormat="1" applyFont="1" applyBorder="1" applyAlignment="1">
      <alignment horizontal="center" vertical="center"/>
    </xf>
    <xf numFmtId="187" fontId="43" fillId="0" borderId="27" xfId="0" applyNumberFormat="1" applyFont="1" applyBorder="1" applyAlignment="1">
      <alignment horizontal="right" vertical="center"/>
    </xf>
    <xf numFmtId="193" fontId="43" fillId="0" borderId="27" xfId="0" applyNumberFormat="1" applyFont="1" applyBorder="1" applyAlignment="1">
      <alignment vertical="center"/>
    </xf>
    <xf numFmtId="192" fontId="16" fillId="0" borderId="30" xfId="0" applyNumberFormat="1" applyFont="1" applyBorder="1" applyAlignment="1">
      <alignment vertical="center"/>
    </xf>
    <xf numFmtId="0" fontId="43" fillId="0" borderId="25" xfId="0" applyFont="1" applyFill="1" applyBorder="1" applyAlignment="1" applyProtection="1">
      <alignment horizontal="right" vertical="center"/>
      <protection/>
    </xf>
    <xf numFmtId="0" fontId="16" fillId="0" borderId="4" xfId="0" applyFont="1" applyBorder="1" applyAlignment="1">
      <alignment vertical="center"/>
    </xf>
    <xf numFmtId="0" fontId="16" fillId="0" borderId="4" xfId="0" applyFont="1" applyBorder="1" applyAlignment="1">
      <alignment horizontal="center" vertical="center"/>
    </xf>
    <xf numFmtId="3" fontId="16" fillId="0" borderId="4" xfId="0" applyNumberFormat="1" applyFont="1" applyBorder="1" applyAlignment="1">
      <alignment horizontal="center" vertical="center"/>
    </xf>
    <xf numFmtId="187" fontId="43" fillId="0" borderId="4" xfId="0" applyNumberFormat="1" applyFont="1" applyBorder="1" applyAlignment="1">
      <alignment horizontal="right" vertical="center"/>
    </xf>
    <xf numFmtId="193" fontId="43" fillId="0" borderId="4" xfId="0" applyNumberFormat="1" applyFont="1" applyBorder="1" applyAlignment="1">
      <alignment vertical="center"/>
    </xf>
    <xf numFmtId="192" fontId="16" fillId="0" borderId="26" xfId="0" applyNumberFormat="1" applyFont="1" applyBorder="1" applyAlignment="1">
      <alignment vertical="center"/>
    </xf>
    <xf numFmtId="4" fontId="16" fillId="0" borderId="1" xfId="0" applyNumberFormat="1" applyFont="1" applyFill="1" applyBorder="1" applyAlignment="1" applyProtection="1">
      <alignment horizontal="left" vertical="center"/>
      <protection locked="0"/>
    </xf>
    <xf numFmtId="1" fontId="16" fillId="0" borderId="1" xfId="0" applyNumberFormat="1" applyFont="1" applyFill="1" applyBorder="1" applyAlignment="1" applyProtection="1">
      <alignment horizontal="center" vertical="center"/>
      <protection locked="0"/>
    </xf>
    <xf numFmtId="4" fontId="16" fillId="0" borderId="1" xfId="0" applyNumberFormat="1" applyFont="1" applyFill="1" applyBorder="1" applyAlignment="1">
      <alignment horizontal="left" vertical="center"/>
    </xf>
    <xf numFmtId="0" fontId="50" fillId="5" borderId="31" xfId="0" applyFont="1" applyFill="1" applyBorder="1" applyAlignment="1">
      <alignment/>
    </xf>
    <xf numFmtId="0" fontId="50" fillId="5" borderId="31" xfId="0" applyFont="1" applyFill="1" applyBorder="1" applyAlignment="1">
      <alignment horizontal="left"/>
    </xf>
    <xf numFmtId="0" fontId="16" fillId="0" borderId="1" xfId="19" applyNumberFormat="1" applyFont="1" applyFill="1" applyBorder="1" applyAlignment="1" applyProtection="1">
      <alignment horizontal="left" vertical="center"/>
      <protection locked="0"/>
    </xf>
    <xf numFmtId="184" fontId="16" fillId="0" borderId="1" xfId="19" applyNumberFormat="1" applyFont="1" applyFill="1" applyBorder="1" applyAlignment="1" applyProtection="1">
      <alignment horizontal="center" vertical="center"/>
      <protection locked="0"/>
    </xf>
    <xf numFmtId="0" fontId="16" fillId="0" borderId="1" xfId="19" applyNumberFormat="1" applyFont="1" applyFill="1" applyBorder="1" applyAlignment="1">
      <alignment horizontal="left" vertical="center"/>
      <protection/>
    </xf>
    <xf numFmtId="184" fontId="16" fillId="0" borderId="1" xfId="19" applyNumberFormat="1" applyFont="1" applyFill="1" applyBorder="1" applyAlignment="1">
      <alignment horizontal="center" vertical="center"/>
      <protection/>
    </xf>
    <xf numFmtId="0" fontId="16" fillId="0" borderId="1" xfId="19" applyNumberFormat="1" applyFont="1" applyFill="1" applyBorder="1" applyAlignment="1">
      <alignment horizontal="center" vertical="center"/>
      <protection/>
    </xf>
    <xf numFmtId="0" fontId="16" fillId="0" borderId="1" xfId="0" applyNumberFormat="1" applyFont="1" applyFill="1" applyBorder="1" applyAlignment="1">
      <alignment horizontal="center" vertical="center"/>
    </xf>
    <xf numFmtId="0" fontId="16" fillId="0" borderId="1" xfId="19" applyNumberFormat="1" applyFont="1" applyFill="1" applyBorder="1" applyAlignment="1" applyProtection="1">
      <alignment horizontal="left" vertical="center"/>
      <protection/>
    </xf>
    <xf numFmtId="184" fontId="16" fillId="0" borderId="1" xfId="19" applyNumberFormat="1" applyFont="1" applyFill="1" applyBorder="1" applyAlignment="1" applyProtection="1">
      <alignment horizontal="center" vertical="center"/>
      <protection/>
    </xf>
    <xf numFmtId="0" fontId="16" fillId="0" borderId="24" xfId="19" applyNumberFormat="1" applyFont="1" applyFill="1" applyBorder="1" applyAlignment="1" applyProtection="1">
      <alignment horizontal="left" vertical="center"/>
      <protection locked="0"/>
    </xf>
    <xf numFmtId="0" fontId="16" fillId="0" borderId="24" xfId="19" applyNumberFormat="1" applyFont="1" applyFill="1" applyBorder="1" applyAlignment="1">
      <alignment horizontal="left" vertical="center"/>
      <protection/>
    </xf>
    <xf numFmtId="192" fontId="16" fillId="0" borderId="2" xfId="0" applyNumberFormat="1" applyFont="1" applyFill="1" applyBorder="1" applyAlignment="1">
      <alignment vertical="center"/>
    </xf>
    <xf numFmtId="0" fontId="16" fillId="0" borderId="24" xfId="0" applyNumberFormat="1" applyFont="1" applyFill="1" applyBorder="1" applyAlignment="1" applyProtection="1">
      <alignment horizontal="left" vertical="center"/>
      <protection locked="0"/>
    </xf>
    <xf numFmtId="0" fontId="16" fillId="0" borderId="24" xfId="0" applyNumberFormat="1" applyFont="1" applyFill="1" applyBorder="1" applyAlignment="1">
      <alignment horizontal="left" vertical="center"/>
    </xf>
    <xf numFmtId="0" fontId="16" fillId="0" borderId="24" xfId="19" applyNumberFormat="1" applyFont="1" applyFill="1" applyBorder="1" applyAlignment="1" applyProtection="1">
      <alignment horizontal="left" vertical="center"/>
      <protection/>
    </xf>
    <xf numFmtId="200" fontId="43" fillId="0" borderId="1" xfId="19" applyNumberFormat="1" applyFont="1" applyFill="1" applyBorder="1" applyAlignment="1">
      <alignment vertical="center"/>
      <protection/>
    </xf>
    <xf numFmtId="200" fontId="43" fillId="0" borderId="1" xfId="19" applyNumberFormat="1" applyFont="1" applyFill="1" applyBorder="1" applyAlignment="1" applyProtection="1">
      <alignment vertical="center"/>
      <protection/>
    </xf>
    <xf numFmtId="193" fontId="43" fillId="0" borderId="2" xfId="19" applyNumberFormat="1" applyFont="1" applyFill="1" applyBorder="1" applyAlignment="1">
      <alignment vertical="center"/>
      <protection/>
    </xf>
    <xf numFmtId="193" fontId="43" fillId="0" borderId="2" xfId="19" applyNumberFormat="1" applyFont="1" applyFill="1" applyBorder="1" applyAlignment="1" applyProtection="1">
      <alignment vertical="center"/>
      <protection/>
    </xf>
    <xf numFmtId="0" fontId="16" fillId="0" borderId="1" xfId="0" applyNumberFormat="1" applyFont="1" applyFill="1" applyBorder="1" applyAlignment="1" applyProtection="1">
      <alignment horizontal="center" vertical="center"/>
      <protection/>
    </xf>
    <xf numFmtId="0" fontId="16" fillId="0" borderId="38" xfId="0" applyNumberFormat="1" applyFont="1" applyFill="1" applyBorder="1" applyAlignment="1">
      <alignment horizontal="left" vertical="center"/>
    </xf>
    <xf numFmtId="0" fontId="16" fillId="0" borderId="27" xfId="0" applyNumberFormat="1" applyFont="1" applyFill="1" applyBorder="1" applyAlignment="1">
      <alignment horizontal="left" vertical="center"/>
    </xf>
    <xf numFmtId="0" fontId="16" fillId="0" borderId="24" xfId="0" applyNumberFormat="1" applyFont="1" applyFill="1" applyBorder="1" applyAlignment="1" applyProtection="1">
      <alignment horizontal="left" vertical="center"/>
      <protection/>
    </xf>
    <xf numFmtId="192" fontId="16" fillId="0" borderId="2" xfId="0" applyNumberFormat="1" applyFont="1" applyFill="1" applyBorder="1" applyAlignment="1" applyProtection="1">
      <alignment vertical="center"/>
      <protection/>
    </xf>
    <xf numFmtId="184" fontId="16" fillId="0" borderId="16" xfId="0" applyNumberFormat="1" applyFont="1" applyFill="1" applyBorder="1" applyAlignment="1" applyProtection="1">
      <alignment horizontal="center" vertical="center"/>
      <protection locked="0"/>
    </xf>
    <xf numFmtId="184" fontId="16" fillId="0" borderId="13" xfId="0" applyNumberFormat="1" applyFont="1" applyFill="1" applyBorder="1" applyAlignment="1" applyProtection="1">
      <alignment horizontal="center" vertical="center"/>
      <protection locked="0"/>
    </xf>
    <xf numFmtId="0" fontId="0" fillId="0" borderId="0" xfId="0" applyAlignment="1">
      <alignment horizontal="center"/>
    </xf>
    <xf numFmtId="0" fontId="29" fillId="0" borderId="39" xfId="0" applyNumberFormat="1" applyFont="1" applyFill="1" applyBorder="1" applyAlignment="1" applyProtection="1">
      <alignment horizontal="center" vertical="center" wrapText="1"/>
      <protection/>
    </xf>
    <xf numFmtId="0" fontId="29" fillId="0" borderId="40" xfId="0" applyNumberFormat="1" applyFont="1" applyFill="1" applyBorder="1" applyAlignment="1" applyProtection="1">
      <alignment horizontal="center" vertical="center" wrapText="1"/>
      <protection/>
    </xf>
    <xf numFmtId="184" fontId="16" fillId="0" borderId="16" xfId="0" applyNumberFormat="1" applyFont="1" applyFill="1" applyBorder="1" applyAlignment="1">
      <alignment horizontal="center" vertical="center"/>
    </xf>
    <xf numFmtId="193" fontId="16" fillId="0" borderId="1" xfId="19" applyNumberFormat="1" applyFont="1" applyFill="1" applyBorder="1" applyAlignment="1">
      <alignment vertical="center"/>
      <protection/>
    </xf>
    <xf numFmtId="0" fontId="44" fillId="2" borderId="0" xfId="0" applyFont="1" applyFill="1" applyBorder="1" applyAlignment="1" applyProtection="1">
      <alignment horizontal="center" vertical="center"/>
      <protection/>
    </xf>
    <xf numFmtId="0" fontId="0" fillId="0" borderId="0" xfId="0" applyAlignment="1">
      <alignment horizontal="center"/>
    </xf>
    <xf numFmtId="181" fontId="29" fillId="0" borderId="3" xfId="0" applyNumberFormat="1" applyFont="1" applyFill="1" applyBorder="1" applyAlignment="1" applyProtection="1">
      <alignment horizontal="center" vertical="center" wrapText="1"/>
      <protection/>
    </xf>
    <xf numFmtId="181" fontId="29" fillId="0" borderId="41"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31" fillId="0" borderId="20" xfId="0" applyFont="1" applyBorder="1" applyAlignment="1">
      <alignment horizontal="center" vertical="center"/>
    </xf>
    <xf numFmtId="43" fontId="29" fillId="0" borderId="3" xfId="15" applyFont="1" applyFill="1" applyBorder="1" applyAlignment="1" applyProtection="1">
      <alignment horizontal="center" vertical="center" wrapText="1"/>
      <protection/>
    </xf>
    <xf numFmtId="0" fontId="29" fillId="0" borderId="3" xfId="0" applyFont="1" applyFill="1" applyBorder="1" applyAlignment="1" applyProtection="1">
      <alignment horizontal="center" vertical="center" wrapText="1"/>
      <protection/>
    </xf>
    <xf numFmtId="0" fontId="29" fillId="0" borderId="42" xfId="0" applyNumberFormat="1" applyFont="1" applyFill="1" applyBorder="1" applyAlignment="1" applyProtection="1">
      <alignment horizontal="center" vertical="center" wrapText="1"/>
      <protection/>
    </xf>
    <xf numFmtId="0" fontId="31" fillId="0" borderId="43" xfId="0" applyFont="1" applyBorder="1" applyAlignment="1">
      <alignment horizontal="center" vertical="center" wrapText="1"/>
    </xf>
    <xf numFmtId="4" fontId="29" fillId="0" borderId="3" xfId="0" applyNumberFormat="1" applyFont="1" applyFill="1" applyBorder="1" applyAlignment="1" applyProtection="1">
      <alignment horizontal="center" vertical="center" wrapText="1"/>
      <protection/>
    </xf>
    <xf numFmtId="184" fontId="29" fillId="0" borderId="3" xfId="0" applyNumberFormat="1" applyFont="1" applyFill="1" applyBorder="1" applyAlignment="1" applyProtection="1">
      <alignment horizontal="center" vertical="center" wrapText="1"/>
      <protection/>
    </xf>
    <xf numFmtId="184" fontId="31" fillId="0" borderId="20" xfId="0" applyNumberFormat="1" applyFont="1" applyBorder="1" applyAlignment="1">
      <alignment horizontal="center" vertical="center"/>
    </xf>
    <xf numFmtId="0" fontId="13"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3" fillId="0" borderId="0" xfId="0" applyFont="1" applyAlignment="1">
      <alignment horizontal="right" vertical="center" wrapText="1"/>
    </xf>
    <xf numFmtId="0" fontId="19" fillId="2" borderId="44" xfId="0" applyFont="1" applyFill="1" applyBorder="1" applyAlignment="1">
      <alignment horizontal="right" vertical="center"/>
    </xf>
    <xf numFmtId="0" fontId="41" fillId="0" borderId="12" xfId="0" applyFont="1" applyBorder="1" applyAlignment="1">
      <alignment horizontal="right" vertical="center"/>
    </xf>
    <xf numFmtId="0" fontId="19" fillId="2" borderId="22" xfId="0" applyFont="1" applyFill="1" applyBorder="1" applyAlignment="1">
      <alignment horizontal="right" vertical="center"/>
    </xf>
    <xf numFmtId="0" fontId="0" fillId="0" borderId="6" xfId="0" applyBorder="1" applyAlignment="1">
      <alignment horizontal="right" vertical="center"/>
    </xf>
    <xf numFmtId="184" fontId="32" fillId="0" borderId="27" xfId="0" applyNumberFormat="1" applyFont="1" applyFill="1" applyBorder="1" applyAlignment="1" applyProtection="1">
      <alignment horizontal="center" vertical="center"/>
      <protection locked="0"/>
    </xf>
    <xf numFmtId="0" fontId="33" fillId="0" borderId="27" xfId="0" applyFont="1" applyBorder="1" applyAlignment="1">
      <alignment horizontal="center"/>
    </xf>
    <xf numFmtId="0" fontId="33" fillId="0" borderId="30" xfId="0" applyFont="1" applyBorder="1" applyAlignment="1">
      <alignment horizontal="center"/>
    </xf>
    <xf numFmtId="0" fontId="21" fillId="0" borderId="0" xfId="0" applyFont="1" applyBorder="1" applyAlignment="1" applyProtection="1">
      <alignment horizontal="right" vertical="center" wrapText="1"/>
      <protection locked="0"/>
    </xf>
    <xf numFmtId="184" fontId="32" fillId="0" borderId="0" xfId="0" applyNumberFormat="1" applyFont="1" applyFill="1" applyBorder="1" applyAlignment="1" applyProtection="1">
      <alignment horizontal="center" vertical="center"/>
      <protection locked="0"/>
    </xf>
    <xf numFmtId="0" fontId="38" fillId="0" borderId="0" xfId="0" applyFont="1" applyBorder="1" applyAlignment="1" applyProtection="1">
      <alignment horizontal="right" vertical="center" wrapText="1"/>
      <protection locked="0"/>
    </xf>
    <xf numFmtId="0" fontId="17" fillId="0" borderId="0" xfId="0" applyFont="1" applyBorder="1" applyAlignment="1" applyProtection="1">
      <alignment horizontal="right" vertical="center" wrapText="1"/>
      <protection locked="0"/>
    </xf>
    <xf numFmtId="0" fontId="32" fillId="0" borderId="0" xfId="0" applyFont="1" applyFill="1" applyBorder="1" applyAlignment="1" applyProtection="1">
      <alignment horizontal="center" vertical="center"/>
      <protection locked="0"/>
    </xf>
    <xf numFmtId="0" fontId="29" fillId="0" borderId="42" xfId="0" applyNumberFormat="1" applyFont="1" applyFill="1" applyBorder="1" applyAlignment="1">
      <alignment horizontal="center" vertical="center" wrapText="1"/>
    </xf>
    <xf numFmtId="0" fontId="29" fillId="0" borderId="43" xfId="0" applyNumberFormat="1" applyFont="1" applyFill="1" applyBorder="1" applyAlignment="1">
      <alignment horizontal="center" vertical="center" wrapText="1"/>
    </xf>
    <xf numFmtId="0" fontId="29" fillId="0" borderId="43" xfId="0" applyNumberFormat="1" applyFont="1" applyFill="1" applyBorder="1" applyAlignment="1" applyProtection="1">
      <alignment horizontal="center" vertical="center" wrapText="1"/>
      <protection/>
    </xf>
    <xf numFmtId="192" fontId="29" fillId="0" borderId="45" xfId="0" applyNumberFormat="1" applyFont="1" applyFill="1" applyBorder="1" applyAlignment="1" applyProtection="1">
      <alignment horizontal="center" vertical="center" wrapText="1"/>
      <protection/>
    </xf>
    <xf numFmtId="192" fontId="29" fillId="0" borderId="46" xfId="0" applyNumberFormat="1" applyFont="1" applyFill="1" applyBorder="1" applyAlignment="1" applyProtection="1">
      <alignment horizontal="center" vertical="center" wrapText="1"/>
      <protection/>
    </xf>
    <xf numFmtId="0" fontId="13" fillId="0" borderId="0" xfId="0" applyFont="1" applyBorder="1" applyAlignment="1">
      <alignment horizontal="right" vertical="center" wrapText="1"/>
    </xf>
    <xf numFmtId="0" fontId="9" fillId="6" borderId="34" xfId="0" applyFont="1" applyFill="1" applyBorder="1" applyAlignment="1">
      <alignment horizontal="center" vertical="center" wrapText="1"/>
    </xf>
    <xf numFmtId="0" fontId="18" fillId="2" borderId="35" xfId="0" applyFont="1" applyFill="1" applyBorder="1" applyAlignment="1">
      <alignment horizontal="center" vertical="center"/>
    </xf>
    <xf numFmtId="0" fontId="18" fillId="2" borderId="12" xfId="0" applyFont="1" applyFill="1" applyBorder="1" applyAlignment="1">
      <alignment horizontal="center" vertical="center"/>
    </xf>
    <xf numFmtId="0" fontId="43" fillId="2" borderId="35" xfId="0" applyFont="1" applyFill="1" applyBorder="1" applyAlignment="1">
      <alignment horizontal="center" vertical="center"/>
    </xf>
    <xf numFmtId="0" fontId="43" fillId="2" borderId="12" xfId="0" applyFont="1" applyFill="1" applyBorder="1" applyAlignment="1">
      <alignment horizontal="center" vertical="center"/>
    </xf>
    <xf numFmtId="0" fontId="0" fillId="0" borderId="0" xfId="0" applyBorder="1" applyAlignment="1">
      <alignment horizontal="right" vertical="center" wrapText="1"/>
    </xf>
    <xf numFmtId="0" fontId="13" fillId="0" borderId="0" xfId="0" applyFont="1" applyBorder="1" applyAlignment="1">
      <alignment horizontal="right" vertical="center" wrapText="1"/>
    </xf>
    <xf numFmtId="0" fontId="0" fillId="0" borderId="0" xfId="0" applyBorder="1" applyAlignment="1">
      <alignment vertical="center" wrapText="1"/>
    </xf>
    <xf numFmtId="0" fontId="11" fillId="6" borderId="0" xfId="0" applyFont="1" applyFill="1" applyBorder="1" applyAlignment="1">
      <alignment horizontal="center" vertical="center" wrapText="1"/>
    </xf>
    <xf numFmtId="0" fontId="37" fillId="6" borderId="0" xfId="0" applyFont="1" applyFill="1" applyAlignment="1">
      <alignment vertical="center"/>
    </xf>
    <xf numFmtId="0" fontId="29" fillId="0" borderId="3" xfId="0" applyNumberFormat="1" applyFont="1" applyFill="1" applyBorder="1" applyAlignment="1">
      <alignment horizontal="center" vertical="center" wrapText="1"/>
    </xf>
    <xf numFmtId="0" fontId="29" fillId="0" borderId="20" xfId="0" applyNumberFormat="1" applyFont="1" applyFill="1" applyBorder="1" applyAlignment="1">
      <alignment horizontal="center" vertical="center" wrapText="1"/>
    </xf>
    <xf numFmtId="0" fontId="29" fillId="0" borderId="41" xfId="0" applyNumberFormat="1" applyFont="1" applyFill="1" applyBorder="1" applyAlignment="1" applyProtection="1">
      <alignment horizontal="center" vertical="center" wrapText="1"/>
      <protection/>
    </xf>
    <xf numFmtId="0" fontId="18" fillId="2" borderId="47" xfId="0" applyFont="1" applyFill="1" applyBorder="1" applyAlignment="1">
      <alignment horizontal="center" vertical="center"/>
    </xf>
    <xf numFmtId="0" fontId="41" fillId="0" borderId="13" xfId="0" applyFont="1" applyBorder="1" applyAlignment="1">
      <alignment horizontal="center" vertical="center"/>
    </xf>
    <xf numFmtId="0" fontId="35" fillId="4" borderId="34" xfId="0" applyNumberFormat="1" applyFont="1" applyFill="1" applyBorder="1" applyAlignment="1">
      <alignment horizontal="center" wrapText="1"/>
    </xf>
    <xf numFmtId="0" fontId="0" fillId="0" borderId="34" xfId="0" applyNumberFormat="1" applyBorder="1" applyAlignment="1">
      <alignment horizontal="center" wrapText="1"/>
    </xf>
    <xf numFmtId="0" fontId="48" fillId="4" borderId="34" xfId="0" applyNumberFormat="1" applyFont="1" applyFill="1" applyBorder="1" applyAlignment="1">
      <alignment horizontal="center" wrapText="1"/>
    </xf>
    <xf numFmtId="0" fontId="49" fillId="0" borderId="34" xfId="0" applyNumberFormat="1" applyFont="1" applyBorder="1" applyAlignment="1">
      <alignment horizontal="center" wrapText="1"/>
    </xf>
    <xf numFmtId="193" fontId="16" fillId="0" borderId="1" xfId="15" applyNumberFormat="1" applyFont="1" applyFill="1" applyBorder="1" applyAlignment="1" applyProtection="1">
      <alignment horizontal="right" vertical="center"/>
      <protection/>
    </xf>
    <xf numFmtId="192" fontId="16" fillId="0" borderId="1" xfId="15" applyNumberFormat="1" applyFont="1" applyFill="1" applyBorder="1" applyAlignment="1" applyProtection="1">
      <alignment horizontal="right" vertical="center"/>
      <protection/>
    </xf>
    <xf numFmtId="200" fontId="16" fillId="0" borderId="1" xfId="0" applyNumberFormat="1" applyFont="1" applyFill="1" applyBorder="1" applyAlignment="1">
      <alignment horizontal="right" vertical="center"/>
    </xf>
    <xf numFmtId="193" fontId="16" fillId="0" borderId="1" xfId="0" applyNumberFormat="1" applyFont="1" applyFill="1" applyBorder="1" applyAlignment="1">
      <alignment horizontal="right" vertical="center"/>
    </xf>
    <xf numFmtId="0" fontId="16" fillId="0" borderId="1" xfId="0" applyFont="1" applyFill="1" applyBorder="1" applyAlignment="1" applyProtection="1">
      <alignment horizontal="center" vertical="center"/>
      <protection locked="0"/>
    </xf>
    <xf numFmtId="193" fontId="43" fillId="0" borderId="1" xfId="15" applyNumberFormat="1" applyFont="1" applyFill="1" applyBorder="1" applyAlignment="1" applyProtection="1">
      <alignment horizontal="right" vertical="center"/>
      <protection locked="0"/>
    </xf>
    <xf numFmtId="200" fontId="16" fillId="0" borderId="1" xfId="15" applyNumberFormat="1" applyFont="1" applyFill="1" applyBorder="1" applyAlignment="1" applyProtection="1">
      <alignment horizontal="right" vertical="center"/>
      <protection locked="0"/>
    </xf>
    <xf numFmtId="193" fontId="16" fillId="0" borderId="1" xfId="15" applyNumberFormat="1" applyFont="1" applyFill="1" applyBorder="1" applyAlignment="1" applyProtection="1">
      <alignment horizontal="right" vertical="center"/>
      <protection locked="0"/>
    </xf>
    <xf numFmtId="193" fontId="16" fillId="0" borderId="1" xfId="22" applyNumberFormat="1" applyFont="1" applyFill="1" applyBorder="1" applyAlignment="1" applyProtection="1">
      <alignment horizontal="right" vertical="center"/>
      <protection/>
    </xf>
    <xf numFmtId="192" fontId="16" fillId="0" borderId="1" xfId="22" applyNumberFormat="1" applyFont="1" applyFill="1" applyBorder="1" applyAlignment="1" applyProtection="1">
      <alignment horizontal="right" vertical="center"/>
      <protection/>
    </xf>
    <xf numFmtId="193" fontId="43" fillId="0" borderId="1" xfId="15" applyNumberFormat="1" applyFont="1" applyFill="1" applyBorder="1" applyAlignment="1" applyProtection="1">
      <alignment horizontal="right" vertical="center"/>
      <protection/>
    </xf>
    <xf numFmtId="200" fontId="16" fillId="0" borderId="1" xfId="15" applyNumberFormat="1" applyFont="1" applyFill="1" applyBorder="1" applyAlignment="1" applyProtection="1">
      <alignment horizontal="right" vertical="center"/>
      <protection/>
    </xf>
    <xf numFmtId="49" fontId="16"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xf>
    <xf numFmtId="193" fontId="43" fillId="0" borderId="1" xfId="0" applyNumberFormat="1" applyFont="1" applyFill="1" applyBorder="1" applyAlignment="1" applyProtection="1">
      <alignment horizontal="right" vertical="center"/>
      <protection/>
    </xf>
    <xf numFmtId="200" fontId="16" fillId="0" borderId="1" xfId="0" applyNumberFormat="1" applyFont="1" applyFill="1" applyBorder="1" applyAlignment="1" applyProtection="1">
      <alignment horizontal="right" vertical="center"/>
      <protection/>
    </xf>
    <xf numFmtId="193" fontId="16" fillId="0" borderId="1" xfId="0" applyNumberFormat="1" applyFont="1" applyFill="1" applyBorder="1" applyAlignment="1" applyProtection="1">
      <alignment horizontal="right" vertical="center"/>
      <protection/>
    </xf>
    <xf numFmtId="0" fontId="16" fillId="0" borderId="38"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7" xfId="0" applyFont="1" applyFill="1" applyBorder="1" applyAlignment="1">
      <alignment horizontal="center" vertical="center"/>
    </xf>
    <xf numFmtId="200" fontId="43" fillId="0" borderId="27" xfId="0" applyNumberFormat="1" applyFont="1" applyFill="1" applyBorder="1" applyAlignment="1">
      <alignment horizontal="right" vertical="center"/>
    </xf>
    <xf numFmtId="193" fontId="43" fillId="0" borderId="27" xfId="0" applyNumberFormat="1" applyFont="1" applyFill="1" applyBorder="1" applyAlignment="1">
      <alignment horizontal="right" vertical="center"/>
    </xf>
    <xf numFmtId="193" fontId="16" fillId="0" borderId="27" xfId="15" applyNumberFormat="1" applyFont="1" applyFill="1" applyBorder="1" applyAlignment="1" applyProtection="1">
      <alignment horizontal="right" vertical="center"/>
      <protection/>
    </xf>
    <xf numFmtId="192" fontId="16" fillId="0" borderId="27" xfId="15" applyNumberFormat="1" applyFont="1" applyFill="1" applyBorder="1" applyAlignment="1" applyProtection="1">
      <alignment horizontal="right" vertical="center"/>
      <protection/>
    </xf>
    <xf numFmtId="200" fontId="16" fillId="0" borderId="27" xfId="0" applyNumberFormat="1" applyFont="1" applyFill="1" applyBorder="1" applyAlignment="1">
      <alignment horizontal="right" vertical="center"/>
    </xf>
    <xf numFmtId="193" fontId="16" fillId="0" borderId="27" xfId="0" applyNumberFormat="1" applyFont="1" applyFill="1" applyBorder="1" applyAlignment="1">
      <alignment horizontal="right" vertical="center"/>
    </xf>
    <xf numFmtId="192" fontId="16" fillId="0" borderId="30" xfId="15" applyNumberFormat="1" applyFont="1" applyFill="1" applyBorder="1" applyAlignment="1" applyProtection="1">
      <alignment horizontal="right" vertical="center"/>
      <protection/>
    </xf>
    <xf numFmtId="192" fontId="16" fillId="0" borderId="2" xfId="15" applyNumberFormat="1" applyFont="1" applyFill="1" applyBorder="1" applyAlignment="1" applyProtection="1">
      <alignment horizontal="right" vertical="center"/>
      <protection/>
    </xf>
    <xf numFmtId="192" fontId="16" fillId="0" borderId="2" xfId="0" applyNumberFormat="1" applyFont="1" applyFill="1" applyBorder="1" applyAlignment="1">
      <alignment horizontal="right" vertical="center"/>
    </xf>
    <xf numFmtId="192" fontId="16" fillId="0" borderId="2" xfId="22" applyNumberFormat="1" applyFont="1" applyFill="1" applyBorder="1" applyAlignment="1" applyProtection="1">
      <alignment horizontal="right" vertical="center"/>
      <protection/>
    </xf>
    <xf numFmtId="192" fontId="16" fillId="0" borderId="2" xfId="0" applyNumberFormat="1" applyFont="1" applyFill="1" applyBorder="1" applyAlignment="1" applyProtection="1">
      <alignment horizontal="right" vertical="center"/>
      <protection/>
    </xf>
    <xf numFmtId="0" fontId="16" fillId="0" borderId="25" xfId="0" applyFont="1" applyFill="1" applyBorder="1" applyAlignment="1">
      <alignment horizontal="left" vertical="center"/>
    </xf>
    <xf numFmtId="0" fontId="16" fillId="0" borderId="4" xfId="0" applyFont="1" applyFill="1" applyBorder="1" applyAlignment="1">
      <alignment horizontal="center" vertical="center"/>
    </xf>
    <xf numFmtId="200" fontId="43" fillId="0" borderId="4" xfId="0" applyNumberFormat="1" applyFont="1" applyFill="1" applyBorder="1" applyAlignment="1">
      <alignment horizontal="right" vertical="center"/>
    </xf>
    <xf numFmtId="193" fontId="43" fillId="0" borderId="4" xfId="0" applyNumberFormat="1" applyFont="1" applyFill="1" applyBorder="1" applyAlignment="1">
      <alignment horizontal="right" vertical="center"/>
    </xf>
    <xf numFmtId="193" fontId="16" fillId="0" borderId="4" xfId="15" applyNumberFormat="1" applyFont="1" applyFill="1" applyBorder="1" applyAlignment="1" applyProtection="1">
      <alignment horizontal="right" vertical="center"/>
      <protection/>
    </xf>
    <xf numFmtId="192" fontId="16" fillId="0" borderId="4" xfId="15" applyNumberFormat="1" applyFont="1" applyFill="1" applyBorder="1" applyAlignment="1" applyProtection="1">
      <alignment horizontal="right" vertical="center"/>
      <protection/>
    </xf>
    <xf numFmtId="200" fontId="16" fillId="0" borderId="4" xfId="0" applyNumberFormat="1" applyFont="1" applyFill="1" applyBorder="1" applyAlignment="1">
      <alignment horizontal="right" vertical="center"/>
    </xf>
    <xf numFmtId="193" fontId="16" fillId="0" borderId="4" xfId="0" applyNumberFormat="1" applyFont="1" applyFill="1" applyBorder="1" applyAlignment="1">
      <alignment horizontal="right" vertical="center"/>
    </xf>
    <xf numFmtId="192" fontId="16" fillId="0" borderId="26" xfId="22" applyNumberFormat="1" applyFont="1" applyFill="1" applyBorder="1" applyAlignment="1" applyProtection="1">
      <alignment horizontal="right" vertical="center"/>
      <protection/>
    </xf>
    <xf numFmtId="0" fontId="16" fillId="0" borderId="47" xfId="0" applyFont="1" applyFill="1" applyBorder="1" applyAlignment="1" applyProtection="1">
      <alignment horizontal="left" vertical="center"/>
      <protection locked="0"/>
    </xf>
    <xf numFmtId="0" fontId="16" fillId="0"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center"/>
      <protection locked="0"/>
    </xf>
    <xf numFmtId="200" fontId="43" fillId="0" borderId="13" xfId="15" applyNumberFormat="1" applyFont="1" applyFill="1" applyBorder="1" applyAlignment="1" applyProtection="1">
      <alignment horizontal="right" vertical="center"/>
      <protection/>
    </xf>
    <xf numFmtId="193" fontId="43" fillId="0" borderId="13" xfId="15" applyNumberFormat="1" applyFont="1" applyFill="1" applyBorder="1" applyAlignment="1" applyProtection="1">
      <alignment horizontal="right" vertical="center"/>
      <protection/>
    </xf>
    <xf numFmtId="193" fontId="16" fillId="0" borderId="13" xfId="15" applyNumberFormat="1" applyFont="1" applyFill="1" applyBorder="1" applyAlignment="1" applyProtection="1">
      <alignment horizontal="right" vertical="center"/>
      <protection/>
    </xf>
    <xf numFmtId="192" fontId="16" fillId="0" borderId="13" xfId="15" applyNumberFormat="1" applyFont="1" applyFill="1" applyBorder="1" applyAlignment="1" applyProtection="1">
      <alignment horizontal="right" vertical="center"/>
      <protection/>
    </xf>
    <xf numFmtId="200" fontId="16" fillId="0" borderId="13" xfId="15" applyNumberFormat="1" applyFont="1" applyFill="1" applyBorder="1" applyAlignment="1" applyProtection="1">
      <alignment horizontal="right" vertical="center"/>
      <protection/>
    </xf>
    <xf numFmtId="193" fontId="16" fillId="0" borderId="13" xfId="0" applyNumberFormat="1" applyFont="1" applyFill="1" applyBorder="1" applyAlignment="1">
      <alignment horizontal="right" vertical="center"/>
    </xf>
    <xf numFmtId="192" fontId="16" fillId="0" borderId="23" xfId="22" applyNumberFormat="1" applyFont="1" applyFill="1" applyBorder="1" applyAlignment="1" applyProtection="1">
      <alignment horizontal="right" vertical="center"/>
      <protection/>
    </xf>
    <xf numFmtId="0" fontId="16" fillId="0" borderId="48"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16" xfId="0" applyFont="1" applyFill="1" applyBorder="1" applyAlignment="1">
      <alignment horizontal="center" vertical="center"/>
    </xf>
    <xf numFmtId="200" fontId="43" fillId="0" borderId="16" xfId="0" applyNumberFormat="1" applyFont="1" applyFill="1" applyBorder="1" applyAlignment="1">
      <alignment horizontal="right" vertical="center"/>
    </xf>
    <xf numFmtId="193" fontId="43" fillId="0" borderId="16" xfId="0" applyNumberFormat="1" applyFont="1" applyFill="1" applyBorder="1" applyAlignment="1">
      <alignment horizontal="right" vertical="center"/>
    </xf>
    <xf numFmtId="193" fontId="16" fillId="0" borderId="16" xfId="22" applyNumberFormat="1" applyFont="1" applyFill="1" applyBorder="1" applyAlignment="1" applyProtection="1">
      <alignment horizontal="right" vertical="center"/>
      <protection/>
    </xf>
    <xf numFmtId="192" fontId="16" fillId="0" borderId="16" xfId="22" applyNumberFormat="1" applyFont="1" applyFill="1" applyBorder="1" applyAlignment="1" applyProtection="1">
      <alignment horizontal="right" vertical="center"/>
      <protection/>
    </xf>
    <xf numFmtId="200" fontId="16" fillId="0" borderId="16" xfId="0" applyNumberFormat="1" applyFont="1" applyFill="1" applyBorder="1" applyAlignment="1">
      <alignment horizontal="right" vertical="center"/>
    </xf>
    <xf numFmtId="193" fontId="16" fillId="0" borderId="16" xfId="0" applyNumberFormat="1" applyFont="1" applyFill="1" applyBorder="1" applyAlignment="1">
      <alignment horizontal="right" vertical="center"/>
    </xf>
    <xf numFmtId="192" fontId="16" fillId="0" borderId="17" xfId="0" applyNumberFormat="1" applyFont="1" applyFill="1" applyBorder="1" applyAlignment="1">
      <alignment horizontal="right" vertical="center"/>
    </xf>
    <xf numFmtId="49" fontId="16" fillId="0" borderId="21" xfId="0" applyNumberFormat="1" applyFont="1" applyFill="1" applyBorder="1" applyAlignment="1" applyProtection="1">
      <alignment horizontal="left" vertical="center"/>
      <protection locked="0"/>
    </xf>
    <xf numFmtId="184" fontId="16" fillId="0" borderId="0" xfId="0" applyNumberFormat="1" applyFont="1" applyFill="1" applyBorder="1" applyAlignment="1" applyProtection="1">
      <alignment horizontal="center" vertical="center"/>
      <protection locked="0"/>
    </xf>
    <xf numFmtId="4" fontId="16" fillId="0" borderId="0" xfId="0" applyNumberFormat="1" applyFont="1" applyFill="1" applyBorder="1" applyAlignment="1" applyProtection="1">
      <alignment horizontal="left" vertical="center"/>
      <protection locked="0"/>
    </xf>
    <xf numFmtId="200" fontId="43" fillId="0" borderId="0" xfId="15" applyNumberFormat="1" applyFont="1" applyFill="1" applyBorder="1" applyAlignment="1" applyProtection="1">
      <alignment vertical="center"/>
      <protection locked="0"/>
    </xf>
    <xf numFmtId="193" fontId="43" fillId="0" borderId="49" xfId="15" applyNumberFormat="1" applyFont="1" applyFill="1" applyBorder="1" applyAlignment="1" applyProtection="1">
      <alignment vertical="center"/>
      <protection locked="0"/>
    </xf>
    <xf numFmtId="200" fontId="16" fillId="0" borderId="1" xfId="0" applyNumberFormat="1" applyFont="1" applyFill="1" applyBorder="1" applyAlignment="1">
      <alignment vertical="center"/>
    </xf>
    <xf numFmtId="200" fontId="16" fillId="0" borderId="1" xfId="15" applyNumberFormat="1" applyFont="1" applyFill="1" applyBorder="1" applyAlignment="1" applyProtection="1">
      <alignment vertical="center"/>
      <protection locked="0"/>
    </xf>
    <xf numFmtId="200" fontId="16" fillId="0" borderId="1" xfId="19" applyNumberFormat="1" applyFont="1" applyFill="1" applyBorder="1" applyAlignment="1">
      <alignment vertical="center"/>
      <protection/>
    </xf>
    <xf numFmtId="200" fontId="16" fillId="0" borderId="1" xfId="0" applyNumberFormat="1" applyFont="1" applyFill="1" applyBorder="1" applyAlignment="1" applyProtection="1">
      <alignment vertical="center"/>
      <protection/>
    </xf>
    <xf numFmtId="192" fontId="16" fillId="0" borderId="30" xfId="22" applyNumberFormat="1" applyFont="1" applyFill="1" applyBorder="1" applyAlignment="1" applyProtection="1">
      <alignment horizontal="right" vertical="center"/>
      <protection/>
    </xf>
    <xf numFmtId="49" fontId="16" fillId="0" borderId="25" xfId="0" applyNumberFormat="1" applyFont="1" applyFill="1" applyBorder="1" applyAlignment="1">
      <alignment horizontal="left" vertical="center"/>
    </xf>
    <xf numFmtId="197" fontId="16" fillId="0" borderId="4" xfId="0" applyNumberFormat="1" applyFont="1" applyFill="1" applyBorder="1" applyAlignment="1">
      <alignment horizontal="left" vertical="center"/>
    </xf>
    <xf numFmtId="49" fontId="16" fillId="0" borderId="4" xfId="0" applyNumberFormat="1" applyFont="1" applyFill="1" applyBorder="1" applyAlignment="1">
      <alignment horizontal="left" vertical="center"/>
    </xf>
    <xf numFmtId="3" fontId="16" fillId="0" borderId="4" xfId="0" applyNumberFormat="1" applyFont="1" applyFill="1" applyBorder="1" applyAlignment="1">
      <alignment horizontal="center" vertical="center"/>
    </xf>
    <xf numFmtId="192" fontId="16" fillId="0" borderId="26" xfId="0" applyNumberFormat="1" applyFont="1" applyFill="1" applyBorder="1" applyAlignment="1">
      <alignment horizontal="right" vertical="center"/>
    </xf>
    <xf numFmtId="184" fontId="16" fillId="0" borderId="13" xfId="0" applyNumberFormat="1" applyFont="1" applyFill="1" applyBorder="1" applyAlignment="1" applyProtection="1">
      <alignment horizontal="left" vertical="center"/>
      <protection locked="0"/>
    </xf>
    <xf numFmtId="200" fontId="16" fillId="0" borderId="13" xfId="15" applyNumberFormat="1" applyFont="1" applyFill="1" applyBorder="1" applyAlignment="1" applyProtection="1">
      <alignment horizontal="right" vertical="center"/>
      <protection locked="0"/>
    </xf>
    <xf numFmtId="193" fontId="16" fillId="0" borderId="13" xfId="15" applyNumberFormat="1" applyFont="1" applyFill="1" applyBorder="1" applyAlignment="1" applyProtection="1">
      <alignment horizontal="right" vertical="center"/>
      <protection locked="0"/>
    </xf>
    <xf numFmtId="192" fontId="16" fillId="0" borderId="23" xfId="15" applyNumberFormat="1" applyFont="1" applyFill="1" applyBorder="1" applyAlignment="1" applyProtection="1">
      <alignment horizontal="right" vertical="center"/>
      <protection/>
    </xf>
    <xf numFmtId="0" fontId="16" fillId="0" borderId="48" xfId="0" applyFont="1" applyFill="1" applyBorder="1" applyAlignment="1" applyProtection="1">
      <alignment horizontal="left" vertical="center"/>
      <protection locked="0"/>
    </xf>
    <xf numFmtId="184" fontId="16" fillId="0" borderId="16" xfId="0" applyNumberFormat="1"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6" fillId="0" borderId="16" xfId="0" applyFont="1" applyFill="1" applyBorder="1" applyAlignment="1" applyProtection="1">
      <alignment horizontal="center" vertical="center"/>
      <protection locked="0"/>
    </xf>
    <xf numFmtId="200" fontId="16" fillId="0" borderId="16" xfId="15" applyNumberFormat="1" applyFont="1" applyFill="1" applyBorder="1" applyAlignment="1" applyProtection="1">
      <alignment horizontal="right" vertical="center"/>
      <protection locked="0"/>
    </xf>
    <xf numFmtId="193" fontId="16" fillId="0" borderId="16" xfId="15" applyNumberFormat="1" applyFont="1" applyFill="1" applyBorder="1" applyAlignment="1" applyProtection="1">
      <alignment horizontal="right" vertical="center"/>
      <protection locked="0"/>
    </xf>
    <xf numFmtId="192" fontId="16" fillId="0" borderId="17" xfId="15" applyNumberFormat="1" applyFont="1" applyFill="1" applyBorder="1" applyAlignment="1" applyProtection="1">
      <alignment horizontal="right" vertical="center"/>
      <protection/>
    </xf>
  </cellXfs>
  <cellStyles count="9">
    <cellStyle name="Normal" xfId="0"/>
    <cellStyle name="Comma" xfId="15"/>
    <cellStyle name="Comma [0]" xfId="16"/>
    <cellStyle name="Followed Hyperlink" xfId="17"/>
    <cellStyle name="Hyperlink" xfId="18"/>
    <cellStyle name="Normal_Sayfa1"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Box 1"/>
        <xdr:cNvSpPr txBox="1">
          <a:spLocks noChangeArrowheads="1"/>
        </xdr:cNvSpPr>
      </xdr:nvSpPr>
      <xdr:spPr>
        <a:xfrm>
          <a:off x="19050" y="38100"/>
          <a:ext cx="12458700" cy="1057275"/>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11</xdr:col>
      <xdr:colOff>104775</xdr:colOff>
      <xdr:row>0</xdr:row>
      <xdr:rowOff>466725</xdr:rowOff>
    </xdr:from>
    <xdr:to>
      <xdr:col>14</xdr:col>
      <xdr:colOff>400050</xdr:colOff>
      <xdr:row>0</xdr:row>
      <xdr:rowOff>1066800</xdr:rowOff>
    </xdr:to>
    <xdr:sp fLocksText="0">
      <xdr:nvSpPr>
        <xdr:cNvPr id="2" name="TextBox 2"/>
        <xdr:cNvSpPr txBox="1">
          <a:spLocks noChangeArrowheads="1"/>
        </xdr:cNvSpPr>
      </xdr:nvSpPr>
      <xdr:spPr>
        <a:xfrm>
          <a:off x="10029825" y="466725"/>
          <a:ext cx="2371725" cy="600075"/>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 17
</a:t>
          </a:r>
          <a:r>
            <a:rPr lang="en-US" cap="none" sz="1600" b="0" i="0" u="none" baseline="0">
              <a:solidFill>
                <a:srgbClr val="FFFFFF"/>
              </a:solidFill>
              <a:latin typeface="Impact"/>
              <a:ea typeface="Impact"/>
              <a:cs typeface="Impact"/>
            </a:rPr>
            <a:t>20 - 26  Apr' '07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19</xdr:row>
      <xdr:rowOff>57150</xdr:rowOff>
    </xdr:from>
    <xdr:to>
      <xdr:col>22</xdr:col>
      <xdr:colOff>209550</xdr:colOff>
      <xdr:row>60</xdr:row>
      <xdr:rowOff>142875</xdr:rowOff>
    </xdr:to>
    <xdr:sp>
      <xdr:nvSpPr>
        <xdr:cNvPr id="1" name="TextBox 1"/>
        <xdr:cNvSpPr txBox="1">
          <a:spLocks noChangeArrowheads="1"/>
        </xdr:cNvSpPr>
      </xdr:nvSpPr>
      <xdr:spPr>
        <a:xfrm>
          <a:off x="57150" y="3495675"/>
          <a:ext cx="10172700" cy="1352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sng" baseline="0">
              <a:latin typeface="Arial"/>
              <a:ea typeface="Arial"/>
              <a:cs typeface="Arial"/>
            </a:rPr>
            <a:t>
a:</a:t>
          </a:r>
          <a:r>
            <a:rPr lang="en-US" cap="none" sz="1000" b="0" i="0" u="none" baseline="0">
              <a:latin typeface="Arial"/>
              <a:ea typeface="Arial"/>
              <a:cs typeface="Arial"/>
            </a:rPr>
            <a:t> hafta numarasını, </a:t>
          </a:r>
          <a:r>
            <a:rPr lang="en-US" cap="none" sz="1000" b="1" i="0" u="sng" baseline="0">
              <a:latin typeface="Arial"/>
              <a:ea typeface="Arial"/>
              <a:cs typeface="Arial"/>
            </a:rPr>
            <a:t>b:</a:t>
          </a:r>
          <a:r>
            <a:rPr lang="en-US" cap="none" sz="1000" b="0" i="0" u="none" baseline="0">
              <a:latin typeface="Arial"/>
              <a:ea typeface="Arial"/>
              <a:cs typeface="Arial"/>
            </a:rPr>
            <a:t> tarih aralığını,</a:t>
          </a:r>
          <a:r>
            <a:rPr lang="en-US" cap="none" sz="1000" b="1" i="0" u="none" baseline="0">
              <a:latin typeface="Arial"/>
              <a:ea typeface="Arial"/>
              <a:cs typeface="Arial"/>
            </a:rPr>
            <a:t> </a:t>
          </a:r>
          <a:r>
            <a:rPr lang="en-US" cap="none" sz="1000" b="1" i="0" u="sng" baseline="0">
              <a:latin typeface="Arial"/>
              <a:ea typeface="Arial"/>
              <a:cs typeface="Arial"/>
            </a:rPr>
            <a:t>c:</a:t>
          </a:r>
          <a:r>
            <a:rPr lang="en-US" cap="none" sz="1000" b="0" i="0" u="none" baseline="0">
              <a:latin typeface="Arial"/>
              <a:ea typeface="Arial"/>
              <a:cs typeface="Arial"/>
            </a:rPr>
            <a:t> ayı, </a:t>
          </a:r>
          <a:r>
            <a:rPr lang="en-US" cap="none" sz="1000" b="1" i="0" u="sng" baseline="0">
              <a:latin typeface="Arial"/>
              <a:ea typeface="Arial"/>
              <a:cs typeface="Arial"/>
            </a:rPr>
            <a:t>d:</a:t>
          </a:r>
          <a:r>
            <a:rPr lang="en-US" cap="none" sz="1000" b="0" i="0" u="none" baseline="0">
              <a:latin typeface="Arial"/>
              <a:ea typeface="Arial"/>
              <a:cs typeface="Arial"/>
            </a:rPr>
            <a:t> o hafta dağıtım yapan firma sayısını, </a:t>
          </a:r>
          <a:r>
            <a:rPr lang="en-US" cap="none" sz="1000" b="1" i="0" u="sng" baseline="0">
              <a:latin typeface="Arial"/>
              <a:ea typeface="Arial"/>
              <a:cs typeface="Arial"/>
            </a:rPr>
            <a:t>e:</a:t>
          </a:r>
          <a:r>
            <a:rPr lang="en-US" cap="none" sz="1000" b="0" i="0" u="none" baseline="0">
              <a:latin typeface="Arial"/>
              <a:ea typeface="Arial"/>
              <a:cs typeface="Arial"/>
            </a:rPr>
            <a:t> o hafta dağıtım yapmayan firma sayısını, </a:t>
          </a:r>
          <a:r>
            <a:rPr lang="en-US" cap="none" sz="1000" b="1" i="0" u="sng" baseline="0">
              <a:latin typeface="Arial"/>
              <a:ea typeface="Arial"/>
              <a:cs typeface="Arial"/>
            </a:rPr>
            <a:t>f:</a:t>
          </a:r>
          <a:r>
            <a:rPr lang="en-US" cap="none" sz="1000" b="0" i="0" u="none" baseline="0">
              <a:latin typeface="Arial"/>
              <a:ea typeface="Arial"/>
              <a:cs typeface="Arial"/>
            </a:rPr>
            <a:t> o hafta sinemalarda gösterilen film sayısını, </a:t>
          </a:r>
          <a:r>
            <a:rPr lang="en-US" cap="none" sz="1000" b="1" i="0" u="sng" baseline="0">
              <a:latin typeface="Arial"/>
              <a:ea typeface="Arial"/>
              <a:cs typeface="Arial"/>
            </a:rPr>
            <a:t>g:</a:t>
          </a:r>
          <a:r>
            <a:rPr lang="en-US" cap="none" sz="1000" b="0" i="0" u="none" baseline="0">
              <a:latin typeface="Arial"/>
              <a:ea typeface="Arial"/>
              <a:cs typeface="Arial"/>
            </a:rPr>
            <a:t> toplam hasılatı, </a:t>
          </a:r>
          <a:r>
            <a:rPr lang="en-US" cap="none" sz="1000" b="1" i="0" u="sng" baseline="0">
              <a:latin typeface="Arial"/>
              <a:ea typeface="Arial"/>
              <a:cs typeface="Arial"/>
            </a:rPr>
            <a:t>h:</a:t>
          </a:r>
          <a:r>
            <a:rPr lang="en-US" cap="none" sz="1000" b="0" i="0" u="none" baseline="0">
              <a:latin typeface="Arial"/>
              <a:ea typeface="Arial"/>
              <a:cs typeface="Arial"/>
            </a:rPr>
            <a:t> toplam seyirci sayısını, </a:t>
          </a:r>
          <a:r>
            <a:rPr lang="en-US" cap="none" sz="1000" b="1" i="0" u="none" baseline="0">
              <a:latin typeface="Arial"/>
              <a:ea typeface="Arial"/>
              <a:cs typeface="Arial"/>
            </a:rPr>
            <a:t>ı:</a:t>
          </a:r>
          <a:r>
            <a:rPr lang="en-US" cap="none" sz="1000" b="0" i="0" u="none" baseline="0">
              <a:latin typeface="Arial"/>
              <a:ea typeface="Arial"/>
              <a:cs typeface="Arial"/>
            </a:rPr>
            <a:t> en fazla hasılat yapan dağıtımcı firmayı,</a:t>
          </a:r>
          <a:r>
            <a:rPr lang="en-US" cap="none" sz="1000" b="1" i="0" u="none" baseline="0">
              <a:latin typeface="Arial"/>
              <a:ea typeface="Arial"/>
              <a:cs typeface="Arial"/>
            </a:rPr>
            <a:t> </a:t>
          </a:r>
          <a:r>
            <a:rPr lang="en-US" cap="none" sz="1000" b="1" i="0" u="sng" baseline="0">
              <a:latin typeface="Arial"/>
              <a:ea typeface="Arial"/>
              <a:cs typeface="Arial"/>
            </a:rPr>
            <a:t>j:</a:t>
          </a:r>
          <a:r>
            <a:rPr lang="en-US" cap="none" sz="1000" b="0" i="0" u="none" baseline="0">
              <a:latin typeface="Arial"/>
              <a:ea typeface="Arial"/>
              <a:cs typeface="Arial"/>
            </a:rPr>
            <a:t> hafta birincisi firmanın toplam hasılatını, </a:t>
          </a:r>
          <a:r>
            <a:rPr lang="en-US" cap="none" sz="1000" b="1" i="0" u="sng" baseline="0">
              <a:latin typeface="Arial"/>
              <a:ea typeface="Arial"/>
              <a:cs typeface="Arial"/>
            </a:rPr>
            <a:t>k:</a:t>
          </a:r>
          <a:r>
            <a:rPr lang="en-US" cap="none" sz="1000" b="0" i="0" u="none" baseline="0">
              <a:latin typeface="Arial"/>
              <a:ea typeface="Arial"/>
              <a:cs typeface="Arial"/>
            </a:rPr>
            <a:t> aynı firmanın toplam ulaştığı seyirci sayısını, </a:t>
          </a:r>
          <a:r>
            <a:rPr lang="en-US" cap="none" sz="1000" b="1" i="0" u="sng" baseline="0">
              <a:latin typeface="Arial"/>
              <a:ea typeface="Arial"/>
              <a:cs typeface="Arial"/>
            </a:rPr>
            <a:t>l:</a:t>
          </a:r>
          <a:r>
            <a:rPr lang="en-US" cap="none" sz="1000" b="0" i="0" u="none" baseline="0">
              <a:latin typeface="Arial"/>
              <a:ea typeface="Arial"/>
              <a:cs typeface="Arial"/>
            </a:rPr>
            <a:t> birinci firmanın toplam seyirci üzerindeki yüzdesini, </a:t>
          </a:r>
          <a:r>
            <a:rPr lang="en-US" cap="none" sz="1000" b="1" i="0" u="sng" baseline="0">
              <a:latin typeface="Arial"/>
              <a:ea typeface="Arial"/>
              <a:cs typeface="Arial"/>
            </a:rPr>
            <a:t>m:</a:t>
          </a:r>
          <a:r>
            <a:rPr lang="en-US" cap="none" sz="1000" b="0" i="0" u="none" baseline="0">
              <a:latin typeface="Arial"/>
              <a:ea typeface="Arial"/>
              <a:cs typeface="Arial"/>
            </a:rPr>
            <a:t> o hafta ilk kez gösterilen film sayısını, </a:t>
          </a:r>
          <a:r>
            <a:rPr lang="en-US" cap="none" sz="1000" b="1" i="0" u="sng" baseline="0">
              <a:latin typeface="Arial"/>
              <a:ea typeface="Arial"/>
              <a:cs typeface="Arial"/>
            </a:rPr>
            <a:t>n:</a:t>
          </a:r>
          <a:r>
            <a:rPr lang="en-US" cap="none" sz="1000" b="0" i="0" u="none" baseline="0">
              <a:latin typeface="Arial"/>
              <a:ea typeface="Arial"/>
              <a:cs typeface="Arial"/>
            </a:rPr>
            <a:t> bu yeni filmlerin toplam hasılatını, </a:t>
          </a:r>
          <a:r>
            <a:rPr lang="en-US" cap="none" sz="1000" b="1" i="0" u="sng" baseline="0">
              <a:latin typeface="Arial"/>
              <a:ea typeface="Arial"/>
              <a:cs typeface="Arial"/>
            </a:rPr>
            <a:t>o:</a:t>
          </a:r>
          <a:r>
            <a:rPr lang="en-US" cap="none" sz="1000" b="0" i="0" u="none" baseline="0">
              <a:latin typeface="Arial"/>
              <a:ea typeface="Arial"/>
              <a:cs typeface="Arial"/>
            </a:rPr>
            <a:t> aynı filmlerin seyirci sayısını, </a:t>
          </a:r>
          <a:r>
            <a:rPr lang="en-US" cap="none" sz="1000" b="1" i="0" u="sng" baseline="0">
              <a:latin typeface="Arial"/>
              <a:ea typeface="Arial"/>
              <a:cs typeface="Arial"/>
            </a:rPr>
            <a:t>p:</a:t>
          </a:r>
          <a:r>
            <a:rPr lang="en-US" cap="none" sz="1000" b="0" i="0" u="none" baseline="0">
              <a:latin typeface="Arial"/>
              <a:ea typeface="Arial"/>
              <a:cs typeface="Arial"/>
            </a:rPr>
            <a:t> yeni filmlerin toplam seyirci sayısı üzerindeki yüzdesini, </a:t>
          </a:r>
          <a:r>
            <a:rPr lang="en-US" cap="none" sz="1000" b="1" i="0" u="sng" baseline="0">
              <a:latin typeface="Arial"/>
              <a:ea typeface="Arial"/>
              <a:cs typeface="Arial"/>
            </a:rPr>
            <a:t>q:</a:t>
          </a:r>
          <a:r>
            <a:rPr lang="en-US" cap="none" sz="1000" b="0" i="0" u="none" baseline="0">
              <a:latin typeface="Arial"/>
              <a:ea typeface="Arial"/>
              <a:cs typeface="Arial"/>
            </a:rPr>
            <a:t> o hafta gösterilen yerli film sayısını, </a:t>
          </a:r>
          <a:r>
            <a:rPr lang="en-US" cap="none" sz="1000" b="1" i="0" u="sng" baseline="0">
              <a:latin typeface="Arial"/>
              <a:ea typeface="Arial"/>
              <a:cs typeface="Arial"/>
            </a:rPr>
            <a:t>r:</a:t>
          </a:r>
          <a:r>
            <a:rPr lang="en-US" cap="none" sz="1000" b="0" i="0" u="none" baseline="0">
              <a:latin typeface="Arial"/>
              <a:ea typeface="Arial"/>
              <a:cs typeface="Arial"/>
            </a:rPr>
            <a:t> bu filmlerin toplam hasılatını, </a:t>
          </a:r>
          <a:r>
            <a:rPr lang="en-US" cap="none" sz="1000" b="1" i="0" u="sng" baseline="0">
              <a:latin typeface="Arial"/>
              <a:ea typeface="Arial"/>
              <a:cs typeface="Arial"/>
            </a:rPr>
            <a:t>s:</a:t>
          </a:r>
          <a:r>
            <a:rPr lang="en-US" cap="none" sz="1000" b="0" i="0" u="none" baseline="0">
              <a:latin typeface="Arial"/>
              <a:ea typeface="Arial"/>
              <a:cs typeface="Arial"/>
            </a:rPr>
            <a:t> aynı filmlerin toplam seyirci sayısını, </a:t>
          </a:r>
          <a:r>
            <a:rPr lang="en-US" cap="none" sz="1000" b="1" i="0" u="sng" baseline="0">
              <a:latin typeface="Arial"/>
              <a:ea typeface="Arial"/>
              <a:cs typeface="Arial"/>
            </a:rPr>
            <a:t>t:</a:t>
          </a:r>
          <a:r>
            <a:rPr lang="en-US" cap="none" sz="1000" b="0" i="0" u="none" baseline="0">
              <a:latin typeface="Arial"/>
              <a:ea typeface="Arial"/>
              <a:cs typeface="Arial"/>
            </a:rPr>
            <a:t> yerli filmlerin toplam seyirci sayısı üzerindeki yüzdesini, </a:t>
          </a:r>
          <a:r>
            <a:rPr lang="en-US" cap="none" sz="1000" b="1" i="0" u="sng" baseline="0">
              <a:latin typeface="Arial"/>
              <a:ea typeface="Arial"/>
              <a:cs typeface="Arial"/>
            </a:rPr>
            <a:t>u:</a:t>
          </a:r>
          <a:r>
            <a:rPr lang="en-US" cap="none" sz="1000" b="0" i="0" u="none" baseline="0">
              <a:latin typeface="Arial"/>
              <a:ea typeface="Arial"/>
              <a:cs typeface="Arial"/>
            </a:rPr>
            <a:t> o hafta en fazla seyircinin izlediği filmi, </a:t>
          </a:r>
          <a:r>
            <a:rPr lang="en-US" cap="none" sz="1000" b="1" i="0" u="sng" baseline="0">
              <a:latin typeface="Arial"/>
              <a:ea typeface="Arial"/>
              <a:cs typeface="Arial"/>
            </a:rPr>
            <a:t>v:</a:t>
          </a:r>
          <a:r>
            <a:rPr lang="en-US" cap="none" sz="1000" b="0" i="0" u="none" baseline="0">
              <a:latin typeface="Arial"/>
              <a:ea typeface="Arial"/>
              <a:cs typeface="Arial"/>
            </a:rPr>
            <a:t> bu filmin ulaştığı seyirci sayısını ve </a:t>
          </a:r>
          <a:r>
            <a:rPr lang="en-US" cap="none" sz="1000" b="1" i="0" u="sng" baseline="0">
              <a:latin typeface="Arial"/>
              <a:ea typeface="Arial"/>
              <a:cs typeface="Arial"/>
            </a:rPr>
            <a:t>w:</a:t>
          </a:r>
          <a:r>
            <a:rPr lang="en-US" cap="none" sz="1000" b="0" i="0" u="none" baseline="0">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14"/>
  <sheetViews>
    <sheetView showGridLines="0" tabSelected="1" zoomScale="55" zoomScaleNormal="55"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2.7109375" style="52" customWidth="1"/>
    <col min="2" max="2" width="35.57421875" style="4" bestFit="1" customWidth="1"/>
    <col min="3" max="3" width="9.7109375" style="12" bestFit="1" customWidth="1"/>
    <col min="4" max="4" width="17.140625" style="16" bestFit="1" customWidth="1"/>
    <col min="5" max="5" width="19.8515625" style="16" customWidth="1"/>
    <col min="6" max="6" width="11.00390625" style="6" customWidth="1"/>
    <col min="7" max="7" width="8.57421875" style="6" bestFit="1" customWidth="1"/>
    <col min="8" max="8" width="11.00390625" style="6" customWidth="1"/>
    <col min="9" max="9" width="15.00390625" style="48" bestFit="1" customWidth="1"/>
    <col min="10" max="10" width="9.28125" style="95" bestFit="1" customWidth="1"/>
    <col min="11" max="11" width="9.00390625" style="37" customWidth="1"/>
    <col min="12" max="12" width="7.140625" style="25" customWidth="1"/>
    <col min="13" max="13" width="13.421875" style="19" bestFit="1" customWidth="1"/>
    <col min="14" max="14" width="10.57421875" style="37" customWidth="1"/>
    <col min="15" max="15" width="7.140625" style="44" customWidth="1"/>
    <col min="16" max="16" width="3.00390625" style="242" bestFit="1" customWidth="1"/>
    <col min="17" max="16384" width="9.140625" style="4" customWidth="1"/>
  </cols>
  <sheetData>
    <row r="1" spans="1:16" s="2" customFormat="1" ht="90.75" customHeight="1">
      <c r="A1" s="51"/>
      <c r="B1" s="1"/>
      <c r="C1" s="10"/>
      <c r="D1" s="14"/>
      <c r="E1" s="14"/>
      <c r="F1" s="5"/>
      <c r="G1" s="5"/>
      <c r="H1" s="5"/>
      <c r="I1" s="45"/>
      <c r="J1" s="93"/>
      <c r="K1" s="35"/>
      <c r="L1" s="24"/>
      <c r="M1" s="17"/>
      <c r="N1" s="20"/>
      <c r="O1" s="41"/>
      <c r="P1" s="242"/>
    </row>
    <row r="2" spans="1:16" s="9" customFormat="1" ht="27.75" thickBot="1">
      <c r="A2" s="356" t="s">
        <v>72</v>
      </c>
      <c r="B2" s="357"/>
      <c r="C2" s="357"/>
      <c r="D2" s="357"/>
      <c r="E2" s="357"/>
      <c r="F2" s="357"/>
      <c r="G2" s="357"/>
      <c r="H2" s="357"/>
      <c r="I2" s="357"/>
      <c r="J2" s="357"/>
      <c r="K2" s="357"/>
      <c r="L2" s="357"/>
      <c r="M2" s="357"/>
      <c r="N2" s="357"/>
      <c r="O2" s="357"/>
      <c r="P2" s="242"/>
    </row>
    <row r="3" spans="1:16" s="38" customFormat="1" ht="16.5">
      <c r="A3" s="75"/>
      <c r="B3" s="362" t="s">
        <v>1</v>
      </c>
      <c r="C3" s="367" t="s">
        <v>2</v>
      </c>
      <c r="D3" s="363" t="s">
        <v>54</v>
      </c>
      <c r="E3" s="363" t="s">
        <v>53</v>
      </c>
      <c r="F3" s="360" t="s">
        <v>3</v>
      </c>
      <c r="G3" s="360" t="s">
        <v>10</v>
      </c>
      <c r="H3" s="364" t="s">
        <v>18</v>
      </c>
      <c r="I3" s="366" t="s">
        <v>4</v>
      </c>
      <c r="J3" s="366"/>
      <c r="K3" s="366"/>
      <c r="L3" s="366"/>
      <c r="M3" s="358" t="s">
        <v>5</v>
      </c>
      <c r="N3" s="358"/>
      <c r="O3" s="359"/>
      <c r="P3" s="243"/>
    </row>
    <row r="4" spans="1:16" s="38" customFormat="1" ht="43.5" thickBot="1">
      <c r="A4" s="76"/>
      <c r="B4" s="361"/>
      <c r="C4" s="368"/>
      <c r="D4" s="361"/>
      <c r="E4" s="361"/>
      <c r="F4" s="361"/>
      <c r="G4" s="361"/>
      <c r="H4" s="365"/>
      <c r="I4" s="297" t="s">
        <v>6</v>
      </c>
      <c r="J4" s="298" t="s">
        <v>7</v>
      </c>
      <c r="K4" s="298" t="s">
        <v>106</v>
      </c>
      <c r="L4" s="299" t="s">
        <v>8</v>
      </c>
      <c r="M4" s="297" t="s">
        <v>6</v>
      </c>
      <c r="N4" s="298" t="s">
        <v>7</v>
      </c>
      <c r="O4" s="300" t="s">
        <v>9</v>
      </c>
      <c r="P4" s="243"/>
    </row>
    <row r="5" spans="1:16" s="3" customFormat="1" ht="15">
      <c r="A5" s="270">
        <v>1</v>
      </c>
      <c r="B5" s="426" t="s">
        <v>400</v>
      </c>
      <c r="C5" s="183">
        <v>39192</v>
      </c>
      <c r="D5" s="427" t="s">
        <v>57</v>
      </c>
      <c r="E5" s="427" t="s">
        <v>401</v>
      </c>
      <c r="F5" s="428">
        <v>173</v>
      </c>
      <c r="G5" s="428">
        <v>181</v>
      </c>
      <c r="H5" s="428">
        <v>1</v>
      </c>
      <c r="I5" s="429">
        <v>1408397</v>
      </c>
      <c r="J5" s="430">
        <v>189829</v>
      </c>
      <c r="K5" s="431">
        <f>J5/G5</f>
        <v>1048.779005524862</v>
      </c>
      <c r="L5" s="432">
        <f>I5/J5</f>
        <v>7.419293153311664</v>
      </c>
      <c r="M5" s="433">
        <v>1408397</v>
      </c>
      <c r="N5" s="434">
        <v>189829</v>
      </c>
      <c r="O5" s="435">
        <f>+M5/N5</f>
        <v>7.419293153311664</v>
      </c>
      <c r="P5" s="242"/>
    </row>
    <row r="6" spans="1:16" s="3" customFormat="1" ht="15">
      <c r="A6" s="103">
        <v>2</v>
      </c>
      <c r="B6" s="246" t="s">
        <v>402</v>
      </c>
      <c r="C6" s="116">
        <v>39192</v>
      </c>
      <c r="D6" s="127" t="s">
        <v>56</v>
      </c>
      <c r="E6" s="126" t="s">
        <v>61</v>
      </c>
      <c r="F6" s="413">
        <v>71</v>
      </c>
      <c r="G6" s="413">
        <v>74</v>
      </c>
      <c r="H6" s="413">
        <v>1</v>
      </c>
      <c r="I6" s="255">
        <v>650722</v>
      </c>
      <c r="J6" s="414">
        <v>69605</v>
      </c>
      <c r="K6" s="409">
        <f>J6/G6</f>
        <v>940.6081081081081</v>
      </c>
      <c r="L6" s="410">
        <f>I6/J6</f>
        <v>9.34878241505639</v>
      </c>
      <c r="M6" s="415">
        <v>650722</v>
      </c>
      <c r="N6" s="416">
        <v>69605</v>
      </c>
      <c r="O6" s="436">
        <f>+M6/N6</f>
        <v>9.34878241505639</v>
      </c>
      <c r="P6" s="242"/>
    </row>
    <row r="7" spans="1:16" s="3" customFormat="1" ht="15">
      <c r="A7" s="271">
        <v>3</v>
      </c>
      <c r="B7" s="459" t="s">
        <v>403</v>
      </c>
      <c r="C7" s="354">
        <v>39192</v>
      </c>
      <c r="D7" s="460" t="s">
        <v>58</v>
      </c>
      <c r="E7" s="460" t="s">
        <v>66</v>
      </c>
      <c r="F7" s="461">
        <v>79</v>
      </c>
      <c r="G7" s="461">
        <v>79</v>
      </c>
      <c r="H7" s="461">
        <v>1</v>
      </c>
      <c r="I7" s="462">
        <v>407730</v>
      </c>
      <c r="J7" s="463">
        <v>48903</v>
      </c>
      <c r="K7" s="464">
        <f>+J7/G7</f>
        <v>619.0253164556962</v>
      </c>
      <c r="L7" s="465">
        <f>+I7/J7</f>
        <v>8.337525305196</v>
      </c>
      <c r="M7" s="466">
        <f>407730</f>
        <v>407730</v>
      </c>
      <c r="N7" s="467">
        <f>48903</f>
        <v>48903</v>
      </c>
      <c r="O7" s="468">
        <f>M7/N7</f>
        <v>8.337525305196</v>
      </c>
      <c r="P7" s="242"/>
    </row>
    <row r="8" spans="1:16" s="3" customFormat="1" ht="15">
      <c r="A8" s="270">
        <v>4</v>
      </c>
      <c r="B8" s="449" t="s">
        <v>404</v>
      </c>
      <c r="C8" s="350">
        <v>39185</v>
      </c>
      <c r="D8" s="450" t="s">
        <v>48</v>
      </c>
      <c r="E8" s="450" t="s">
        <v>375</v>
      </c>
      <c r="F8" s="451">
        <v>111</v>
      </c>
      <c r="G8" s="451">
        <v>111</v>
      </c>
      <c r="H8" s="451">
        <v>2</v>
      </c>
      <c r="I8" s="452">
        <v>359055.5</v>
      </c>
      <c r="J8" s="453">
        <v>47361</v>
      </c>
      <c r="K8" s="454">
        <f>J8/G8</f>
        <v>426.6756756756757</v>
      </c>
      <c r="L8" s="455">
        <f>I8/J8</f>
        <v>7.581248284453453</v>
      </c>
      <c r="M8" s="456">
        <f>550873+359055.5</f>
        <v>909928.5</v>
      </c>
      <c r="N8" s="457">
        <f>70778+47361</f>
        <v>118139</v>
      </c>
      <c r="O8" s="458">
        <f>IF(M8&lt;&gt;0,M8/N8,"")</f>
        <v>7.702185561076359</v>
      </c>
      <c r="P8" s="242"/>
    </row>
    <row r="9" spans="1:16" s="7" customFormat="1" ht="15">
      <c r="A9" s="103">
        <v>5</v>
      </c>
      <c r="B9" s="247" t="s">
        <v>376</v>
      </c>
      <c r="C9" s="117">
        <v>39185</v>
      </c>
      <c r="D9" s="128" t="s">
        <v>57</v>
      </c>
      <c r="E9" s="128" t="s">
        <v>65</v>
      </c>
      <c r="F9" s="118">
        <v>55</v>
      </c>
      <c r="G9" s="118">
        <v>56</v>
      </c>
      <c r="H9" s="118">
        <v>2</v>
      </c>
      <c r="I9" s="254">
        <v>224175</v>
      </c>
      <c r="J9" s="122">
        <v>25804</v>
      </c>
      <c r="K9" s="409">
        <f>J9/G9</f>
        <v>460.7857142857143</v>
      </c>
      <c r="L9" s="410">
        <f>I9/J9</f>
        <v>8.6876065726244</v>
      </c>
      <c r="M9" s="411">
        <v>554791</v>
      </c>
      <c r="N9" s="412">
        <v>63324</v>
      </c>
      <c r="O9" s="436">
        <f>+M9/N9</f>
        <v>8.761149011433265</v>
      </c>
      <c r="P9" s="242"/>
    </row>
    <row r="10" spans="1:16" s="7" customFormat="1" ht="15">
      <c r="A10" s="103">
        <v>6</v>
      </c>
      <c r="B10" s="249" t="s">
        <v>310</v>
      </c>
      <c r="C10" s="116">
        <v>39157</v>
      </c>
      <c r="D10" s="129" t="s">
        <v>45</v>
      </c>
      <c r="E10" s="129" t="s">
        <v>311</v>
      </c>
      <c r="F10" s="421" t="s">
        <v>353</v>
      </c>
      <c r="G10" s="421" t="s">
        <v>405</v>
      </c>
      <c r="H10" s="421" t="s">
        <v>349</v>
      </c>
      <c r="I10" s="255">
        <v>217590</v>
      </c>
      <c r="J10" s="414">
        <v>32865</v>
      </c>
      <c r="K10" s="417">
        <f>+J10/G10</f>
        <v>369.2696629213483</v>
      </c>
      <c r="L10" s="418">
        <f>+I10/J10</f>
        <v>6.620721131903241</v>
      </c>
      <c r="M10" s="415">
        <v>3360335</v>
      </c>
      <c r="N10" s="416">
        <v>481598</v>
      </c>
      <c r="O10" s="437">
        <f>M10/N10</f>
        <v>6.977468760252327</v>
      </c>
      <c r="P10" s="242"/>
    </row>
    <row r="11" spans="1:16" s="7" customFormat="1" ht="15">
      <c r="A11" s="103">
        <v>7</v>
      </c>
      <c r="B11" s="247" t="s">
        <v>351</v>
      </c>
      <c r="C11" s="117">
        <v>39178</v>
      </c>
      <c r="D11" s="128" t="s">
        <v>55</v>
      </c>
      <c r="E11" s="128" t="s">
        <v>352</v>
      </c>
      <c r="F11" s="118">
        <v>55</v>
      </c>
      <c r="G11" s="118">
        <v>54</v>
      </c>
      <c r="H11" s="118">
        <v>3</v>
      </c>
      <c r="I11" s="254">
        <v>181996</v>
      </c>
      <c r="J11" s="122">
        <v>20898</v>
      </c>
      <c r="K11" s="417">
        <f>+J11/G11</f>
        <v>387</v>
      </c>
      <c r="L11" s="418">
        <f>+I11/J11</f>
        <v>8.708775959421954</v>
      </c>
      <c r="M11" s="411">
        <v>1231589.08</v>
      </c>
      <c r="N11" s="412">
        <v>138346</v>
      </c>
      <c r="O11" s="438">
        <f>+M11/N11</f>
        <v>8.902238445636304</v>
      </c>
      <c r="P11" s="242"/>
    </row>
    <row r="12" spans="1:16" s="7" customFormat="1" ht="15">
      <c r="A12" s="103">
        <v>8</v>
      </c>
      <c r="B12" s="249" t="s">
        <v>377</v>
      </c>
      <c r="C12" s="116">
        <v>39185</v>
      </c>
      <c r="D12" s="129" t="s">
        <v>45</v>
      </c>
      <c r="E12" s="129" t="s">
        <v>378</v>
      </c>
      <c r="F12" s="421" t="s">
        <v>379</v>
      </c>
      <c r="G12" s="421" t="s">
        <v>406</v>
      </c>
      <c r="H12" s="421" t="s">
        <v>37</v>
      </c>
      <c r="I12" s="255">
        <v>158233.5</v>
      </c>
      <c r="J12" s="414">
        <v>21115</v>
      </c>
      <c r="K12" s="417">
        <f>+J12/G12</f>
        <v>211.15</v>
      </c>
      <c r="L12" s="418">
        <f>+I12/J12</f>
        <v>7.493890599100165</v>
      </c>
      <c r="M12" s="415">
        <v>487347.5</v>
      </c>
      <c r="N12" s="416">
        <v>63176</v>
      </c>
      <c r="O12" s="437">
        <f>M12/N12</f>
        <v>7.71412403444346</v>
      </c>
      <c r="P12" s="242"/>
    </row>
    <row r="13" spans="1:16" s="7" customFormat="1" ht="15">
      <c r="A13" s="103">
        <v>9</v>
      </c>
      <c r="B13" s="247" t="s">
        <v>342</v>
      </c>
      <c r="C13" s="117">
        <v>39171</v>
      </c>
      <c r="D13" s="128" t="s">
        <v>57</v>
      </c>
      <c r="E13" s="128" t="s">
        <v>60</v>
      </c>
      <c r="F13" s="118">
        <v>88</v>
      </c>
      <c r="G13" s="118">
        <v>88</v>
      </c>
      <c r="H13" s="118">
        <v>4</v>
      </c>
      <c r="I13" s="254">
        <v>125675</v>
      </c>
      <c r="J13" s="122">
        <v>19360</v>
      </c>
      <c r="K13" s="417">
        <f>+J13/G13</f>
        <v>220</v>
      </c>
      <c r="L13" s="418">
        <f>+I13/J13</f>
        <v>6.4914772727272725</v>
      </c>
      <c r="M13" s="411">
        <v>1021419</v>
      </c>
      <c r="N13" s="412">
        <v>130068</v>
      </c>
      <c r="O13" s="438">
        <f>+M13/N13</f>
        <v>7.852961527816219</v>
      </c>
      <c r="P13" s="242"/>
    </row>
    <row r="14" spans="1:16" s="7" customFormat="1" ht="15">
      <c r="A14" s="103">
        <v>10</v>
      </c>
      <c r="B14" s="249" t="s">
        <v>380</v>
      </c>
      <c r="C14" s="116">
        <v>39185</v>
      </c>
      <c r="D14" s="129" t="s">
        <v>73</v>
      </c>
      <c r="E14" s="129" t="s">
        <v>135</v>
      </c>
      <c r="F14" s="421" t="s">
        <v>381</v>
      </c>
      <c r="G14" s="421" t="s">
        <v>381</v>
      </c>
      <c r="H14" s="421" t="s">
        <v>37</v>
      </c>
      <c r="I14" s="255">
        <v>115179.5</v>
      </c>
      <c r="J14" s="414">
        <v>11455</v>
      </c>
      <c r="K14" s="409">
        <f>J14/G14</f>
        <v>272.73809523809524</v>
      </c>
      <c r="L14" s="410">
        <f>I14/J14</f>
        <v>10.054954168485377</v>
      </c>
      <c r="M14" s="415">
        <v>319280</v>
      </c>
      <c r="N14" s="416">
        <v>32207</v>
      </c>
      <c r="O14" s="438">
        <f>IF(M14&lt;&gt;0,M14/N14,"")</f>
        <v>9.913372869252026</v>
      </c>
      <c r="P14" s="242"/>
    </row>
    <row r="15" spans="1:16" s="7" customFormat="1" ht="15">
      <c r="A15" s="103">
        <v>11</v>
      </c>
      <c r="B15" s="246">
        <v>300</v>
      </c>
      <c r="C15" s="116">
        <v>39157</v>
      </c>
      <c r="D15" s="127" t="s">
        <v>56</v>
      </c>
      <c r="E15" s="126" t="s">
        <v>11</v>
      </c>
      <c r="F15" s="413">
        <v>112</v>
      </c>
      <c r="G15" s="413">
        <v>75</v>
      </c>
      <c r="H15" s="413">
        <v>6</v>
      </c>
      <c r="I15" s="255">
        <v>112364</v>
      </c>
      <c r="J15" s="414">
        <v>20817</v>
      </c>
      <c r="K15" s="409">
        <f>J15/G15</f>
        <v>277.56</v>
      </c>
      <c r="L15" s="410">
        <f>I15/J15</f>
        <v>5.397703799779027</v>
      </c>
      <c r="M15" s="415">
        <f>3267435+1511269+807013+389417+224450+112364</f>
        <v>6311948</v>
      </c>
      <c r="N15" s="416">
        <f>400017+186496+98693+49874+35249+20817</f>
        <v>791146</v>
      </c>
      <c r="O15" s="436">
        <f>+M15/N15</f>
        <v>7.978234105967799</v>
      </c>
      <c r="P15" s="242"/>
    </row>
    <row r="16" spans="1:16" s="7" customFormat="1" ht="15">
      <c r="A16" s="103">
        <v>12</v>
      </c>
      <c r="B16" s="248" t="s">
        <v>354</v>
      </c>
      <c r="C16" s="117">
        <v>39178</v>
      </c>
      <c r="D16" s="132" t="s">
        <v>23</v>
      </c>
      <c r="E16" s="131" t="s">
        <v>27</v>
      </c>
      <c r="F16" s="120">
        <v>43</v>
      </c>
      <c r="G16" s="120">
        <v>39</v>
      </c>
      <c r="H16" s="120">
        <v>3</v>
      </c>
      <c r="I16" s="254">
        <v>75988</v>
      </c>
      <c r="J16" s="122">
        <v>10255</v>
      </c>
      <c r="K16" s="409">
        <f>J16/G16</f>
        <v>262.94871794871796</v>
      </c>
      <c r="L16" s="410">
        <f>I16/J16</f>
        <v>7.409848854217455</v>
      </c>
      <c r="M16" s="411">
        <f>334660+186251+75988</f>
        <v>596899</v>
      </c>
      <c r="N16" s="412">
        <f>37459+21078+10255</f>
        <v>68792</v>
      </c>
      <c r="O16" s="436">
        <f>+M16/N16</f>
        <v>8.676866496104198</v>
      </c>
      <c r="P16" s="242"/>
    </row>
    <row r="17" spans="1:16" s="7" customFormat="1" ht="15">
      <c r="A17" s="103">
        <v>13</v>
      </c>
      <c r="B17" s="247" t="s">
        <v>407</v>
      </c>
      <c r="C17" s="117">
        <v>39192</v>
      </c>
      <c r="D17" s="128" t="s">
        <v>58</v>
      </c>
      <c r="E17" s="128" t="s">
        <v>367</v>
      </c>
      <c r="F17" s="118">
        <v>30</v>
      </c>
      <c r="G17" s="118">
        <v>30</v>
      </c>
      <c r="H17" s="118">
        <v>1</v>
      </c>
      <c r="I17" s="254">
        <v>71030</v>
      </c>
      <c r="J17" s="122">
        <v>8415</v>
      </c>
      <c r="K17" s="409">
        <f>J17/G17</f>
        <v>280.5</v>
      </c>
      <c r="L17" s="410">
        <f>I17/J17</f>
        <v>8.440879382055853</v>
      </c>
      <c r="M17" s="411">
        <f>71030</f>
        <v>71030</v>
      </c>
      <c r="N17" s="412">
        <f>8415</f>
        <v>8415</v>
      </c>
      <c r="O17" s="437">
        <f>M17/N17</f>
        <v>8.440879382055853</v>
      </c>
      <c r="P17" s="242"/>
    </row>
    <row r="18" spans="1:16" s="7" customFormat="1" ht="15">
      <c r="A18" s="103">
        <v>14</v>
      </c>
      <c r="B18" s="247" t="s">
        <v>343</v>
      </c>
      <c r="C18" s="117">
        <v>39164</v>
      </c>
      <c r="D18" s="128" t="s">
        <v>58</v>
      </c>
      <c r="E18" s="128" t="s">
        <v>301</v>
      </c>
      <c r="F18" s="118">
        <v>40</v>
      </c>
      <c r="G18" s="118">
        <v>37</v>
      </c>
      <c r="H18" s="118">
        <v>5</v>
      </c>
      <c r="I18" s="254">
        <v>68185</v>
      </c>
      <c r="J18" s="122">
        <v>12080</v>
      </c>
      <c r="K18" s="417">
        <f>+J18/G18</f>
        <v>326.4864864864865</v>
      </c>
      <c r="L18" s="418">
        <f>+I18/J18</f>
        <v>5.644453642384106</v>
      </c>
      <c r="M18" s="411">
        <f>452783.5+369193.5-156.5+194527+1+121223+68185</f>
        <v>1205756.5</v>
      </c>
      <c r="N18" s="412">
        <f>49233+40219-14+22195+17046+12080</f>
        <v>140759</v>
      </c>
      <c r="O18" s="438">
        <f>IF(M18&lt;&gt;0,M18/N18,"")</f>
        <v>8.566105897313848</v>
      </c>
      <c r="P18" s="242"/>
    </row>
    <row r="19" spans="1:16" s="7" customFormat="1" ht="15">
      <c r="A19" s="103">
        <v>15</v>
      </c>
      <c r="B19" s="246" t="s">
        <v>327</v>
      </c>
      <c r="C19" s="116">
        <v>39164</v>
      </c>
      <c r="D19" s="126" t="s">
        <v>48</v>
      </c>
      <c r="E19" s="126" t="s">
        <v>70</v>
      </c>
      <c r="F19" s="413">
        <v>119</v>
      </c>
      <c r="G19" s="413">
        <v>83</v>
      </c>
      <c r="H19" s="413">
        <v>5</v>
      </c>
      <c r="I19" s="257">
        <v>61538</v>
      </c>
      <c r="J19" s="419">
        <v>11505</v>
      </c>
      <c r="K19" s="409">
        <f>J19/G19</f>
        <v>138.6144578313253</v>
      </c>
      <c r="L19" s="410">
        <f>I19/J19</f>
        <v>5.348804867448935</v>
      </c>
      <c r="M19" s="420">
        <f>712448.5+409036+169662.5+70281+61538</f>
        <v>1422966</v>
      </c>
      <c r="N19" s="412">
        <f>87225+51382+22920+11657+11505</f>
        <v>184689</v>
      </c>
      <c r="O19" s="438">
        <f>IF(M19&lt;&gt;0,M19/N19,"")</f>
        <v>7.704660266718646</v>
      </c>
      <c r="P19" s="242"/>
    </row>
    <row r="20" spans="1:16" s="7" customFormat="1" ht="15">
      <c r="A20" s="103">
        <v>16</v>
      </c>
      <c r="B20" s="247" t="s">
        <v>382</v>
      </c>
      <c r="C20" s="117">
        <v>39185</v>
      </c>
      <c r="D20" s="128" t="s">
        <v>58</v>
      </c>
      <c r="E20" s="128" t="s">
        <v>66</v>
      </c>
      <c r="F20" s="118">
        <v>32</v>
      </c>
      <c r="G20" s="118">
        <v>32</v>
      </c>
      <c r="H20" s="118">
        <v>2</v>
      </c>
      <c r="I20" s="254">
        <v>53175.5</v>
      </c>
      <c r="J20" s="122">
        <v>5688</v>
      </c>
      <c r="K20" s="417">
        <f>+J20/G20</f>
        <v>177.75</v>
      </c>
      <c r="L20" s="418">
        <f>+I20/J20</f>
        <v>9.348716596343179</v>
      </c>
      <c r="M20" s="411">
        <f>108639+53175.5</f>
        <v>161814.5</v>
      </c>
      <c r="N20" s="412">
        <f>11660+5688</f>
        <v>17348</v>
      </c>
      <c r="O20" s="438">
        <f>IF(M20&lt;&gt;0,M20/N20,"")</f>
        <v>9.327559372838367</v>
      </c>
      <c r="P20" s="242"/>
    </row>
    <row r="21" spans="1:16" s="7" customFormat="1" ht="15">
      <c r="A21" s="103">
        <v>17</v>
      </c>
      <c r="B21" s="246" t="s">
        <v>355</v>
      </c>
      <c r="C21" s="116">
        <v>39178</v>
      </c>
      <c r="D21" s="127" t="s">
        <v>56</v>
      </c>
      <c r="E21" s="126" t="s">
        <v>356</v>
      </c>
      <c r="F21" s="413">
        <v>34</v>
      </c>
      <c r="G21" s="413">
        <v>24</v>
      </c>
      <c r="H21" s="413">
        <v>3</v>
      </c>
      <c r="I21" s="255">
        <v>40207</v>
      </c>
      <c r="J21" s="414">
        <v>4159</v>
      </c>
      <c r="K21" s="409">
        <f>J21/G21</f>
        <v>173.29166666666666</v>
      </c>
      <c r="L21" s="410">
        <f>I21/J21</f>
        <v>9.667468141380139</v>
      </c>
      <c r="M21" s="415">
        <f>223196+134862+40207</f>
        <v>398265</v>
      </c>
      <c r="N21" s="416">
        <f>21768+13324+4159</f>
        <v>39251</v>
      </c>
      <c r="O21" s="436">
        <f>+M21/N21</f>
        <v>10.146620468268324</v>
      </c>
      <c r="P21" s="242"/>
    </row>
    <row r="22" spans="1:16" s="7" customFormat="1" ht="15">
      <c r="A22" s="103">
        <v>18</v>
      </c>
      <c r="B22" s="249" t="s">
        <v>292</v>
      </c>
      <c r="C22" s="116">
        <v>39157</v>
      </c>
      <c r="D22" s="129" t="s">
        <v>45</v>
      </c>
      <c r="E22" s="129" t="s">
        <v>346</v>
      </c>
      <c r="F22" s="421" t="s">
        <v>291</v>
      </c>
      <c r="G22" s="421" t="s">
        <v>408</v>
      </c>
      <c r="H22" s="421" t="s">
        <v>303</v>
      </c>
      <c r="I22" s="255">
        <v>20843.5</v>
      </c>
      <c r="J22" s="414">
        <v>4571</v>
      </c>
      <c r="K22" s="409">
        <f>J22/G22</f>
        <v>142.84375</v>
      </c>
      <c r="L22" s="410">
        <f>I22/J22</f>
        <v>4.5599431196674685</v>
      </c>
      <c r="M22" s="415">
        <v>2013932.5</v>
      </c>
      <c r="N22" s="416">
        <v>266396</v>
      </c>
      <c r="O22" s="437">
        <f>M22/N22</f>
        <v>7.5599201939969065</v>
      </c>
      <c r="P22" s="242"/>
    </row>
    <row r="23" spans="1:16" s="7" customFormat="1" ht="15">
      <c r="A23" s="103">
        <v>19</v>
      </c>
      <c r="B23" s="249" t="s">
        <v>361</v>
      </c>
      <c r="C23" s="116">
        <v>39143</v>
      </c>
      <c r="D23" s="129" t="s">
        <v>73</v>
      </c>
      <c r="E23" s="129" t="s">
        <v>135</v>
      </c>
      <c r="F23" s="421" t="s">
        <v>288</v>
      </c>
      <c r="G23" s="421" t="s">
        <v>385</v>
      </c>
      <c r="H23" s="421" t="s">
        <v>303</v>
      </c>
      <c r="I23" s="255">
        <v>14139.15</v>
      </c>
      <c r="J23" s="414">
        <v>2386</v>
      </c>
      <c r="K23" s="417">
        <f>+J23/G23</f>
        <v>70.17647058823529</v>
      </c>
      <c r="L23" s="418">
        <f>+I23/J23</f>
        <v>5.925880134115674</v>
      </c>
      <c r="M23" s="415">
        <v>941663.65</v>
      </c>
      <c r="N23" s="416">
        <v>127622</v>
      </c>
      <c r="O23" s="437">
        <f>M23/N23</f>
        <v>7.3785370077259405</v>
      </c>
      <c r="P23" s="242"/>
    </row>
    <row r="24" spans="1:16" s="7" customFormat="1" ht="15">
      <c r="A24" s="103">
        <v>20</v>
      </c>
      <c r="B24" s="246" t="s">
        <v>319</v>
      </c>
      <c r="C24" s="116">
        <v>39164</v>
      </c>
      <c r="D24" s="127" t="s">
        <v>56</v>
      </c>
      <c r="E24" s="126" t="s">
        <v>11</v>
      </c>
      <c r="F24" s="413">
        <v>67</v>
      </c>
      <c r="G24" s="413">
        <v>14</v>
      </c>
      <c r="H24" s="413">
        <v>5</v>
      </c>
      <c r="I24" s="255">
        <v>12988</v>
      </c>
      <c r="J24" s="414">
        <v>2076</v>
      </c>
      <c r="K24" s="409">
        <f>J24/G24</f>
        <v>148.28571428571428</v>
      </c>
      <c r="L24" s="410">
        <f>I24/J24</f>
        <v>6.25626204238921</v>
      </c>
      <c r="M24" s="415">
        <f>7213+744394+558705+271317+50816+12988</f>
        <v>1645433</v>
      </c>
      <c r="N24" s="416">
        <f>773+77628+58862+29936+6447+2076</f>
        <v>175722</v>
      </c>
      <c r="O24" s="436">
        <f>+M24/N24</f>
        <v>9.36384175003699</v>
      </c>
      <c r="P24" s="242"/>
    </row>
    <row r="25" spans="1:16" s="7" customFormat="1" ht="15">
      <c r="A25" s="103">
        <v>21</v>
      </c>
      <c r="B25" s="247" t="s">
        <v>314</v>
      </c>
      <c r="C25" s="117">
        <v>39157</v>
      </c>
      <c r="D25" s="128" t="s">
        <v>58</v>
      </c>
      <c r="E25" s="128" t="s">
        <v>59</v>
      </c>
      <c r="F25" s="118">
        <v>40</v>
      </c>
      <c r="G25" s="118">
        <v>36</v>
      </c>
      <c r="H25" s="118">
        <v>5</v>
      </c>
      <c r="I25" s="254">
        <v>10059</v>
      </c>
      <c r="J25" s="122">
        <v>1902</v>
      </c>
      <c r="K25" s="417">
        <f>+J25/G25</f>
        <v>52.833333333333336</v>
      </c>
      <c r="L25" s="418">
        <f>+I25/J25</f>
        <v>5.288643533123029</v>
      </c>
      <c r="M25" s="411">
        <f>145121+79532.5+31459-84.5+26093+10059</f>
        <v>292180</v>
      </c>
      <c r="N25" s="412">
        <f>16974+9206+3759-9+4636+1902</f>
        <v>36468</v>
      </c>
      <c r="O25" s="439">
        <f>M25/N25</f>
        <v>8.0119556871778</v>
      </c>
      <c r="P25" s="242"/>
    </row>
    <row r="26" spans="1:16" s="7" customFormat="1" ht="15">
      <c r="A26" s="103">
        <v>22</v>
      </c>
      <c r="B26" s="248" t="s">
        <v>165</v>
      </c>
      <c r="C26" s="117">
        <v>39094</v>
      </c>
      <c r="D26" s="132" t="s">
        <v>23</v>
      </c>
      <c r="E26" s="131" t="s">
        <v>69</v>
      </c>
      <c r="F26" s="120">
        <v>42</v>
      </c>
      <c r="G26" s="120">
        <v>15</v>
      </c>
      <c r="H26" s="120">
        <v>14</v>
      </c>
      <c r="I26" s="254">
        <v>8292</v>
      </c>
      <c r="J26" s="122">
        <v>1915</v>
      </c>
      <c r="K26" s="409">
        <f>J26/G26</f>
        <v>127.66666666666667</v>
      </c>
      <c r="L26" s="410">
        <f>I26/J26</f>
        <v>4.330026109660574</v>
      </c>
      <c r="M26" s="411">
        <f>116992.5+114120.5+59552+32990+22575.5+13689.5+13072.5+9182.5+12776+9530.5+3684.5+1508.5+3567.5+3012.5+8292</f>
        <v>424546.5</v>
      </c>
      <c r="N26" s="412">
        <f>13983+14934+8576+5091+3923+2713+2832+1841+2655+2061+838+293+873+585+1915</f>
        <v>63113</v>
      </c>
      <c r="O26" s="437">
        <f>M26/N26</f>
        <v>6.726767860821067</v>
      </c>
      <c r="P26" s="242"/>
    </row>
    <row r="27" spans="1:16" s="7" customFormat="1" ht="15">
      <c r="A27" s="103">
        <v>23</v>
      </c>
      <c r="B27" s="246" t="s">
        <v>344</v>
      </c>
      <c r="C27" s="116">
        <v>39171</v>
      </c>
      <c r="D27" s="127" t="s">
        <v>56</v>
      </c>
      <c r="E27" s="126" t="s">
        <v>345</v>
      </c>
      <c r="F27" s="413">
        <v>68</v>
      </c>
      <c r="G27" s="413">
        <v>11</v>
      </c>
      <c r="H27" s="413">
        <v>4</v>
      </c>
      <c r="I27" s="255">
        <v>5671</v>
      </c>
      <c r="J27" s="414">
        <v>974</v>
      </c>
      <c r="K27" s="409">
        <f>J27/G27</f>
        <v>88.54545454545455</v>
      </c>
      <c r="L27" s="410">
        <f>I27/J27</f>
        <v>5.822381930184805</v>
      </c>
      <c r="M27" s="415">
        <f>270988+95442+28855+5671</f>
        <v>400956</v>
      </c>
      <c r="N27" s="416">
        <f>33356+12721+4525+974</f>
        <v>51576</v>
      </c>
      <c r="O27" s="436">
        <f>+M27/N27</f>
        <v>7.774080967892043</v>
      </c>
      <c r="P27" s="242"/>
    </row>
    <row r="28" spans="1:16" s="7" customFormat="1" ht="15">
      <c r="A28" s="103">
        <v>24</v>
      </c>
      <c r="B28" s="249" t="s">
        <v>347</v>
      </c>
      <c r="C28" s="116">
        <v>39171</v>
      </c>
      <c r="D28" s="129" t="s">
        <v>185</v>
      </c>
      <c r="E28" s="129" t="s">
        <v>185</v>
      </c>
      <c r="F28" s="278">
        <v>20</v>
      </c>
      <c r="G28" s="278">
        <v>3</v>
      </c>
      <c r="H28" s="278">
        <v>4</v>
      </c>
      <c r="I28" s="255">
        <v>5374</v>
      </c>
      <c r="J28" s="414">
        <v>694</v>
      </c>
      <c r="K28" s="409">
        <f>J28/G28</f>
        <v>231.33333333333334</v>
      </c>
      <c r="L28" s="410">
        <f>I28/J28</f>
        <v>7.743515850144092</v>
      </c>
      <c r="M28" s="411">
        <v>223611</v>
      </c>
      <c r="N28" s="412">
        <v>22124</v>
      </c>
      <c r="O28" s="437">
        <f>M28/N28</f>
        <v>10.10716868559031</v>
      </c>
      <c r="P28" s="242"/>
    </row>
    <row r="29" spans="1:16" s="7" customFormat="1" ht="15">
      <c r="A29" s="103">
        <v>25</v>
      </c>
      <c r="B29" s="246" t="s">
        <v>260</v>
      </c>
      <c r="C29" s="116">
        <v>39129</v>
      </c>
      <c r="D29" s="127" t="s">
        <v>56</v>
      </c>
      <c r="E29" s="126" t="s">
        <v>71</v>
      </c>
      <c r="F29" s="413">
        <v>22</v>
      </c>
      <c r="G29" s="413">
        <v>3</v>
      </c>
      <c r="H29" s="413">
        <v>10</v>
      </c>
      <c r="I29" s="255">
        <v>4774</v>
      </c>
      <c r="J29" s="414">
        <v>843</v>
      </c>
      <c r="K29" s="409">
        <f>J29/G29</f>
        <v>281</v>
      </c>
      <c r="L29" s="410">
        <f>I29/J29</f>
        <v>5.6631079478054565</v>
      </c>
      <c r="M29" s="415">
        <f>3941+185955+159407+21968+1379+3205+2474+5929+6445+9026+4774</f>
        <v>404503</v>
      </c>
      <c r="N29" s="416">
        <f>412+17684+15175+2098+198+760+464+1876+1042+1568+843</f>
        <v>42120</v>
      </c>
      <c r="O29" s="436">
        <f>+M29/N29</f>
        <v>9.603584995251662</v>
      </c>
      <c r="P29" s="242"/>
    </row>
    <row r="30" spans="1:16" s="7" customFormat="1" ht="15">
      <c r="A30" s="103">
        <v>26</v>
      </c>
      <c r="B30" s="247" t="s">
        <v>254</v>
      </c>
      <c r="C30" s="117">
        <v>38821</v>
      </c>
      <c r="D30" s="128" t="s">
        <v>58</v>
      </c>
      <c r="E30" s="128" t="s">
        <v>59</v>
      </c>
      <c r="F30" s="118">
        <v>118</v>
      </c>
      <c r="G30" s="118">
        <v>3</v>
      </c>
      <c r="H30" s="118">
        <v>35</v>
      </c>
      <c r="I30" s="254">
        <v>4651.5</v>
      </c>
      <c r="J30" s="122">
        <v>884</v>
      </c>
      <c r="K30" s="409">
        <f>J30/G30</f>
        <v>294.6666666666667</v>
      </c>
      <c r="L30" s="410">
        <f>I30/J30</f>
        <v>5.261877828054299</v>
      </c>
      <c r="M30" s="411">
        <f>1908861+1583540+976953.5+606582.5+358386.5+257458.5+154619+107195+70567+37968.5+18157.5+11925.5+12529.5+11442+10137.5+11279.5+11047+23092+6089.5+13588+1331+1245+48+90+312+4271+1314+128+1008+10+610+1572+5035-409+4651.5</f>
        <v>6212636</v>
      </c>
      <c r="N30" s="412">
        <f>267837+226672+141343+93283+56706+48660+34140+24736+15604+6640+3341+2116+2223+1865+2002+2375+2554+5432+1329+3323+245+218+8+15+52+1073+314+16+252+116+261+1007-77+884</f>
        <v>946565</v>
      </c>
      <c r="O30" s="439">
        <f>M30/N30</f>
        <v>6.563348528627194</v>
      </c>
      <c r="P30" s="242"/>
    </row>
    <row r="31" spans="1:16" s="7" customFormat="1" ht="15">
      <c r="A31" s="103">
        <v>27</v>
      </c>
      <c r="B31" s="247" t="s">
        <v>116</v>
      </c>
      <c r="C31" s="117">
        <v>39073</v>
      </c>
      <c r="D31" s="128" t="s">
        <v>58</v>
      </c>
      <c r="E31" s="128" t="s">
        <v>66</v>
      </c>
      <c r="F31" s="118">
        <v>50</v>
      </c>
      <c r="G31" s="118">
        <v>3</v>
      </c>
      <c r="H31" s="118">
        <v>13</v>
      </c>
      <c r="I31" s="254">
        <v>4621</v>
      </c>
      <c r="J31" s="122">
        <v>1001</v>
      </c>
      <c r="K31" s="409">
        <f>J31/G31</f>
        <v>333.6666666666667</v>
      </c>
      <c r="L31" s="410">
        <f>I31/J31</f>
        <v>4.616383616383616</v>
      </c>
      <c r="M31" s="411">
        <f>145565+155630+55982+15271+7453.5+9440+11300.5+7141.5+2772.5+2945+30+431+4621</f>
        <v>418583</v>
      </c>
      <c r="N31" s="412">
        <f>17748+18932+7628+2641+1317+1724+2010+1184+553+655+5+131+1001</f>
        <v>55529</v>
      </c>
      <c r="O31" s="437">
        <f>M31/N31</f>
        <v>7.538097210466603</v>
      </c>
      <c r="P31" s="242"/>
    </row>
    <row r="32" spans="1:16" s="7" customFormat="1" ht="15">
      <c r="A32" s="103">
        <v>28</v>
      </c>
      <c r="B32" s="121" t="s">
        <v>358</v>
      </c>
      <c r="C32" s="119">
        <v>39178</v>
      </c>
      <c r="D32" s="130" t="s">
        <v>64</v>
      </c>
      <c r="E32" s="130" t="s">
        <v>281</v>
      </c>
      <c r="F32" s="422">
        <v>20</v>
      </c>
      <c r="G32" s="422">
        <v>4</v>
      </c>
      <c r="H32" s="422">
        <v>3</v>
      </c>
      <c r="I32" s="259">
        <v>4232</v>
      </c>
      <c r="J32" s="423">
        <v>823</v>
      </c>
      <c r="K32" s="417">
        <f>+J32/G32</f>
        <v>205.75</v>
      </c>
      <c r="L32" s="418">
        <f>+I32/J32</f>
        <v>5.142162818955042</v>
      </c>
      <c r="M32" s="424">
        <v>53965</v>
      </c>
      <c r="N32" s="425">
        <v>6594</v>
      </c>
      <c r="O32" s="439">
        <f>M32/N32</f>
        <v>8.183955110706703</v>
      </c>
      <c r="P32" s="242"/>
    </row>
    <row r="33" spans="1:16" s="7" customFormat="1" ht="15">
      <c r="A33" s="103">
        <v>29</v>
      </c>
      <c r="B33" s="249" t="s">
        <v>123</v>
      </c>
      <c r="C33" s="116">
        <v>39080</v>
      </c>
      <c r="D33" s="129" t="s">
        <v>45</v>
      </c>
      <c r="E33" s="129" t="s">
        <v>97</v>
      </c>
      <c r="F33" s="421" t="s">
        <v>124</v>
      </c>
      <c r="G33" s="421" t="s">
        <v>326</v>
      </c>
      <c r="H33" s="421" t="s">
        <v>357</v>
      </c>
      <c r="I33" s="255">
        <v>4205.5</v>
      </c>
      <c r="J33" s="414">
        <v>707</v>
      </c>
      <c r="K33" s="409">
        <f>J33/G33</f>
        <v>141.4</v>
      </c>
      <c r="L33" s="410">
        <f>I33/J33</f>
        <v>5.948373408769449</v>
      </c>
      <c r="M33" s="415">
        <v>3049141</v>
      </c>
      <c r="N33" s="416">
        <v>408185</v>
      </c>
      <c r="O33" s="438">
        <f>IF(M33&lt;&gt;0,M33/N33,"")</f>
        <v>7.469997672623933</v>
      </c>
      <c r="P33" s="242"/>
    </row>
    <row r="34" spans="1:16" s="7" customFormat="1" ht="15">
      <c r="A34" s="103">
        <v>30</v>
      </c>
      <c r="B34" s="247" t="s">
        <v>15</v>
      </c>
      <c r="C34" s="117">
        <v>38947</v>
      </c>
      <c r="D34" s="128" t="s">
        <v>58</v>
      </c>
      <c r="E34" s="128" t="s">
        <v>59</v>
      </c>
      <c r="F34" s="118">
        <v>106</v>
      </c>
      <c r="G34" s="118">
        <v>1</v>
      </c>
      <c r="H34" s="118">
        <v>25</v>
      </c>
      <c r="I34" s="254">
        <v>4027.5</v>
      </c>
      <c r="J34" s="122">
        <v>806</v>
      </c>
      <c r="K34" s="417">
        <f>+J34/G34</f>
        <v>806</v>
      </c>
      <c r="L34" s="418">
        <f>+I34/J34</f>
        <v>4.996898263027295</v>
      </c>
      <c r="M34" s="411">
        <f>851045+613251.5+405140+216081+124391+88721.5+33772.5+20268.5+9628+2255.5+1314.5+2611.5+726.5+537.5+1115+625.5+6606+1330.5+1386+-611+1222+4532+530+28400+130+4027.5</f>
        <v>2419038</v>
      </c>
      <c r="N34" s="412">
        <f>116878+84823+56865+31359+21609+17621+6633+4111+1582+390+233+473+110+78+157+95+2946+355+318+132+906+105+5667+18+806</f>
        <v>354270</v>
      </c>
      <c r="O34" s="438">
        <f>IF(M34&lt;&gt;0,M34/N34,"")</f>
        <v>6.828232703869929</v>
      </c>
      <c r="P34" s="242"/>
    </row>
    <row r="35" spans="1:16" s="7" customFormat="1" ht="15">
      <c r="A35" s="103">
        <v>31</v>
      </c>
      <c r="B35" s="248" t="s">
        <v>386</v>
      </c>
      <c r="C35" s="117">
        <v>39185</v>
      </c>
      <c r="D35" s="132" t="s">
        <v>23</v>
      </c>
      <c r="E35" s="131" t="s">
        <v>69</v>
      </c>
      <c r="F35" s="120">
        <v>4</v>
      </c>
      <c r="G35" s="120">
        <v>3</v>
      </c>
      <c r="H35" s="120">
        <v>2</v>
      </c>
      <c r="I35" s="254">
        <v>3919</v>
      </c>
      <c r="J35" s="122">
        <v>548</v>
      </c>
      <c r="K35" s="409">
        <f>J35/G35</f>
        <v>182.66666666666666</v>
      </c>
      <c r="L35" s="410">
        <f>I35/J35</f>
        <v>7.151459854014599</v>
      </c>
      <c r="M35" s="411">
        <f>6769.5+3919</f>
        <v>10688.5</v>
      </c>
      <c r="N35" s="412">
        <f>846+548</f>
        <v>1394</v>
      </c>
      <c r="O35" s="437">
        <f>M35/N35</f>
        <v>7.667503586800574</v>
      </c>
      <c r="P35" s="242"/>
    </row>
    <row r="36" spans="1:16" s="7" customFormat="1" ht="15">
      <c r="A36" s="103">
        <v>32</v>
      </c>
      <c r="B36" s="248" t="s">
        <v>83</v>
      </c>
      <c r="C36" s="117">
        <v>38877</v>
      </c>
      <c r="D36" s="132" t="s">
        <v>23</v>
      </c>
      <c r="E36" s="131" t="s">
        <v>27</v>
      </c>
      <c r="F36" s="120">
        <v>64</v>
      </c>
      <c r="G36" s="120">
        <v>3</v>
      </c>
      <c r="H36" s="120">
        <v>36</v>
      </c>
      <c r="I36" s="254">
        <v>3636.5</v>
      </c>
      <c r="J36" s="122">
        <v>885</v>
      </c>
      <c r="K36" s="417">
        <f>+J36/G36</f>
        <v>295</v>
      </c>
      <c r="L36" s="418">
        <f>+I36/J36</f>
        <v>4.109039548022599</v>
      </c>
      <c r="M36" s="411">
        <f>94169.5+63426.5+19841+16453.5+12618.5+9991+4741+3516+3356+2065.5+678+1792.5+320+299+194+83+215+3730+139+814+787+999+514+709+2925+1298+249+160+755+1105+914+5364.5+789.5+1580.5+6416+3636.5</f>
        <v>266645</v>
      </c>
      <c r="N36" s="412">
        <f>14426+9567+3182+3017+2315+1729+923+616+640+472+129+528+43+81+47+20+45+1220+34+161+225+329+168+228+966+413+62+16+140+285+239+1324+177+370+1604+885</f>
        <v>46626</v>
      </c>
      <c r="O36" s="437">
        <f>M36/N36</f>
        <v>5.7188049586067855</v>
      </c>
      <c r="P36" s="242"/>
    </row>
    <row r="37" spans="1:16" s="7" customFormat="1" ht="15">
      <c r="A37" s="103">
        <v>33</v>
      </c>
      <c r="B37" s="246" t="s">
        <v>188</v>
      </c>
      <c r="C37" s="116">
        <v>39108</v>
      </c>
      <c r="D37" s="127" t="s">
        <v>56</v>
      </c>
      <c r="E37" s="126" t="s">
        <v>11</v>
      </c>
      <c r="F37" s="413">
        <v>131</v>
      </c>
      <c r="G37" s="413">
        <v>6</v>
      </c>
      <c r="H37" s="413">
        <v>13</v>
      </c>
      <c r="I37" s="255">
        <v>3408</v>
      </c>
      <c r="J37" s="414">
        <v>917</v>
      </c>
      <c r="K37" s="409">
        <f>J37/G37</f>
        <v>152.83333333333334</v>
      </c>
      <c r="L37" s="410">
        <f>I37/J37</f>
        <v>3.716466739367503</v>
      </c>
      <c r="M37" s="415">
        <f>3063+1388108+1182918+556749+125580+97410+76666+37161+16470+15161+2005+10200+4397+3408</f>
        <v>3519296</v>
      </c>
      <c r="N37" s="416">
        <f>313+167433+145432+67053+17220+16427+14008+6979+4516+4288+371+2790+932+917</f>
        <v>448679</v>
      </c>
      <c r="O37" s="436">
        <f>+M37/N37</f>
        <v>7.843683346000147</v>
      </c>
      <c r="P37" s="242"/>
    </row>
    <row r="38" spans="1:16" s="7" customFormat="1" ht="15">
      <c r="A38" s="103">
        <v>34</v>
      </c>
      <c r="B38" s="246" t="s">
        <v>293</v>
      </c>
      <c r="C38" s="116">
        <v>39143</v>
      </c>
      <c r="D38" s="127" t="s">
        <v>56</v>
      </c>
      <c r="E38" s="126" t="s">
        <v>71</v>
      </c>
      <c r="F38" s="413">
        <v>77</v>
      </c>
      <c r="G38" s="413">
        <v>4</v>
      </c>
      <c r="H38" s="413">
        <v>8</v>
      </c>
      <c r="I38" s="255">
        <v>3052</v>
      </c>
      <c r="J38" s="414">
        <v>1471</v>
      </c>
      <c r="K38" s="409">
        <f>J38/G38</f>
        <v>367.75</v>
      </c>
      <c r="L38" s="410">
        <f>I38/J38</f>
        <v>2.0747790618626785</v>
      </c>
      <c r="M38" s="415">
        <f>846616+621006+326134+78640+79015+27237+18411+3052</f>
        <v>2000111</v>
      </c>
      <c r="N38" s="416">
        <f>102037+74423+39219+11834+13028+5347+3640+1471</f>
        <v>250999</v>
      </c>
      <c r="O38" s="436">
        <f>+M38/N38</f>
        <v>7.968601468531747</v>
      </c>
      <c r="P38" s="242"/>
    </row>
    <row r="39" spans="1:16" s="7" customFormat="1" ht="15">
      <c r="A39" s="103">
        <v>35</v>
      </c>
      <c r="B39" s="247" t="s">
        <v>169</v>
      </c>
      <c r="C39" s="117">
        <v>38800</v>
      </c>
      <c r="D39" s="128" t="s">
        <v>58</v>
      </c>
      <c r="E39" s="128" t="s">
        <v>59</v>
      </c>
      <c r="F39" s="118">
        <v>92</v>
      </c>
      <c r="G39" s="118">
        <v>1</v>
      </c>
      <c r="H39" s="118">
        <v>21</v>
      </c>
      <c r="I39" s="254">
        <v>3021</v>
      </c>
      <c r="J39" s="122">
        <v>604</v>
      </c>
      <c r="K39" s="409">
        <f>J39/G39</f>
        <v>604</v>
      </c>
      <c r="L39" s="410">
        <f>I39/J39</f>
        <v>5.001655629139073</v>
      </c>
      <c r="M39" s="411">
        <f>481751.5+308419.5+242119.5+52953+38471.5+16408.5+18127+1517+5096+60+3053+445.5+482+889+3926+253+277+3575+1310+1510+3021</f>
        <v>1183665</v>
      </c>
      <c r="N39" s="412">
        <f>67910+40806+32344+8727+9142+4213+4473+313+1639+13+1011+76+110+151+1151+49+51+867+328+302+604</f>
        <v>174280</v>
      </c>
      <c r="O39" s="439">
        <f>M39/N39</f>
        <v>6.791743171907275</v>
      </c>
      <c r="P39" s="242"/>
    </row>
    <row r="40" spans="1:16" s="7" customFormat="1" ht="15">
      <c r="A40" s="103">
        <v>36</v>
      </c>
      <c r="B40" s="247" t="s">
        <v>359</v>
      </c>
      <c r="C40" s="117">
        <v>39178</v>
      </c>
      <c r="D40" s="128" t="s">
        <v>58</v>
      </c>
      <c r="E40" s="128" t="s">
        <v>409</v>
      </c>
      <c r="F40" s="118">
        <v>32</v>
      </c>
      <c r="G40" s="118">
        <v>16</v>
      </c>
      <c r="H40" s="118">
        <v>3</v>
      </c>
      <c r="I40" s="254">
        <v>2947</v>
      </c>
      <c r="J40" s="122">
        <v>606</v>
      </c>
      <c r="K40" s="409">
        <f>J40/G40</f>
        <v>37.875</v>
      </c>
      <c r="L40" s="410">
        <f>I40/J40</f>
        <v>4.863036303630363</v>
      </c>
      <c r="M40" s="411">
        <f>36030.5+15107+2947</f>
        <v>54084.5</v>
      </c>
      <c r="N40" s="412">
        <f>5756+2532+606</f>
        <v>8894</v>
      </c>
      <c r="O40" s="438">
        <f>IF(M40&lt;&gt;0,M40/N40,"")</f>
        <v>6.081009669440072</v>
      </c>
      <c r="P40" s="242"/>
    </row>
    <row r="41" spans="1:16" s="7" customFormat="1" ht="15">
      <c r="A41" s="103">
        <v>37</v>
      </c>
      <c r="B41" s="247" t="s">
        <v>182</v>
      </c>
      <c r="C41" s="117">
        <v>39101</v>
      </c>
      <c r="D41" s="128" t="s">
        <v>58</v>
      </c>
      <c r="E41" s="128" t="s">
        <v>58</v>
      </c>
      <c r="F41" s="118">
        <v>197</v>
      </c>
      <c r="G41" s="118">
        <v>3</v>
      </c>
      <c r="H41" s="118">
        <v>14</v>
      </c>
      <c r="I41" s="254">
        <v>2840.5</v>
      </c>
      <c r="J41" s="122">
        <v>1210</v>
      </c>
      <c r="K41" s="417">
        <f>+J41/G41</f>
        <v>403.3333333333333</v>
      </c>
      <c r="L41" s="418">
        <f>+I41/J41</f>
        <v>2.347520661157025</v>
      </c>
      <c r="M41" s="411">
        <f>3815016+1300103.5+871510+26.5+643328.5+285+427492+144808.5-4582.5+117687.5+159.5+78376+20328+17217+7297+945+2840.5</f>
        <v>7442838</v>
      </c>
      <c r="N41" s="412">
        <f>302979+231870+176034+121748+3+91906+35+60830+21133-764+16236+14+11431-4+2924+3552+1459+120+1210</f>
        <v>1042716</v>
      </c>
      <c r="O41" s="438">
        <f>IF(M41&lt;&gt;0,M41/N41,"")</f>
        <v>7.137934010794885</v>
      </c>
      <c r="P41" s="242"/>
    </row>
    <row r="42" spans="1:16" s="7" customFormat="1" ht="15">
      <c r="A42" s="103">
        <v>38</v>
      </c>
      <c r="B42" s="248" t="s">
        <v>328</v>
      </c>
      <c r="C42" s="117">
        <v>39164</v>
      </c>
      <c r="D42" s="132" t="s">
        <v>23</v>
      </c>
      <c r="E42" s="131" t="s">
        <v>69</v>
      </c>
      <c r="F42" s="120">
        <v>40</v>
      </c>
      <c r="G42" s="120">
        <v>5</v>
      </c>
      <c r="H42" s="120">
        <v>5</v>
      </c>
      <c r="I42" s="254">
        <v>2838</v>
      </c>
      <c r="J42" s="122">
        <v>585</v>
      </c>
      <c r="K42" s="417">
        <f>+J42/G42</f>
        <v>117</v>
      </c>
      <c r="L42" s="418">
        <f>+I42/J42</f>
        <v>4.851282051282051</v>
      </c>
      <c r="M42" s="411">
        <f>136863.5+71331.5+20806.5+12476.9+2838</f>
        <v>244316.4</v>
      </c>
      <c r="N42" s="412">
        <f>15270+7788+3293+2489+585</f>
        <v>29425</v>
      </c>
      <c r="O42" s="437">
        <f>M42/N42</f>
        <v>8.303021240441801</v>
      </c>
      <c r="P42" s="242"/>
    </row>
    <row r="43" spans="1:16" s="7" customFormat="1" ht="15">
      <c r="A43" s="103">
        <v>39</v>
      </c>
      <c r="B43" s="121" t="s">
        <v>297</v>
      </c>
      <c r="C43" s="119">
        <v>39150</v>
      </c>
      <c r="D43" s="130" t="s">
        <v>64</v>
      </c>
      <c r="E43" s="130" t="s">
        <v>318</v>
      </c>
      <c r="F43" s="422">
        <v>10</v>
      </c>
      <c r="G43" s="422">
        <v>3</v>
      </c>
      <c r="H43" s="422">
        <v>7</v>
      </c>
      <c r="I43" s="259">
        <v>2722</v>
      </c>
      <c r="J43" s="423">
        <v>493</v>
      </c>
      <c r="K43" s="417">
        <f>+J43/G43</f>
        <v>164.33333333333334</v>
      </c>
      <c r="L43" s="418">
        <f>+I43/J43</f>
        <v>5.52129817444219</v>
      </c>
      <c r="M43" s="424">
        <v>196758</v>
      </c>
      <c r="N43" s="425">
        <v>20795</v>
      </c>
      <c r="O43" s="439">
        <f>M43/N43</f>
        <v>9.461793700408752</v>
      </c>
      <c r="P43" s="242"/>
    </row>
    <row r="44" spans="1:16" s="7" customFormat="1" ht="15">
      <c r="A44" s="103">
        <v>40</v>
      </c>
      <c r="B44" s="246" t="s">
        <v>257</v>
      </c>
      <c r="C44" s="116">
        <v>39129</v>
      </c>
      <c r="D44" s="126" t="s">
        <v>48</v>
      </c>
      <c r="E44" s="126" t="s">
        <v>191</v>
      </c>
      <c r="F44" s="413">
        <v>113</v>
      </c>
      <c r="G44" s="413">
        <v>4</v>
      </c>
      <c r="H44" s="413">
        <v>10</v>
      </c>
      <c r="I44" s="257">
        <v>2549</v>
      </c>
      <c r="J44" s="419">
        <v>442</v>
      </c>
      <c r="K44" s="417">
        <f>+J44/G44</f>
        <v>110.5</v>
      </c>
      <c r="L44" s="418">
        <f>+I44/J44</f>
        <v>5.766968325791855</v>
      </c>
      <c r="M44" s="420">
        <f>1519881.5+6904+8989.5+4259+2549</f>
        <v>1542583</v>
      </c>
      <c r="N44" s="412">
        <f>200900+1709+1739+943+442</f>
        <v>205733</v>
      </c>
      <c r="O44" s="438">
        <f>IF(M44&lt;&gt;0,M44/N44,"")</f>
        <v>7.497985252730481</v>
      </c>
      <c r="P44" s="242"/>
    </row>
    <row r="45" spans="1:16" s="7" customFormat="1" ht="15">
      <c r="A45" s="103">
        <v>41</v>
      </c>
      <c r="B45" s="246" t="s">
        <v>242</v>
      </c>
      <c r="C45" s="116">
        <v>39108</v>
      </c>
      <c r="D45" s="127" t="s">
        <v>56</v>
      </c>
      <c r="E45" s="126" t="s">
        <v>263</v>
      </c>
      <c r="F45" s="413">
        <v>148</v>
      </c>
      <c r="G45" s="413">
        <v>4</v>
      </c>
      <c r="H45" s="413">
        <v>13</v>
      </c>
      <c r="I45" s="255">
        <v>2342</v>
      </c>
      <c r="J45" s="414">
        <v>706</v>
      </c>
      <c r="K45" s="409">
        <f>J45/G45</f>
        <v>176.5</v>
      </c>
      <c r="L45" s="410">
        <f>I45/J45</f>
        <v>3.31728045325779</v>
      </c>
      <c r="M45" s="415">
        <f>1992651+1728920+984064+346169+182382+106480+57466+19982+14948+10164+6290+4742+2342</f>
        <v>5456600</v>
      </c>
      <c r="N45" s="416">
        <f>274655+238848+139396+51021+30073+21220+12561+3942+2123+3415+1857+1264+1187+706</f>
        <v>782268</v>
      </c>
      <c r="O45" s="436">
        <f>+M45/N45</f>
        <v>6.9753588284322</v>
      </c>
      <c r="P45" s="242"/>
    </row>
    <row r="46" spans="1:16" s="7" customFormat="1" ht="15">
      <c r="A46" s="103">
        <v>42</v>
      </c>
      <c r="B46" s="247" t="s">
        <v>298</v>
      </c>
      <c r="C46" s="117">
        <v>39150</v>
      </c>
      <c r="D46" s="128" t="s">
        <v>58</v>
      </c>
      <c r="E46" s="128" t="s">
        <v>245</v>
      </c>
      <c r="F46" s="118">
        <v>36</v>
      </c>
      <c r="G46" s="118">
        <v>4</v>
      </c>
      <c r="H46" s="118">
        <v>7</v>
      </c>
      <c r="I46" s="254">
        <v>2184</v>
      </c>
      <c r="J46" s="122">
        <v>609</v>
      </c>
      <c r="K46" s="409">
        <f>J46/G46</f>
        <v>152.25</v>
      </c>
      <c r="L46" s="410">
        <f>I46/J46</f>
        <v>3.586206896551724</v>
      </c>
      <c r="M46" s="411">
        <f>36532.5+12598.5+9503.5+3866+3675.5+2036.5+2184</f>
        <v>70396.5</v>
      </c>
      <c r="N46" s="412">
        <f>5376+1964+1865+741+753+478+609</f>
        <v>11786</v>
      </c>
      <c r="O46" s="437">
        <f>M46/N46</f>
        <v>5.97289156626506</v>
      </c>
      <c r="P46" s="242"/>
    </row>
    <row r="47" spans="1:16" s="7" customFormat="1" ht="15">
      <c r="A47" s="103">
        <v>43</v>
      </c>
      <c r="B47" s="247" t="s">
        <v>294</v>
      </c>
      <c r="C47" s="117">
        <v>39150</v>
      </c>
      <c r="D47" s="128" t="s">
        <v>57</v>
      </c>
      <c r="E47" s="128" t="s">
        <v>71</v>
      </c>
      <c r="F47" s="118">
        <v>1</v>
      </c>
      <c r="G47" s="118">
        <v>9</v>
      </c>
      <c r="H47" s="118">
        <v>7</v>
      </c>
      <c r="I47" s="254">
        <v>1918</v>
      </c>
      <c r="J47" s="122">
        <v>205</v>
      </c>
      <c r="K47" s="409">
        <f>J47/G47</f>
        <v>22.77777777777778</v>
      </c>
      <c r="L47" s="410">
        <f>I47/J47</f>
        <v>9.35609756097561</v>
      </c>
      <c r="M47" s="411">
        <v>621547</v>
      </c>
      <c r="N47" s="412">
        <v>73836</v>
      </c>
      <c r="O47" s="436">
        <f>+M47/N47</f>
        <v>8.417939758383444</v>
      </c>
      <c r="P47" s="242"/>
    </row>
    <row r="48" spans="1:16" s="7" customFormat="1" ht="15">
      <c r="A48" s="103">
        <v>44</v>
      </c>
      <c r="B48" s="247" t="s">
        <v>360</v>
      </c>
      <c r="C48" s="117">
        <v>39150</v>
      </c>
      <c r="D48" s="128" t="s">
        <v>55</v>
      </c>
      <c r="E48" s="128" t="s">
        <v>63</v>
      </c>
      <c r="F48" s="118">
        <v>57</v>
      </c>
      <c r="G48" s="118">
        <v>5</v>
      </c>
      <c r="H48" s="118">
        <v>7</v>
      </c>
      <c r="I48" s="254">
        <v>1914</v>
      </c>
      <c r="J48" s="122">
        <v>303</v>
      </c>
      <c r="K48" s="417">
        <f>+J48/G48</f>
        <v>60.6</v>
      </c>
      <c r="L48" s="418">
        <f>+I48/J48</f>
        <v>6.316831683168317</v>
      </c>
      <c r="M48" s="411">
        <v>1067775</v>
      </c>
      <c r="N48" s="412">
        <v>117264</v>
      </c>
      <c r="O48" s="438">
        <f>+M48/N48</f>
        <v>9.105735775685632</v>
      </c>
      <c r="P48" s="242"/>
    </row>
    <row r="49" spans="1:16" s="7" customFormat="1" ht="15">
      <c r="A49" s="103">
        <v>45</v>
      </c>
      <c r="B49" s="247" t="s">
        <v>316</v>
      </c>
      <c r="C49" s="117">
        <v>39157</v>
      </c>
      <c r="D49" s="128" t="s">
        <v>58</v>
      </c>
      <c r="E49" s="128" t="s">
        <v>317</v>
      </c>
      <c r="F49" s="118">
        <v>56</v>
      </c>
      <c r="G49" s="118">
        <v>4</v>
      </c>
      <c r="H49" s="118">
        <v>6</v>
      </c>
      <c r="I49" s="254">
        <v>1822</v>
      </c>
      <c r="J49" s="122">
        <v>330</v>
      </c>
      <c r="K49" s="409">
        <f>J49/G49</f>
        <v>82.5</v>
      </c>
      <c r="L49" s="410">
        <f>I49/J49</f>
        <v>5.5212121212121215</v>
      </c>
      <c r="M49" s="411">
        <f>58610+26460.5+16261.5+6759+4608+1822</f>
        <v>114521</v>
      </c>
      <c r="N49" s="412">
        <f>8805+4170+2948+1373+809+330</f>
        <v>18435</v>
      </c>
      <c r="O49" s="439">
        <f>M49/N49</f>
        <v>6.212150800108489</v>
      </c>
      <c r="P49" s="242"/>
    </row>
    <row r="50" spans="1:16" s="7" customFormat="1" ht="15">
      <c r="A50" s="103">
        <v>46</v>
      </c>
      <c r="B50" s="247" t="s">
        <v>267</v>
      </c>
      <c r="C50" s="117">
        <v>39136</v>
      </c>
      <c r="D50" s="128" t="s">
        <v>57</v>
      </c>
      <c r="E50" s="128" t="s">
        <v>65</v>
      </c>
      <c r="F50" s="118">
        <v>34</v>
      </c>
      <c r="G50" s="118">
        <v>1</v>
      </c>
      <c r="H50" s="118">
        <v>9</v>
      </c>
      <c r="I50" s="254">
        <v>1750</v>
      </c>
      <c r="J50" s="122">
        <v>525</v>
      </c>
      <c r="K50" s="409">
        <f>J50/G50</f>
        <v>525</v>
      </c>
      <c r="L50" s="410">
        <f>I50/J50</f>
        <v>3.3333333333333335</v>
      </c>
      <c r="M50" s="411">
        <v>335033</v>
      </c>
      <c r="N50" s="412">
        <v>35936</v>
      </c>
      <c r="O50" s="436">
        <f>+M50/N50</f>
        <v>9.323046527159395</v>
      </c>
      <c r="P50" s="242"/>
    </row>
    <row r="51" spans="1:16" s="7" customFormat="1" ht="15">
      <c r="A51" s="103">
        <v>47</v>
      </c>
      <c r="B51" s="249" t="s">
        <v>315</v>
      </c>
      <c r="C51" s="116">
        <v>39157</v>
      </c>
      <c r="D51" s="129" t="s">
        <v>73</v>
      </c>
      <c r="E51" s="129" t="s">
        <v>135</v>
      </c>
      <c r="F51" s="421" t="s">
        <v>163</v>
      </c>
      <c r="G51" s="421" t="s">
        <v>299</v>
      </c>
      <c r="H51" s="421" t="s">
        <v>349</v>
      </c>
      <c r="I51" s="255">
        <v>1732.5</v>
      </c>
      <c r="J51" s="414">
        <v>273</v>
      </c>
      <c r="K51" s="417">
        <f>+J51/G51</f>
        <v>68.25</v>
      </c>
      <c r="L51" s="418">
        <f>+I51/J51</f>
        <v>6.346153846153846</v>
      </c>
      <c r="M51" s="415">
        <v>165999.5</v>
      </c>
      <c r="N51" s="416">
        <v>24279</v>
      </c>
      <c r="O51" s="437">
        <f>M51/N51</f>
        <v>6.837163804110548</v>
      </c>
      <c r="P51" s="242"/>
    </row>
    <row r="52" spans="1:16" s="7" customFormat="1" ht="15">
      <c r="A52" s="103">
        <v>48</v>
      </c>
      <c r="B52" s="247" t="s">
        <v>289</v>
      </c>
      <c r="C52" s="117">
        <v>39143</v>
      </c>
      <c r="D52" s="128" t="s">
        <v>58</v>
      </c>
      <c r="E52" s="128" t="s">
        <v>59</v>
      </c>
      <c r="F52" s="118">
        <v>20</v>
      </c>
      <c r="G52" s="118">
        <v>4</v>
      </c>
      <c r="H52" s="118">
        <v>8</v>
      </c>
      <c r="I52" s="254">
        <v>1711</v>
      </c>
      <c r="J52" s="122">
        <v>320</v>
      </c>
      <c r="K52" s="417">
        <f>+J52/G52</f>
        <v>80</v>
      </c>
      <c r="L52" s="418">
        <f>+I52/J52</f>
        <v>5.346875</v>
      </c>
      <c r="M52" s="411">
        <f>129159.5+81464+15048+8469.5+8901.5+5708+1570+1711</f>
        <v>252031.5</v>
      </c>
      <c r="N52" s="412">
        <f>12733+8086+1709+1437+1707+969+278+320</f>
        <v>27239</v>
      </c>
      <c r="O52" s="437">
        <f>M52/N52</f>
        <v>9.252597378758399</v>
      </c>
      <c r="P52" s="242"/>
    </row>
    <row r="53" spans="1:16" s="7" customFormat="1" ht="15">
      <c r="A53" s="103">
        <v>49</v>
      </c>
      <c r="B53" s="247" t="s">
        <v>258</v>
      </c>
      <c r="C53" s="117">
        <v>39129</v>
      </c>
      <c r="D53" s="128" t="s">
        <v>57</v>
      </c>
      <c r="E53" s="128" t="s">
        <v>65</v>
      </c>
      <c r="F53" s="118">
        <v>77</v>
      </c>
      <c r="G53" s="118">
        <v>13</v>
      </c>
      <c r="H53" s="118">
        <v>9</v>
      </c>
      <c r="I53" s="254">
        <v>1578</v>
      </c>
      <c r="J53" s="122">
        <v>310</v>
      </c>
      <c r="K53" s="417">
        <f>+J53/G53</f>
        <v>23.846153846153847</v>
      </c>
      <c r="L53" s="418">
        <f>+I53/J53</f>
        <v>5.090322580645161</v>
      </c>
      <c r="M53" s="411">
        <v>1545344</v>
      </c>
      <c r="N53" s="412">
        <v>197052</v>
      </c>
      <c r="O53" s="438">
        <f>+M53/N53</f>
        <v>7.842315733917951</v>
      </c>
      <c r="P53" s="242"/>
    </row>
    <row r="54" spans="1:16" s="7" customFormat="1" ht="15">
      <c r="A54" s="103">
        <v>50</v>
      </c>
      <c r="B54" s="246" t="s">
        <v>383</v>
      </c>
      <c r="C54" s="116">
        <v>39190</v>
      </c>
      <c r="D54" s="127" t="s">
        <v>56</v>
      </c>
      <c r="E54" s="126" t="s">
        <v>384</v>
      </c>
      <c r="F54" s="413">
        <v>18</v>
      </c>
      <c r="G54" s="413">
        <v>5</v>
      </c>
      <c r="H54" s="413">
        <v>2</v>
      </c>
      <c r="I54" s="255">
        <v>1530</v>
      </c>
      <c r="J54" s="414">
        <v>224</v>
      </c>
      <c r="K54" s="409">
        <f>J54/G54</f>
        <v>44.8</v>
      </c>
      <c r="L54" s="410">
        <f>I54/J54</f>
        <v>6.830357142857143</v>
      </c>
      <c r="M54" s="415">
        <f>30174+1530</f>
        <v>31704</v>
      </c>
      <c r="N54" s="416">
        <f>3096+224</f>
        <v>3320</v>
      </c>
      <c r="O54" s="436">
        <f>+M54/N54</f>
        <v>9.549397590361446</v>
      </c>
      <c r="P54" s="242"/>
    </row>
    <row r="55" spans="1:16" s="7" customFormat="1" ht="15">
      <c r="A55" s="103">
        <v>51</v>
      </c>
      <c r="B55" s="246" t="s">
        <v>269</v>
      </c>
      <c r="C55" s="116">
        <v>39136</v>
      </c>
      <c r="D55" s="127" t="s">
        <v>56</v>
      </c>
      <c r="E55" s="126" t="s">
        <v>11</v>
      </c>
      <c r="F55" s="413">
        <v>9</v>
      </c>
      <c r="G55" s="413">
        <v>3</v>
      </c>
      <c r="H55" s="413">
        <v>9</v>
      </c>
      <c r="I55" s="255">
        <v>1412</v>
      </c>
      <c r="J55" s="414">
        <v>217</v>
      </c>
      <c r="K55" s="409">
        <f>J55/G55</f>
        <v>72.33333333333333</v>
      </c>
      <c r="L55" s="410">
        <f>I55/J55</f>
        <v>6.506912442396313</v>
      </c>
      <c r="M55" s="415">
        <f>84092+44359+5685+3842+1159+3888+3317+785+1412</f>
        <v>148539</v>
      </c>
      <c r="N55" s="416">
        <f>8135+4281+660+612+195+1157+638+80+217</f>
        <v>15975</v>
      </c>
      <c r="O55" s="436">
        <f>+M55/N55</f>
        <v>9.298215962441315</v>
      </c>
      <c r="P55" s="242"/>
    </row>
    <row r="56" spans="1:16" s="7" customFormat="1" ht="15">
      <c r="A56" s="103">
        <v>52</v>
      </c>
      <c r="B56" s="248" t="s">
        <v>94</v>
      </c>
      <c r="C56" s="117">
        <v>39010</v>
      </c>
      <c r="D56" s="132" t="s">
        <v>23</v>
      </c>
      <c r="E56" s="131" t="s">
        <v>85</v>
      </c>
      <c r="F56" s="120">
        <v>4</v>
      </c>
      <c r="G56" s="120">
        <v>1</v>
      </c>
      <c r="H56" s="120">
        <v>24</v>
      </c>
      <c r="I56" s="254">
        <v>1188</v>
      </c>
      <c r="J56" s="122">
        <v>297</v>
      </c>
      <c r="K56" s="409">
        <f>J56/G56</f>
        <v>297</v>
      </c>
      <c r="L56" s="410">
        <f>I56/J56</f>
        <v>4</v>
      </c>
      <c r="M56" s="411">
        <f>29917+16679+11125+3878+2666+4428+2241.5+1511+3063+970+820+1894+1723+1526+175+2339+1780+357.5+159+2083+351+2852+254+4558+1188</f>
        <v>98538</v>
      </c>
      <c r="N56" s="412">
        <f>3239+2157+1429+524+500+1570+699+278+431+179+191+394+386+373+27+447+445+84+37+384+51+713+37+1133+297</f>
        <v>16005</v>
      </c>
      <c r="O56" s="437">
        <f>M56/N56</f>
        <v>6.156701030927835</v>
      </c>
      <c r="P56" s="242"/>
    </row>
    <row r="57" spans="1:16" s="7" customFormat="1" ht="15">
      <c r="A57" s="103">
        <v>53</v>
      </c>
      <c r="B57" s="246" t="s">
        <v>118</v>
      </c>
      <c r="C57" s="116">
        <v>39080</v>
      </c>
      <c r="D57" s="127" t="s">
        <v>56</v>
      </c>
      <c r="E57" s="126" t="s">
        <v>61</v>
      </c>
      <c r="F57" s="413">
        <v>80</v>
      </c>
      <c r="G57" s="413">
        <v>2</v>
      </c>
      <c r="H57" s="413">
        <v>17</v>
      </c>
      <c r="I57" s="255">
        <v>1063</v>
      </c>
      <c r="J57" s="414">
        <v>369</v>
      </c>
      <c r="K57" s="409">
        <f>J57/G57</f>
        <v>184.5</v>
      </c>
      <c r="L57" s="410">
        <f>I57/J57</f>
        <v>2.8807588075880757</v>
      </c>
      <c r="M57" s="415">
        <f>1367+686114+384405+247619+146119+85619+63759-1+18934+11869+10791+11315+6907+8812+6730+2628+1465+749+1063</f>
        <v>1696264</v>
      </c>
      <c r="N57" s="416">
        <f>80773+116+46317+29887+17891+10484+7685+2801+1917+1334+1333+755+1517+932+417+307+136+369</f>
        <v>204971</v>
      </c>
      <c r="O57" s="436">
        <f>+M57/N57</f>
        <v>8.275629235355245</v>
      </c>
      <c r="P57" s="242"/>
    </row>
    <row r="58" spans="1:16" s="7" customFormat="1" ht="15">
      <c r="A58" s="103">
        <v>54</v>
      </c>
      <c r="B58" s="248" t="s">
        <v>320</v>
      </c>
      <c r="C58" s="117">
        <v>39157</v>
      </c>
      <c r="D58" s="132" t="s">
        <v>23</v>
      </c>
      <c r="E58" s="131" t="s">
        <v>158</v>
      </c>
      <c r="F58" s="120">
        <v>1</v>
      </c>
      <c r="G58" s="120">
        <v>1</v>
      </c>
      <c r="H58" s="120">
        <v>6</v>
      </c>
      <c r="I58" s="254">
        <v>865</v>
      </c>
      <c r="J58" s="122">
        <v>173</v>
      </c>
      <c r="K58" s="417">
        <f>+J58/G58</f>
        <v>173</v>
      </c>
      <c r="L58" s="418">
        <f>+I58/J58</f>
        <v>5</v>
      </c>
      <c r="M58" s="411">
        <f>4040+3088+878+292+795+865</f>
        <v>9958</v>
      </c>
      <c r="N58" s="412">
        <f>578+442+162+25+159+173</f>
        <v>1539</v>
      </c>
      <c r="O58" s="437">
        <f>M58/N58</f>
        <v>6.47043534762833</v>
      </c>
      <c r="P58" s="242"/>
    </row>
    <row r="59" spans="1:16" s="7" customFormat="1" ht="15">
      <c r="A59" s="103">
        <v>55</v>
      </c>
      <c r="B59" s="247" t="s">
        <v>268</v>
      </c>
      <c r="C59" s="117">
        <v>39136</v>
      </c>
      <c r="D59" s="128" t="s">
        <v>58</v>
      </c>
      <c r="E59" s="128" t="s">
        <v>313</v>
      </c>
      <c r="F59" s="118">
        <v>50</v>
      </c>
      <c r="G59" s="118">
        <v>1</v>
      </c>
      <c r="H59" s="118">
        <v>9</v>
      </c>
      <c r="I59" s="254">
        <v>853</v>
      </c>
      <c r="J59" s="122">
        <v>202</v>
      </c>
      <c r="K59" s="409">
        <f>J59/G59</f>
        <v>202</v>
      </c>
      <c r="L59" s="410">
        <f>I59/J59</f>
        <v>4.2227722772277225</v>
      </c>
      <c r="M59" s="411">
        <f>176703.5+117666.5+55649.5-153+26033.5+13075.5+7867.5+4158.5+2675.5+853</f>
        <v>404530</v>
      </c>
      <c r="N59" s="412">
        <f>23632+15507+7944-13+4855+2498+1683+890+562+202</f>
        <v>57760</v>
      </c>
      <c r="O59" s="437">
        <f>M59/N59</f>
        <v>7.003635734072022</v>
      </c>
      <c r="P59" s="242"/>
    </row>
    <row r="60" spans="1:16" s="7" customFormat="1" ht="15">
      <c r="A60" s="103">
        <v>56</v>
      </c>
      <c r="B60" s="246" t="s">
        <v>243</v>
      </c>
      <c r="C60" s="116">
        <v>39122</v>
      </c>
      <c r="D60" s="127" t="s">
        <v>56</v>
      </c>
      <c r="E60" s="126" t="s">
        <v>237</v>
      </c>
      <c r="F60" s="413">
        <v>60</v>
      </c>
      <c r="G60" s="413">
        <v>1</v>
      </c>
      <c r="H60" s="413">
        <v>11</v>
      </c>
      <c r="I60" s="255">
        <v>709</v>
      </c>
      <c r="J60" s="414">
        <v>145</v>
      </c>
      <c r="K60" s="409">
        <f>J60/G60</f>
        <v>145</v>
      </c>
      <c r="L60" s="410">
        <f>I60/J60</f>
        <v>4.889655172413793</v>
      </c>
      <c r="M60" s="415">
        <f>532455+318401+212166+27739+39053+27412+18250+6211+1517+4378+709</f>
        <v>1188291</v>
      </c>
      <c r="N60" s="416">
        <f>62334+37213+25119+5045+7212+5675+4013+1372+298+882+145</f>
        <v>149308</v>
      </c>
      <c r="O60" s="436">
        <f>+M60/N60</f>
        <v>7.958655932702869</v>
      </c>
      <c r="P60" s="242"/>
    </row>
    <row r="61" spans="1:16" s="7" customFormat="1" ht="15">
      <c r="A61" s="103">
        <v>57</v>
      </c>
      <c r="B61" s="247" t="s">
        <v>312</v>
      </c>
      <c r="C61" s="117">
        <v>39157</v>
      </c>
      <c r="D61" s="128" t="s">
        <v>57</v>
      </c>
      <c r="E61" s="128" t="s">
        <v>71</v>
      </c>
      <c r="F61" s="118">
        <v>69</v>
      </c>
      <c r="G61" s="118">
        <v>3</v>
      </c>
      <c r="H61" s="118">
        <v>6</v>
      </c>
      <c r="I61" s="254">
        <v>562</v>
      </c>
      <c r="J61" s="122">
        <v>113</v>
      </c>
      <c r="K61" s="417">
        <f>+J61/G61</f>
        <v>37.666666666666664</v>
      </c>
      <c r="L61" s="418">
        <f>+I61/J61</f>
        <v>4.9734513274336285</v>
      </c>
      <c r="M61" s="411">
        <v>544917</v>
      </c>
      <c r="N61" s="412">
        <v>67246</v>
      </c>
      <c r="O61" s="438">
        <f>+M61/N61</f>
        <v>8.103337001457335</v>
      </c>
      <c r="P61" s="242"/>
    </row>
    <row r="62" spans="1:16" s="7" customFormat="1" ht="15">
      <c r="A62" s="103">
        <v>58</v>
      </c>
      <c r="B62" s="249" t="s">
        <v>286</v>
      </c>
      <c r="C62" s="116">
        <v>39143</v>
      </c>
      <c r="D62" s="129" t="s">
        <v>45</v>
      </c>
      <c r="E62" s="129" t="s">
        <v>410</v>
      </c>
      <c r="F62" s="421" t="s">
        <v>287</v>
      </c>
      <c r="G62" s="421" t="s">
        <v>299</v>
      </c>
      <c r="H62" s="421" t="s">
        <v>303</v>
      </c>
      <c r="I62" s="255">
        <v>525.5</v>
      </c>
      <c r="J62" s="414">
        <v>170</v>
      </c>
      <c r="K62" s="409">
        <f>J62/G62</f>
        <v>42.5</v>
      </c>
      <c r="L62" s="410">
        <f>I62/J62</f>
        <v>3.0911764705882354</v>
      </c>
      <c r="M62" s="415">
        <v>590519.5</v>
      </c>
      <c r="N62" s="416">
        <v>80841</v>
      </c>
      <c r="O62" s="439">
        <f>M62/N62</f>
        <v>7.3047030590913025</v>
      </c>
      <c r="P62" s="242"/>
    </row>
    <row r="63" spans="1:16" s="7" customFormat="1" ht="15">
      <c r="A63" s="103">
        <v>59</v>
      </c>
      <c r="B63" s="248" t="s">
        <v>366</v>
      </c>
      <c r="C63" s="117">
        <v>39178</v>
      </c>
      <c r="D63" s="132" t="s">
        <v>23</v>
      </c>
      <c r="E63" s="131" t="s">
        <v>367</v>
      </c>
      <c r="F63" s="120">
        <v>2</v>
      </c>
      <c r="G63" s="120">
        <v>1</v>
      </c>
      <c r="H63" s="120">
        <v>3</v>
      </c>
      <c r="I63" s="254">
        <v>454</v>
      </c>
      <c r="J63" s="122">
        <v>47</v>
      </c>
      <c r="K63" s="409">
        <f>J63/G63</f>
        <v>47</v>
      </c>
      <c r="L63" s="410">
        <f>I63/J63</f>
        <v>9.659574468085106</v>
      </c>
      <c r="M63" s="411">
        <f>3994+2334+454</f>
        <v>6782</v>
      </c>
      <c r="N63" s="412">
        <f>445+262+47</f>
        <v>754</v>
      </c>
      <c r="O63" s="437">
        <f>M63/N63</f>
        <v>8.994694960212202</v>
      </c>
      <c r="P63" s="242"/>
    </row>
    <row r="64" spans="1:16" s="7" customFormat="1" ht="15">
      <c r="A64" s="103">
        <v>60</v>
      </c>
      <c r="B64" s="247" t="s">
        <v>238</v>
      </c>
      <c r="C64" s="117">
        <v>39122</v>
      </c>
      <c r="D64" s="128" t="s">
        <v>57</v>
      </c>
      <c r="E64" s="128" t="s">
        <v>65</v>
      </c>
      <c r="F64" s="118">
        <v>12</v>
      </c>
      <c r="G64" s="118">
        <v>1</v>
      </c>
      <c r="H64" s="118">
        <v>11</v>
      </c>
      <c r="I64" s="254">
        <v>320</v>
      </c>
      <c r="J64" s="122">
        <v>64</v>
      </c>
      <c r="K64" s="417">
        <f>+J64/G64</f>
        <v>64</v>
      </c>
      <c r="L64" s="418">
        <f>+I64/J64</f>
        <v>5</v>
      </c>
      <c r="M64" s="411">
        <v>260402</v>
      </c>
      <c r="N64" s="412">
        <v>41388</v>
      </c>
      <c r="O64" s="438">
        <f>+M64/N64</f>
        <v>6.291727070648498</v>
      </c>
      <c r="P64" s="242"/>
    </row>
    <row r="65" spans="1:16" s="7" customFormat="1" ht="15">
      <c r="A65" s="103">
        <v>61</v>
      </c>
      <c r="B65" s="249" t="s">
        <v>234</v>
      </c>
      <c r="C65" s="116">
        <v>39115</v>
      </c>
      <c r="D65" s="129" t="s">
        <v>45</v>
      </c>
      <c r="E65" s="129" t="s">
        <v>235</v>
      </c>
      <c r="F65" s="421" t="s">
        <v>236</v>
      </c>
      <c r="G65" s="421" t="s">
        <v>20</v>
      </c>
      <c r="H65" s="421" t="s">
        <v>411</v>
      </c>
      <c r="I65" s="255">
        <v>280</v>
      </c>
      <c r="J65" s="414">
        <v>40</v>
      </c>
      <c r="K65" s="417">
        <f>+J65/G65</f>
        <v>40</v>
      </c>
      <c r="L65" s="418">
        <f>+I65/J65</f>
        <v>7</v>
      </c>
      <c r="M65" s="415">
        <v>1678575</v>
      </c>
      <c r="N65" s="416">
        <v>235769</v>
      </c>
      <c r="O65" s="439">
        <f>M65/N65</f>
        <v>7.11957466842545</v>
      </c>
      <c r="P65" s="242"/>
    </row>
    <row r="66" spans="1:16" s="7" customFormat="1" ht="15">
      <c r="A66" s="103">
        <v>62</v>
      </c>
      <c r="B66" s="247" t="s">
        <v>259</v>
      </c>
      <c r="C66" s="117">
        <v>39129</v>
      </c>
      <c r="D66" s="128" t="s">
        <v>58</v>
      </c>
      <c r="E66" s="128" t="s">
        <v>66</v>
      </c>
      <c r="F66" s="118">
        <v>43</v>
      </c>
      <c r="G66" s="118">
        <v>1</v>
      </c>
      <c r="H66" s="118">
        <v>10</v>
      </c>
      <c r="I66" s="254">
        <v>256</v>
      </c>
      <c r="J66" s="122">
        <v>49</v>
      </c>
      <c r="K66" s="417">
        <f>+J66/G66</f>
        <v>49</v>
      </c>
      <c r="L66" s="418">
        <f>+I66/J66</f>
        <v>5.224489795918367</v>
      </c>
      <c r="M66" s="411">
        <f>384662.5+356262.5+212054+113636.5+58120+27335.5+24431+10836.5+5+6679.5+256</f>
        <v>1194279</v>
      </c>
      <c r="N66" s="412">
        <f>44623+40340+24564+15320+9563+4723+4295+2247+1249+49</f>
        <v>146973</v>
      </c>
      <c r="O66" s="437">
        <f>M66/N66</f>
        <v>8.125839439897124</v>
      </c>
      <c r="P66" s="242"/>
    </row>
    <row r="67" spans="1:16" s="7" customFormat="1" ht="15">
      <c r="A67" s="103">
        <v>63</v>
      </c>
      <c r="B67" s="246" t="s">
        <v>227</v>
      </c>
      <c r="C67" s="116">
        <v>39115</v>
      </c>
      <c r="D67" s="127" t="s">
        <v>56</v>
      </c>
      <c r="E67" s="126" t="s">
        <v>11</v>
      </c>
      <c r="F67" s="413">
        <v>81</v>
      </c>
      <c r="G67" s="413">
        <v>1</v>
      </c>
      <c r="H67" s="413">
        <v>12</v>
      </c>
      <c r="I67" s="255">
        <v>251</v>
      </c>
      <c r="J67" s="414">
        <v>34</v>
      </c>
      <c r="K67" s="409">
        <f>J67/G67</f>
        <v>34</v>
      </c>
      <c r="L67" s="410">
        <f>I67/J67</f>
        <v>7.382352941176471</v>
      </c>
      <c r="M67" s="415">
        <f>3091+1174032+810484+561094+347033+135358+88526+33166+9630+2505+2639+286+251</f>
        <v>3168095</v>
      </c>
      <c r="N67" s="416">
        <f>289+128246+92369+63358+42093+20318+16522+7468+2207+501+1112+39+34</f>
        <v>374556</v>
      </c>
      <c r="O67" s="436">
        <f>+M67/N67</f>
        <v>8.458267922553636</v>
      </c>
      <c r="P67" s="242"/>
    </row>
    <row r="68" spans="1:16" s="7" customFormat="1" ht="15">
      <c r="A68" s="103">
        <v>64</v>
      </c>
      <c r="B68" s="249" t="s">
        <v>224</v>
      </c>
      <c r="C68" s="116">
        <v>39108</v>
      </c>
      <c r="D68" s="129" t="s">
        <v>45</v>
      </c>
      <c r="E68" s="129" t="s">
        <v>225</v>
      </c>
      <c r="F68" s="421" t="s">
        <v>226</v>
      </c>
      <c r="G68" s="421" t="s">
        <v>20</v>
      </c>
      <c r="H68" s="421" t="s">
        <v>411</v>
      </c>
      <c r="I68" s="255">
        <v>231</v>
      </c>
      <c r="J68" s="414">
        <v>77</v>
      </c>
      <c r="K68" s="417">
        <f>+J68/G68</f>
        <v>77</v>
      </c>
      <c r="L68" s="418">
        <f>+I68/J68</f>
        <v>3</v>
      </c>
      <c r="M68" s="415">
        <v>2819858</v>
      </c>
      <c r="N68" s="416">
        <v>378542</v>
      </c>
      <c r="O68" s="438">
        <f>IF(M68&lt;&gt;0,M68/N68,"")</f>
        <v>7.449260584030306</v>
      </c>
      <c r="P68" s="242"/>
    </row>
    <row r="69" spans="1:16" s="7" customFormat="1" ht="15">
      <c r="A69" s="103">
        <v>65</v>
      </c>
      <c r="B69" s="248" t="s">
        <v>295</v>
      </c>
      <c r="C69" s="117">
        <v>39150</v>
      </c>
      <c r="D69" s="132" t="s">
        <v>23</v>
      </c>
      <c r="E69" s="131" t="s">
        <v>296</v>
      </c>
      <c r="F69" s="120">
        <v>100</v>
      </c>
      <c r="G69" s="120">
        <v>2</v>
      </c>
      <c r="H69" s="120">
        <v>7</v>
      </c>
      <c r="I69" s="254">
        <v>224</v>
      </c>
      <c r="J69" s="122">
        <v>56</v>
      </c>
      <c r="K69" s="409">
        <f>J69/G69</f>
        <v>28</v>
      </c>
      <c r="L69" s="410">
        <f>I69/J69</f>
        <v>4</v>
      </c>
      <c r="M69" s="411">
        <f>221689.5+60473+12914+3842.4+1749+1296+224</f>
        <v>302187.9</v>
      </c>
      <c r="N69" s="412">
        <f>30032+8139+2146+874+367+232+56</f>
        <v>41846</v>
      </c>
      <c r="O69" s="437">
        <f>M69/N69</f>
        <v>7.221428571428572</v>
      </c>
      <c r="P69" s="242"/>
    </row>
    <row r="70" spans="1:16" s="7" customFormat="1" ht="15">
      <c r="A70" s="103">
        <v>66</v>
      </c>
      <c r="B70" s="248" t="s">
        <v>239</v>
      </c>
      <c r="C70" s="117">
        <v>39115</v>
      </c>
      <c r="D70" s="132" t="s">
        <v>23</v>
      </c>
      <c r="E70" s="131" t="s">
        <v>33</v>
      </c>
      <c r="F70" s="120">
        <v>7</v>
      </c>
      <c r="G70" s="120">
        <v>2</v>
      </c>
      <c r="H70" s="120">
        <v>11</v>
      </c>
      <c r="I70" s="254">
        <v>211</v>
      </c>
      <c r="J70" s="122">
        <v>58</v>
      </c>
      <c r="K70" s="417">
        <f>+J70/G70</f>
        <v>29</v>
      </c>
      <c r="L70" s="418">
        <f>+I70/J70</f>
        <v>3.6379310344827585</v>
      </c>
      <c r="M70" s="411">
        <f>17653+2664+2547+3149.5+1301+782+4139+3319+2916+1353+211</f>
        <v>40034.5</v>
      </c>
      <c r="N70" s="412">
        <f>1861+315+483+453+199+125+780+688+532+250+58</f>
        <v>5744</v>
      </c>
      <c r="O70" s="437">
        <f>M70/N70</f>
        <v>6.969794568245125</v>
      </c>
      <c r="P70" s="242"/>
    </row>
    <row r="71" spans="1:16" s="7" customFormat="1" ht="15">
      <c r="A71" s="103">
        <v>67</v>
      </c>
      <c r="B71" s="246" t="s">
        <v>122</v>
      </c>
      <c r="C71" s="116">
        <v>39066</v>
      </c>
      <c r="D71" s="127" t="s">
        <v>56</v>
      </c>
      <c r="E71" s="126" t="s">
        <v>69</v>
      </c>
      <c r="F71" s="413">
        <v>183</v>
      </c>
      <c r="G71" s="413">
        <v>1</v>
      </c>
      <c r="H71" s="413">
        <v>19</v>
      </c>
      <c r="I71" s="255">
        <v>112</v>
      </c>
      <c r="J71" s="414">
        <v>16</v>
      </c>
      <c r="K71" s="409">
        <f>J71/G71</f>
        <v>16</v>
      </c>
      <c r="L71" s="410">
        <f>I71/J71</f>
        <v>7</v>
      </c>
      <c r="M71" s="415">
        <f>1182111.5+571701+1057112+222438-23+32518+14705+6718+2937-1+2526+2701+500+346+252+140+231+168+126+168+112</f>
        <v>3097486.5</v>
      </c>
      <c r="N71" s="416">
        <f>169230+82491+151061+33037+6240+4042+1655+674+706+740+92+65+36+20+33+24+18+24+16</f>
        <v>450204</v>
      </c>
      <c r="O71" s="436">
        <f>+M71/N71</f>
        <v>6.880184316443213</v>
      </c>
      <c r="P71" s="242"/>
    </row>
    <row r="72" spans="1:16" s="7" customFormat="1" ht="15">
      <c r="A72" s="103">
        <v>68</v>
      </c>
      <c r="B72" s="247" t="s">
        <v>290</v>
      </c>
      <c r="C72" s="117">
        <v>39136</v>
      </c>
      <c r="D72" s="128" t="s">
        <v>58</v>
      </c>
      <c r="E72" s="128" t="s">
        <v>59</v>
      </c>
      <c r="F72" s="118">
        <v>7</v>
      </c>
      <c r="G72" s="118">
        <v>1</v>
      </c>
      <c r="H72" s="118">
        <v>9</v>
      </c>
      <c r="I72" s="254">
        <v>60</v>
      </c>
      <c r="J72" s="122">
        <v>6</v>
      </c>
      <c r="K72" s="417">
        <f>+J72/G72</f>
        <v>6</v>
      </c>
      <c r="L72" s="418">
        <f>+I72/J72</f>
        <v>10</v>
      </c>
      <c r="M72" s="411">
        <f>23106.5+15905+4970.5+4958+2337+5206+2114+6120.5+60</f>
        <v>64777.5</v>
      </c>
      <c r="N72" s="412">
        <f>2469+1725+813+546+379+1021+442+1372+6</f>
        <v>8773</v>
      </c>
      <c r="O72" s="437">
        <f>M72/N72</f>
        <v>7.3837341844295</v>
      </c>
      <c r="P72" s="242"/>
    </row>
    <row r="73" spans="1:16" s="7" customFormat="1" ht="15.75" thickBot="1">
      <c r="A73" s="103">
        <v>69</v>
      </c>
      <c r="B73" s="440" t="s">
        <v>181</v>
      </c>
      <c r="C73" s="269">
        <v>39094</v>
      </c>
      <c r="D73" s="202" t="s">
        <v>58</v>
      </c>
      <c r="E73" s="202" t="s">
        <v>348</v>
      </c>
      <c r="F73" s="441">
        <v>226</v>
      </c>
      <c r="G73" s="441">
        <v>1</v>
      </c>
      <c r="H73" s="441">
        <v>15</v>
      </c>
      <c r="I73" s="442">
        <v>20</v>
      </c>
      <c r="J73" s="443">
        <v>4</v>
      </c>
      <c r="K73" s="444">
        <f>J73/G73</f>
        <v>4</v>
      </c>
      <c r="L73" s="445">
        <f>I73/J73</f>
        <v>5</v>
      </c>
      <c r="M73" s="446">
        <f>3142328+2138928+1454143+1085018.5-637+512497+119516+49072.5+21975.5+19023+9522+7521+6716.5+973+245+20</f>
        <v>8566862</v>
      </c>
      <c r="N73" s="447">
        <f>453903+300559+202455+152725+101+73889+22414+10560+4196+3829+2908+1791+1716+233+42+4</f>
        <v>1231325</v>
      </c>
      <c r="O73" s="448">
        <f>IF(M73&lt;&gt;0,M73/N73,"")</f>
        <v>6.95743365886342</v>
      </c>
      <c r="P73" s="242"/>
    </row>
    <row r="74" spans="1:16" s="115" customFormat="1" ht="15">
      <c r="A74" s="372" t="s">
        <v>50</v>
      </c>
      <c r="B74" s="373"/>
      <c r="C74" s="105"/>
      <c r="D74" s="106" t="s">
        <v>396</v>
      </c>
      <c r="E74" s="107"/>
      <c r="F74" s="106"/>
      <c r="G74" s="108">
        <f>SUM(G5:G73)</f>
        <v>1176</v>
      </c>
      <c r="H74" s="106"/>
      <c r="I74" s="109">
        <f>SUM(I5:I73)</f>
        <v>4494130.15</v>
      </c>
      <c r="J74" s="110">
        <f>SUM(J5:J73)</f>
        <v>593399</v>
      </c>
      <c r="K74" s="111">
        <f>J74/G74</f>
        <v>504.59098639455783</v>
      </c>
      <c r="L74" s="112">
        <f>I74/J74</f>
        <v>7.57353846231625</v>
      </c>
      <c r="M74" s="113"/>
      <c r="N74" s="111"/>
      <c r="O74" s="114"/>
      <c r="P74" s="244"/>
    </row>
    <row r="75" spans="1:16" s="13" customFormat="1" ht="15">
      <c r="A75" s="374" t="s">
        <v>49</v>
      </c>
      <c r="B75" s="375"/>
      <c r="C75" s="29"/>
      <c r="D75" s="30" t="s">
        <v>373</v>
      </c>
      <c r="E75" s="28"/>
      <c r="F75" s="30"/>
      <c r="G75" s="31">
        <v>1152</v>
      </c>
      <c r="H75" s="30"/>
      <c r="I75" s="46">
        <v>3559322.95</v>
      </c>
      <c r="J75" s="94">
        <v>471366</v>
      </c>
      <c r="K75" s="111">
        <f>J75/G75</f>
        <v>409.171875</v>
      </c>
      <c r="L75" s="32">
        <f>I75/J75</f>
        <v>7.55108121926486</v>
      </c>
      <c r="M75" s="39"/>
      <c r="N75" s="36"/>
      <c r="O75" s="42"/>
      <c r="P75" s="242"/>
    </row>
    <row r="76" spans="1:16" s="7" customFormat="1" ht="13.5">
      <c r="A76" s="52"/>
      <c r="C76" s="11"/>
      <c r="D76" s="15"/>
      <c r="E76" s="15"/>
      <c r="F76" s="8"/>
      <c r="G76" s="8"/>
      <c r="H76" s="8"/>
      <c r="I76" s="47"/>
      <c r="J76" s="33"/>
      <c r="K76" s="34"/>
      <c r="L76" s="21"/>
      <c r="M76" s="40"/>
      <c r="N76" s="34"/>
      <c r="O76" s="43"/>
      <c r="P76" s="242"/>
    </row>
    <row r="77" spans="1:16" s="7" customFormat="1" ht="15">
      <c r="A77" s="52"/>
      <c r="B77" s="380"/>
      <c r="C77" s="380"/>
      <c r="D77" s="383"/>
      <c r="E77" s="383"/>
      <c r="F77" s="383"/>
      <c r="G77" s="22"/>
      <c r="H77" s="8"/>
      <c r="I77" s="47"/>
      <c r="J77" s="33"/>
      <c r="K77" s="381" t="s">
        <v>47</v>
      </c>
      <c r="L77" s="382"/>
      <c r="M77" s="382"/>
      <c r="N77" s="382"/>
      <c r="O77" s="382"/>
      <c r="P77" s="242"/>
    </row>
    <row r="78" spans="1:16" s="7" customFormat="1" ht="15.75" thickBot="1">
      <c r="A78" s="52"/>
      <c r="B78" s="380"/>
      <c r="C78" s="380"/>
      <c r="D78" s="175"/>
      <c r="E78" s="176"/>
      <c r="F78" s="176"/>
      <c r="G78" s="8"/>
      <c r="H78" s="23"/>
      <c r="I78" s="47"/>
      <c r="J78" s="33"/>
      <c r="K78" s="382"/>
      <c r="L78" s="382"/>
      <c r="M78" s="382"/>
      <c r="N78" s="382"/>
      <c r="O78" s="382"/>
      <c r="P78" s="242"/>
    </row>
    <row r="79" spans="1:16" s="7" customFormat="1" ht="15">
      <c r="A79" s="61"/>
      <c r="B79" s="58" t="s">
        <v>51</v>
      </c>
      <c r="C79" s="376" t="s">
        <v>88</v>
      </c>
      <c r="D79" s="377"/>
      <c r="E79" s="377"/>
      <c r="F79" s="378"/>
      <c r="G79" s="8"/>
      <c r="H79" s="23"/>
      <c r="I79" s="47"/>
      <c r="J79" s="33"/>
      <c r="K79" s="382"/>
      <c r="L79" s="382"/>
      <c r="M79" s="382"/>
      <c r="N79" s="382"/>
      <c r="O79" s="382"/>
      <c r="P79" s="242"/>
    </row>
    <row r="80" spans="1:16" s="7" customFormat="1" ht="15">
      <c r="A80" s="68"/>
      <c r="B80" s="69"/>
      <c r="C80" s="70" t="s">
        <v>89</v>
      </c>
      <c r="D80" s="71" t="s">
        <v>6</v>
      </c>
      <c r="E80" s="71" t="s">
        <v>90</v>
      </c>
      <c r="F80" s="72" t="s">
        <v>0</v>
      </c>
      <c r="G80" s="8"/>
      <c r="H80" s="23"/>
      <c r="I80" s="47"/>
      <c r="J80" s="33"/>
      <c r="K80" s="379" t="s">
        <v>372</v>
      </c>
      <c r="L80" s="379"/>
      <c r="M80" s="379"/>
      <c r="N80" s="379"/>
      <c r="O80" s="379"/>
      <c r="P80" s="242"/>
    </row>
    <row r="81" spans="1:16" s="7" customFormat="1" ht="15">
      <c r="A81" s="64">
        <v>1</v>
      </c>
      <c r="B81" s="65" t="s">
        <v>44</v>
      </c>
      <c r="C81" s="153" t="s">
        <v>370</v>
      </c>
      <c r="D81" s="66">
        <v>1764375</v>
      </c>
      <c r="E81" s="67">
        <v>236210</v>
      </c>
      <c r="F81" s="245">
        <f>D81/E81</f>
        <v>7.469518648660091</v>
      </c>
      <c r="G81" s="8"/>
      <c r="H81" s="23"/>
      <c r="I81" s="47"/>
      <c r="J81" s="33"/>
      <c r="K81" s="379"/>
      <c r="L81" s="379"/>
      <c r="M81" s="379"/>
      <c r="N81" s="379"/>
      <c r="O81" s="379"/>
      <c r="P81" s="242"/>
    </row>
    <row r="82" spans="1:16" s="7" customFormat="1" ht="15">
      <c r="A82" s="62">
        <v>2</v>
      </c>
      <c r="B82" s="59" t="s">
        <v>11</v>
      </c>
      <c r="C82" s="154" t="s">
        <v>397</v>
      </c>
      <c r="D82" s="54">
        <v>840605</v>
      </c>
      <c r="E82" s="55">
        <v>102573</v>
      </c>
      <c r="F82" s="245">
        <f>D82/E82</f>
        <v>8.195187817456835</v>
      </c>
      <c r="G82" s="8"/>
      <c r="H82" s="23"/>
      <c r="I82" s="47"/>
      <c r="J82" s="33"/>
      <c r="K82" s="379"/>
      <c r="L82" s="379"/>
      <c r="M82" s="379"/>
      <c r="N82" s="379"/>
      <c r="O82" s="379"/>
      <c r="P82" s="242"/>
    </row>
    <row r="83" spans="1:16" s="7" customFormat="1" ht="15">
      <c r="A83" s="62">
        <v>3</v>
      </c>
      <c r="B83" s="59" t="s">
        <v>12</v>
      </c>
      <c r="C83" s="154" t="s">
        <v>399</v>
      </c>
      <c r="D83" s="54">
        <v>639194</v>
      </c>
      <c r="E83" s="55">
        <v>83619</v>
      </c>
      <c r="F83" s="245">
        <f>D83/E83</f>
        <v>7.644123943122975</v>
      </c>
      <c r="G83" s="8"/>
      <c r="H83" s="23"/>
      <c r="I83" s="47"/>
      <c r="J83" s="33"/>
      <c r="K83" s="34"/>
      <c r="L83" s="21"/>
      <c r="M83" s="18"/>
      <c r="N83" s="34"/>
      <c r="O83" s="43"/>
      <c r="P83" s="242"/>
    </row>
    <row r="84" spans="1:16" s="7" customFormat="1" ht="15">
      <c r="A84" s="62">
        <v>4</v>
      </c>
      <c r="B84" s="59" t="s">
        <v>48</v>
      </c>
      <c r="C84" s="154" t="s">
        <v>398</v>
      </c>
      <c r="D84" s="54">
        <v>423142.5</v>
      </c>
      <c r="E84" s="55">
        <v>59308</v>
      </c>
      <c r="F84" s="245">
        <f>D84/E84</f>
        <v>7.134661428475079</v>
      </c>
      <c r="G84" s="8"/>
      <c r="H84" s="369" t="s">
        <v>99</v>
      </c>
      <c r="I84" s="370"/>
      <c r="J84" s="370"/>
      <c r="K84" s="370"/>
      <c r="L84" s="370"/>
      <c r="M84" s="370"/>
      <c r="N84" s="370"/>
      <c r="O84" s="370"/>
      <c r="P84" s="242"/>
    </row>
    <row r="85" spans="1:16" s="27" customFormat="1" ht="15">
      <c r="A85" s="62">
        <v>5</v>
      </c>
      <c r="B85" s="59" t="s">
        <v>45</v>
      </c>
      <c r="C85" s="154" t="s">
        <v>303</v>
      </c>
      <c r="D85" s="54">
        <v>401909</v>
      </c>
      <c r="E85" s="55">
        <v>65843</v>
      </c>
      <c r="F85" s="245">
        <f>D85/E85</f>
        <v>6.104050544477014</v>
      </c>
      <c r="G85" s="49"/>
      <c r="H85" s="370"/>
      <c r="I85" s="370"/>
      <c r="J85" s="370"/>
      <c r="K85" s="370"/>
      <c r="L85" s="370"/>
      <c r="M85" s="370"/>
      <c r="N85" s="370"/>
      <c r="O85" s="370"/>
      <c r="P85" s="242"/>
    </row>
    <row r="86" spans="1:16" s="27" customFormat="1" ht="15">
      <c r="A86" s="62">
        <v>6</v>
      </c>
      <c r="B86" s="59" t="s">
        <v>67</v>
      </c>
      <c r="C86" s="154" t="s">
        <v>37</v>
      </c>
      <c r="D86" s="54">
        <v>183996</v>
      </c>
      <c r="E86" s="55">
        <v>21201</v>
      </c>
      <c r="F86" s="245">
        <f>D86/E86</f>
        <v>8.678647233621055</v>
      </c>
      <c r="G86" s="26"/>
      <c r="H86" s="370"/>
      <c r="I86" s="370"/>
      <c r="J86" s="370"/>
      <c r="K86" s="370"/>
      <c r="L86" s="370"/>
      <c r="M86" s="370"/>
      <c r="N86" s="370"/>
      <c r="O86" s="370"/>
      <c r="P86" s="242"/>
    </row>
    <row r="87" spans="1:16" s="27" customFormat="1" ht="15">
      <c r="A87" s="62">
        <v>7</v>
      </c>
      <c r="B87" s="59" t="s">
        <v>73</v>
      </c>
      <c r="C87" s="154" t="s">
        <v>398</v>
      </c>
      <c r="D87" s="54">
        <v>131051.15</v>
      </c>
      <c r="E87" s="55">
        <v>14114</v>
      </c>
      <c r="F87" s="245">
        <f>D87/E87</f>
        <v>9.28518846535355</v>
      </c>
      <c r="G87" s="26"/>
      <c r="H87" s="370"/>
      <c r="I87" s="370"/>
      <c r="J87" s="370"/>
      <c r="K87" s="370"/>
      <c r="L87" s="370"/>
      <c r="M87" s="370"/>
      <c r="N87" s="370"/>
      <c r="O87" s="370"/>
      <c r="P87" s="242"/>
    </row>
    <row r="88" spans="1:16" s="27" customFormat="1" ht="15">
      <c r="A88" s="62">
        <v>8</v>
      </c>
      <c r="B88" s="59" t="s">
        <v>23</v>
      </c>
      <c r="C88" s="154" t="s">
        <v>330</v>
      </c>
      <c r="D88" s="54">
        <v>97615.5</v>
      </c>
      <c r="E88" s="55">
        <v>14819</v>
      </c>
      <c r="F88" s="245">
        <f>D88/E88</f>
        <v>6.5871853701329375</v>
      </c>
      <c r="G88" s="26"/>
      <c r="H88" s="370"/>
      <c r="I88" s="370"/>
      <c r="J88" s="370"/>
      <c r="K88" s="370"/>
      <c r="L88" s="370"/>
      <c r="M88" s="370"/>
      <c r="N88" s="370"/>
      <c r="O88" s="370"/>
      <c r="P88" s="242"/>
    </row>
    <row r="89" spans="1:16" s="27" customFormat="1" ht="15">
      <c r="A89" s="62">
        <v>9</v>
      </c>
      <c r="B89" s="59" t="s">
        <v>64</v>
      </c>
      <c r="C89" s="154" t="s">
        <v>37</v>
      </c>
      <c r="D89" s="54">
        <v>6954</v>
      </c>
      <c r="E89" s="55">
        <v>1316</v>
      </c>
      <c r="F89" s="245">
        <f>D89/E89</f>
        <v>5.28419452887538</v>
      </c>
      <c r="G89" s="26"/>
      <c r="H89" s="370"/>
      <c r="I89" s="370"/>
      <c r="J89" s="370"/>
      <c r="K89" s="370"/>
      <c r="L89" s="370"/>
      <c r="M89" s="370"/>
      <c r="N89" s="370"/>
      <c r="O89" s="370"/>
      <c r="P89" s="242"/>
    </row>
    <row r="90" spans="1:16" s="27" customFormat="1" ht="15">
      <c r="A90" s="62">
        <v>10</v>
      </c>
      <c r="B90" s="59" t="s">
        <v>46</v>
      </c>
      <c r="C90" s="154" t="s">
        <v>20</v>
      </c>
      <c r="D90" s="54">
        <v>5374</v>
      </c>
      <c r="E90" s="55">
        <v>694</v>
      </c>
      <c r="F90" s="245">
        <f>D90/E90</f>
        <v>7.743515850144092</v>
      </c>
      <c r="G90" s="26"/>
      <c r="H90" s="371" t="s">
        <v>19</v>
      </c>
      <c r="I90" s="370"/>
      <c r="J90" s="370"/>
      <c r="K90" s="370"/>
      <c r="L90" s="370"/>
      <c r="M90" s="370"/>
      <c r="N90" s="370"/>
      <c r="O90" s="370"/>
      <c r="P90" s="242"/>
    </row>
    <row r="91" spans="1:16" s="27" customFormat="1" ht="15">
      <c r="A91" s="62">
        <v>11</v>
      </c>
      <c r="B91" s="59" t="s">
        <v>68</v>
      </c>
      <c r="C91" s="154" t="s">
        <v>86</v>
      </c>
      <c r="D91" s="54" t="s">
        <v>86</v>
      </c>
      <c r="E91" s="55" t="s">
        <v>86</v>
      </c>
      <c r="F91" s="245" t="s">
        <v>86</v>
      </c>
      <c r="G91" s="26"/>
      <c r="H91" s="370"/>
      <c r="I91" s="370"/>
      <c r="J91" s="370"/>
      <c r="K91" s="370"/>
      <c r="L91" s="370"/>
      <c r="M91" s="370"/>
      <c r="N91" s="370"/>
      <c r="O91" s="370"/>
      <c r="P91" s="242"/>
    </row>
    <row r="92" spans="1:16" s="27" customFormat="1" ht="15.75" thickBot="1">
      <c r="A92" s="63">
        <v>12</v>
      </c>
      <c r="B92" s="60" t="s">
        <v>74</v>
      </c>
      <c r="C92" s="155" t="s">
        <v>86</v>
      </c>
      <c r="D92" s="56" t="s">
        <v>86</v>
      </c>
      <c r="E92" s="57" t="s">
        <v>86</v>
      </c>
      <c r="F92" s="304" t="s">
        <v>86</v>
      </c>
      <c r="G92" s="26"/>
      <c r="H92" s="370"/>
      <c r="I92" s="370"/>
      <c r="J92" s="370"/>
      <c r="K92" s="370"/>
      <c r="L92" s="370"/>
      <c r="M92" s="370"/>
      <c r="N92" s="370"/>
      <c r="O92" s="370"/>
      <c r="P92" s="242"/>
    </row>
    <row r="93" spans="1:16" s="27" customFormat="1" ht="18">
      <c r="A93" s="52"/>
      <c r="B93" s="4"/>
      <c r="C93" s="12"/>
      <c r="D93" s="16"/>
      <c r="E93" s="16"/>
      <c r="F93" s="6"/>
      <c r="G93" s="26"/>
      <c r="H93" s="370"/>
      <c r="I93" s="370"/>
      <c r="J93" s="370"/>
      <c r="K93" s="370"/>
      <c r="L93" s="370"/>
      <c r="M93" s="370"/>
      <c r="N93" s="370"/>
      <c r="O93" s="370"/>
      <c r="P93" s="242"/>
    </row>
    <row r="94" spans="1:16" s="27" customFormat="1" ht="18">
      <c r="A94" s="52"/>
      <c r="B94" s="4"/>
      <c r="C94" s="12"/>
      <c r="D94" s="16"/>
      <c r="E94" s="16"/>
      <c r="F94" s="6"/>
      <c r="G94" s="26"/>
      <c r="H94" s="370"/>
      <c r="I94" s="370"/>
      <c r="J94" s="370"/>
      <c r="K94" s="370"/>
      <c r="L94" s="370"/>
      <c r="M94" s="370"/>
      <c r="N94" s="370"/>
      <c r="O94" s="370"/>
      <c r="P94" s="242"/>
    </row>
    <row r="95" spans="1:16" s="27" customFormat="1" ht="15">
      <c r="A95" s="52"/>
      <c r="B95" s="73"/>
      <c r="C95" s="152"/>
      <c r="D95" s="73"/>
      <c r="E95" s="73"/>
      <c r="F95" s="73"/>
      <c r="G95" s="26"/>
      <c r="H95" s="370"/>
      <c r="I95" s="370"/>
      <c r="J95" s="370"/>
      <c r="K95" s="370"/>
      <c r="L95" s="370"/>
      <c r="M95" s="370"/>
      <c r="N95" s="370"/>
      <c r="O95" s="370"/>
      <c r="P95" s="242"/>
    </row>
    <row r="96" spans="1:16" s="27" customFormat="1" ht="15">
      <c r="A96" s="52"/>
      <c r="B96" s="73"/>
      <c r="C96" s="152"/>
      <c r="D96" s="73"/>
      <c r="E96" s="73"/>
      <c r="F96" s="73"/>
      <c r="G96" s="26"/>
      <c r="H96" s="370"/>
      <c r="I96" s="370"/>
      <c r="J96" s="370"/>
      <c r="K96" s="370"/>
      <c r="L96" s="370"/>
      <c r="M96" s="370"/>
      <c r="N96" s="370"/>
      <c r="O96" s="370"/>
      <c r="P96" s="242"/>
    </row>
    <row r="97" spans="1:16" s="27" customFormat="1" ht="15">
      <c r="A97" s="52"/>
      <c r="B97" s="73"/>
      <c r="C97" s="152"/>
      <c r="D97" s="73"/>
      <c r="E97" s="73"/>
      <c r="F97" s="73"/>
      <c r="G97" s="26"/>
      <c r="H97" s="74"/>
      <c r="I97" s="124"/>
      <c r="J97" s="124"/>
      <c r="K97" s="74"/>
      <c r="L97" s="74"/>
      <c r="M97" s="74"/>
      <c r="N97" s="74"/>
      <c r="O97" s="74"/>
      <c r="P97" s="242"/>
    </row>
    <row r="98" spans="1:16" s="27" customFormat="1" ht="15">
      <c r="A98" s="52"/>
      <c r="B98" s="73"/>
      <c r="C98" s="152"/>
      <c r="D98" s="73"/>
      <c r="E98" s="73"/>
      <c r="F98" s="73"/>
      <c r="G98" s="26"/>
      <c r="H98" s="74"/>
      <c r="I98" s="124"/>
      <c r="J98" s="124"/>
      <c r="K98" s="74"/>
      <c r="L98" s="74"/>
      <c r="M98" s="74"/>
      <c r="N98" s="74"/>
      <c r="O98" s="74"/>
      <c r="P98" s="242"/>
    </row>
    <row r="99" spans="2:6" ht="18">
      <c r="B99" s="73"/>
      <c r="C99" s="152"/>
      <c r="D99" s="73"/>
      <c r="E99" s="73"/>
      <c r="F99" s="73"/>
    </row>
    <row r="100" spans="2:6" ht="18">
      <c r="B100" s="73"/>
      <c r="C100" s="152"/>
      <c r="D100" s="73"/>
      <c r="E100" s="73"/>
      <c r="F100" s="73"/>
    </row>
    <row r="101" spans="2:15" ht="18">
      <c r="B101" s="73"/>
      <c r="C101" s="152"/>
      <c r="D101" s="73"/>
      <c r="E101" s="73"/>
      <c r="F101" s="73"/>
      <c r="G101" s="73"/>
      <c r="H101" s="73"/>
      <c r="I101" s="125"/>
      <c r="J101" s="125"/>
      <c r="K101" s="73"/>
      <c r="L101" s="73"/>
      <c r="M101" s="73"/>
      <c r="N101" s="73"/>
      <c r="O101" s="73"/>
    </row>
    <row r="102" spans="2:15" ht="18">
      <c r="B102" s="73"/>
      <c r="C102" s="152"/>
      <c r="D102" s="73"/>
      <c r="E102" s="73"/>
      <c r="F102" s="73"/>
      <c r="G102" s="73"/>
      <c r="H102" s="73"/>
      <c r="I102" s="125"/>
      <c r="J102" s="125"/>
      <c r="K102" s="73"/>
      <c r="L102" s="73"/>
      <c r="M102" s="73"/>
      <c r="N102" s="73"/>
      <c r="O102" s="73"/>
    </row>
    <row r="103" spans="2:15" ht="18">
      <c r="B103" s="73"/>
      <c r="C103" s="152"/>
      <c r="D103" s="73"/>
      <c r="E103" s="73"/>
      <c r="F103" s="73"/>
      <c r="G103" s="73"/>
      <c r="H103" s="73"/>
      <c r="I103" s="125"/>
      <c r="J103" s="125"/>
      <c r="K103" s="73"/>
      <c r="L103" s="73"/>
      <c r="M103" s="73"/>
      <c r="N103" s="73"/>
      <c r="O103" s="73"/>
    </row>
    <row r="104" spans="2:15" ht="18">
      <c r="B104" s="73"/>
      <c r="C104" s="152"/>
      <c r="D104" s="73"/>
      <c r="E104" s="73"/>
      <c r="F104" s="73"/>
      <c r="G104" s="73"/>
      <c r="H104" s="73"/>
      <c r="I104" s="125"/>
      <c r="J104" s="125"/>
      <c r="K104" s="73"/>
      <c r="L104" s="73"/>
      <c r="M104" s="73"/>
      <c r="N104" s="73"/>
      <c r="O104" s="73"/>
    </row>
    <row r="105" spans="2:15" ht="18">
      <c r="B105" s="73"/>
      <c r="C105" s="152"/>
      <c r="D105" s="73"/>
      <c r="E105" s="73"/>
      <c r="F105" s="73"/>
      <c r="G105" s="73"/>
      <c r="H105" s="73"/>
      <c r="I105" s="125"/>
      <c r="J105" s="125"/>
      <c r="K105" s="73"/>
      <c r="L105" s="73"/>
      <c r="M105" s="73"/>
      <c r="N105" s="73"/>
      <c r="O105" s="73"/>
    </row>
    <row r="106" spans="2:15" ht="18">
      <c r="B106" s="73"/>
      <c r="C106" s="152"/>
      <c r="D106" s="73"/>
      <c r="E106" s="73"/>
      <c r="F106" s="73"/>
      <c r="G106" s="73"/>
      <c r="H106" s="73"/>
      <c r="I106" s="125"/>
      <c r="J106" s="125"/>
      <c r="K106" s="73"/>
      <c r="L106" s="73"/>
      <c r="M106" s="73"/>
      <c r="N106" s="73"/>
      <c r="O106" s="73"/>
    </row>
    <row r="107" spans="2:15" ht="18">
      <c r="B107" s="73"/>
      <c r="C107" s="152"/>
      <c r="D107" s="73"/>
      <c r="E107" s="73"/>
      <c r="F107" s="73"/>
      <c r="G107" s="73"/>
      <c r="H107" s="73"/>
      <c r="I107" s="125"/>
      <c r="J107" s="125"/>
      <c r="K107" s="73"/>
      <c r="L107" s="73"/>
      <c r="M107" s="73"/>
      <c r="N107" s="73"/>
      <c r="O107" s="73"/>
    </row>
    <row r="108" spans="2:15" ht="18">
      <c r="B108" s="73"/>
      <c r="C108" s="152"/>
      <c r="D108" s="73"/>
      <c r="E108" s="73"/>
      <c r="F108" s="73"/>
      <c r="G108" s="73"/>
      <c r="H108" s="73"/>
      <c r="I108" s="125"/>
      <c r="J108" s="125"/>
      <c r="K108" s="73"/>
      <c r="L108" s="73"/>
      <c r="M108" s="73"/>
      <c r="N108" s="73"/>
      <c r="O108" s="73"/>
    </row>
    <row r="109" spans="7:15" ht="18">
      <c r="G109" s="73"/>
      <c r="H109" s="73"/>
      <c r="I109" s="125"/>
      <c r="J109" s="125"/>
      <c r="K109" s="73"/>
      <c r="L109" s="73"/>
      <c r="M109" s="73"/>
      <c r="N109" s="73"/>
      <c r="O109" s="73"/>
    </row>
    <row r="110" spans="7:15" ht="18">
      <c r="G110" s="73"/>
      <c r="H110" s="73"/>
      <c r="I110" s="125"/>
      <c r="J110" s="125"/>
      <c r="K110" s="73"/>
      <c r="L110" s="73"/>
      <c r="M110" s="73"/>
      <c r="N110" s="73"/>
      <c r="O110" s="73"/>
    </row>
    <row r="111" spans="7:15" ht="18">
      <c r="G111" s="73"/>
      <c r="H111" s="73"/>
      <c r="I111" s="125"/>
      <c r="J111" s="125"/>
      <c r="K111" s="73"/>
      <c r="L111" s="73"/>
      <c r="M111" s="73"/>
      <c r="N111" s="73"/>
      <c r="O111" s="73"/>
    </row>
    <row r="112" spans="7:15" ht="18">
      <c r="G112" s="73"/>
      <c r="H112" s="73"/>
      <c r="I112" s="125"/>
      <c r="J112" s="125"/>
      <c r="K112" s="73"/>
      <c r="L112" s="73"/>
      <c r="M112" s="73"/>
      <c r="N112" s="73"/>
      <c r="O112" s="73"/>
    </row>
    <row r="113" spans="7:15" ht="18">
      <c r="G113" s="73"/>
      <c r="H113" s="73"/>
      <c r="I113" s="125"/>
      <c r="J113" s="125"/>
      <c r="K113" s="73"/>
      <c r="L113" s="73"/>
      <c r="M113" s="73"/>
      <c r="N113" s="73"/>
      <c r="O113" s="73"/>
    </row>
    <row r="114" spans="7:15" ht="18">
      <c r="G114" s="73"/>
      <c r="H114" s="73"/>
      <c r="I114" s="125"/>
      <c r="J114" s="125"/>
      <c r="K114" s="73"/>
      <c r="L114" s="73"/>
      <c r="M114" s="73"/>
      <c r="N114" s="73"/>
      <c r="O114" s="73"/>
    </row>
  </sheetData>
  <sheetProtection insertRows="0" deleteRows="0" sort="0"/>
  <mergeCells count="19">
    <mergeCell ref="H84:O89"/>
    <mergeCell ref="H90:O96"/>
    <mergeCell ref="A74:B74"/>
    <mergeCell ref="A75:B75"/>
    <mergeCell ref="C79:F79"/>
    <mergeCell ref="K80:O82"/>
    <mergeCell ref="B77:C78"/>
    <mergeCell ref="K77:O79"/>
    <mergeCell ref="D77:F77"/>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C81:E90 F10:H68" numberStoredAsText="1"/>
    <ignoredError sqref="M74:N75" unlockedFormula="1"/>
    <ignoredError sqref="K74:L74 K7:L71 O7:O71 M7:N14" formula="1"/>
    <ignoredError sqref="F81:F90 M15:N71" numberStoredAsText="1" unlockedFormula="1"/>
    <ignoredError sqref="M15:N71" formula="1" unlockedFormula="1"/>
  </ignoredErrors>
  <drawing r:id="rId1"/>
</worksheet>
</file>

<file path=xl/worksheets/sheet2.xml><?xml version="1.0" encoding="utf-8"?>
<worksheet xmlns="http://schemas.openxmlformats.org/spreadsheetml/2006/main" xmlns:r="http://schemas.openxmlformats.org/officeDocument/2006/relationships">
  <dimension ref="A1:L114"/>
  <sheetViews>
    <sheetView zoomScale="55" zoomScaleNormal="55" workbookViewId="0" topLeftCell="A67">
      <selection activeCell="B104" sqref="B104"/>
    </sheetView>
  </sheetViews>
  <sheetFormatPr defaultColWidth="9.140625" defaultRowHeight="12.75"/>
  <cols>
    <col min="1" max="1" width="4.421875" style="92" bestFit="1" customWidth="1"/>
    <col min="2" max="2" width="37.28125" style="87" bestFit="1" customWidth="1"/>
    <col min="3" max="3" width="10.7109375" style="50" customWidth="1"/>
    <col min="4" max="4" width="13.140625" style="50" bestFit="1" customWidth="1"/>
    <col min="5" max="5" width="19.8515625" style="50" customWidth="1"/>
    <col min="6" max="6" width="6.421875" style="50" bestFit="1" customWidth="1"/>
    <col min="7" max="7" width="10.28125" style="50" customWidth="1"/>
    <col min="8" max="8" width="17.421875" style="88" bestFit="1" customWidth="1"/>
    <col min="9" max="9" width="12.421875" style="99" bestFit="1" customWidth="1"/>
    <col min="10" max="10" width="8.8515625" style="89" customWidth="1"/>
    <col min="11" max="16384" width="13.28125" style="87" customWidth="1"/>
  </cols>
  <sheetData>
    <row r="1" spans="1:10" s="79" customFormat="1" ht="39" customHeight="1" thickBot="1">
      <c r="A1" s="390" t="s">
        <v>393</v>
      </c>
      <c r="B1" s="390"/>
      <c r="C1" s="390"/>
      <c r="D1" s="390"/>
      <c r="E1" s="390"/>
      <c r="F1" s="390"/>
      <c r="G1" s="390"/>
      <c r="H1" s="390"/>
      <c r="I1" s="390"/>
      <c r="J1" s="390"/>
    </row>
    <row r="2" spans="1:10" s="80" customFormat="1" ht="21.75" customHeight="1">
      <c r="A2" s="96"/>
      <c r="B2" s="384" t="s">
        <v>1</v>
      </c>
      <c r="C2" s="384" t="s">
        <v>107</v>
      </c>
      <c r="D2" s="384" t="s">
        <v>54</v>
      </c>
      <c r="E2" s="384" t="s">
        <v>53</v>
      </c>
      <c r="F2" s="364" t="s">
        <v>3</v>
      </c>
      <c r="G2" s="364" t="s">
        <v>108</v>
      </c>
      <c r="H2" s="352" t="s">
        <v>5</v>
      </c>
      <c r="I2" s="353"/>
      <c r="J2" s="387" t="s">
        <v>109</v>
      </c>
    </row>
    <row r="3" spans="1:10" s="80" customFormat="1" ht="21.75" customHeight="1" thickBot="1">
      <c r="A3" s="184"/>
      <c r="B3" s="385"/>
      <c r="C3" s="385"/>
      <c r="D3" s="385"/>
      <c r="E3" s="385"/>
      <c r="F3" s="386"/>
      <c r="G3" s="386"/>
      <c r="H3" s="77" t="s">
        <v>110</v>
      </c>
      <c r="I3" s="78" t="s">
        <v>90</v>
      </c>
      <c r="J3" s="388"/>
    </row>
    <row r="4" spans="1:10" s="80" customFormat="1" ht="15">
      <c r="A4" s="192">
        <v>1</v>
      </c>
      <c r="B4" s="426" t="s">
        <v>181</v>
      </c>
      <c r="C4" s="183">
        <v>39094</v>
      </c>
      <c r="D4" s="427" t="s">
        <v>58</v>
      </c>
      <c r="E4" s="427" t="s">
        <v>348</v>
      </c>
      <c r="F4" s="428">
        <v>226</v>
      </c>
      <c r="G4" s="428">
        <v>15</v>
      </c>
      <c r="H4" s="433">
        <f>3142328+2138928+1454143+1085018.5-637+512497+119516+49072.5+21975.5+19023+9522+7521+6716.5+973+245+20</f>
        <v>8566862</v>
      </c>
      <c r="I4" s="434">
        <f>453903+300559+202455+152725+101+73889+22414+10560+4196+3829+2908+1791+1716+233+42+4</f>
        <v>1231325</v>
      </c>
      <c r="J4" s="478">
        <f>IF(H4&lt;&gt;0,H4/I4,"")</f>
        <v>6.95743365886342</v>
      </c>
    </row>
    <row r="5" spans="1:10" s="80" customFormat="1" ht="15">
      <c r="A5" s="192">
        <v>2</v>
      </c>
      <c r="B5" s="247" t="s">
        <v>182</v>
      </c>
      <c r="C5" s="117">
        <v>39101</v>
      </c>
      <c r="D5" s="128" t="s">
        <v>58</v>
      </c>
      <c r="E5" s="128" t="s">
        <v>58</v>
      </c>
      <c r="F5" s="118">
        <v>197</v>
      </c>
      <c r="G5" s="118">
        <v>14</v>
      </c>
      <c r="H5" s="411">
        <f>3815016+1300103.5+871510+26.5+643328.5+285+427492+144808.5-4582.5+117687.5+159.5+78376+20328+17217+7297+945+2840.5</f>
        <v>7442838</v>
      </c>
      <c r="I5" s="412">
        <f>302979+231870+176034+121748+3+91906+35+60830+21133-764+16236+14+11431-4+2924+3552+1459+120+1210</f>
        <v>1042716</v>
      </c>
      <c r="J5" s="438">
        <f>IF(H5&lt;&gt;0,H5/I5,"")</f>
        <v>7.137934010794885</v>
      </c>
    </row>
    <row r="6" spans="1:10" s="80" customFormat="1" ht="15">
      <c r="A6" s="285">
        <v>3</v>
      </c>
      <c r="B6" s="488">
        <v>300</v>
      </c>
      <c r="C6" s="349">
        <v>39157</v>
      </c>
      <c r="D6" s="489" t="s">
        <v>56</v>
      </c>
      <c r="E6" s="490" t="s">
        <v>11</v>
      </c>
      <c r="F6" s="491">
        <v>112</v>
      </c>
      <c r="G6" s="491">
        <v>6</v>
      </c>
      <c r="H6" s="492">
        <f>3267435+1511269+807013+389417+224450+112364</f>
        <v>6311948</v>
      </c>
      <c r="I6" s="493">
        <f>400017+186496+98693+49874+35249+20817</f>
        <v>791146</v>
      </c>
      <c r="J6" s="494">
        <f>+H6/I6</f>
        <v>7.978234105967799</v>
      </c>
    </row>
    <row r="7" spans="1:10" s="80" customFormat="1" ht="15">
      <c r="A7" s="284">
        <v>4</v>
      </c>
      <c r="B7" s="449" t="s">
        <v>242</v>
      </c>
      <c r="C7" s="350">
        <v>39108</v>
      </c>
      <c r="D7" s="484" t="s">
        <v>56</v>
      </c>
      <c r="E7" s="450" t="s">
        <v>263</v>
      </c>
      <c r="F7" s="451">
        <v>148</v>
      </c>
      <c r="G7" s="451">
        <v>13</v>
      </c>
      <c r="H7" s="485">
        <f>1992651+1728920+984064+346169+182382+106480+57466+19982+14948+10164+6290+4742+2342</f>
        <v>5456600</v>
      </c>
      <c r="I7" s="486">
        <f>274655+238848+139396+51021+30073+21220+12561+3942+2123+3415+1857+1264+1187+706</f>
        <v>782268</v>
      </c>
      <c r="J7" s="487">
        <f>+H7/I7</f>
        <v>6.9753588284322</v>
      </c>
    </row>
    <row r="8" spans="1:10" s="80" customFormat="1" ht="15">
      <c r="A8" s="192">
        <v>5</v>
      </c>
      <c r="B8" s="246" t="s">
        <v>188</v>
      </c>
      <c r="C8" s="116">
        <v>39108</v>
      </c>
      <c r="D8" s="127" t="s">
        <v>56</v>
      </c>
      <c r="E8" s="126" t="s">
        <v>11</v>
      </c>
      <c r="F8" s="413">
        <v>131</v>
      </c>
      <c r="G8" s="413">
        <v>13</v>
      </c>
      <c r="H8" s="415">
        <f>3063+1388108+1182918+556749+125580+97410+76666+37161+16470+15161+2005+10200+4397+3408</f>
        <v>3519296</v>
      </c>
      <c r="I8" s="416">
        <f>313+167433+145432+67053+17220+16427+14008+6979+4516+4288+371+2790+932+917</f>
        <v>448679</v>
      </c>
      <c r="J8" s="436">
        <f>+H8/I8</f>
        <v>7.843683346000147</v>
      </c>
    </row>
    <row r="9" spans="1:10" s="80" customFormat="1" ht="15">
      <c r="A9" s="192">
        <v>6</v>
      </c>
      <c r="B9" s="249" t="s">
        <v>310</v>
      </c>
      <c r="C9" s="116">
        <v>39157</v>
      </c>
      <c r="D9" s="129" t="s">
        <v>45</v>
      </c>
      <c r="E9" s="129" t="s">
        <v>311</v>
      </c>
      <c r="F9" s="421" t="s">
        <v>353</v>
      </c>
      <c r="G9" s="421" t="s">
        <v>349</v>
      </c>
      <c r="H9" s="415">
        <v>3360335</v>
      </c>
      <c r="I9" s="416">
        <v>481598</v>
      </c>
      <c r="J9" s="437">
        <f>H9/I9</f>
        <v>6.977468760252327</v>
      </c>
    </row>
    <row r="10" spans="1:10" s="80" customFormat="1" ht="15">
      <c r="A10" s="192">
        <v>7</v>
      </c>
      <c r="B10" s="246" t="s">
        <v>227</v>
      </c>
      <c r="C10" s="116">
        <v>39115</v>
      </c>
      <c r="D10" s="127" t="s">
        <v>56</v>
      </c>
      <c r="E10" s="126" t="s">
        <v>11</v>
      </c>
      <c r="F10" s="413">
        <v>81</v>
      </c>
      <c r="G10" s="413">
        <v>12</v>
      </c>
      <c r="H10" s="415">
        <f>3091+1174032+810484+561094+347033+135358+88526+33166+9630+2505+2639+286+251</f>
        <v>3168095</v>
      </c>
      <c r="I10" s="416">
        <f>289+128246+92369+63358+42093+20318+16522+7468+2207+501+1112+39+34</f>
        <v>374556</v>
      </c>
      <c r="J10" s="436">
        <f>+H10/I10</f>
        <v>8.458267922553636</v>
      </c>
    </row>
    <row r="11" spans="1:10" s="80" customFormat="1" ht="15">
      <c r="A11" s="192">
        <v>8</v>
      </c>
      <c r="B11" s="249" t="s">
        <v>123</v>
      </c>
      <c r="C11" s="116">
        <v>39080</v>
      </c>
      <c r="D11" s="129" t="s">
        <v>45</v>
      </c>
      <c r="E11" s="129" t="s">
        <v>97</v>
      </c>
      <c r="F11" s="421" t="s">
        <v>124</v>
      </c>
      <c r="G11" s="421" t="s">
        <v>357</v>
      </c>
      <c r="H11" s="415">
        <v>3049141</v>
      </c>
      <c r="I11" s="416">
        <v>408185</v>
      </c>
      <c r="J11" s="438">
        <f>IF(H11&lt;&gt;0,H11/I11,"")</f>
        <v>7.469997672623933</v>
      </c>
    </row>
    <row r="12" spans="1:10" s="80" customFormat="1" ht="15">
      <c r="A12" s="192">
        <v>9</v>
      </c>
      <c r="B12" s="338" t="s">
        <v>142</v>
      </c>
      <c r="C12" s="117">
        <v>39101</v>
      </c>
      <c r="D12" s="177" t="s">
        <v>57</v>
      </c>
      <c r="E12" s="177" t="s">
        <v>60</v>
      </c>
      <c r="F12" s="331">
        <v>90</v>
      </c>
      <c r="G12" s="331">
        <v>12</v>
      </c>
      <c r="H12" s="474">
        <v>2957559</v>
      </c>
      <c r="I12" s="302">
        <v>345479</v>
      </c>
      <c r="J12" s="296">
        <f>+H12/I12</f>
        <v>8.56074898908472</v>
      </c>
    </row>
    <row r="13" spans="1:10" s="80" customFormat="1" ht="15">
      <c r="A13" s="192">
        <v>10</v>
      </c>
      <c r="B13" s="249" t="s">
        <v>224</v>
      </c>
      <c r="C13" s="116">
        <v>39108</v>
      </c>
      <c r="D13" s="129" t="s">
        <v>45</v>
      </c>
      <c r="E13" s="129" t="s">
        <v>225</v>
      </c>
      <c r="F13" s="421" t="s">
        <v>226</v>
      </c>
      <c r="G13" s="421" t="s">
        <v>411</v>
      </c>
      <c r="H13" s="415">
        <v>2819858</v>
      </c>
      <c r="I13" s="416">
        <v>378542</v>
      </c>
      <c r="J13" s="438">
        <f>IF(H13&lt;&gt;0,H13/I13,"")</f>
        <v>7.449260584030306</v>
      </c>
    </row>
    <row r="14" spans="1:10" s="80" customFormat="1" ht="15">
      <c r="A14" s="192">
        <v>11</v>
      </c>
      <c r="B14" s="337" t="s">
        <v>262</v>
      </c>
      <c r="C14" s="116">
        <v>39129</v>
      </c>
      <c r="D14" s="178" t="s">
        <v>56</v>
      </c>
      <c r="E14" s="178" t="s">
        <v>61</v>
      </c>
      <c r="F14" s="278">
        <v>72</v>
      </c>
      <c r="G14" s="278">
        <v>9</v>
      </c>
      <c r="H14" s="475">
        <f>1024988+679541+410193+207911+76405+45780+25921+20590+1599</f>
        <v>2492928</v>
      </c>
      <c r="I14" s="301">
        <f>121457+81309+49212+25967+12824+9651+5051+4320+382</f>
        <v>310173</v>
      </c>
      <c r="J14" s="296">
        <f>+H14/I14</f>
        <v>8.03721793966593</v>
      </c>
    </row>
    <row r="15" spans="1:10" s="80" customFormat="1" ht="15">
      <c r="A15" s="192">
        <v>12</v>
      </c>
      <c r="B15" s="338" t="s">
        <v>178</v>
      </c>
      <c r="C15" s="117">
        <v>39080</v>
      </c>
      <c r="D15" s="177" t="s">
        <v>57</v>
      </c>
      <c r="E15" s="177" t="s">
        <v>60</v>
      </c>
      <c r="F15" s="331">
        <v>56</v>
      </c>
      <c r="G15" s="331">
        <v>15</v>
      </c>
      <c r="H15" s="474">
        <v>2101362</v>
      </c>
      <c r="I15" s="302">
        <v>232387</v>
      </c>
      <c r="J15" s="296">
        <f>+H15/I15</f>
        <v>9.042510983833003</v>
      </c>
    </row>
    <row r="16" spans="1:10" s="80" customFormat="1" ht="15">
      <c r="A16" s="192">
        <v>13</v>
      </c>
      <c r="B16" s="249" t="s">
        <v>292</v>
      </c>
      <c r="C16" s="116">
        <v>39157</v>
      </c>
      <c r="D16" s="129" t="s">
        <v>45</v>
      </c>
      <c r="E16" s="129" t="s">
        <v>346</v>
      </c>
      <c r="F16" s="421" t="s">
        <v>291</v>
      </c>
      <c r="G16" s="421" t="s">
        <v>303</v>
      </c>
      <c r="H16" s="415">
        <v>2013932.5</v>
      </c>
      <c r="I16" s="416">
        <v>266396</v>
      </c>
      <c r="J16" s="437">
        <f>H16/I16</f>
        <v>7.5599201939969065</v>
      </c>
    </row>
    <row r="17" spans="1:10" s="80" customFormat="1" ht="15">
      <c r="A17" s="192">
        <v>14</v>
      </c>
      <c r="B17" s="246" t="s">
        <v>293</v>
      </c>
      <c r="C17" s="116">
        <v>39143</v>
      </c>
      <c r="D17" s="127" t="s">
        <v>56</v>
      </c>
      <c r="E17" s="126" t="s">
        <v>71</v>
      </c>
      <c r="F17" s="413">
        <v>77</v>
      </c>
      <c r="G17" s="413">
        <v>8</v>
      </c>
      <c r="H17" s="415">
        <f>846616+621006+326134+78640+79015+27237+18411+3052</f>
        <v>2000111</v>
      </c>
      <c r="I17" s="416">
        <f>102037+74423+39219+11834+13028+5347+3640+1471</f>
        <v>250999</v>
      </c>
      <c r="J17" s="436">
        <f>+H17/I17</f>
        <v>7.968601468531747</v>
      </c>
    </row>
    <row r="18" spans="1:10" s="80" customFormat="1" ht="15">
      <c r="A18" s="192">
        <v>15</v>
      </c>
      <c r="B18" s="246" t="s">
        <v>118</v>
      </c>
      <c r="C18" s="116">
        <v>39080</v>
      </c>
      <c r="D18" s="127" t="s">
        <v>56</v>
      </c>
      <c r="E18" s="126" t="s">
        <v>61</v>
      </c>
      <c r="F18" s="413">
        <v>80</v>
      </c>
      <c r="G18" s="413">
        <v>17</v>
      </c>
      <c r="H18" s="415">
        <f>1367+686114+384405+247619+146119+85619+63759-1+18934+11869+10791+11315+6907+8812+6730+2628+1465+749+1063</f>
        <v>1696264</v>
      </c>
      <c r="I18" s="416">
        <f>80773+116+46317+29887+17891+10484+7685+2801+1917+1334+1333+755+1517+932+417+307+136+369</f>
        <v>204971</v>
      </c>
      <c r="J18" s="436">
        <f>+H18/I18</f>
        <v>8.275629235355245</v>
      </c>
    </row>
    <row r="19" spans="1:10" s="80" customFormat="1" ht="15">
      <c r="A19" s="192">
        <v>16</v>
      </c>
      <c r="B19" s="249" t="s">
        <v>234</v>
      </c>
      <c r="C19" s="116">
        <v>39115</v>
      </c>
      <c r="D19" s="129" t="s">
        <v>45</v>
      </c>
      <c r="E19" s="129" t="s">
        <v>235</v>
      </c>
      <c r="F19" s="421" t="s">
        <v>236</v>
      </c>
      <c r="G19" s="421" t="s">
        <v>411</v>
      </c>
      <c r="H19" s="415">
        <v>1678575</v>
      </c>
      <c r="I19" s="416">
        <v>235769</v>
      </c>
      <c r="J19" s="439">
        <f>H19/I19</f>
        <v>7.11957466842545</v>
      </c>
    </row>
    <row r="20" spans="1:10" s="80" customFormat="1" ht="15">
      <c r="A20" s="192">
        <v>17</v>
      </c>
      <c r="B20" s="246" t="s">
        <v>319</v>
      </c>
      <c r="C20" s="116">
        <v>39164</v>
      </c>
      <c r="D20" s="127" t="s">
        <v>56</v>
      </c>
      <c r="E20" s="126" t="s">
        <v>11</v>
      </c>
      <c r="F20" s="413">
        <v>67</v>
      </c>
      <c r="G20" s="413">
        <v>5</v>
      </c>
      <c r="H20" s="415">
        <f>7213+744394+558705+271317+50816+12988</f>
        <v>1645433</v>
      </c>
      <c r="I20" s="416">
        <f>773+77628+58862+29936+6447+2076</f>
        <v>175722</v>
      </c>
      <c r="J20" s="436">
        <f>+H20/I20</f>
        <v>9.36384175003699</v>
      </c>
    </row>
    <row r="21" spans="1:10" s="80" customFormat="1" ht="15">
      <c r="A21" s="192">
        <v>18</v>
      </c>
      <c r="B21" s="247" t="s">
        <v>258</v>
      </c>
      <c r="C21" s="117">
        <v>39129</v>
      </c>
      <c r="D21" s="128" t="s">
        <v>57</v>
      </c>
      <c r="E21" s="128" t="s">
        <v>65</v>
      </c>
      <c r="F21" s="118">
        <v>77</v>
      </c>
      <c r="G21" s="118">
        <v>9</v>
      </c>
      <c r="H21" s="411">
        <v>1545344</v>
      </c>
      <c r="I21" s="412">
        <v>197052</v>
      </c>
      <c r="J21" s="438">
        <f>+H21/I21</f>
        <v>7.842315733917951</v>
      </c>
    </row>
    <row r="22" spans="1:10" s="80" customFormat="1" ht="15">
      <c r="A22" s="192">
        <v>19</v>
      </c>
      <c r="B22" s="246" t="s">
        <v>257</v>
      </c>
      <c r="C22" s="116">
        <v>39129</v>
      </c>
      <c r="D22" s="126" t="s">
        <v>48</v>
      </c>
      <c r="E22" s="126" t="s">
        <v>191</v>
      </c>
      <c r="F22" s="413">
        <v>113</v>
      </c>
      <c r="G22" s="413">
        <v>10</v>
      </c>
      <c r="H22" s="420">
        <f>1519881.5+6904+8989.5+4259+2549</f>
        <v>1542583</v>
      </c>
      <c r="I22" s="412">
        <f>200900+1709+1739+943+442</f>
        <v>205733</v>
      </c>
      <c r="J22" s="438">
        <f>IF(H22&lt;&gt;0,H22/I22,"")</f>
        <v>7.497985252730481</v>
      </c>
    </row>
    <row r="23" spans="1:10" s="80" customFormat="1" ht="15">
      <c r="A23" s="192">
        <v>20</v>
      </c>
      <c r="B23" s="246" t="s">
        <v>327</v>
      </c>
      <c r="C23" s="116">
        <v>39164</v>
      </c>
      <c r="D23" s="126" t="s">
        <v>48</v>
      </c>
      <c r="E23" s="126" t="s">
        <v>70</v>
      </c>
      <c r="F23" s="413">
        <v>119</v>
      </c>
      <c r="G23" s="413">
        <v>5</v>
      </c>
      <c r="H23" s="420">
        <f>712448.5+409036+169662.5+70281+61538</f>
        <v>1422966</v>
      </c>
      <c r="I23" s="412">
        <f>87225+51382+22920+11657+11505</f>
        <v>184689</v>
      </c>
      <c r="J23" s="438">
        <f>IF(H23&lt;&gt;0,H23/I23,"")</f>
        <v>7.704660266718646</v>
      </c>
    </row>
    <row r="24" spans="1:10" s="80" customFormat="1" ht="15">
      <c r="A24" s="192">
        <v>21</v>
      </c>
      <c r="B24" s="247" t="s">
        <v>400</v>
      </c>
      <c r="C24" s="117">
        <v>39192</v>
      </c>
      <c r="D24" s="128" t="s">
        <v>57</v>
      </c>
      <c r="E24" s="128" t="s">
        <v>401</v>
      </c>
      <c r="F24" s="118">
        <v>173</v>
      </c>
      <c r="G24" s="118">
        <v>1</v>
      </c>
      <c r="H24" s="411">
        <v>1408397</v>
      </c>
      <c r="I24" s="412">
        <v>189829</v>
      </c>
      <c r="J24" s="436">
        <f>+H24/I24</f>
        <v>7.419293153311664</v>
      </c>
    </row>
    <row r="25" spans="1:10" s="80" customFormat="1" ht="15">
      <c r="A25" s="192">
        <v>22</v>
      </c>
      <c r="B25" s="247" t="s">
        <v>351</v>
      </c>
      <c r="C25" s="117">
        <v>39178</v>
      </c>
      <c r="D25" s="128" t="s">
        <v>55</v>
      </c>
      <c r="E25" s="128" t="s">
        <v>352</v>
      </c>
      <c r="F25" s="118">
        <v>55</v>
      </c>
      <c r="G25" s="118">
        <v>3</v>
      </c>
      <c r="H25" s="411">
        <v>1231589.08</v>
      </c>
      <c r="I25" s="412">
        <v>138346</v>
      </c>
      <c r="J25" s="438">
        <f>+H25/I25</f>
        <v>8.902238445636304</v>
      </c>
    </row>
    <row r="26" spans="1:10" s="80" customFormat="1" ht="15">
      <c r="A26" s="192">
        <v>23</v>
      </c>
      <c r="B26" s="247" t="s">
        <v>343</v>
      </c>
      <c r="C26" s="117">
        <v>39164</v>
      </c>
      <c r="D26" s="128" t="s">
        <v>58</v>
      </c>
      <c r="E26" s="128" t="s">
        <v>301</v>
      </c>
      <c r="F26" s="118">
        <v>40</v>
      </c>
      <c r="G26" s="118">
        <v>5</v>
      </c>
      <c r="H26" s="411">
        <f>452783.5+369193.5-156.5+194527+1+121223+68185</f>
        <v>1205756.5</v>
      </c>
      <c r="I26" s="412">
        <f>49233+40219-14+22195+17046+12080</f>
        <v>140759</v>
      </c>
      <c r="J26" s="438">
        <f>IF(H26&lt;&gt;0,H26/I26,"")</f>
        <v>8.566105897313848</v>
      </c>
    </row>
    <row r="27" spans="1:10" s="80" customFormat="1" ht="15">
      <c r="A27" s="192">
        <v>24</v>
      </c>
      <c r="B27" s="247" t="s">
        <v>259</v>
      </c>
      <c r="C27" s="117">
        <v>39129</v>
      </c>
      <c r="D27" s="128" t="s">
        <v>58</v>
      </c>
      <c r="E27" s="128" t="s">
        <v>66</v>
      </c>
      <c r="F27" s="118">
        <v>43</v>
      </c>
      <c r="G27" s="118">
        <v>10</v>
      </c>
      <c r="H27" s="411">
        <f>384662.5+356262.5+212054+113636.5+58120+27335.5+24431+10836.5+5+6679.5+256</f>
        <v>1194279</v>
      </c>
      <c r="I27" s="412">
        <f>44623+40340+24564+15320+9563+4723+4295+2247+1249+49</f>
        <v>146973</v>
      </c>
      <c r="J27" s="437">
        <f>H27/I27</f>
        <v>8.125839439897124</v>
      </c>
    </row>
    <row r="28" spans="1:10" s="80" customFormat="1" ht="15">
      <c r="A28" s="192">
        <v>25</v>
      </c>
      <c r="B28" s="246" t="s">
        <v>243</v>
      </c>
      <c r="C28" s="116">
        <v>39122</v>
      </c>
      <c r="D28" s="127" t="s">
        <v>56</v>
      </c>
      <c r="E28" s="126" t="s">
        <v>237</v>
      </c>
      <c r="F28" s="413">
        <v>60</v>
      </c>
      <c r="G28" s="413">
        <v>11</v>
      </c>
      <c r="H28" s="415">
        <f>532455+318401+212166+27739+39053+27412+18250+6211+1517+4378+709</f>
        <v>1188291</v>
      </c>
      <c r="I28" s="416">
        <f>62334+37213+25119+5045+7212+5675+4013+1372+298+882+145</f>
        <v>149308</v>
      </c>
      <c r="J28" s="436">
        <f>+H28/I28</f>
        <v>7.958655932702869</v>
      </c>
    </row>
    <row r="29" spans="1:10" s="80" customFormat="1" ht="15">
      <c r="A29" s="192">
        <v>26</v>
      </c>
      <c r="B29" s="247" t="s">
        <v>360</v>
      </c>
      <c r="C29" s="117">
        <v>39150</v>
      </c>
      <c r="D29" s="128" t="s">
        <v>55</v>
      </c>
      <c r="E29" s="128" t="s">
        <v>63</v>
      </c>
      <c r="F29" s="118">
        <v>57</v>
      </c>
      <c r="G29" s="118">
        <v>7</v>
      </c>
      <c r="H29" s="411">
        <v>1067775</v>
      </c>
      <c r="I29" s="412">
        <v>117264</v>
      </c>
      <c r="J29" s="438">
        <f>+H29/I29</f>
        <v>9.105735775685632</v>
      </c>
    </row>
    <row r="30" spans="1:10" s="80" customFormat="1" ht="15">
      <c r="A30" s="192">
        <v>27</v>
      </c>
      <c r="B30" s="247" t="s">
        <v>183</v>
      </c>
      <c r="C30" s="117">
        <v>39115</v>
      </c>
      <c r="D30" s="128" t="s">
        <v>57</v>
      </c>
      <c r="E30" s="128" t="s">
        <v>184</v>
      </c>
      <c r="F30" s="118">
        <v>151</v>
      </c>
      <c r="G30" s="118">
        <v>7</v>
      </c>
      <c r="H30" s="474">
        <v>1036808</v>
      </c>
      <c r="I30" s="302">
        <v>149198</v>
      </c>
      <c r="J30" s="348">
        <f>H30/I30</f>
        <v>6.949208434429416</v>
      </c>
    </row>
    <row r="31" spans="1:10" s="80" customFormat="1" ht="15">
      <c r="A31" s="192">
        <v>28</v>
      </c>
      <c r="B31" s="247" t="s">
        <v>342</v>
      </c>
      <c r="C31" s="117">
        <v>39171</v>
      </c>
      <c r="D31" s="128" t="s">
        <v>57</v>
      </c>
      <c r="E31" s="128" t="s">
        <v>60</v>
      </c>
      <c r="F31" s="118">
        <v>88</v>
      </c>
      <c r="G31" s="118">
        <v>4</v>
      </c>
      <c r="H31" s="411">
        <v>1021419</v>
      </c>
      <c r="I31" s="412">
        <v>130068</v>
      </c>
      <c r="J31" s="438">
        <f>+H31/I31</f>
        <v>7.852961527816219</v>
      </c>
    </row>
    <row r="32" spans="1:10" s="80" customFormat="1" ht="15">
      <c r="A32" s="192">
        <v>29</v>
      </c>
      <c r="B32" s="249" t="s">
        <v>361</v>
      </c>
      <c r="C32" s="116">
        <v>39143</v>
      </c>
      <c r="D32" s="129" t="s">
        <v>73</v>
      </c>
      <c r="E32" s="129" t="s">
        <v>135</v>
      </c>
      <c r="F32" s="421" t="s">
        <v>288</v>
      </c>
      <c r="G32" s="421" t="s">
        <v>303</v>
      </c>
      <c r="H32" s="415">
        <v>941663.65</v>
      </c>
      <c r="I32" s="416">
        <v>127622</v>
      </c>
      <c r="J32" s="437">
        <f>H32/I32</f>
        <v>7.3785370077259405</v>
      </c>
    </row>
    <row r="33" spans="1:10" s="80" customFormat="1" ht="15">
      <c r="A33" s="192">
        <v>30</v>
      </c>
      <c r="B33" s="337" t="s">
        <v>273</v>
      </c>
      <c r="C33" s="116">
        <v>39143</v>
      </c>
      <c r="D33" s="178" t="s">
        <v>56</v>
      </c>
      <c r="E33" s="178" t="s">
        <v>61</v>
      </c>
      <c r="F33" s="278">
        <v>54</v>
      </c>
      <c r="G33" s="278">
        <v>7</v>
      </c>
      <c r="H33" s="475">
        <f>1045+424606+314397+136527+14322+9753+11476+12715</f>
        <v>924841</v>
      </c>
      <c r="I33" s="301">
        <f>101+45441+34072+15020+1890+1720+2853+2615</f>
        <v>103712</v>
      </c>
      <c r="J33" s="296">
        <f>+H33/I33</f>
        <v>8.91739625115705</v>
      </c>
    </row>
    <row r="34" spans="1:10" s="80" customFormat="1" ht="15">
      <c r="A34" s="192">
        <v>31</v>
      </c>
      <c r="B34" s="337" t="s">
        <v>283</v>
      </c>
      <c r="C34" s="116">
        <v>39143</v>
      </c>
      <c r="D34" s="178" t="s">
        <v>45</v>
      </c>
      <c r="E34" s="178" t="s">
        <v>284</v>
      </c>
      <c r="F34" s="278" t="s">
        <v>285</v>
      </c>
      <c r="G34" s="278" t="s">
        <v>303</v>
      </c>
      <c r="H34" s="475">
        <v>920808</v>
      </c>
      <c r="I34" s="301">
        <v>161243</v>
      </c>
      <c r="J34" s="296">
        <f>+H34/I34</f>
        <v>5.710685115012745</v>
      </c>
    </row>
    <row r="35" spans="1:10" s="80" customFormat="1" ht="15">
      <c r="A35" s="192">
        <v>32</v>
      </c>
      <c r="B35" s="246" t="s">
        <v>404</v>
      </c>
      <c r="C35" s="116">
        <v>39185</v>
      </c>
      <c r="D35" s="126" t="s">
        <v>48</v>
      </c>
      <c r="E35" s="126" t="s">
        <v>375</v>
      </c>
      <c r="F35" s="413">
        <v>111</v>
      </c>
      <c r="G35" s="413">
        <v>2</v>
      </c>
      <c r="H35" s="420">
        <f>550873+359055.5</f>
        <v>909928.5</v>
      </c>
      <c r="I35" s="412">
        <f>70778+47361</f>
        <v>118139</v>
      </c>
      <c r="J35" s="438">
        <f>IF(H35&lt;&gt;0,H35/I35,"")</f>
        <v>7.702185561076359</v>
      </c>
    </row>
    <row r="36" spans="1:10" s="80" customFormat="1" ht="15">
      <c r="A36" s="192">
        <v>33</v>
      </c>
      <c r="B36" s="338" t="s">
        <v>388</v>
      </c>
      <c r="C36" s="117">
        <v>39129</v>
      </c>
      <c r="D36" s="177" t="s">
        <v>57</v>
      </c>
      <c r="E36" s="177" t="s">
        <v>60</v>
      </c>
      <c r="F36" s="331">
        <v>39</v>
      </c>
      <c r="G36" s="331">
        <v>7</v>
      </c>
      <c r="H36" s="474">
        <v>905896</v>
      </c>
      <c r="I36" s="302">
        <v>96273</v>
      </c>
      <c r="J36" s="296">
        <f>+H36/I36</f>
        <v>9.409657951866048</v>
      </c>
    </row>
    <row r="37" spans="1:10" s="80" customFormat="1" ht="15">
      <c r="A37" s="192">
        <v>34</v>
      </c>
      <c r="B37" s="338" t="s">
        <v>126</v>
      </c>
      <c r="C37" s="117">
        <v>39080</v>
      </c>
      <c r="D37" s="177" t="s">
        <v>58</v>
      </c>
      <c r="E37" s="177" t="s">
        <v>59</v>
      </c>
      <c r="F37" s="331">
        <v>51</v>
      </c>
      <c r="G37" s="331">
        <v>15</v>
      </c>
      <c r="H37" s="474">
        <f>768444+275+609.5</f>
        <v>769328.5</v>
      </c>
      <c r="I37" s="302">
        <f>94725+76+129</f>
        <v>94930</v>
      </c>
      <c r="J37" s="296">
        <f>+H37/I37</f>
        <v>8.104166227746761</v>
      </c>
    </row>
    <row r="38" spans="1:10" s="80" customFormat="1" ht="15">
      <c r="A38" s="192">
        <v>35</v>
      </c>
      <c r="B38" s="249" t="s">
        <v>329</v>
      </c>
      <c r="C38" s="116">
        <v>39094</v>
      </c>
      <c r="D38" s="321" t="s">
        <v>73</v>
      </c>
      <c r="E38" s="321" t="s">
        <v>135</v>
      </c>
      <c r="F38" s="322" t="s">
        <v>163</v>
      </c>
      <c r="G38" s="322" t="s">
        <v>330</v>
      </c>
      <c r="H38" s="475">
        <v>762169</v>
      </c>
      <c r="I38" s="301">
        <v>81343</v>
      </c>
      <c r="J38" s="268">
        <f>IF(H38&lt;&gt;0,H38/I38,"")</f>
        <v>9.369816702113273</v>
      </c>
    </row>
    <row r="39" spans="1:10" s="80" customFormat="1" ht="15">
      <c r="A39" s="192">
        <v>36</v>
      </c>
      <c r="B39" s="246" t="s">
        <v>402</v>
      </c>
      <c r="C39" s="116">
        <v>39192</v>
      </c>
      <c r="D39" s="127" t="s">
        <v>56</v>
      </c>
      <c r="E39" s="126" t="s">
        <v>61</v>
      </c>
      <c r="F39" s="413">
        <v>71</v>
      </c>
      <c r="G39" s="413">
        <v>1</v>
      </c>
      <c r="H39" s="415">
        <v>650722</v>
      </c>
      <c r="I39" s="416">
        <v>69605</v>
      </c>
      <c r="J39" s="436">
        <f>+H39/I39</f>
        <v>9.34878241505639</v>
      </c>
    </row>
    <row r="40" spans="1:10" s="80" customFormat="1" ht="15">
      <c r="A40" s="192">
        <v>37</v>
      </c>
      <c r="B40" s="247" t="s">
        <v>294</v>
      </c>
      <c r="C40" s="117">
        <v>39150</v>
      </c>
      <c r="D40" s="128" t="s">
        <v>57</v>
      </c>
      <c r="E40" s="128" t="s">
        <v>71</v>
      </c>
      <c r="F40" s="118">
        <v>1</v>
      </c>
      <c r="G40" s="118">
        <v>7</v>
      </c>
      <c r="H40" s="411">
        <v>621547</v>
      </c>
      <c r="I40" s="412">
        <v>73836</v>
      </c>
      <c r="J40" s="436">
        <f>+H40/I40</f>
        <v>8.417939758383444</v>
      </c>
    </row>
    <row r="41" spans="1:10" s="80" customFormat="1" ht="15">
      <c r="A41" s="192">
        <v>38</v>
      </c>
      <c r="B41" s="248" t="s">
        <v>354</v>
      </c>
      <c r="C41" s="117">
        <v>39178</v>
      </c>
      <c r="D41" s="132" t="s">
        <v>23</v>
      </c>
      <c r="E41" s="131" t="s">
        <v>27</v>
      </c>
      <c r="F41" s="120">
        <v>43</v>
      </c>
      <c r="G41" s="120">
        <v>3</v>
      </c>
      <c r="H41" s="411">
        <f>334660+186251+75988</f>
        <v>596899</v>
      </c>
      <c r="I41" s="412">
        <f>37459+21078+10255</f>
        <v>68792</v>
      </c>
      <c r="J41" s="436">
        <f>+H41/I41</f>
        <v>8.676866496104198</v>
      </c>
    </row>
    <row r="42" spans="1:10" s="80" customFormat="1" ht="15">
      <c r="A42" s="192">
        <v>39</v>
      </c>
      <c r="B42" s="249" t="s">
        <v>286</v>
      </c>
      <c r="C42" s="116">
        <v>39143</v>
      </c>
      <c r="D42" s="129" t="s">
        <v>45</v>
      </c>
      <c r="E42" s="129" t="s">
        <v>410</v>
      </c>
      <c r="F42" s="421" t="s">
        <v>287</v>
      </c>
      <c r="G42" s="421" t="s">
        <v>303</v>
      </c>
      <c r="H42" s="415">
        <v>590519.5</v>
      </c>
      <c r="I42" s="416">
        <v>80841</v>
      </c>
      <c r="J42" s="439">
        <f>H42/I42</f>
        <v>7.3047030590913025</v>
      </c>
    </row>
    <row r="43" spans="1:10" s="80" customFormat="1" ht="15">
      <c r="A43" s="192">
        <v>40</v>
      </c>
      <c r="B43" s="247" t="s">
        <v>376</v>
      </c>
      <c r="C43" s="117">
        <v>39185</v>
      </c>
      <c r="D43" s="128" t="s">
        <v>57</v>
      </c>
      <c r="E43" s="128" t="s">
        <v>65</v>
      </c>
      <c r="F43" s="118">
        <v>55</v>
      </c>
      <c r="G43" s="118">
        <v>2</v>
      </c>
      <c r="H43" s="411">
        <v>554791</v>
      </c>
      <c r="I43" s="412">
        <v>63324</v>
      </c>
      <c r="J43" s="436">
        <f>+H43/I43</f>
        <v>8.761149011433265</v>
      </c>
    </row>
    <row r="44" spans="1:10" s="80" customFormat="1" ht="15">
      <c r="A44" s="192">
        <v>41</v>
      </c>
      <c r="B44" s="338" t="s">
        <v>261</v>
      </c>
      <c r="C44" s="117">
        <v>39136</v>
      </c>
      <c r="D44" s="177" t="s">
        <v>23</v>
      </c>
      <c r="E44" s="177" t="s">
        <v>69</v>
      </c>
      <c r="F44" s="331">
        <v>24</v>
      </c>
      <c r="G44" s="331">
        <v>8</v>
      </c>
      <c r="H44" s="474">
        <f>3098.5+271243.5+169425.5+71165+13258+8600.5+14362.5+911.5+1988</f>
        <v>554053</v>
      </c>
      <c r="I44" s="302">
        <f>316+26059+16381+7578+1438+1323+2416+161+315</f>
        <v>55987</v>
      </c>
      <c r="J44" s="336">
        <f>H44/I44</f>
        <v>9.896100880561558</v>
      </c>
    </row>
    <row r="45" spans="1:10" s="80" customFormat="1" ht="15">
      <c r="A45" s="192">
        <v>42</v>
      </c>
      <c r="B45" s="247" t="s">
        <v>312</v>
      </c>
      <c r="C45" s="117">
        <v>39157</v>
      </c>
      <c r="D45" s="128" t="s">
        <v>57</v>
      </c>
      <c r="E45" s="128" t="s">
        <v>71</v>
      </c>
      <c r="F45" s="118">
        <v>69</v>
      </c>
      <c r="G45" s="118">
        <v>6</v>
      </c>
      <c r="H45" s="411">
        <v>544917</v>
      </c>
      <c r="I45" s="412">
        <v>67246</v>
      </c>
      <c r="J45" s="438">
        <f>+H45/I45</f>
        <v>8.103337001457335</v>
      </c>
    </row>
    <row r="46" spans="1:10" s="80" customFormat="1" ht="15">
      <c r="A46" s="192">
        <v>43</v>
      </c>
      <c r="B46" s="249" t="s">
        <v>377</v>
      </c>
      <c r="C46" s="116">
        <v>39185</v>
      </c>
      <c r="D46" s="129" t="s">
        <v>45</v>
      </c>
      <c r="E46" s="129" t="s">
        <v>378</v>
      </c>
      <c r="F46" s="421" t="s">
        <v>379</v>
      </c>
      <c r="G46" s="421" t="s">
        <v>37</v>
      </c>
      <c r="H46" s="415">
        <v>487347.5</v>
      </c>
      <c r="I46" s="416">
        <v>63176</v>
      </c>
      <c r="J46" s="437">
        <f>H46/I46</f>
        <v>7.71412403444346</v>
      </c>
    </row>
    <row r="47" spans="1:10" s="80" customFormat="1" ht="15">
      <c r="A47" s="192">
        <v>44</v>
      </c>
      <c r="B47" s="335" t="s">
        <v>244</v>
      </c>
      <c r="C47" s="329">
        <v>39122</v>
      </c>
      <c r="D47" s="328" t="s">
        <v>58</v>
      </c>
      <c r="E47" s="328" t="s">
        <v>245</v>
      </c>
      <c r="F47" s="330">
        <v>62</v>
      </c>
      <c r="G47" s="330">
        <v>8</v>
      </c>
      <c r="H47" s="476">
        <v>459402</v>
      </c>
      <c r="I47" s="355">
        <v>72377</v>
      </c>
      <c r="J47" s="336">
        <f>H47/I47</f>
        <v>6.347347914392694</v>
      </c>
    </row>
    <row r="48" spans="1:10" s="80" customFormat="1" ht="15">
      <c r="A48" s="192">
        <v>45</v>
      </c>
      <c r="B48" s="248" t="s">
        <v>165</v>
      </c>
      <c r="C48" s="117">
        <v>39094</v>
      </c>
      <c r="D48" s="132" t="s">
        <v>23</v>
      </c>
      <c r="E48" s="131" t="s">
        <v>69</v>
      </c>
      <c r="F48" s="120">
        <v>42</v>
      </c>
      <c r="G48" s="120">
        <v>14</v>
      </c>
      <c r="H48" s="411">
        <f>116992.5+114120.5+59552+32990+22575.5+13689.5+13072.5+9182.5+12776+9530.5+3684.5+1508.5+3567.5+3012.5+8292</f>
        <v>424546.5</v>
      </c>
      <c r="I48" s="412">
        <f>13983+14934+8576+5091+3923+2713+2832+1841+2655+2061+838+293+873+585+1915</f>
        <v>63113</v>
      </c>
      <c r="J48" s="437">
        <f>H48/I48</f>
        <v>6.726767860821067</v>
      </c>
    </row>
    <row r="49" spans="1:10" s="80" customFormat="1" ht="15">
      <c r="A49" s="192">
        <v>46</v>
      </c>
      <c r="B49" s="247" t="s">
        <v>403</v>
      </c>
      <c r="C49" s="117">
        <v>39192</v>
      </c>
      <c r="D49" s="128" t="s">
        <v>58</v>
      </c>
      <c r="E49" s="128" t="s">
        <v>66</v>
      </c>
      <c r="F49" s="118">
        <v>79</v>
      </c>
      <c r="G49" s="118">
        <v>1</v>
      </c>
      <c r="H49" s="411">
        <f>407730</f>
        <v>407730</v>
      </c>
      <c r="I49" s="412">
        <f>48903</f>
        <v>48903</v>
      </c>
      <c r="J49" s="437">
        <f>H49/I49</f>
        <v>8.337525305196</v>
      </c>
    </row>
    <row r="50" spans="1:10" s="80" customFormat="1" ht="15">
      <c r="A50" s="192">
        <v>47</v>
      </c>
      <c r="B50" s="247" t="s">
        <v>268</v>
      </c>
      <c r="C50" s="117">
        <v>39136</v>
      </c>
      <c r="D50" s="128" t="s">
        <v>58</v>
      </c>
      <c r="E50" s="128" t="s">
        <v>313</v>
      </c>
      <c r="F50" s="118">
        <v>50</v>
      </c>
      <c r="G50" s="118">
        <v>9</v>
      </c>
      <c r="H50" s="411">
        <f>176703.5+117666.5+55649.5-153+26033.5+13075.5+7867.5+4158.5+2675.5+853</f>
        <v>404530</v>
      </c>
      <c r="I50" s="412">
        <f>23632+15507+7944-13+4855+2498+1683+890+562+202</f>
        <v>57760</v>
      </c>
      <c r="J50" s="437">
        <f>H50/I50</f>
        <v>7.003635734072022</v>
      </c>
    </row>
    <row r="51" spans="1:10" s="80" customFormat="1" ht="15">
      <c r="A51" s="192">
        <v>48</v>
      </c>
      <c r="B51" s="246" t="s">
        <v>260</v>
      </c>
      <c r="C51" s="116">
        <v>39129</v>
      </c>
      <c r="D51" s="127" t="s">
        <v>56</v>
      </c>
      <c r="E51" s="126" t="s">
        <v>71</v>
      </c>
      <c r="F51" s="413">
        <v>22</v>
      </c>
      <c r="G51" s="413">
        <v>10</v>
      </c>
      <c r="H51" s="415">
        <f>3941+185955+159407+21968+1379+3205+2474+5929+6445+9026+4774</f>
        <v>404503</v>
      </c>
      <c r="I51" s="416">
        <f>412+17684+15175+2098+198+760+464+1876+1042+1568+843</f>
        <v>42120</v>
      </c>
      <c r="J51" s="436">
        <f>+H51/I51</f>
        <v>9.603584995251662</v>
      </c>
    </row>
    <row r="52" spans="1:10" s="80" customFormat="1" ht="15">
      <c r="A52" s="192">
        <v>49</v>
      </c>
      <c r="B52" s="246" t="s">
        <v>344</v>
      </c>
      <c r="C52" s="116">
        <v>39171</v>
      </c>
      <c r="D52" s="127" t="s">
        <v>56</v>
      </c>
      <c r="E52" s="126" t="s">
        <v>345</v>
      </c>
      <c r="F52" s="413">
        <v>68</v>
      </c>
      <c r="G52" s="413">
        <v>4</v>
      </c>
      <c r="H52" s="415">
        <f>270988+95442+28855+5671</f>
        <v>400956</v>
      </c>
      <c r="I52" s="416">
        <f>33356+12721+4525+974</f>
        <v>51576</v>
      </c>
      <c r="J52" s="436">
        <f>+H52/I52</f>
        <v>7.774080967892043</v>
      </c>
    </row>
    <row r="53" spans="1:10" s="80" customFormat="1" ht="15">
      <c r="A53" s="192">
        <v>50</v>
      </c>
      <c r="B53" s="246" t="s">
        <v>355</v>
      </c>
      <c r="C53" s="116">
        <v>39178</v>
      </c>
      <c r="D53" s="127" t="s">
        <v>56</v>
      </c>
      <c r="E53" s="126" t="s">
        <v>356</v>
      </c>
      <c r="F53" s="413">
        <v>34</v>
      </c>
      <c r="G53" s="413">
        <v>3</v>
      </c>
      <c r="H53" s="415">
        <f>223196+134862+40207</f>
        <v>398265</v>
      </c>
      <c r="I53" s="416">
        <f>21768+13324+4159</f>
        <v>39251</v>
      </c>
      <c r="J53" s="436">
        <f>+H53/I53</f>
        <v>10.146620468268324</v>
      </c>
    </row>
    <row r="54" spans="1:10" s="80" customFormat="1" ht="15">
      <c r="A54" s="192">
        <v>51</v>
      </c>
      <c r="B54" s="247" t="s">
        <v>267</v>
      </c>
      <c r="C54" s="117">
        <v>39136</v>
      </c>
      <c r="D54" s="128" t="s">
        <v>57</v>
      </c>
      <c r="E54" s="128" t="s">
        <v>65</v>
      </c>
      <c r="F54" s="118">
        <v>34</v>
      </c>
      <c r="G54" s="118">
        <v>9</v>
      </c>
      <c r="H54" s="411">
        <v>335033</v>
      </c>
      <c r="I54" s="412">
        <v>35936</v>
      </c>
      <c r="J54" s="436">
        <f>+H54/I54</f>
        <v>9.323046527159395</v>
      </c>
    </row>
    <row r="55" spans="1:10" s="80" customFormat="1" ht="15">
      <c r="A55" s="192">
        <v>52</v>
      </c>
      <c r="B55" s="337" t="s">
        <v>266</v>
      </c>
      <c r="C55" s="116">
        <v>39136</v>
      </c>
      <c r="D55" s="178" t="s">
        <v>45</v>
      </c>
      <c r="E55" s="178" t="s">
        <v>225</v>
      </c>
      <c r="F55" s="278" t="s">
        <v>236</v>
      </c>
      <c r="G55" s="278" t="s">
        <v>303</v>
      </c>
      <c r="H55" s="475">
        <v>326787.5</v>
      </c>
      <c r="I55" s="301">
        <v>46744</v>
      </c>
      <c r="J55" s="296">
        <f>+H55/I55</f>
        <v>6.9910041930515145</v>
      </c>
    </row>
    <row r="56" spans="1:10" s="80" customFormat="1" ht="15">
      <c r="A56" s="192">
        <v>53</v>
      </c>
      <c r="B56" s="249" t="s">
        <v>380</v>
      </c>
      <c r="C56" s="116">
        <v>39185</v>
      </c>
      <c r="D56" s="129" t="s">
        <v>73</v>
      </c>
      <c r="E56" s="129" t="s">
        <v>135</v>
      </c>
      <c r="F56" s="421" t="s">
        <v>381</v>
      </c>
      <c r="G56" s="421" t="s">
        <v>37</v>
      </c>
      <c r="H56" s="415">
        <v>319280</v>
      </c>
      <c r="I56" s="416">
        <v>32207</v>
      </c>
      <c r="J56" s="438">
        <f>IF(H56&lt;&gt;0,H56/I56,"")</f>
        <v>9.913372869252026</v>
      </c>
    </row>
    <row r="57" spans="1:10" s="80" customFormat="1" ht="15">
      <c r="A57" s="192">
        <v>54</v>
      </c>
      <c r="B57" s="248" t="s">
        <v>295</v>
      </c>
      <c r="C57" s="117">
        <v>39150</v>
      </c>
      <c r="D57" s="132" t="s">
        <v>23</v>
      </c>
      <c r="E57" s="131" t="s">
        <v>296</v>
      </c>
      <c r="F57" s="120">
        <v>100</v>
      </c>
      <c r="G57" s="120">
        <v>7</v>
      </c>
      <c r="H57" s="411">
        <f>221689.5+60473+12914+3842.4+1749+1296+224</f>
        <v>302187.9</v>
      </c>
      <c r="I57" s="412">
        <f>30032+8139+2146+874+367+232+56</f>
        <v>41846</v>
      </c>
      <c r="J57" s="437">
        <f>H57/I57</f>
        <v>7.221428571428572</v>
      </c>
    </row>
    <row r="58" spans="1:10" s="80" customFormat="1" ht="15">
      <c r="A58" s="192">
        <v>55</v>
      </c>
      <c r="B58" s="247" t="s">
        <v>314</v>
      </c>
      <c r="C58" s="117">
        <v>39157</v>
      </c>
      <c r="D58" s="128" t="s">
        <v>58</v>
      </c>
      <c r="E58" s="128" t="s">
        <v>59</v>
      </c>
      <c r="F58" s="118">
        <v>40</v>
      </c>
      <c r="G58" s="118">
        <v>5</v>
      </c>
      <c r="H58" s="411">
        <f>145121+79532.5+31459-84.5+26093+10059</f>
        <v>292180</v>
      </c>
      <c r="I58" s="412">
        <f>16974+9206+3759-9+4636+1902</f>
        <v>36468</v>
      </c>
      <c r="J58" s="439">
        <f>H58/I58</f>
        <v>8.0119556871778</v>
      </c>
    </row>
    <row r="59" spans="1:10" s="80" customFormat="1" ht="15">
      <c r="A59" s="192">
        <v>56</v>
      </c>
      <c r="B59" s="247" t="s">
        <v>238</v>
      </c>
      <c r="C59" s="117">
        <v>39122</v>
      </c>
      <c r="D59" s="128" t="s">
        <v>57</v>
      </c>
      <c r="E59" s="128" t="s">
        <v>65</v>
      </c>
      <c r="F59" s="118">
        <v>12</v>
      </c>
      <c r="G59" s="118">
        <v>11</v>
      </c>
      <c r="H59" s="411">
        <v>260402</v>
      </c>
      <c r="I59" s="412">
        <v>41388</v>
      </c>
      <c r="J59" s="438">
        <f>+H59/I59</f>
        <v>6.291727070648498</v>
      </c>
    </row>
    <row r="60" spans="1:10" s="80" customFormat="1" ht="15">
      <c r="A60" s="192">
        <v>57</v>
      </c>
      <c r="B60" s="247" t="s">
        <v>289</v>
      </c>
      <c r="C60" s="117">
        <v>39143</v>
      </c>
      <c r="D60" s="128" t="s">
        <v>58</v>
      </c>
      <c r="E60" s="128" t="s">
        <v>59</v>
      </c>
      <c r="F60" s="118">
        <v>20</v>
      </c>
      <c r="G60" s="118">
        <v>8</v>
      </c>
      <c r="H60" s="411">
        <f>129159.5+81464+15048+8469.5+8901.5+5708+1570+1711</f>
        <v>252031.5</v>
      </c>
      <c r="I60" s="412">
        <f>12733+8086+1709+1437+1707+969+278+320</f>
        <v>27239</v>
      </c>
      <c r="J60" s="437">
        <f>H60/I60</f>
        <v>9.252597378758399</v>
      </c>
    </row>
    <row r="61" spans="1:10" s="80" customFormat="1" ht="15">
      <c r="A61" s="192">
        <v>58</v>
      </c>
      <c r="B61" s="248" t="s">
        <v>328</v>
      </c>
      <c r="C61" s="117">
        <v>39164</v>
      </c>
      <c r="D61" s="132" t="s">
        <v>23</v>
      </c>
      <c r="E61" s="131" t="s">
        <v>69</v>
      </c>
      <c r="F61" s="120">
        <v>40</v>
      </c>
      <c r="G61" s="120">
        <v>5</v>
      </c>
      <c r="H61" s="411">
        <f>136863.5+71331.5+20806.5+12476.9+2838</f>
        <v>244316.4</v>
      </c>
      <c r="I61" s="412">
        <f>15270+7788+3293+2489+585</f>
        <v>29425</v>
      </c>
      <c r="J61" s="437">
        <f>H61/I61</f>
        <v>8.303021240441801</v>
      </c>
    </row>
    <row r="62" spans="1:10" s="80" customFormat="1" ht="15">
      <c r="A62" s="192">
        <v>59</v>
      </c>
      <c r="B62" s="338" t="s">
        <v>164</v>
      </c>
      <c r="C62" s="117">
        <v>39094</v>
      </c>
      <c r="D62" s="177" t="s">
        <v>55</v>
      </c>
      <c r="E62" s="177" t="s">
        <v>63</v>
      </c>
      <c r="F62" s="331">
        <v>1</v>
      </c>
      <c r="G62" s="331">
        <v>7</v>
      </c>
      <c r="H62" s="474">
        <v>243567</v>
      </c>
      <c r="I62" s="302">
        <v>24192</v>
      </c>
      <c r="J62" s="296">
        <f>+H62/I62</f>
        <v>10.068080357142858</v>
      </c>
    </row>
    <row r="63" spans="1:10" s="80" customFormat="1" ht="15">
      <c r="A63" s="192">
        <v>60</v>
      </c>
      <c r="B63" s="338" t="s">
        <v>246</v>
      </c>
      <c r="C63" s="117">
        <v>39122</v>
      </c>
      <c r="D63" s="177" t="s">
        <v>58</v>
      </c>
      <c r="E63" s="177" t="s">
        <v>66</v>
      </c>
      <c r="F63" s="331">
        <v>27</v>
      </c>
      <c r="G63" s="331">
        <v>7</v>
      </c>
      <c r="H63" s="474">
        <f>119870.5+70279+18401+10562+5558+801+365</f>
        <v>225836.5</v>
      </c>
      <c r="I63" s="302">
        <f>12204+6994+1908+1977+1125+173+73</f>
        <v>24454</v>
      </c>
      <c r="J63" s="296">
        <f>+H63/I63</f>
        <v>9.23515580273166</v>
      </c>
    </row>
    <row r="64" spans="1:10" s="80" customFormat="1" ht="15">
      <c r="A64" s="192">
        <v>61</v>
      </c>
      <c r="B64" s="249" t="s">
        <v>347</v>
      </c>
      <c r="C64" s="116">
        <v>39171</v>
      </c>
      <c r="D64" s="129" t="s">
        <v>185</v>
      </c>
      <c r="E64" s="129" t="s">
        <v>185</v>
      </c>
      <c r="F64" s="278">
        <v>20</v>
      </c>
      <c r="G64" s="278">
        <v>4</v>
      </c>
      <c r="H64" s="411">
        <v>223611</v>
      </c>
      <c r="I64" s="412">
        <v>22124</v>
      </c>
      <c r="J64" s="437">
        <f>H64/I64</f>
        <v>10.10716868559031</v>
      </c>
    </row>
    <row r="65" spans="1:10" s="80" customFormat="1" ht="15">
      <c r="A65" s="192">
        <v>62</v>
      </c>
      <c r="B65" s="121" t="s">
        <v>297</v>
      </c>
      <c r="C65" s="119">
        <v>39150</v>
      </c>
      <c r="D65" s="130" t="s">
        <v>64</v>
      </c>
      <c r="E65" s="130" t="s">
        <v>318</v>
      </c>
      <c r="F65" s="422">
        <v>10</v>
      </c>
      <c r="G65" s="422">
        <v>7</v>
      </c>
      <c r="H65" s="424">
        <v>196758</v>
      </c>
      <c r="I65" s="425">
        <v>20795</v>
      </c>
      <c r="J65" s="439">
        <f>H65/I65</f>
        <v>9.461793700408752</v>
      </c>
    </row>
    <row r="66" spans="1:10" s="80" customFormat="1" ht="15">
      <c r="A66" s="192">
        <v>63</v>
      </c>
      <c r="B66" s="249" t="s">
        <v>315</v>
      </c>
      <c r="C66" s="116">
        <v>39157</v>
      </c>
      <c r="D66" s="129" t="s">
        <v>73</v>
      </c>
      <c r="E66" s="129" t="s">
        <v>135</v>
      </c>
      <c r="F66" s="421" t="s">
        <v>163</v>
      </c>
      <c r="G66" s="421" t="s">
        <v>349</v>
      </c>
      <c r="H66" s="415">
        <v>165999.5</v>
      </c>
      <c r="I66" s="416">
        <v>24279</v>
      </c>
      <c r="J66" s="437">
        <f>H66/I66</f>
        <v>6.837163804110548</v>
      </c>
    </row>
    <row r="67" spans="1:10" s="80" customFormat="1" ht="15">
      <c r="A67" s="192">
        <v>64</v>
      </c>
      <c r="B67" s="247" t="s">
        <v>382</v>
      </c>
      <c r="C67" s="117">
        <v>39185</v>
      </c>
      <c r="D67" s="128" t="s">
        <v>58</v>
      </c>
      <c r="E67" s="128" t="s">
        <v>66</v>
      </c>
      <c r="F67" s="118">
        <v>32</v>
      </c>
      <c r="G67" s="118">
        <v>2</v>
      </c>
      <c r="H67" s="411">
        <f>108639+53175.5</f>
        <v>161814.5</v>
      </c>
      <c r="I67" s="412">
        <f>11660+5688</f>
        <v>17348</v>
      </c>
      <c r="J67" s="438">
        <f>IF(H67&lt;&gt;0,H67/I67,"")</f>
        <v>9.327559372838367</v>
      </c>
    </row>
    <row r="68" spans="1:10" s="80" customFormat="1" ht="15">
      <c r="A68" s="192">
        <v>65</v>
      </c>
      <c r="B68" s="246" t="s">
        <v>269</v>
      </c>
      <c r="C68" s="116">
        <v>39136</v>
      </c>
      <c r="D68" s="127" t="s">
        <v>56</v>
      </c>
      <c r="E68" s="126" t="s">
        <v>11</v>
      </c>
      <c r="F68" s="413">
        <v>9</v>
      </c>
      <c r="G68" s="413">
        <v>9</v>
      </c>
      <c r="H68" s="415">
        <f>84092+44359+5685+3842+1159+3888+3317+785+1412</f>
        <v>148539</v>
      </c>
      <c r="I68" s="416">
        <f>8135+4281+660+612+195+1157+638+80+217</f>
        <v>15975</v>
      </c>
      <c r="J68" s="436">
        <f>+H68/I68</f>
        <v>9.298215962441315</v>
      </c>
    </row>
    <row r="69" spans="1:10" s="80" customFormat="1" ht="15">
      <c r="A69" s="192">
        <v>66</v>
      </c>
      <c r="B69" s="337" t="s">
        <v>143</v>
      </c>
      <c r="C69" s="116">
        <v>39087</v>
      </c>
      <c r="D69" s="178" t="s">
        <v>56</v>
      </c>
      <c r="E69" s="178" t="s">
        <v>237</v>
      </c>
      <c r="F69" s="278">
        <v>42</v>
      </c>
      <c r="G69" s="278">
        <v>10</v>
      </c>
      <c r="H69" s="475">
        <f>108159+32855+2558+200+742+210+540+754+527+677</f>
        <v>147222</v>
      </c>
      <c r="I69" s="301">
        <f>12118+3977+379+20+153+40+103+182+108+118</f>
        <v>17198</v>
      </c>
      <c r="J69" s="296">
        <f>+H69/I69</f>
        <v>8.560414001628097</v>
      </c>
    </row>
    <row r="70" spans="1:10" s="80" customFormat="1" ht="15">
      <c r="A70" s="192">
        <v>67</v>
      </c>
      <c r="B70" s="247" t="s">
        <v>316</v>
      </c>
      <c r="C70" s="117">
        <v>39157</v>
      </c>
      <c r="D70" s="128" t="s">
        <v>58</v>
      </c>
      <c r="E70" s="128" t="s">
        <v>317</v>
      </c>
      <c r="F70" s="118">
        <v>56</v>
      </c>
      <c r="G70" s="118">
        <v>6</v>
      </c>
      <c r="H70" s="411">
        <f>58610+26460.5+16261.5+6759+4608+1822</f>
        <v>114521</v>
      </c>
      <c r="I70" s="412">
        <f>8805+4170+2948+1373+809+330</f>
        <v>18435</v>
      </c>
      <c r="J70" s="439">
        <f>H70/I70</f>
        <v>6.212150800108489</v>
      </c>
    </row>
    <row r="71" spans="1:10" s="80" customFormat="1" ht="15">
      <c r="A71" s="192">
        <v>68</v>
      </c>
      <c r="B71" s="337" t="s">
        <v>145</v>
      </c>
      <c r="C71" s="116">
        <v>39087</v>
      </c>
      <c r="D71" s="178" t="s">
        <v>185</v>
      </c>
      <c r="E71" s="178" t="s">
        <v>185</v>
      </c>
      <c r="F71" s="278">
        <v>11</v>
      </c>
      <c r="G71" s="278">
        <v>8</v>
      </c>
      <c r="H71" s="474">
        <v>105361.29</v>
      </c>
      <c r="I71" s="302">
        <v>10762</v>
      </c>
      <c r="J71" s="296">
        <f>+H71/I71</f>
        <v>9.790121724586507</v>
      </c>
    </row>
    <row r="72" spans="1:10" s="80" customFormat="1" ht="15">
      <c r="A72" s="192">
        <v>69</v>
      </c>
      <c r="B72" s="347" t="s">
        <v>186</v>
      </c>
      <c r="C72" s="119">
        <v>39101</v>
      </c>
      <c r="D72" s="179" t="s">
        <v>64</v>
      </c>
      <c r="E72" s="179" t="s">
        <v>187</v>
      </c>
      <c r="F72" s="344">
        <v>14</v>
      </c>
      <c r="G72" s="344">
        <v>9</v>
      </c>
      <c r="H72" s="477">
        <v>75233</v>
      </c>
      <c r="I72" s="303">
        <v>7816</v>
      </c>
      <c r="J72" s="348">
        <f>H72/I72</f>
        <v>9.625511770726714</v>
      </c>
    </row>
    <row r="73" spans="1:10" s="80" customFormat="1" ht="15">
      <c r="A73" s="192">
        <v>70</v>
      </c>
      <c r="B73" s="247" t="s">
        <v>407</v>
      </c>
      <c r="C73" s="117">
        <v>39192</v>
      </c>
      <c r="D73" s="128" t="s">
        <v>58</v>
      </c>
      <c r="E73" s="128" t="s">
        <v>367</v>
      </c>
      <c r="F73" s="118">
        <v>30</v>
      </c>
      <c r="G73" s="118">
        <v>1</v>
      </c>
      <c r="H73" s="411">
        <f>71030</f>
        <v>71030</v>
      </c>
      <c r="I73" s="412">
        <f>8415</f>
        <v>8415</v>
      </c>
      <c r="J73" s="437">
        <f>H73/I73</f>
        <v>8.440879382055853</v>
      </c>
    </row>
    <row r="74" spans="1:10" s="80" customFormat="1" ht="15">
      <c r="A74" s="192">
        <v>71</v>
      </c>
      <c r="B74" s="247" t="s">
        <v>298</v>
      </c>
      <c r="C74" s="117">
        <v>39150</v>
      </c>
      <c r="D74" s="128" t="s">
        <v>58</v>
      </c>
      <c r="E74" s="128" t="s">
        <v>245</v>
      </c>
      <c r="F74" s="118">
        <v>36</v>
      </c>
      <c r="G74" s="118">
        <v>7</v>
      </c>
      <c r="H74" s="411">
        <f>36532.5+12598.5+9503.5+3866+3675.5+2036.5+2184</f>
        <v>70396.5</v>
      </c>
      <c r="I74" s="412">
        <f>5376+1964+1865+741+753+478+609</f>
        <v>11786</v>
      </c>
      <c r="J74" s="437">
        <f>H74/I74</f>
        <v>5.97289156626506</v>
      </c>
    </row>
    <row r="75" spans="1:10" s="80" customFormat="1" ht="15">
      <c r="A75" s="192">
        <v>72</v>
      </c>
      <c r="B75" s="247" t="s">
        <v>290</v>
      </c>
      <c r="C75" s="117">
        <v>39136</v>
      </c>
      <c r="D75" s="128" t="s">
        <v>58</v>
      </c>
      <c r="E75" s="128" t="s">
        <v>59</v>
      </c>
      <c r="F75" s="118">
        <v>7</v>
      </c>
      <c r="G75" s="118">
        <v>9</v>
      </c>
      <c r="H75" s="411">
        <f>23106.5+15905+4970.5+4958+2337+5206+2114+6120.5+60</f>
        <v>64777.5</v>
      </c>
      <c r="I75" s="412">
        <f>2469+1725+813+546+379+1021+442+1372+6</f>
        <v>8773</v>
      </c>
      <c r="J75" s="437">
        <f>H75/I75</f>
        <v>7.3837341844295</v>
      </c>
    </row>
    <row r="76" spans="1:10" s="80" customFormat="1" ht="15">
      <c r="A76" s="192">
        <v>73</v>
      </c>
      <c r="B76" s="338" t="s">
        <v>147</v>
      </c>
      <c r="C76" s="117">
        <v>39087</v>
      </c>
      <c r="D76" s="177" t="s">
        <v>23</v>
      </c>
      <c r="E76" s="177" t="s">
        <v>148</v>
      </c>
      <c r="F76" s="331">
        <v>1</v>
      </c>
      <c r="G76" s="331">
        <v>12</v>
      </c>
      <c r="H76" s="474">
        <f>22095+9204+7326+5702+4828+3872.5+1230+1085+707+2852+110.5+1780+1780</f>
        <v>62572</v>
      </c>
      <c r="I76" s="302">
        <f>2920+1031+821+648+551+476+146+128+89+713+43+445+445</f>
        <v>8456</v>
      </c>
      <c r="J76" s="336">
        <f>H76/I76</f>
        <v>7.399716177861873</v>
      </c>
    </row>
    <row r="77" spans="1:10" s="80" customFormat="1" ht="15">
      <c r="A77" s="192">
        <v>74</v>
      </c>
      <c r="B77" s="247" t="s">
        <v>359</v>
      </c>
      <c r="C77" s="117">
        <v>39178</v>
      </c>
      <c r="D77" s="128" t="s">
        <v>58</v>
      </c>
      <c r="E77" s="128" t="s">
        <v>409</v>
      </c>
      <c r="F77" s="118">
        <v>32</v>
      </c>
      <c r="G77" s="118">
        <v>3</v>
      </c>
      <c r="H77" s="411">
        <f>36030.5+15107+2947</f>
        <v>54084.5</v>
      </c>
      <c r="I77" s="412">
        <f>5756+2532+606</f>
        <v>8894</v>
      </c>
      <c r="J77" s="438">
        <f>IF(H77&lt;&gt;0,H77/I77,"")</f>
        <v>6.081009669440072</v>
      </c>
    </row>
    <row r="78" spans="1:10" s="80" customFormat="1" ht="15">
      <c r="A78" s="192">
        <v>75</v>
      </c>
      <c r="B78" s="121" t="s">
        <v>358</v>
      </c>
      <c r="C78" s="119">
        <v>39178</v>
      </c>
      <c r="D78" s="130" t="s">
        <v>64</v>
      </c>
      <c r="E78" s="130" t="s">
        <v>281</v>
      </c>
      <c r="F78" s="422">
        <v>20</v>
      </c>
      <c r="G78" s="422">
        <v>3</v>
      </c>
      <c r="H78" s="424">
        <v>53965</v>
      </c>
      <c r="I78" s="425">
        <v>6594</v>
      </c>
      <c r="J78" s="439">
        <f>H78/I78</f>
        <v>8.183955110706703</v>
      </c>
    </row>
    <row r="79" spans="1:10" s="80" customFormat="1" ht="15">
      <c r="A79" s="192">
        <v>76</v>
      </c>
      <c r="B79" s="248" t="s">
        <v>239</v>
      </c>
      <c r="C79" s="117">
        <v>39115</v>
      </c>
      <c r="D79" s="132" t="s">
        <v>23</v>
      </c>
      <c r="E79" s="131" t="s">
        <v>33</v>
      </c>
      <c r="F79" s="120">
        <v>7</v>
      </c>
      <c r="G79" s="120">
        <v>11</v>
      </c>
      <c r="H79" s="411">
        <f>17653+2664+2547+3149.5+1301+782+4139+3319+2916+1353+211</f>
        <v>40034.5</v>
      </c>
      <c r="I79" s="412">
        <f>1861+315+483+453+199+125+780+688+532+250+58</f>
        <v>5744</v>
      </c>
      <c r="J79" s="437">
        <f>H79/I79</f>
        <v>6.969794568245125</v>
      </c>
    </row>
    <row r="80" spans="1:10" s="80" customFormat="1" ht="15">
      <c r="A80" s="192">
        <v>77</v>
      </c>
      <c r="B80" s="246" t="s">
        <v>383</v>
      </c>
      <c r="C80" s="116">
        <v>39190</v>
      </c>
      <c r="D80" s="127" t="s">
        <v>56</v>
      </c>
      <c r="E80" s="126" t="s">
        <v>384</v>
      </c>
      <c r="F80" s="413">
        <v>18</v>
      </c>
      <c r="G80" s="413">
        <v>2</v>
      </c>
      <c r="H80" s="415">
        <f>30174+1530</f>
        <v>31704</v>
      </c>
      <c r="I80" s="416">
        <f>3096+224</f>
        <v>3320</v>
      </c>
      <c r="J80" s="436">
        <f>+H80/I80</f>
        <v>9.549397590361446</v>
      </c>
    </row>
    <row r="81" spans="1:10" s="80" customFormat="1" ht="15">
      <c r="A81" s="192">
        <v>78</v>
      </c>
      <c r="B81" s="247" t="s">
        <v>308</v>
      </c>
      <c r="C81" s="117">
        <v>39115</v>
      </c>
      <c r="D81" s="128" t="s">
        <v>58</v>
      </c>
      <c r="E81" s="128" t="s">
        <v>38</v>
      </c>
      <c r="F81" s="118">
        <v>10</v>
      </c>
      <c r="G81" s="118">
        <v>5</v>
      </c>
      <c r="H81" s="474">
        <f>17496+3884+1469+240+311</f>
        <v>23400</v>
      </c>
      <c r="I81" s="302">
        <f>1763+417+239+30+72</f>
        <v>2521</v>
      </c>
      <c r="J81" s="296">
        <f>+H81/I81</f>
        <v>9.282030940103134</v>
      </c>
    </row>
    <row r="82" spans="1:10" s="80" customFormat="1" ht="15">
      <c r="A82" s="192">
        <v>79</v>
      </c>
      <c r="B82" s="247" t="s">
        <v>240</v>
      </c>
      <c r="C82" s="117">
        <v>39115</v>
      </c>
      <c r="D82" s="128" t="s">
        <v>58</v>
      </c>
      <c r="E82" s="128" t="s">
        <v>38</v>
      </c>
      <c r="F82" s="118">
        <v>10</v>
      </c>
      <c r="G82" s="118">
        <v>4</v>
      </c>
      <c r="H82" s="474">
        <f>17496+3884+1469+240</f>
        <v>23089</v>
      </c>
      <c r="I82" s="302">
        <f>1763+417+239+30</f>
        <v>2449</v>
      </c>
      <c r="J82" s="268">
        <f>IF(H82&lt;&gt;0,H82/I82,"")</f>
        <v>9.427929767251939</v>
      </c>
    </row>
    <row r="83" spans="1:10" s="80" customFormat="1" ht="15">
      <c r="A83" s="192">
        <v>80</v>
      </c>
      <c r="B83" s="338" t="s">
        <v>166</v>
      </c>
      <c r="C83" s="117">
        <v>39094</v>
      </c>
      <c r="D83" s="177" t="s">
        <v>23</v>
      </c>
      <c r="E83" s="177" t="s">
        <v>158</v>
      </c>
      <c r="F83" s="331">
        <v>2</v>
      </c>
      <c r="G83" s="331">
        <v>6</v>
      </c>
      <c r="H83" s="474">
        <f>1685+7070+4182+870+1068+308+1896+1402+2852+77.5+1294</f>
        <v>22704.5</v>
      </c>
      <c r="I83" s="302">
        <f>480+951+563+174+267+31+416+162+713+29+337</f>
        <v>4123</v>
      </c>
      <c r="J83" s="336">
        <f>H83/I83</f>
        <v>5.506791171477079</v>
      </c>
    </row>
    <row r="84" spans="1:10" s="80" customFormat="1" ht="15">
      <c r="A84" s="192">
        <v>81</v>
      </c>
      <c r="B84" s="337" t="s">
        <v>362</v>
      </c>
      <c r="C84" s="116">
        <v>39178</v>
      </c>
      <c r="D84" s="178" t="s">
        <v>73</v>
      </c>
      <c r="E84" s="178" t="s">
        <v>387</v>
      </c>
      <c r="F84" s="278" t="s">
        <v>330</v>
      </c>
      <c r="G84" s="278" t="s">
        <v>37</v>
      </c>
      <c r="H84" s="475">
        <v>13081</v>
      </c>
      <c r="I84" s="301">
        <v>1608</v>
      </c>
      <c r="J84" s="296">
        <f>+H84/I84</f>
        <v>8.134950248756219</v>
      </c>
    </row>
    <row r="85" spans="1:10" s="80" customFormat="1" ht="15">
      <c r="A85" s="192">
        <v>82</v>
      </c>
      <c r="B85" s="248" t="s">
        <v>386</v>
      </c>
      <c r="C85" s="117">
        <v>39185</v>
      </c>
      <c r="D85" s="132" t="s">
        <v>23</v>
      </c>
      <c r="E85" s="131" t="s">
        <v>69</v>
      </c>
      <c r="F85" s="120">
        <v>4</v>
      </c>
      <c r="G85" s="120">
        <v>2</v>
      </c>
      <c r="H85" s="411">
        <f>6769.5+3919</f>
        <v>10688.5</v>
      </c>
      <c r="I85" s="412">
        <f>846+548</f>
        <v>1394</v>
      </c>
      <c r="J85" s="437">
        <f>H85/I85</f>
        <v>7.667503586800574</v>
      </c>
    </row>
    <row r="86" spans="1:10" s="80" customFormat="1" ht="15">
      <c r="A86" s="192">
        <v>83</v>
      </c>
      <c r="B86" s="338" t="s">
        <v>363</v>
      </c>
      <c r="C86" s="117">
        <v>39178</v>
      </c>
      <c r="D86" s="177" t="s">
        <v>23</v>
      </c>
      <c r="E86" s="177" t="s">
        <v>364</v>
      </c>
      <c r="F86" s="331">
        <v>5</v>
      </c>
      <c r="G86" s="331">
        <v>2</v>
      </c>
      <c r="H86" s="474">
        <f>6989+3492</f>
        <v>10481</v>
      </c>
      <c r="I86" s="302">
        <f>870+504</f>
        <v>1374</v>
      </c>
      <c r="J86" s="336">
        <f>H86/I86</f>
        <v>7.628093158660844</v>
      </c>
    </row>
    <row r="87" spans="1:10" s="80" customFormat="1" ht="15">
      <c r="A87" s="192">
        <v>84</v>
      </c>
      <c r="B87" s="248" t="s">
        <v>320</v>
      </c>
      <c r="C87" s="117">
        <v>39157</v>
      </c>
      <c r="D87" s="132" t="s">
        <v>23</v>
      </c>
      <c r="E87" s="131" t="s">
        <v>158</v>
      </c>
      <c r="F87" s="120">
        <v>1</v>
      </c>
      <c r="G87" s="120">
        <v>6</v>
      </c>
      <c r="H87" s="411">
        <f>4040+3088+878+292+795+865</f>
        <v>9958</v>
      </c>
      <c r="I87" s="412">
        <f>578+442+162+25+159+173</f>
        <v>1539</v>
      </c>
      <c r="J87" s="437">
        <f>H87/I87</f>
        <v>6.47043534762833</v>
      </c>
    </row>
    <row r="88" spans="1:10" s="81" customFormat="1" ht="15.75" thickBot="1">
      <c r="A88" s="192">
        <v>85</v>
      </c>
      <c r="B88" s="479" t="s">
        <v>366</v>
      </c>
      <c r="C88" s="269">
        <v>39178</v>
      </c>
      <c r="D88" s="480" t="s">
        <v>23</v>
      </c>
      <c r="E88" s="481" t="s">
        <v>367</v>
      </c>
      <c r="F88" s="482">
        <v>2</v>
      </c>
      <c r="G88" s="482">
        <v>3</v>
      </c>
      <c r="H88" s="446">
        <f>3994+2334+454</f>
        <v>6782</v>
      </c>
      <c r="I88" s="447">
        <f>445+262+47</f>
        <v>754</v>
      </c>
      <c r="J88" s="483">
        <f>H88/I88</f>
        <v>8.994694960212202</v>
      </c>
    </row>
    <row r="89" spans="1:10" s="133" customFormat="1" ht="15">
      <c r="A89" s="391" t="s">
        <v>50</v>
      </c>
      <c r="B89" s="392"/>
      <c r="C89" s="185"/>
      <c r="D89" s="185"/>
      <c r="E89" s="185"/>
      <c r="F89" s="186"/>
      <c r="G89" s="185"/>
      <c r="H89" s="187">
        <f>SUM(H4:H88)</f>
        <v>92491137.32000002</v>
      </c>
      <c r="I89" s="188">
        <f>SUM(I4:I88)</f>
        <v>11983674</v>
      </c>
      <c r="J89" s="189">
        <f>H89/I89</f>
        <v>7.718095245247828</v>
      </c>
    </row>
    <row r="90" spans="1:10" s="82" customFormat="1" ht="13.5" thickBot="1">
      <c r="A90" s="91"/>
      <c r="B90" s="83"/>
      <c r="C90" s="84"/>
      <c r="D90" s="84"/>
      <c r="E90" s="84"/>
      <c r="F90" s="84"/>
      <c r="G90" s="84"/>
      <c r="H90" s="85"/>
      <c r="I90" s="98"/>
      <c r="J90" s="86"/>
    </row>
    <row r="91" spans="1:10" s="80" customFormat="1" ht="19.5" customHeight="1">
      <c r="A91" s="100"/>
      <c r="B91" s="384" t="s">
        <v>1</v>
      </c>
      <c r="C91" s="384"/>
      <c r="D91" s="364" t="s">
        <v>28</v>
      </c>
      <c r="E91" s="53"/>
      <c r="F91" s="364"/>
      <c r="G91" s="364"/>
      <c r="H91" s="352" t="s">
        <v>5</v>
      </c>
      <c r="I91" s="353"/>
      <c r="J91" s="387" t="s">
        <v>109</v>
      </c>
    </row>
    <row r="92" spans="1:10" s="80" customFormat="1" ht="27" customHeight="1" thickBot="1">
      <c r="A92" s="102"/>
      <c r="B92" s="385"/>
      <c r="C92" s="385"/>
      <c r="D92" s="386"/>
      <c r="E92" s="101"/>
      <c r="F92" s="386"/>
      <c r="G92" s="386"/>
      <c r="H92" s="77" t="s">
        <v>110</v>
      </c>
      <c r="I92" s="78" t="s">
        <v>90</v>
      </c>
      <c r="J92" s="388"/>
    </row>
    <row r="93" spans="1:10" s="134" customFormat="1" ht="15">
      <c r="A93" s="307">
        <v>1</v>
      </c>
      <c r="B93" s="308" t="s">
        <v>29</v>
      </c>
      <c r="C93" s="309"/>
      <c r="D93" s="309">
        <v>22</v>
      </c>
      <c r="E93" s="309"/>
      <c r="F93" s="310"/>
      <c r="G93" s="309"/>
      <c r="H93" s="311">
        <v>42138217.9</v>
      </c>
      <c r="I93" s="312">
        <v>5937981</v>
      </c>
      <c r="J93" s="313">
        <f>H93/I93</f>
        <v>7.096388132599279</v>
      </c>
    </row>
    <row r="94" spans="1:10" s="134" customFormat="1" ht="15.75" thickBot="1">
      <c r="A94" s="314">
        <v>2</v>
      </c>
      <c r="B94" s="315" t="s">
        <v>30</v>
      </c>
      <c r="C94" s="316"/>
      <c r="D94" s="316">
        <v>63</v>
      </c>
      <c r="E94" s="316"/>
      <c r="F94" s="317"/>
      <c r="G94" s="316"/>
      <c r="H94" s="318">
        <f>H89-H93</f>
        <v>50352919.420000024</v>
      </c>
      <c r="I94" s="319">
        <f>I89-I93</f>
        <v>6045693</v>
      </c>
      <c r="J94" s="320">
        <f>H94/I94</f>
        <v>8.328725825145277</v>
      </c>
    </row>
    <row r="95" spans="1:10" s="135" customFormat="1" ht="15">
      <c r="A95" s="393"/>
      <c r="B95" s="394"/>
      <c r="C95" s="185"/>
      <c r="D95" s="185">
        <f>SUM(D93:D94)</f>
        <v>85</v>
      </c>
      <c r="E95" s="185"/>
      <c r="F95" s="186"/>
      <c r="G95" s="185"/>
      <c r="H95" s="187">
        <f>SUM(H93:H94)</f>
        <v>92491137.32000002</v>
      </c>
      <c r="I95" s="110">
        <f>SUM(I93:I94)</f>
        <v>11983674</v>
      </c>
      <c r="J95" s="189"/>
    </row>
    <row r="96" spans="1:10" s="136" customFormat="1" ht="15">
      <c r="A96" s="164">
        <v>1</v>
      </c>
      <c r="B96" s="128" t="s">
        <v>119</v>
      </c>
      <c r="C96" s="139"/>
      <c r="D96" s="118"/>
      <c r="E96" s="118"/>
      <c r="F96" s="120"/>
      <c r="G96" s="118"/>
      <c r="H96" s="141">
        <v>6611321.6</v>
      </c>
      <c r="I96" s="122">
        <v>1006020</v>
      </c>
      <c r="J96" s="162">
        <f>H96/I96</f>
        <v>6.571759607164867</v>
      </c>
    </row>
    <row r="97" spans="1:10" s="136" customFormat="1" ht="15">
      <c r="A97" s="164">
        <v>2</v>
      </c>
      <c r="B97" s="128" t="s">
        <v>120</v>
      </c>
      <c r="C97" s="139"/>
      <c r="D97" s="118"/>
      <c r="E97" s="118"/>
      <c r="F97" s="120"/>
      <c r="G97" s="118"/>
      <c r="H97" s="141">
        <v>3603542.8</v>
      </c>
      <c r="I97" s="122">
        <v>496841</v>
      </c>
      <c r="J97" s="162">
        <f>H97/I97</f>
        <v>7.252909482107958</v>
      </c>
    </row>
    <row r="98" spans="1:11" s="50" customFormat="1" ht="15">
      <c r="A98" s="165"/>
      <c r="B98" s="140"/>
      <c r="C98" s="137"/>
      <c r="D98" s="137" t="s">
        <v>392</v>
      </c>
      <c r="E98" s="137"/>
      <c r="F98" s="138"/>
      <c r="G98" s="137"/>
      <c r="H98" s="46">
        <f>SUM(H96:H97)</f>
        <v>10214864.399999999</v>
      </c>
      <c r="I98" s="94">
        <f>SUM(I96:I97)</f>
        <v>1502861</v>
      </c>
      <c r="J98" s="163"/>
      <c r="K98" s="142"/>
    </row>
    <row r="99" spans="1:11" s="134" customFormat="1" ht="15.75" thickBot="1">
      <c r="A99" s="166"/>
      <c r="B99" s="167" t="s">
        <v>134</v>
      </c>
      <c r="C99" s="191"/>
      <c r="D99" s="167"/>
      <c r="E99" s="167"/>
      <c r="F99" s="167"/>
      <c r="G99" s="167"/>
      <c r="H99" s="168">
        <f>H95+H98</f>
        <v>102706001.72000003</v>
      </c>
      <c r="I99" s="169">
        <f>I95+I98</f>
        <v>13486535</v>
      </c>
      <c r="J99" s="170"/>
      <c r="K99" s="143"/>
    </row>
    <row r="101" spans="3:10" ht="12.75" customHeight="1">
      <c r="C101" s="369" t="s">
        <v>31</v>
      </c>
      <c r="D101" s="369"/>
      <c r="E101" s="369"/>
      <c r="F101" s="369"/>
      <c r="G101" s="369"/>
      <c r="H101" s="369"/>
      <c r="I101" s="369"/>
      <c r="J101" s="369"/>
    </row>
    <row r="102" spans="3:10" ht="12.75">
      <c r="C102" s="369"/>
      <c r="D102" s="369"/>
      <c r="E102" s="369"/>
      <c r="F102" s="369"/>
      <c r="G102" s="369"/>
      <c r="H102" s="369"/>
      <c r="I102" s="369"/>
      <c r="J102" s="369"/>
    </row>
    <row r="103" spans="3:10" ht="12.75">
      <c r="C103" s="369"/>
      <c r="D103" s="369"/>
      <c r="E103" s="369"/>
      <c r="F103" s="369"/>
      <c r="G103" s="369"/>
      <c r="H103" s="369"/>
      <c r="I103" s="369"/>
      <c r="J103" s="369"/>
    </row>
    <row r="104" spans="3:10" ht="27" customHeight="1">
      <c r="C104" s="369"/>
      <c r="D104" s="369"/>
      <c r="E104" s="369"/>
      <c r="F104" s="369"/>
      <c r="G104" s="369"/>
      <c r="H104" s="369"/>
      <c r="I104" s="369"/>
      <c r="J104" s="369"/>
    </row>
    <row r="105" spans="3:12" ht="12.75">
      <c r="C105" s="369"/>
      <c r="D105" s="369"/>
      <c r="E105" s="369"/>
      <c r="F105" s="369"/>
      <c r="G105" s="369"/>
      <c r="H105" s="369"/>
      <c r="I105" s="369"/>
      <c r="J105" s="369"/>
      <c r="L105" s="144"/>
    </row>
    <row r="106" spans="3:10" ht="12.75">
      <c r="C106" s="369"/>
      <c r="D106" s="369"/>
      <c r="E106" s="369"/>
      <c r="F106" s="369"/>
      <c r="G106" s="369"/>
      <c r="H106" s="369"/>
      <c r="I106" s="369"/>
      <c r="J106" s="369"/>
    </row>
    <row r="107" spans="3:10" ht="12.75">
      <c r="C107" s="104"/>
      <c r="D107" s="90"/>
      <c r="E107" s="90"/>
      <c r="F107" s="90"/>
      <c r="G107" s="90"/>
      <c r="H107" s="123"/>
      <c r="I107" s="123"/>
      <c r="J107" s="90"/>
    </row>
    <row r="108" spans="3:10" ht="12.75" customHeight="1">
      <c r="C108" s="389" t="s">
        <v>19</v>
      </c>
      <c r="D108" s="389"/>
      <c r="E108" s="389"/>
      <c r="F108" s="389"/>
      <c r="G108" s="389"/>
      <c r="H108" s="389"/>
      <c r="I108" s="389"/>
      <c r="J108" s="389"/>
    </row>
    <row r="109" spans="3:10" ht="12.75">
      <c r="C109" s="389"/>
      <c r="D109" s="389"/>
      <c r="E109" s="389"/>
      <c r="F109" s="389"/>
      <c r="G109" s="389"/>
      <c r="H109" s="389"/>
      <c r="I109" s="389"/>
      <c r="J109" s="389"/>
    </row>
    <row r="110" spans="3:10" ht="12.75">
      <c r="C110" s="389"/>
      <c r="D110" s="389"/>
      <c r="E110" s="389"/>
      <c r="F110" s="389"/>
      <c r="G110" s="389"/>
      <c r="H110" s="389"/>
      <c r="I110" s="389"/>
      <c r="J110" s="389"/>
    </row>
    <row r="111" spans="3:10" ht="12.75">
      <c r="C111" s="389"/>
      <c r="D111" s="389"/>
      <c r="E111" s="389"/>
      <c r="F111" s="389"/>
      <c r="G111" s="389"/>
      <c r="H111" s="389"/>
      <c r="I111" s="389"/>
      <c r="J111" s="389"/>
    </row>
    <row r="112" spans="3:10" ht="12.75">
      <c r="C112" s="389"/>
      <c r="D112" s="389"/>
      <c r="E112" s="389"/>
      <c r="F112" s="389"/>
      <c r="G112" s="389"/>
      <c r="H112" s="389"/>
      <c r="I112" s="389"/>
      <c r="J112" s="389"/>
    </row>
    <row r="113" spans="3:10" ht="12.75">
      <c r="C113" s="389"/>
      <c r="D113" s="389"/>
      <c r="E113" s="389"/>
      <c r="F113" s="389"/>
      <c r="G113" s="389"/>
      <c r="H113" s="389"/>
      <c r="I113" s="389"/>
      <c r="J113" s="389"/>
    </row>
    <row r="114" spans="3:10" ht="12.75">
      <c r="C114" s="389"/>
      <c r="D114" s="389"/>
      <c r="E114" s="389"/>
      <c r="F114" s="389"/>
      <c r="G114" s="389"/>
      <c r="H114" s="389"/>
      <c r="I114" s="389"/>
      <c r="J114" s="389"/>
    </row>
  </sheetData>
  <mergeCells count="20">
    <mergeCell ref="C101:J106"/>
    <mergeCell ref="C108:J114"/>
    <mergeCell ref="A1:J1"/>
    <mergeCell ref="A89:B89"/>
    <mergeCell ref="A95:B95"/>
    <mergeCell ref="B2:B3"/>
    <mergeCell ref="C2:C3"/>
    <mergeCell ref="D2:D3"/>
    <mergeCell ref="E2:E3"/>
    <mergeCell ref="F2:F3"/>
    <mergeCell ref="G2:G3"/>
    <mergeCell ref="H2:I2"/>
    <mergeCell ref="J2:J3"/>
    <mergeCell ref="G91:G92"/>
    <mergeCell ref="H91:I91"/>
    <mergeCell ref="J91:J92"/>
    <mergeCell ref="B91:B92"/>
    <mergeCell ref="C91:C92"/>
    <mergeCell ref="D91:D92"/>
    <mergeCell ref="F91:F92"/>
  </mergeCells>
  <printOptions/>
  <pageMargins left="0.87" right="0.58" top="0.18" bottom="0.57" header="0.11811023622047245" footer="0.5"/>
  <pageSetup orientation="portrait" paperSize="9" scale="50" r:id="rId1"/>
  <ignoredErrors>
    <ignoredError sqref="F9:G85" numberStoredAsText="1"/>
    <ignoredError sqref="H6:I80" unlockedFormula="1"/>
    <ignoredError sqref="J9:J84" formula="1"/>
  </ignoredErrors>
</worksheet>
</file>

<file path=xl/worksheets/sheet3.xml><?xml version="1.0" encoding="utf-8"?>
<worksheet xmlns="http://schemas.openxmlformats.org/spreadsheetml/2006/main" xmlns:r="http://schemas.openxmlformats.org/officeDocument/2006/relationships">
  <dimension ref="A1:G504"/>
  <sheetViews>
    <sheetView zoomScale="80" zoomScaleNormal="80" workbookViewId="0" topLeftCell="A474">
      <selection activeCell="K475" sqref="K475"/>
    </sheetView>
  </sheetViews>
  <sheetFormatPr defaultColWidth="9.140625" defaultRowHeight="12.75"/>
  <cols>
    <col min="1" max="1" width="3.8515625" style="0" customWidth="1"/>
    <col min="2" max="2" width="47.421875" style="0" bestFit="1" customWidth="1"/>
    <col min="3" max="3" width="11.00390625" style="351" customWidth="1"/>
    <col min="4" max="4" width="14.421875" style="0" bestFit="1" customWidth="1"/>
    <col min="5" max="5" width="20.140625" style="0" bestFit="1" customWidth="1"/>
    <col min="6" max="6" width="15.421875" style="267" bestFit="1" customWidth="1"/>
    <col min="7" max="7" width="11.7109375" style="174" customWidth="1"/>
    <col min="8" max="8" width="7.57421875" style="0" customWidth="1"/>
  </cols>
  <sheetData>
    <row r="1" spans="1:7" ht="33.75" thickBot="1">
      <c r="A1" s="398" t="s">
        <v>394</v>
      </c>
      <c r="B1" s="399"/>
      <c r="C1" s="399"/>
      <c r="D1" s="399"/>
      <c r="E1" s="399"/>
      <c r="F1" s="399"/>
      <c r="G1" s="399"/>
    </row>
    <row r="2" spans="1:7" ht="14.25">
      <c r="A2" s="96"/>
      <c r="B2" s="400" t="s">
        <v>1</v>
      </c>
      <c r="C2" s="400" t="s">
        <v>107</v>
      </c>
      <c r="D2" s="400" t="s">
        <v>54</v>
      </c>
      <c r="E2" s="400" t="s">
        <v>53</v>
      </c>
      <c r="F2" s="360" t="s">
        <v>209</v>
      </c>
      <c r="G2" s="402"/>
    </row>
    <row r="3" spans="1:7" ht="15" thickBot="1">
      <c r="A3" s="97"/>
      <c r="B3" s="401"/>
      <c r="C3" s="401"/>
      <c r="D3" s="401"/>
      <c r="E3" s="401"/>
      <c r="F3" s="280" t="s">
        <v>110</v>
      </c>
      <c r="G3" s="281" t="s">
        <v>90</v>
      </c>
    </row>
    <row r="4" spans="1:7" ht="15">
      <c r="A4" s="193">
        <v>1</v>
      </c>
      <c r="B4" s="345" t="s">
        <v>223</v>
      </c>
      <c r="C4" s="183">
        <v>38996</v>
      </c>
      <c r="D4" s="346" t="s">
        <v>23</v>
      </c>
      <c r="E4" s="346" t="s">
        <v>189</v>
      </c>
      <c r="F4" s="253">
        <v>1188</v>
      </c>
      <c r="G4" s="194">
        <v>297</v>
      </c>
    </row>
    <row r="5" spans="1:7" ht="15">
      <c r="A5" s="190">
        <v>2</v>
      </c>
      <c r="B5" s="248" t="s">
        <v>223</v>
      </c>
      <c r="C5" s="117">
        <v>38996</v>
      </c>
      <c r="D5" s="132" t="s">
        <v>23</v>
      </c>
      <c r="E5" s="131" t="s">
        <v>189</v>
      </c>
      <c r="F5" s="250">
        <v>247</v>
      </c>
      <c r="G5" s="196">
        <v>45</v>
      </c>
    </row>
    <row r="6" spans="1:7" ht="15">
      <c r="A6" s="193">
        <v>3</v>
      </c>
      <c r="B6" s="248" t="s">
        <v>223</v>
      </c>
      <c r="C6" s="117">
        <v>38996</v>
      </c>
      <c r="D6" s="132" t="s">
        <v>23</v>
      </c>
      <c r="E6" s="131" t="s">
        <v>189</v>
      </c>
      <c r="F6" s="254">
        <v>170</v>
      </c>
      <c r="G6" s="196">
        <v>34</v>
      </c>
    </row>
    <row r="7" spans="1:7" ht="15">
      <c r="A7" s="190">
        <v>4</v>
      </c>
      <c r="B7" s="150" t="s">
        <v>223</v>
      </c>
      <c r="C7" s="117">
        <v>38996</v>
      </c>
      <c r="D7" s="132" t="s">
        <v>23</v>
      </c>
      <c r="E7" s="131" t="s">
        <v>189</v>
      </c>
      <c r="F7" s="250">
        <v>104</v>
      </c>
      <c r="G7" s="196">
        <v>40</v>
      </c>
    </row>
    <row r="8" spans="1:7" ht="15">
      <c r="A8" s="193">
        <v>5</v>
      </c>
      <c r="B8" s="150" t="s">
        <v>223</v>
      </c>
      <c r="C8" s="117">
        <v>38996</v>
      </c>
      <c r="D8" s="132" t="s">
        <v>23</v>
      </c>
      <c r="E8" s="131" t="s">
        <v>189</v>
      </c>
      <c r="F8" s="250">
        <v>34</v>
      </c>
      <c r="G8" s="196">
        <v>6</v>
      </c>
    </row>
    <row r="9" spans="1:7" ht="15">
      <c r="A9" s="193">
        <v>6</v>
      </c>
      <c r="B9" s="338" t="s">
        <v>391</v>
      </c>
      <c r="C9" s="117">
        <v>38982</v>
      </c>
      <c r="D9" s="177" t="s">
        <v>66</v>
      </c>
      <c r="E9" s="177" t="s">
        <v>66</v>
      </c>
      <c r="F9" s="250">
        <v>221</v>
      </c>
      <c r="G9" s="196">
        <v>60</v>
      </c>
    </row>
    <row r="10" spans="1:7" ht="15">
      <c r="A10" s="190">
        <v>7</v>
      </c>
      <c r="B10" s="248" t="s">
        <v>24</v>
      </c>
      <c r="C10" s="117">
        <v>38849</v>
      </c>
      <c r="D10" s="132" t="s">
        <v>23</v>
      </c>
      <c r="E10" s="131" t="s">
        <v>25</v>
      </c>
      <c r="F10" s="250">
        <v>2852</v>
      </c>
      <c r="G10" s="196">
        <v>713</v>
      </c>
    </row>
    <row r="11" spans="1:7" ht="15">
      <c r="A11" s="193">
        <v>8</v>
      </c>
      <c r="B11" s="248" t="s">
        <v>24</v>
      </c>
      <c r="C11" s="117">
        <v>38849</v>
      </c>
      <c r="D11" s="132" t="s">
        <v>23</v>
      </c>
      <c r="E11" s="131" t="s">
        <v>25</v>
      </c>
      <c r="F11" s="250">
        <v>1664</v>
      </c>
      <c r="G11" s="196">
        <v>416</v>
      </c>
    </row>
    <row r="12" spans="1:7" ht="15">
      <c r="A12" s="190">
        <v>9</v>
      </c>
      <c r="B12" s="150" t="s">
        <v>24</v>
      </c>
      <c r="C12" s="117">
        <v>38849</v>
      </c>
      <c r="D12" s="276" t="s">
        <v>23</v>
      </c>
      <c r="E12" s="277" t="s">
        <v>25</v>
      </c>
      <c r="F12" s="254">
        <v>75.5</v>
      </c>
      <c r="G12" s="159">
        <v>29</v>
      </c>
    </row>
    <row r="13" spans="1:7" ht="15">
      <c r="A13" s="193">
        <v>10</v>
      </c>
      <c r="B13" s="181" t="s">
        <v>24</v>
      </c>
      <c r="C13" s="117">
        <v>38849</v>
      </c>
      <c r="D13" s="177" t="s">
        <v>23</v>
      </c>
      <c r="E13" s="177" t="s">
        <v>25</v>
      </c>
      <c r="F13" s="250">
        <v>36</v>
      </c>
      <c r="G13" s="196">
        <v>7</v>
      </c>
    </row>
    <row r="14" spans="1:7" ht="15">
      <c r="A14" s="190">
        <v>11</v>
      </c>
      <c r="B14" s="150" t="s">
        <v>24</v>
      </c>
      <c r="C14" s="117">
        <v>38849</v>
      </c>
      <c r="D14" s="132" t="s">
        <v>23</v>
      </c>
      <c r="E14" s="131" t="s">
        <v>25</v>
      </c>
      <c r="F14" s="254">
        <v>27</v>
      </c>
      <c r="G14" s="159">
        <v>5</v>
      </c>
    </row>
    <row r="15" spans="1:7" ht="15">
      <c r="A15" s="193">
        <v>12</v>
      </c>
      <c r="B15" s="147" t="s">
        <v>104</v>
      </c>
      <c r="C15" s="116">
        <v>38968</v>
      </c>
      <c r="D15" s="127" t="s">
        <v>56</v>
      </c>
      <c r="E15" s="126" t="s">
        <v>11</v>
      </c>
      <c r="F15" s="251">
        <v>1950</v>
      </c>
      <c r="G15" s="195">
        <v>531</v>
      </c>
    </row>
    <row r="16" spans="1:7" ht="15">
      <c r="A16" s="193">
        <v>13</v>
      </c>
      <c r="B16" s="246" t="s">
        <v>104</v>
      </c>
      <c r="C16" s="116">
        <v>38968</v>
      </c>
      <c r="D16" s="127" t="s">
        <v>56</v>
      </c>
      <c r="E16" s="126" t="s">
        <v>11</v>
      </c>
      <c r="F16" s="251">
        <v>1946</v>
      </c>
      <c r="G16" s="195">
        <v>529</v>
      </c>
    </row>
    <row r="17" spans="1:7" ht="15">
      <c r="A17" s="190">
        <v>14</v>
      </c>
      <c r="B17" s="147" t="s">
        <v>104</v>
      </c>
      <c r="C17" s="116">
        <v>38968</v>
      </c>
      <c r="D17" s="127" t="s">
        <v>56</v>
      </c>
      <c r="E17" s="126" t="s">
        <v>11</v>
      </c>
      <c r="F17" s="255">
        <v>1728</v>
      </c>
      <c r="G17" s="156">
        <v>313</v>
      </c>
    </row>
    <row r="18" spans="1:7" ht="15">
      <c r="A18" s="193">
        <v>15</v>
      </c>
      <c r="B18" s="180" t="s">
        <v>104</v>
      </c>
      <c r="C18" s="116">
        <v>38968</v>
      </c>
      <c r="D18" s="178" t="s">
        <v>56</v>
      </c>
      <c r="E18" s="178" t="s">
        <v>11</v>
      </c>
      <c r="F18" s="251">
        <v>1727</v>
      </c>
      <c r="G18" s="195">
        <v>487</v>
      </c>
    </row>
    <row r="19" spans="1:7" ht="15">
      <c r="A19" s="190">
        <v>16</v>
      </c>
      <c r="B19" s="147" t="s">
        <v>104</v>
      </c>
      <c r="C19" s="116">
        <v>38968</v>
      </c>
      <c r="D19" s="127" t="s">
        <v>56</v>
      </c>
      <c r="E19" s="126" t="s">
        <v>11</v>
      </c>
      <c r="F19" s="251">
        <v>1662</v>
      </c>
      <c r="G19" s="195">
        <v>474</v>
      </c>
    </row>
    <row r="20" spans="1:7" ht="15">
      <c r="A20" s="193">
        <v>17</v>
      </c>
      <c r="B20" s="150" t="s">
        <v>22</v>
      </c>
      <c r="C20" s="117">
        <v>38996</v>
      </c>
      <c r="D20" s="132" t="s">
        <v>23</v>
      </c>
      <c r="E20" s="131" t="s">
        <v>93</v>
      </c>
      <c r="F20" s="254">
        <v>209.6</v>
      </c>
      <c r="G20" s="159">
        <v>131</v>
      </c>
    </row>
    <row r="21" spans="1:7" ht="15">
      <c r="A21" s="190">
        <v>18</v>
      </c>
      <c r="B21" s="148" t="s">
        <v>116</v>
      </c>
      <c r="C21" s="151">
        <v>39073</v>
      </c>
      <c r="D21" s="146" t="s">
        <v>66</v>
      </c>
      <c r="E21" s="146" t="s">
        <v>66</v>
      </c>
      <c r="F21" s="256">
        <v>155630</v>
      </c>
      <c r="G21" s="157">
        <v>18932</v>
      </c>
    </row>
    <row r="22" spans="1:7" ht="15">
      <c r="A22" s="193">
        <v>19</v>
      </c>
      <c r="B22" s="181" t="s">
        <v>116</v>
      </c>
      <c r="C22" s="117">
        <v>39073</v>
      </c>
      <c r="D22" s="177" t="s">
        <v>66</v>
      </c>
      <c r="E22" s="177" t="s">
        <v>66</v>
      </c>
      <c r="F22" s="250">
        <v>55982</v>
      </c>
      <c r="G22" s="196">
        <v>7628</v>
      </c>
    </row>
    <row r="23" spans="1:7" ht="15">
      <c r="A23" s="193">
        <v>20</v>
      </c>
      <c r="B23" s="149" t="s">
        <v>116</v>
      </c>
      <c r="C23" s="117">
        <v>39073</v>
      </c>
      <c r="D23" s="146" t="s">
        <v>66</v>
      </c>
      <c r="E23" s="177" t="s">
        <v>66</v>
      </c>
      <c r="F23" s="250">
        <v>15271</v>
      </c>
      <c r="G23" s="196">
        <v>2641</v>
      </c>
    </row>
    <row r="24" spans="1:7" ht="15">
      <c r="A24" s="190">
        <v>21</v>
      </c>
      <c r="B24" s="247" t="s">
        <v>116</v>
      </c>
      <c r="C24" s="117">
        <v>39073</v>
      </c>
      <c r="D24" s="128" t="s">
        <v>58</v>
      </c>
      <c r="E24" s="128" t="s">
        <v>66</v>
      </c>
      <c r="F24" s="254">
        <v>11300.5</v>
      </c>
      <c r="G24" s="196">
        <v>2010</v>
      </c>
    </row>
    <row r="25" spans="1:7" ht="15">
      <c r="A25" s="193">
        <v>22</v>
      </c>
      <c r="B25" s="149" t="s">
        <v>116</v>
      </c>
      <c r="C25" s="117">
        <v>39073</v>
      </c>
      <c r="D25" s="128" t="s">
        <v>66</v>
      </c>
      <c r="E25" s="128" t="s">
        <v>66</v>
      </c>
      <c r="F25" s="250">
        <v>9440</v>
      </c>
      <c r="G25" s="196">
        <v>1724</v>
      </c>
    </row>
    <row r="26" spans="1:7" ht="15">
      <c r="A26" s="190">
        <v>23</v>
      </c>
      <c r="B26" s="247" t="s">
        <v>116</v>
      </c>
      <c r="C26" s="117">
        <v>39073</v>
      </c>
      <c r="D26" s="128" t="s">
        <v>66</v>
      </c>
      <c r="E26" s="128" t="s">
        <v>66</v>
      </c>
      <c r="F26" s="250">
        <v>7453.5</v>
      </c>
      <c r="G26" s="196">
        <v>1317</v>
      </c>
    </row>
    <row r="27" spans="1:7" ht="15">
      <c r="A27" s="193">
        <v>24</v>
      </c>
      <c r="B27" s="148" t="s">
        <v>116</v>
      </c>
      <c r="C27" s="151">
        <v>39073</v>
      </c>
      <c r="D27" s="274" t="s">
        <v>66</v>
      </c>
      <c r="E27" s="273" t="s">
        <v>66</v>
      </c>
      <c r="F27" s="256">
        <v>7141.5</v>
      </c>
      <c r="G27" s="157">
        <v>1184</v>
      </c>
    </row>
    <row r="28" spans="1:7" ht="15">
      <c r="A28" s="190">
        <v>25</v>
      </c>
      <c r="B28" s="247" t="s">
        <v>116</v>
      </c>
      <c r="C28" s="117">
        <v>39073</v>
      </c>
      <c r="D28" s="128" t="s">
        <v>58</v>
      </c>
      <c r="E28" s="128" t="s">
        <v>66</v>
      </c>
      <c r="F28" s="254">
        <v>4621</v>
      </c>
      <c r="G28" s="159">
        <v>1001</v>
      </c>
    </row>
    <row r="29" spans="1:7" ht="15">
      <c r="A29" s="193">
        <v>26</v>
      </c>
      <c r="B29" s="283" t="s">
        <v>116</v>
      </c>
      <c r="C29" s="151">
        <v>39073</v>
      </c>
      <c r="D29" s="274" t="s">
        <v>66</v>
      </c>
      <c r="E29" s="274" t="s">
        <v>66</v>
      </c>
      <c r="F29" s="256">
        <v>2945</v>
      </c>
      <c r="G29" s="157">
        <v>655</v>
      </c>
    </row>
    <row r="30" spans="1:7" ht="15">
      <c r="A30" s="193">
        <v>27</v>
      </c>
      <c r="B30" s="149" t="s">
        <v>116</v>
      </c>
      <c r="C30" s="117">
        <v>39073</v>
      </c>
      <c r="D30" s="282" t="s">
        <v>58</v>
      </c>
      <c r="E30" s="282" t="s">
        <v>66</v>
      </c>
      <c r="F30" s="250">
        <v>2772.5</v>
      </c>
      <c r="G30" s="196">
        <v>553</v>
      </c>
    </row>
    <row r="31" spans="1:7" ht="15">
      <c r="A31" s="190">
        <v>28</v>
      </c>
      <c r="B31" s="247" t="s">
        <v>116</v>
      </c>
      <c r="C31" s="117">
        <v>39073</v>
      </c>
      <c r="D31" s="128" t="s">
        <v>58</v>
      </c>
      <c r="E31" s="128" t="s">
        <v>66</v>
      </c>
      <c r="F31" s="250">
        <v>431</v>
      </c>
      <c r="G31" s="196">
        <v>131</v>
      </c>
    </row>
    <row r="32" spans="1:7" ht="15">
      <c r="A32" s="193">
        <v>29</v>
      </c>
      <c r="B32" s="247" t="s">
        <v>116</v>
      </c>
      <c r="C32" s="117">
        <v>39073</v>
      </c>
      <c r="D32" s="128" t="s">
        <v>12</v>
      </c>
      <c r="E32" s="128" t="s">
        <v>66</v>
      </c>
      <c r="F32" s="250">
        <v>30</v>
      </c>
      <c r="G32" s="196">
        <v>5</v>
      </c>
    </row>
    <row r="33" spans="1:7" ht="15">
      <c r="A33" s="190">
        <v>30</v>
      </c>
      <c r="B33" s="248" t="s">
        <v>336</v>
      </c>
      <c r="C33" s="117">
        <v>38170</v>
      </c>
      <c r="D33" s="323" t="s">
        <v>23</v>
      </c>
      <c r="E33" s="323" t="s">
        <v>200</v>
      </c>
      <c r="F33" s="250">
        <v>476</v>
      </c>
      <c r="G33" s="196">
        <v>119</v>
      </c>
    </row>
    <row r="34" spans="1:7" ht="15">
      <c r="A34" s="193">
        <v>31</v>
      </c>
      <c r="B34" s="247" t="s">
        <v>251</v>
      </c>
      <c r="C34" s="117">
        <v>38674</v>
      </c>
      <c r="D34" s="128" t="s">
        <v>58</v>
      </c>
      <c r="E34" s="128" t="s">
        <v>301</v>
      </c>
      <c r="F34" s="250">
        <v>5035</v>
      </c>
      <c r="G34" s="196">
        <v>1007</v>
      </c>
    </row>
    <row r="35" spans="1:7" ht="15">
      <c r="A35" s="190">
        <v>32</v>
      </c>
      <c r="B35" s="338" t="s">
        <v>251</v>
      </c>
      <c r="C35" s="117">
        <v>38674</v>
      </c>
      <c r="D35" s="177" t="s">
        <v>58</v>
      </c>
      <c r="E35" s="177" t="s">
        <v>301</v>
      </c>
      <c r="F35" s="250">
        <v>4027.5</v>
      </c>
      <c r="G35" s="196">
        <v>806</v>
      </c>
    </row>
    <row r="36" spans="1:7" ht="15">
      <c r="A36" s="193">
        <v>33</v>
      </c>
      <c r="B36" s="149" t="s">
        <v>251</v>
      </c>
      <c r="C36" s="117">
        <v>38674</v>
      </c>
      <c r="D36" s="282" t="s">
        <v>58</v>
      </c>
      <c r="E36" s="282" t="s">
        <v>252</v>
      </c>
      <c r="F36" s="250">
        <v>493</v>
      </c>
      <c r="G36" s="196">
        <v>96</v>
      </c>
    </row>
    <row r="37" spans="1:7" ht="15">
      <c r="A37" s="193">
        <v>34</v>
      </c>
      <c r="B37" s="149" t="s">
        <v>35</v>
      </c>
      <c r="C37" s="151">
        <v>39031</v>
      </c>
      <c r="D37" s="274" t="s">
        <v>57</v>
      </c>
      <c r="E37" s="274" t="s">
        <v>71</v>
      </c>
      <c r="F37" s="256">
        <v>175616</v>
      </c>
      <c r="G37" s="157">
        <v>19998</v>
      </c>
    </row>
    <row r="38" spans="1:7" ht="15">
      <c r="A38" s="190">
        <v>35</v>
      </c>
      <c r="B38" s="247" t="s">
        <v>35</v>
      </c>
      <c r="C38" s="117">
        <v>39031</v>
      </c>
      <c r="D38" s="128" t="s">
        <v>57</v>
      </c>
      <c r="E38" s="128" t="s">
        <v>71</v>
      </c>
      <c r="F38" s="250">
        <v>20934</v>
      </c>
      <c r="G38" s="196">
        <v>2628</v>
      </c>
    </row>
    <row r="39" spans="1:7" ht="15">
      <c r="A39" s="193">
        <v>36</v>
      </c>
      <c r="B39" s="247" t="s">
        <v>35</v>
      </c>
      <c r="C39" s="117">
        <v>39031</v>
      </c>
      <c r="D39" s="128" t="s">
        <v>57</v>
      </c>
      <c r="E39" s="128" t="s">
        <v>71</v>
      </c>
      <c r="F39" s="250">
        <v>2709</v>
      </c>
      <c r="G39" s="196">
        <v>376</v>
      </c>
    </row>
    <row r="40" spans="1:7" ht="15">
      <c r="A40" s="190">
        <v>37</v>
      </c>
      <c r="B40" s="148" t="s">
        <v>35</v>
      </c>
      <c r="C40" s="151">
        <v>39031</v>
      </c>
      <c r="D40" s="128" t="s">
        <v>57</v>
      </c>
      <c r="E40" s="146" t="s">
        <v>71</v>
      </c>
      <c r="F40" s="256">
        <v>2367</v>
      </c>
      <c r="G40" s="157">
        <v>702</v>
      </c>
    </row>
    <row r="41" spans="1:7" ht="15">
      <c r="A41" s="193">
        <v>38</v>
      </c>
      <c r="B41" s="247" t="s">
        <v>35</v>
      </c>
      <c r="C41" s="117">
        <v>39031</v>
      </c>
      <c r="D41" s="128" t="s">
        <v>57</v>
      </c>
      <c r="E41" s="128" t="s">
        <v>71</v>
      </c>
      <c r="F41" s="250">
        <v>1427</v>
      </c>
      <c r="G41" s="196">
        <v>281</v>
      </c>
    </row>
    <row r="42" spans="1:7" ht="15">
      <c r="A42" s="190">
        <v>39</v>
      </c>
      <c r="B42" s="149" t="s">
        <v>35</v>
      </c>
      <c r="C42" s="117">
        <v>39031</v>
      </c>
      <c r="D42" s="128" t="s">
        <v>57</v>
      </c>
      <c r="E42" s="128" t="s">
        <v>71</v>
      </c>
      <c r="F42" s="250">
        <v>1155</v>
      </c>
      <c r="G42" s="196">
        <v>350</v>
      </c>
    </row>
    <row r="43" spans="1:7" ht="15">
      <c r="A43" s="193">
        <v>40</v>
      </c>
      <c r="B43" s="181" t="s">
        <v>35</v>
      </c>
      <c r="C43" s="117">
        <v>39031</v>
      </c>
      <c r="D43" s="177" t="s">
        <v>57</v>
      </c>
      <c r="E43" s="177" t="s">
        <v>71</v>
      </c>
      <c r="F43" s="250">
        <v>1155</v>
      </c>
      <c r="G43" s="196">
        <v>350</v>
      </c>
    </row>
    <row r="44" spans="1:7" ht="15">
      <c r="A44" s="193">
        <v>41</v>
      </c>
      <c r="B44" s="338" t="s">
        <v>35</v>
      </c>
      <c r="C44" s="117">
        <v>39031</v>
      </c>
      <c r="D44" s="177" t="s">
        <v>57</v>
      </c>
      <c r="E44" s="177" t="s">
        <v>71</v>
      </c>
      <c r="F44" s="250">
        <v>740</v>
      </c>
      <c r="G44" s="196">
        <v>282</v>
      </c>
    </row>
    <row r="45" spans="1:7" ht="15">
      <c r="A45" s="190">
        <v>42</v>
      </c>
      <c r="B45" s="247" t="s">
        <v>35</v>
      </c>
      <c r="C45" s="117">
        <v>39031</v>
      </c>
      <c r="D45" s="128" t="s">
        <v>57</v>
      </c>
      <c r="E45" s="128" t="s">
        <v>71</v>
      </c>
      <c r="F45" s="254">
        <v>704</v>
      </c>
      <c r="G45" s="196">
        <v>91</v>
      </c>
    </row>
    <row r="46" spans="1:7" ht="15">
      <c r="A46" s="193">
        <v>43</v>
      </c>
      <c r="B46" s="335" t="s">
        <v>35</v>
      </c>
      <c r="C46" s="329">
        <v>39031</v>
      </c>
      <c r="D46" s="328" t="s">
        <v>57</v>
      </c>
      <c r="E46" s="328" t="s">
        <v>71</v>
      </c>
      <c r="F46" s="340">
        <v>661</v>
      </c>
      <c r="G46" s="342">
        <v>238</v>
      </c>
    </row>
    <row r="47" spans="1:7" ht="15">
      <c r="A47" s="190">
        <v>44</v>
      </c>
      <c r="B47" s="248" t="s">
        <v>35</v>
      </c>
      <c r="C47" s="117">
        <v>39031</v>
      </c>
      <c r="D47" s="323" t="s">
        <v>57</v>
      </c>
      <c r="E47" s="323" t="s">
        <v>71</v>
      </c>
      <c r="F47" s="250">
        <v>646</v>
      </c>
      <c r="G47" s="196">
        <v>53</v>
      </c>
    </row>
    <row r="48" spans="1:7" ht="15">
      <c r="A48" s="193">
        <v>45</v>
      </c>
      <c r="B48" s="149" t="s">
        <v>219</v>
      </c>
      <c r="C48" s="117">
        <v>38779</v>
      </c>
      <c r="D48" s="128" t="s">
        <v>57</v>
      </c>
      <c r="E48" s="128" t="s">
        <v>60</v>
      </c>
      <c r="F48" s="250">
        <v>1156</v>
      </c>
      <c r="G48" s="196">
        <v>350</v>
      </c>
    </row>
    <row r="49" spans="1:7" ht="15">
      <c r="A49" s="190">
        <v>46</v>
      </c>
      <c r="B49" s="148" t="s">
        <v>92</v>
      </c>
      <c r="C49" s="151">
        <v>39010</v>
      </c>
      <c r="D49" s="128" t="s">
        <v>57</v>
      </c>
      <c r="E49" s="146" t="s">
        <v>65</v>
      </c>
      <c r="F49" s="256">
        <v>5487</v>
      </c>
      <c r="G49" s="157">
        <v>1043</v>
      </c>
    </row>
    <row r="50" spans="1:7" ht="15">
      <c r="A50" s="193">
        <v>47</v>
      </c>
      <c r="B50" s="181" t="s">
        <v>92</v>
      </c>
      <c r="C50" s="117">
        <v>39010</v>
      </c>
      <c r="D50" s="177" t="s">
        <v>57</v>
      </c>
      <c r="E50" s="177" t="s">
        <v>65</v>
      </c>
      <c r="F50" s="250">
        <v>3402</v>
      </c>
      <c r="G50" s="196">
        <v>724</v>
      </c>
    </row>
    <row r="51" spans="1:7" ht="15">
      <c r="A51" s="193">
        <v>48</v>
      </c>
      <c r="B51" s="149" t="s">
        <v>92</v>
      </c>
      <c r="C51" s="117">
        <v>39010</v>
      </c>
      <c r="D51" s="128" t="s">
        <v>57</v>
      </c>
      <c r="E51" s="128" t="s">
        <v>65</v>
      </c>
      <c r="F51" s="250">
        <v>2468</v>
      </c>
      <c r="G51" s="196">
        <v>1189</v>
      </c>
    </row>
    <row r="52" spans="1:7" ht="15">
      <c r="A52" s="190">
        <v>49</v>
      </c>
      <c r="B52" s="247" t="s">
        <v>92</v>
      </c>
      <c r="C52" s="117">
        <v>39010</v>
      </c>
      <c r="D52" s="128" t="s">
        <v>57</v>
      </c>
      <c r="E52" s="128" t="s">
        <v>65</v>
      </c>
      <c r="F52" s="254">
        <v>2375</v>
      </c>
      <c r="G52" s="196">
        <v>705</v>
      </c>
    </row>
    <row r="53" spans="1:7" ht="15">
      <c r="A53" s="193">
        <v>50</v>
      </c>
      <c r="B53" s="335" t="s">
        <v>92</v>
      </c>
      <c r="C53" s="329">
        <v>39010</v>
      </c>
      <c r="D53" s="328" t="s">
        <v>57</v>
      </c>
      <c r="E53" s="328" t="s">
        <v>65</v>
      </c>
      <c r="F53" s="340">
        <v>400</v>
      </c>
      <c r="G53" s="342">
        <v>20</v>
      </c>
    </row>
    <row r="54" spans="1:7" ht="15">
      <c r="A54" s="190">
        <v>51</v>
      </c>
      <c r="B54" s="247" t="s">
        <v>92</v>
      </c>
      <c r="C54" s="117">
        <v>39010</v>
      </c>
      <c r="D54" s="128" t="s">
        <v>57</v>
      </c>
      <c r="E54" s="128" t="s">
        <v>65</v>
      </c>
      <c r="F54" s="250">
        <v>238</v>
      </c>
      <c r="G54" s="196">
        <v>46</v>
      </c>
    </row>
    <row r="55" spans="1:7" ht="15">
      <c r="A55" s="193">
        <v>52</v>
      </c>
      <c r="B55" s="338" t="s">
        <v>271</v>
      </c>
      <c r="C55" s="117">
        <v>38989</v>
      </c>
      <c r="D55" s="177" t="s">
        <v>58</v>
      </c>
      <c r="E55" s="177" t="s">
        <v>272</v>
      </c>
      <c r="F55" s="250">
        <v>1782</v>
      </c>
      <c r="G55" s="196">
        <v>446</v>
      </c>
    </row>
    <row r="56" spans="1:7" ht="15">
      <c r="A56" s="190">
        <v>53</v>
      </c>
      <c r="B56" s="283" t="s">
        <v>271</v>
      </c>
      <c r="C56" s="151">
        <v>38989</v>
      </c>
      <c r="D56" s="274" t="s">
        <v>58</v>
      </c>
      <c r="E56" s="274" t="s">
        <v>272</v>
      </c>
      <c r="F56" s="256">
        <v>1511</v>
      </c>
      <c r="G56" s="157">
        <v>303</v>
      </c>
    </row>
    <row r="57" spans="1:7" ht="15">
      <c r="A57" s="193">
        <v>54</v>
      </c>
      <c r="B57" s="338" t="s">
        <v>190</v>
      </c>
      <c r="C57" s="117">
        <v>38905</v>
      </c>
      <c r="D57" s="177" t="s">
        <v>23</v>
      </c>
      <c r="E57" s="177" t="s">
        <v>191</v>
      </c>
      <c r="F57" s="250">
        <v>1188</v>
      </c>
      <c r="G57" s="196">
        <v>297</v>
      </c>
    </row>
    <row r="58" spans="1:7" ht="15">
      <c r="A58" s="193">
        <v>55</v>
      </c>
      <c r="B58" s="248" t="s">
        <v>190</v>
      </c>
      <c r="C58" s="117">
        <v>38905</v>
      </c>
      <c r="D58" s="132" t="s">
        <v>23</v>
      </c>
      <c r="E58" s="131" t="s">
        <v>191</v>
      </c>
      <c r="F58" s="250">
        <v>262.4</v>
      </c>
      <c r="G58" s="196">
        <v>164</v>
      </c>
    </row>
    <row r="59" spans="1:7" ht="15">
      <c r="A59" s="190">
        <v>56</v>
      </c>
      <c r="B59" s="148" t="s">
        <v>80</v>
      </c>
      <c r="C59" s="151">
        <v>39052</v>
      </c>
      <c r="D59" s="146" t="s">
        <v>58</v>
      </c>
      <c r="E59" s="146" t="s">
        <v>59</v>
      </c>
      <c r="F59" s="256">
        <v>2938</v>
      </c>
      <c r="G59" s="157">
        <v>448</v>
      </c>
    </row>
    <row r="60" spans="1:7" ht="15">
      <c r="A60" s="193">
        <v>57</v>
      </c>
      <c r="B60" s="149" t="s">
        <v>80</v>
      </c>
      <c r="C60" s="117">
        <v>39052</v>
      </c>
      <c r="D60" s="128" t="s">
        <v>58</v>
      </c>
      <c r="E60" s="128" t="s">
        <v>59</v>
      </c>
      <c r="F60" s="250">
        <v>2306</v>
      </c>
      <c r="G60" s="196">
        <v>733</v>
      </c>
    </row>
    <row r="61" spans="1:7" ht="15">
      <c r="A61" s="190">
        <v>58</v>
      </c>
      <c r="B61" s="181" t="s">
        <v>80</v>
      </c>
      <c r="C61" s="117">
        <v>39052</v>
      </c>
      <c r="D61" s="177" t="s">
        <v>58</v>
      </c>
      <c r="E61" s="177" t="s">
        <v>59</v>
      </c>
      <c r="F61" s="250">
        <v>1587.5</v>
      </c>
      <c r="G61" s="196">
        <v>252</v>
      </c>
    </row>
    <row r="62" spans="1:7" ht="15">
      <c r="A62" s="193">
        <v>59</v>
      </c>
      <c r="B62" s="150" t="s">
        <v>117</v>
      </c>
      <c r="C62" s="117">
        <v>39073</v>
      </c>
      <c r="D62" s="132" t="s">
        <v>23</v>
      </c>
      <c r="E62" s="131" t="s">
        <v>98</v>
      </c>
      <c r="F62" s="254">
        <v>2937</v>
      </c>
      <c r="G62" s="159">
        <v>367</v>
      </c>
    </row>
    <row r="63" spans="1:7" ht="15">
      <c r="A63" s="190">
        <v>60</v>
      </c>
      <c r="B63" s="150" t="s">
        <v>117</v>
      </c>
      <c r="C63" s="117">
        <v>39073</v>
      </c>
      <c r="D63" s="276" t="s">
        <v>23</v>
      </c>
      <c r="E63" s="277" t="s">
        <v>98</v>
      </c>
      <c r="F63" s="250">
        <v>1780</v>
      </c>
      <c r="G63" s="196">
        <v>445</v>
      </c>
    </row>
    <row r="64" spans="1:7" ht="15">
      <c r="A64" s="193">
        <v>61</v>
      </c>
      <c r="B64" s="248" t="s">
        <v>117</v>
      </c>
      <c r="C64" s="117">
        <v>39073</v>
      </c>
      <c r="D64" s="276" t="s">
        <v>23</v>
      </c>
      <c r="E64" s="277" t="s">
        <v>98</v>
      </c>
      <c r="F64" s="254">
        <v>1780</v>
      </c>
      <c r="G64" s="159">
        <v>445</v>
      </c>
    </row>
    <row r="65" spans="1:7" ht="15">
      <c r="A65" s="193">
        <v>62</v>
      </c>
      <c r="B65" s="150" t="s">
        <v>117</v>
      </c>
      <c r="C65" s="117">
        <v>39073</v>
      </c>
      <c r="D65" s="276" t="s">
        <v>23</v>
      </c>
      <c r="E65" s="277" t="s">
        <v>98</v>
      </c>
      <c r="F65" s="254">
        <v>1015</v>
      </c>
      <c r="G65" s="159">
        <v>135</v>
      </c>
    </row>
    <row r="66" spans="1:7" ht="15">
      <c r="A66" s="190">
        <v>63</v>
      </c>
      <c r="B66" s="181" t="s">
        <v>117</v>
      </c>
      <c r="C66" s="117">
        <v>39073</v>
      </c>
      <c r="D66" s="177" t="s">
        <v>23</v>
      </c>
      <c r="E66" s="177" t="s">
        <v>98</v>
      </c>
      <c r="F66" s="250">
        <v>796</v>
      </c>
      <c r="G66" s="196">
        <v>81</v>
      </c>
    </row>
    <row r="67" spans="1:7" ht="15">
      <c r="A67" s="193">
        <v>64</v>
      </c>
      <c r="B67" s="248" t="s">
        <v>117</v>
      </c>
      <c r="C67" s="117">
        <v>39073</v>
      </c>
      <c r="D67" s="132" t="s">
        <v>23</v>
      </c>
      <c r="E67" s="131" t="s">
        <v>98</v>
      </c>
      <c r="F67" s="250">
        <v>464</v>
      </c>
      <c r="G67" s="196">
        <v>63</v>
      </c>
    </row>
    <row r="68" spans="1:7" ht="15">
      <c r="A68" s="190">
        <v>65</v>
      </c>
      <c r="B68" s="338" t="s">
        <v>117</v>
      </c>
      <c r="C68" s="117">
        <v>39073</v>
      </c>
      <c r="D68" s="177" t="s">
        <v>23</v>
      </c>
      <c r="E68" s="177" t="s">
        <v>98</v>
      </c>
      <c r="F68" s="250">
        <v>233</v>
      </c>
      <c r="G68" s="196">
        <v>49</v>
      </c>
    </row>
    <row r="69" spans="1:7" ht="15">
      <c r="A69" s="193">
        <v>66</v>
      </c>
      <c r="B69" s="150" t="s">
        <v>117</v>
      </c>
      <c r="C69" s="117">
        <v>39073</v>
      </c>
      <c r="D69" s="132" t="s">
        <v>23</v>
      </c>
      <c r="E69" s="131" t="s">
        <v>98</v>
      </c>
      <c r="F69" s="250">
        <v>64</v>
      </c>
      <c r="G69" s="196">
        <v>7</v>
      </c>
    </row>
    <row r="70" spans="1:7" ht="15">
      <c r="A70" s="190">
        <v>67</v>
      </c>
      <c r="B70" s="338" t="s">
        <v>192</v>
      </c>
      <c r="C70" s="117">
        <v>38870</v>
      </c>
      <c r="D70" s="177" t="s">
        <v>23</v>
      </c>
      <c r="E70" s="177" t="s">
        <v>193</v>
      </c>
      <c r="F70" s="250">
        <v>538.5</v>
      </c>
      <c r="G70" s="196">
        <v>150</v>
      </c>
    </row>
    <row r="71" spans="1:7" ht="15">
      <c r="A71" s="193">
        <v>68</v>
      </c>
      <c r="B71" s="248" t="s">
        <v>192</v>
      </c>
      <c r="C71" s="117">
        <v>38870</v>
      </c>
      <c r="D71" s="132" t="s">
        <v>23</v>
      </c>
      <c r="E71" s="131" t="s">
        <v>193</v>
      </c>
      <c r="F71" s="250">
        <v>204</v>
      </c>
      <c r="G71" s="196">
        <v>40</v>
      </c>
    </row>
    <row r="72" spans="1:7" ht="15">
      <c r="A72" s="193">
        <v>69</v>
      </c>
      <c r="B72" s="338" t="s">
        <v>192</v>
      </c>
      <c r="C72" s="117">
        <v>38870</v>
      </c>
      <c r="D72" s="177" t="s">
        <v>23</v>
      </c>
      <c r="E72" s="177" t="s">
        <v>193</v>
      </c>
      <c r="F72" s="250">
        <v>41</v>
      </c>
      <c r="G72" s="196">
        <v>16</v>
      </c>
    </row>
    <row r="73" spans="1:7" ht="15">
      <c r="A73" s="190">
        <v>70</v>
      </c>
      <c r="B73" s="149" t="s">
        <v>26</v>
      </c>
      <c r="C73" s="117">
        <v>38975</v>
      </c>
      <c r="D73" s="128" t="s">
        <v>57</v>
      </c>
      <c r="E73" s="128" t="s">
        <v>60</v>
      </c>
      <c r="F73" s="250">
        <v>7149</v>
      </c>
      <c r="G73" s="196">
        <v>1229</v>
      </c>
    </row>
    <row r="74" spans="1:7" ht="15">
      <c r="A74" s="193">
        <v>71</v>
      </c>
      <c r="B74" s="247" t="s">
        <v>26</v>
      </c>
      <c r="C74" s="117">
        <v>38975</v>
      </c>
      <c r="D74" s="128" t="s">
        <v>57</v>
      </c>
      <c r="E74" s="128" t="s">
        <v>60</v>
      </c>
      <c r="F74" s="254">
        <v>2635</v>
      </c>
      <c r="G74" s="196">
        <v>667</v>
      </c>
    </row>
    <row r="75" spans="1:7" ht="15">
      <c r="A75" s="190">
        <v>72</v>
      </c>
      <c r="B75" s="148" t="s">
        <v>26</v>
      </c>
      <c r="C75" s="151">
        <v>38975</v>
      </c>
      <c r="D75" s="128" t="s">
        <v>57</v>
      </c>
      <c r="E75" s="146" t="s">
        <v>60</v>
      </c>
      <c r="F75" s="256">
        <v>2120</v>
      </c>
      <c r="G75" s="157">
        <v>369</v>
      </c>
    </row>
    <row r="76" spans="1:7" ht="15">
      <c r="A76" s="193">
        <v>73</v>
      </c>
      <c r="B76" s="148" t="s">
        <v>26</v>
      </c>
      <c r="C76" s="151">
        <v>38975</v>
      </c>
      <c r="D76" s="274" t="s">
        <v>57</v>
      </c>
      <c r="E76" s="274" t="s">
        <v>60</v>
      </c>
      <c r="F76" s="256">
        <v>2115</v>
      </c>
      <c r="G76" s="157">
        <v>582</v>
      </c>
    </row>
    <row r="77" spans="1:7" ht="15">
      <c r="A77" s="190">
        <v>74</v>
      </c>
      <c r="B77" s="181" t="s">
        <v>26</v>
      </c>
      <c r="C77" s="117">
        <v>38975</v>
      </c>
      <c r="D77" s="177" t="s">
        <v>57</v>
      </c>
      <c r="E77" s="177" t="s">
        <v>60</v>
      </c>
      <c r="F77" s="250">
        <v>887</v>
      </c>
      <c r="G77" s="196">
        <v>160</v>
      </c>
    </row>
    <row r="78" spans="1:7" ht="15">
      <c r="A78" s="193">
        <v>75</v>
      </c>
      <c r="B78" s="149" t="s">
        <v>26</v>
      </c>
      <c r="C78" s="117">
        <v>38975</v>
      </c>
      <c r="D78" s="128" t="s">
        <v>57</v>
      </c>
      <c r="E78" s="128" t="s">
        <v>60</v>
      </c>
      <c r="F78" s="250">
        <v>284</v>
      </c>
      <c r="G78" s="196">
        <v>47</v>
      </c>
    </row>
    <row r="79" spans="1:7" ht="15">
      <c r="A79" s="193">
        <v>76</v>
      </c>
      <c r="B79" s="247" t="s">
        <v>26</v>
      </c>
      <c r="C79" s="117">
        <v>38975</v>
      </c>
      <c r="D79" s="128" t="s">
        <v>57</v>
      </c>
      <c r="E79" s="128" t="s">
        <v>60</v>
      </c>
      <c r="F79" s="250">
        <v>247</v>
      </c>
      <c r="G79" s="196">
        <v>41</v>
      </c>
    </row>
    <row r="80" spans="1:7" ht="15">
      <c r="A80" s="190">
        <v>77</v>
      </c>
      <c r="B80" s="147" t="s">
        <v>41</v>
      </c>
      <c r="C80" s="116">
        <v>39038</v>
      </c>
      <c r="D80" s="127" t="s">
        <v>56</v>
      </c>
      <c r="E80" s="126" t="s">
        <v>61</v>
      </c>
      <c r="F80" s="255">
        <v>7970</v>
      </c>
      <c r="G80" s="156">
        <v>1455</v>
      </c>
    </row>
    <row r="81" spans="1:7" ht="15">
      <c r="A81" s="193">
        <v>78</v>
      </c>
      <c r="B81" s="246" t="s">
        <v>41</v>
      </c>
      <c r="C81" s="116">
        <v>39038</v>
      </c>
      <c r="D81" s="127" t="s">
        <v>56</v>
      </c>
      <c r="E81" s="126" t="s">
        <v>61</v>
      </c>
      <c r="F81" s="251">
        <v>6458</v>
      </c>
      <c r="G81" s="195">
        <v>1814</v>
      </c>
    </row>
    <row r="82" spans="1:7" ht="15">
      <c r="A82" s="190">
        <v>79</v>
      </c>
      <c r="B82" s="180" t="s">
        <v>41</v>
      </c>
      <c r="C82" s="116">
        <v>39038</v>
      </c>
      <c r="D82" s="178" t="s">
        <v>56</v>
      </c>
      <c r="E82" s="178" t="s">
        <v>61</v>
      </c>
      <c r="F82" s="251">
        <v>2372</v>
      </c>
      <c r="G82" s="195">
        <v>338</v>
      </c>
    </row>
    <row r="83" spans="1:7" ht="15">
      <c r="A83" s="193">
        <v>80</v>
      </c>
      <c r="B83" s="147" t="s">
        <v>41</v>
      </c>
      <c r="C83" s="116">
        <v>39038</v>
      </c>
      <c r="D83" s="127" t="s">
        <v>56</v>
      </c>
      <c r="E83" s="126" t="s">
        <v>61</v>
      </c>
      <c r="F83" s="251">
        <v>1812</v>
      </c>
      <c r="G83" s="195">
        <v>360</v>
      </c>
    </row>
    <row r="84" spans="1:7" ht="15">
      <c r="A84" s="190">
        <v>81</v>
      </c>
      <c r="B84" s="246" t="s">
        <v>41</v>
      </c>
      <c r="C84" s="116">
        <v>39038</v>
      </c>
      <c r="D84" s="127" t="s">
        <v>56</v>
      </c>
      <c r="E84" s="126" t="s">
        <v>61</v>
      </c>
      <c r="F84" s="251">
        <v>986</v>
      </c>
      <c r="G84" s="195">
        <v>181</v>
      </c>
    </row>
    <row r="85" spans="1:7" ht="15">
      <c r="A85" s="193">
        <v>82</v>
      </c>
      <c r="B85" s="246" t="s">
        <v>41</v>
      </c>
      <c r="C85" s="116">
        <v>39038</v>
      </c>
      <c r="D85" s="272" t="s">
        <v>56</v>
      </c>
      <c r="E85" s="273" t="s">
        <v>61</v>
      </c>
      <c r="F85" s="255">
        <v>523</v>
      </c>
      <c r="G85" s="156">
        <v>69</v>
      </c>
    </row>
    <row r="86" spans="1:7" ht="15">
      <c r="A86" s="193">
        <v>83</v>
      </c>
      <c r="B86" s="147" t="s">
        <v>41</v>
      </c>
      <c r="C86" s="116">
        <v>39038</v>
      </c>
      <c r="D86" s="127" t="s">
        <v>56</v>
      </c>
      <c r="E86" s="126" t="s">
        <v>61</v>
      </c>
      <c r="F86" s="251">
        <v>406</v>
      </c>
      <c r="G86" s="195">
        <v>59</v>
      </c>
    </row>
    <row r="87" spans="1:7" ht="15">
      <c r="A87" s="190">
        <v>84</v>
      </c>
      <c r="B87" s="246" t="s">
        <v>41</v>
      </c>
      <c r="C87" s="116">
        <v>39038</v>
      </c>
      <c r="D87" s="127" t="s">
        <v>56</v>
      </c>
      <c r="E87" s="126" t="s">
        <v>61</v>
      </c>
      <c r="F87" s="255">
        <v>362</v>
      </c>
      <c r="G87" s="195">
        <v>51</v>
      </c>
    </row>
    <row r="88" spans="1:7" ht="15">
      <c r="A88" s="193">
        <v>85</v>
      </c>
      <c r="B88" s="147" t="s">
        <v>41</v>
      </c>
      <c r="C88" s="116">
        <v>39038</v>
      </c>
      <c r="D88" s="272" t="s">
        <v>56</v>
      </c>
      <c r="E88" s="273" t="s">
        <v>61</v>
      </c>
      <c r="F88" s="251">
        <v>237</v>
      </c>
      <c r="G88" s="195">
        <v>32</v>
      </c>
    </row>
    <row r="89" spans="1:7" ht="15">
      <c r="A89" s="190">
        <v>86</v>
      </c>
      <c r="B89" s="147" t="s">
        <v>41</v>
      </c>
      <c r="C89" s="116">
        <v>39038</v>
      </c>
      <c r="D89" s="272" t="s">
        <v>56</v>
      </c>
      <c r="E89" s="273" t="s">
        <v>61</v>
      </c>
      <c r="F89" s="255">
        <v>171</v>
      </c>
      <c r="G89" s="156">
        <v>23</v>
      </c>
    </row>
    <row r="90" spans="1:7" ht="15">
      <c r="A90" s="193">
        <v>87</v>
      </c>
      <c r="B90" s="148" t="s">
        <v>127</v>
      </c>
      <c r="C90" s="151">
        <v>39066</v>
      </c>
      <c r="D90" s="146" t="s">
        <v>58</v>
      </c>
      <c r="E90" s="146" t="s">
        <v>114</v>
      </c>
      <c r="F90" s="256">
        <v>41050.5</v>
      </c>
      <c r="G90" s="157">
        <v>5261</v>
      </c>
    </row>
    <row r="91" spans="1:7" ht="15">
      <c r="A91" s="190">
        <v>88</v>
      </c>
      <c r="B91" s="181" t="s">
        <v>127</v>
      </c>
      <c r="C91" s="117">
        <v>39066</v>
      </c>
      <c r="D91" s="177" t="s">
        <v>58</v>
      </c>
      <c r="E91" s="177" t="s">
        <v>114</v>
      </c>
      <c r="F91" s="250">
        <v>19306.5</v>
      </c>
      <c r="G91" s="196">
        <v>3088</v>
      </c>
    </row>
    <row r="92" spans="1:7" ht="15">
      <c r="A92" s="193">
        <v>89</v>
      </c>
      <c r="B92" s="149" t="s">
        <v>127</v>
      </c>
      <c r="C92" s="117">
        <v>39066</v>
      </c>
      <c r="D92" s="128" t="s">
        <v>58</v>
      </c>
      <c r="E92" s="128" t="s">
        <v>114</v>
      </c>
      <c r="F92" s="250">
        <v>6896.5</v>
      </c>
      <c r="G92" s="196">
        <v>1472</v>
      </c>
    </row>
    <row r="93" spans="1:7" ht="15">
      <c r="A93" s="193">
        <v>90</v>
      </c>
      <c r="B93" s="148" t="s">
        <v>127</v>
      </c>
      <c r="C93" s="151">
        <v>39066</v>
      </c>
      <c r="D93" s="274" t="s">
        <v>58</v>
      </c>
      <c r="E93" s="273" t="s">
        <v>114</v>
      </c>
      <c r="F93" s="256">
        <v>5538.5</v>
      </c>
      <c r="G93" s="157">
        <v>1614</v>
      </c>
    </row>
    <row r="94" spans="1:7" ht="15">
      <c r="A94" s="190">
        <v>91</v>
      </c>
      <c r="B94" s="248" t="s">
        <v>127</v>
      </c>
      <c r="C94" s="117">
        <v>39066</v>
      </c>
      <c r="D94" s="323" t="s">
        <v>58</v>
      </c>
      <c r="E94" s="323" t="s">
        <v>114</v>
      </c>
      <c r="F94" s="250">
        <v>3021</v>
      </c>
      <c r="G94" s="196">
        <v>605</v>
      </c>
    </row>
    <row r="95" spans="1:7" ht="15">
      <c r="A95" s="193">
        <v>92</v>
      </c>
      <c r="B95" s="149" t="s">
        <v>127</v>
      </c>
      <c r="C95" s="117">
        <v>39066</v>
      </c>
      <c r="D95" s="128" t="s">
        <v>58</v>
      </c>
      <c r="E95" s="128" t="s">
        <v>114</v>
      </c>
      <c r="F95" s="250">
        <v>2843</v>
      </c>
      <c r="G95" s="196">
        <v>581</v>
      </c>
    </row>
    <row r="96" spans="1:7" ht="15">
      <c r="A96" s="190">
        <v>93</v>
      </c>
      <c r="B96" s="247" t="s">
        <v>127</v>
      </c>
      <c r="C96" s="117">
        <v>39066</v>
      </c>
      <c r="D96" s="128" t="s">
        <v>58</v>
      </c>
      <c r="E96" s="128" t="s">
        <v>114</v>
      </c>
      <c r="F96" s="254">
        <v>2025</v>
      </c>
      <c r="G96" s="196">
        <v>379</v>
      </c>
    </row>
    <row r="97" spans="1:7" ht="15">
      <c r="A97" s="193">
        <v>94</v>
      </c>
      <c r="B97" s="247" t="s">
        <v>127</v>
      </c>
      <c r="C97" s="117">
        <v>39066</v>
      </c>
      <c r="D97" s="128" t="s">
        <v>58</v>
      </c>
      <c r="E97" s="128" t="s">
        <v>114</v>
      </c>
      <c r="F97" s="250">
        <v>1781</v>
      </c>
      <c r="G97" s="196">
        <v>334</v>
      </c>
    </row>
    <row r="98" spans="1:7" ht="15">
      <c r="A98" s="190">
        <v>95</v>
      </c>
      <c r="B98" s="283" t="s">
        <v>127</v>
      </c>
      <c r="C98" s="151">
        <v>39066</v>
      </c>
      <c r="D98" s="274" t="s">
        <v>58</v>
      </c>
      <c r="E98" s="274" t="s">
        <v>114</v>
      </c>
      <c r="F98" s="256">
        <v>831</v>
      </c>
      <c r="G98" s="157">
        <v>256</v>
      </c>
    </row>
    <row r="99" spans="1:7" ht="15">
      <c r="A99" s="193">
        <v>96</v>
      </c>
      <c r="B99" s="149" t="s">
        <v>127</v>
      </c>
      <c r="C99" s="117">
        <v>39066</v>
      </c>
      <c r="D99" s="282" t="s">
        <v>58</v>
      </c>
      <c r="E99" s="282" t="s">
        <v>114</v>
      </c>
      <c r="F99" s="250">
        <v>533</v>
      </c>
      <c r="G99" s="196">
        <v>148</v>
      </c>
    </row>
    <row r="100" spans="1:7" ht="15">
      <c r="A100" s="193">
        <v>97</v>
      </c>
      <c r="B100" s="247" t="s">
        <v>127</v>
      </c>
      <c r="C100" s="117">
        <v>39066</v>
      </c>
      <c r="D100" s="128" t="s">
        <v>12</v>
      </c>
      <c r="E100" s="128" t="s">
        <v>114</v>
      </c>
      <c r="F100" s="250">
        <v>160</v>
      </c>
      <c r="G100" s="196">
        <v>32</v>
      </c>
    </row>
    <row r="101" spans="1:7" ht="15">
      <c r="A101" s="190">
        <v>98</v>
      </c>
      <c r="B101" s="148" t="s">
        <v>136</v>
      </c>
      <c r="C101" s="151">
        <v>38807</v>
      </c>
      <c r="D101" s="146" t="s">
        <v>73</v>
      </c>
      <c r="E101" s="146" t="s">
        <v>137</v>
      </c>
      <c r="F101" s="256">
        <v>1430</v>
      </c>
      <c r="G101" s="157">
        <v>286</v>
      </c>
    </row>
    <row r="102" spans="1:7" ht="15">
      <c r="A102" s="193">
        <v>99</v>
      </c>
      <c r="B102" s="149" t="s">
        <v>81</v>
      </c>
      <c r="C102" s="117">
        <v>39052</v>
      </c>
      <c r="D102" s="128" t="s">
        <v>55</v>
      </c>
      <c r="E102" s="128" t="s">
        <v>55</v>
      </c>
      <c r="F102" s="254">
        <v>6236</v>
      </c>
      <c r="G102" s="159">
        <v>855</v>
      </c>
    </row>
    <row r="103" spans="1:7" ht="15">
      <c r="A103" s="190">
        <v>100</v>
      </c>
      <c r="B103" s="149" t="s">
        <v>81</v>
      </c>
      <c r="C103" s="117">
        <v>39052</v>
      </c>
      <c r="D103" s="128" t="s">
        <v>55</v>
      </c>
      <c r="E103" s="128" t="s">
        <v>55</v>
      </c>
      <c r="F103" s="250">
        <v>2023</v>
      </c>
      <c r="G103" s="196">
        <v>433</v>
      </c>
    </row>
    <row r="104" spans="1:7" ht="15">
      <c r="A104" s="193">
        <v>101</v>
      </c>
      <c r="B104" s="181" t="s">
        <v>81</v>
      </c>
      <c r="C104" s="117">
        <v>39052</v>
      </c>
      <c r="D104" s="177" t="s">
        <v>55</v>
      </c>
      <c r="E104" s="177" t="s">
        <v>55</v>
      </c>
      <c r="F104" s="250">
        <v>1507</v>
      </c>
      <c r="G104" s="196">
        <v>276</v>
      </c>
    </row>
    <row r="105" spans="1:7" ht="15">
      <c r="A105" s="190">
        <v>102</v>
      </c>
      <c r="B105" s="338" t="s">
        <v>81</v>
      </c>
      <c r="C105" s="117">
        <v>39052</v>
      </c>
      <c r="D105" s="177" t="s">
        <v>55</v>
      </c>
      <c r="E105" s="177" t="s">
        <v>63</v>
      </c>
      <c r="F105" s="250">
        <v>1141</v>
      </c>
      <c r="G105" s="196">
        <v>202</v>
      </c>
    </row>
    <row r="106" spans="1:7" ht="15">
      <c r="A106" s="193">
        <v>103</v>
      </c>
      <c r="B106" s="247" t="s">
        <v>81</v>
      </c>
      <c r="C106" s="117">
        <v>39052</v>
      </c>
      <c r="D106" s="128" t="s">
        <v>55</v>
      </c>
      <c r="E106" s="128" t="s">
        <v>63</v>
      </c>
      <c r="F106" s="250">
        <v>287</v>
      </c>
      <c r="G106" s="196">
        <v>70</v>
      </c>
    </row>
    <row r="107" spans="1:7" ht="15">
      <c r="A107" s="193">
        <v>104</v>
      </c>
      <c r="B107" s="147" t="s">
        <v>173</v>
      </c>
      <c r="C107" s="116">
        <v>38982</v>
      </c>
      <c r="D107" s="127" t="s">
        <v>56</v>
      </c>
      <c r="E107" s="126" t="s">
        <v>61</v>
      </c>
      <c r="F107" s="251">
        <v>880</v>
      </c>
      <c r="G107" s="195">
        <v>165</v>
      </c>
    </row>
    <row r="108" spans="1:7" ht="15">
      <c r="A108" s="190">
        <v>105</v>
      </c>
      <c r="B108" s="246" t="s">
        <v>173</v>
      </c>
      <c r="C108" s="116">
        <v>38982</v>
      </c>
      <c r="D108" s="127" t="s">
        <v>56</v>
      </c>
      <c r="E108" s="126" t="s">
        <v>61</v>
      </c>
      <c r="F108" s="251">
        <v>785</v>
      </c>
      <c r="G108" s="195">
        <v>151</v>
      </c>
    </row>
    <row r="109" spans="1:7" ht="15">
      <c r="A109" s="193">
        <v>106</v>
      </c>
      <c r="B109" s="145" t="s">
        <v>222</v>
      </c>
      <c r="C109" s="116">
        <v>38849</v>
      </c>
      <c r="D109" s="129" t="s">
        <v>185</v>
      </c>
      <c r="E109" s="129" t="s">
        <v>66</v>
      </c>
      <c r="F109" s="251">
        <v>354</v>
      </c>
      <c r="G109" s="195">
        <v>118</v>
      </c>
    </row>
    <row r="110" spans="1:7" ht="15">
      <c r="A110" s="190">
        <v>107</v>
      </c>
      <c r="B110" s="247" t="s">
        <v>280</v>
      </c>
      <c r="C110" s="119">
        <v>38982</v>
      </c>
      <c r="D110" s="128" t="s">
        <v>64</v>
      </c>
      <c r="E110" s="129" t="s">
        <v>281</v>
      </c>
      <c r="F110" s="258">
        <v>156</v>
      </c>
      <c r="G110" s="198">
        <v>52</v>
      </c>
    </row>
    <row r="111" spans="1:7" ht="15">
      <c r="A111" s="193">
        <v>108</v>
      </c>
      <c r="B111" s="338" t="s">
        <v>389</v>
      </c>
      <c r="C111" s="117">
        <v>38905</v>
      </c>
      <c r="D111" s="177" t="s">
        <v>23</v>
      </c>
      <c r="E111" s="177" t="s">
        <v>390</v>
      </c>
      <c r="F111" s="250">
        <v>1188</v>
      </c>
      <c r="G111" s="196">
        <v>297</v>
      </c>
    </row>
    <row r="112" spans="1:7" ht="15">
      <c r="A112" s="190">
        <v>109</v>
      </c>
      <c r="B112" s="147" t="s">
        <v>174</v>
      </c>
      <c r="C112" s="116">
        <v>38961</v>
      </c>
      <c r="D112" s="127" t="s">
        <v>56</v>
      </c>
      <c r="E112" s="126" t="s">
        <v>71</v>
      </c>
      <c r="F112" s="251">
        <v>349</v>
      </c>
      <c r="G112" s="195">
        <v>84</v>
      </c>
    </row>
    <row r="113" spans="1:7" ht="15">
      <c r="A113" s="193">
        <v>110</v>
      </c>
      <c r="B113" s="248" t="s">
        <v>334</v>
      </c>
      <c r="C113" s="117">
        <v>38359</v>
      </c>
      <c r="D113" s="323" t="s">
        <v>23</v>
      </c>
      <c r="E113" s="323" t="s">
        <v>335</v>
      </c>
      <c r="F113" s="250">
        <v>712</v>
      </c>
      <c r="G113" s="196">
        <v>178</v>
      </c>
    </row>
    <row r="114" spans="1:7" ht="15">
      <c r="A114" s="193">
        <v>111</v>
      </c>
      <c r="B114" s="148" t="s">
        <v>129</v>
      </c>
      <c r="C114" s="151">
        <v>39059</v>
      </c>
      <c r="D114" s="146" t="s">
        <v>58</v>
      </c>
      <c r="E114" s="146" t="s">
        <v>130</v>
      </c>
      <c r="F114" s="256">
        <v>10528</v>
      </c>
      <c r="G114" s="157">
        <v>2058</v>
      </c>
    </row>
    <row r="115" spans="1:7" ht="15">
      <c r="A115" s="190">
        <v>112</v>
      </c>
      <c r="B115" s="181" t="s">
        <v>129</v>
      </c>
      <c r="C115" s="117">
        <v>39059</v>
      </c>
      <c r="D115" s="177" t="s">
        <v>58</v>
      </c>
      <c r="E115" s="177" t="s">
        <v>130</v>
      </c>
      <c r="F115" s="250">
        <v>5718</v>
      </c>
      <c r="G115" s="196">
        <v>1187</v>
      </c>
    </row>
    <row r="116" spans="1:7" ht="15">
      <c r="A116" s="193">
        <v>113</v>
      </c>
      <c r="B116" s="149" t="s">
        <v>129</v>
      </c>
      <c r="C116" s="117">
        <v>39059</v>
      </c>
      <c r="D116" s="128" t="s">
        <v>58</v>
      </c>
      <c r="E116" s="128" t="s">
        <v>130</v>
      </c>
      <c r="F116" s="250">
        <v>2752.5</v>
      </c>
      <c r="G116" s="196">
        <v>997</v>
      </c>
    </row>
    <row r="117" spans="1:7" ht="15">
      <c r="A117" s="190">
        <v>114</v>
      </c>
      <c r="B117" s="149" t="s">
        <v>129</v>
      </c>
      <c r="C117" s="117">
        <v>39059</v>
      </c>
      <c r="D117" s="128" t="s">
        <v>58</v>
      </c>
      <c r="E117" s="128" t="s">
        <v>130</v>
      </c>
      <c r="F117" s="250">
        <v>2645</v>
      </c>
      <c r="G117" s="196">
        <v>552</v>
      </c>
    </row>
    <row r="118" spans="1:7" ht="15">
      <c r="A118" s="193">
        <v>115</v>
      </c>
      <c r="B118" s="283" t="s">
        <v>129</v>
      </c>
      <c r="C118" s="151">
        <v>39059</v>
      </c>
      <c r="D118" s="274" t="s">
        <v>58</v>
      </c>
      <c r="E118" s="274" t="s">
        <v>130</v>
      </c>
      <c r="F118" s="256">
        <v>299</v>
      </c>
      <c r="G118" s="157">
        <v>67</v>
      </c>
    </row>
    <row r="119" spans="1:7" ht="15">
      <c r="A119" s="190">
        <v>116</v>
      </c>
      <c r="B119" s="247" t="s">
        <v>129</v>
      </c>
      <c r="C119" s="117">
        <v>39059</v>
      </c>
      <c r="D119" s="128" t="s">
        <v>12</v>
      </c>
      <c r="E119" s="128" t="s">
        <v>130</v>
      </c>
      <c r="F119" s="250">
        <v>297</v>
      </c>
      <c r="G119" s="196">
        <v>64</v>
      </c>
    </row>
    <row r="120" spans="1:7" ht="15">
      <c r="A120" s="193">
        <v>117</v>
      </c>
      <c r="B120" s="246" t="s">
        <v>282</v>
      </c>
      <c r="C120" s="116">
        <v>39048</v>
      </c>
      <c r="D120" s="127" t="s">
        <v>56</v>
      </c>
      <c r="E120" s="126" t="s">
        <v>11</v>
      </c>
      <c r="F120" s="251">
        <v>191667</v>
      </c>
      <c r="G120" s="195">
        <v>20779</v>
      </c>
    </row>
    <row r="121" spans="1:7" ht="15">
      <c r="A121" s="193">
        <v>118</v>
      </c>
      <c r="B121" s="246" t="s">
        <v>282</v>
      </c>
      <c r="C121" s="116">
        <v>39048</v>
      </c>
      <c r="D121" s="127" t="s">
        <v>56</v>
      </c>
      <c r="E121" s="126" t="s">
        <v>11</v>
      </c>
      <c r="F121" s="251">
        <v>99293</v>
      </c>
      <c r="G121" s="195">
        <v>11789</v>
      </c>
    </row>
    <row r="122" spans="1:7" ht="15">
      <c r="A122" s="190">
        <v>119</v>
      </c>
      <c r="B122" s="246" t="s">
        <v>282</v>
      </c>
      <c r="C122" s="116">
        <v>39048</v>
      </c>
      <c r="D122" s="178" t="s">
        <v>56</v>
      </c>
      <c r="E122" s="178" t="s">
        <v>11</v>
      </c>
      <c r="F122" s="251">
        <v>24707</v>
      </c>
      <c r="G122" s="195">
        <v>4942</v>
      </c>
    </row>
    <row r="123" spans="1:7" ht="15">
      <c r="A123" s="193">
        <v>120</v>
      </c>
      <c r="B123" s="246" t="s">
        <v>282</v>
      </c>
      <c r="C123" s="116">
        <v>39048</v>
      </c>
      <c r="D123" s="127" t="s">
        <v>56</v>
      </c>
      <c r="E123" s="126" t="s">
        <v>11</v>
      </c>
      <c r="F123" s="255">
        <v>23989</v>
      </c>
      <c r="G123" s="156">
        <v>4418</v>
      </c>
    </row>
    <row r="124" spans="1:7" ht="15">
      <c r="A124" s="190">
        <v>121</v>
      </c>
      <c r="B124" s="246" t="s">
        <v>282</v>
      </c>
      <c r="C124" s="116">
        <v>39048</v>
      </c>
      <c r="D124" s="127" t="s">
        <v>56</v>
      </c>
      <c r="E124" s="126" t="s">
        <v>11</v>
      </c>
      <c r="F124" s="251">
        <v>13479</v>
      </c>
      <c r="G124" s="195">
        <v>2620</v>
      </c>
    </row>
    <row r="125" spans="1:7" ht="15">
      <c r="A125" s="193">
        <v>122</v>
      </c>
      <c r="B125" s="469" t="s">
        <v>282</v>
      </c>
      <c r="C125" s="470">
        <v>39048</v>
      </c>
      <c r="D125" s="471" t="s">
        <v>56</v>
      </c>
      <c r="E125" s="471" t="s">
        <v>11</v>
      </c>
      <c r="F125" s="472">
        <v>6621</v>
      </c>
      <c r="G125" s="473">
        <v>1562</v>
      </c>
    </row>
    <row r="126" spans="1:7" ht="15">
      <c r="A126" s="190">
        <v>123</v>
      </c>
      <c r="B126" s="246" t="s">
        <v>282</v>
      </c>
      <c r="C126" s="116">
        <v>39048</v>
      </c>
      <c r="D126" s="127" t="s">
        <v>56</v>
      </c>
      <c r="E126" s="126" t="s">
        <v>11</v>
      </c>
      <c r="F126" s="255">
        <v>3660</v>
      </c>
      <c r="G126" s="195">
        <v>633</v>
      </c>
    </row>
    <row r="127" spans="1:7" ht="15">
      <c r="A127" s="193">
        <v>124</v>
      </c>
      <c r="B127" s="334" t="s">
        <v>282</v>
      </c>
      <c r="C127" s="327">
        <v>39048</v>
      </c>
      <c r="D127" s="326" t="s">
        <v>56</v>
      </c>
      <c r="E127" s="326" t="s">
        <v>11</v>
      </c>
      <c r="F127" s="251">
        <v>3414</v>
      </c>
      <c r="G127" s="195">
        <v>960</v>
      </c>
    </row>
    <row r="128" spans="1:7" ht="15">
      <c r="A128" s="193">
        <v>125</v>
      </c>
      <c r="B128" s="246" t="s">
        <v>282</v>
      </c>
      <c r="C128" s="116">
        <v>39048</v>
      </c>
      <c r="D128" s="272" t="s">
        <v>56</v>
      </c>
      <c r="E128" s="273" t="s">
        <v>11</v>
      </c>
      <c r="F128" s="251">
        <v>2752</v>
      </c>
      <c r="G128" s="195">
        <v>553</v>
      </c>
    </row>
    <row r="129" spans="1:7" ht="15">
      <c r="A129" s="190">
        <v>126</v>
      </c>
      <c r="B129" s="337" t="s">
        <v>282</v>
      </c>
      <c r="C129" s="116">
        <v>39048</v>
      </c>
      <c r="D129" s="178" t="s">
        <v>56</v>
      </c>
      <c r="E129" s="178" t="s">
        <v>11</v>
      </c>
      <c r="F129" s="251">
        <v>1721</v>
      </c>
      <c r="G129" s="195">
        <v>460</v>
      </c>
    </row>
    <row r="130" spans="1:7" ht="15">
      <c r="A130" s="193">
        <v>127</v>
      </c>
      <c r="B130" s="246" t="s">
        <v>282</v>
      </c>
      <c r="C130" s="116">
        <v>39048</v>
      </c>
      <c r="D130" s="127" t="s">
        <v>56</v>
      </c>
      <c r="E130" s="126" t="s">
        <v>11</v>
      </c>
      <c r="F130" s="251">
        <v>875</v>
      </c>
      <c r="G130" s="195">
        <v>136</v>
      </c>
    </row>
    <row r="131" spans="1:7" ht="15">
      <c r="A131" s="190">
        <v>128</v>
      </c>
      <c r="B131" s="148" t="s">
        <v>21</v>
      </c>
      <c r="C131" s="151">
        <v>38996</v>
      </c>
      <c r="D131" s="146" t="s">
        <v>58</v>
      </c>
      <c r="E131" s="146" t="s">
        <v>59</v>
      </c>
      <c r="F131" s="256">
        <v>3021</v>
      </c>
      <c r="G131" s="157">
        <v>605</v>
      </c>
    </row>
    <row r="132" spans="1:7" ht="15">
      <c r="A132" s="193">
        <v>129</v>
      </c>
      <c r="B132" s="248" t="s">
        <v>337</v>
      </c>
      <c r="C132" s="117">
        <v>37771</v>
      </c>
      <c r="D132" s="323" t="s">
        <v>23</v>
      </c>
      <c r="E132" s="323" t="s">
        <v>25</v>
      </c>
      <c r="F132" s="250">
        <v>476</v>
      </c>
      <c r="G132" s="196">
        <v>119</v>
      </c>
    </row>
    <row r="133" spans="1:7" ht="15">
      <c r="A133" s="190">
        <v>130</v>
      </c>
      <c r="B133" s="148" t="s">
        <v>75</v>
      </c>
      <c r="C133" s="151">
        <v>39045</v>
      </c>
      <c r="D133" s="146" t="s">
        <v>58</v>
      </c>
      <c r="E133" s="146" t="s">
        <v>76</v>
      </c>
      <c r="F133" s="256">
        <v>386155</v>
      </c>
      <c r="G133" s="157">
        <v>61261</v>
      </c>
    </row>
    <row r="134" spans="1:7" ht="15">
      <c r="A134" s="193">
        <v>131</v>
      </c>
      <c r="B134" s="181" t="s">
        <v>75</v>
      </c>
      <c r="C134" s="117">
        <v>39045</v>
      </c>
      <c r="D134" s="177" t="s">
        <v>58</v>
      </c>
      <c r="E134" s="177" t="s">
        <v>76</v>
      </c>
      <c r="F134" s="250">
        <v>185586</v>
      </c>
      <c r="G134" s="196">
        <v>32646</v>
      </c>
    </row>
    <row r="135" spans="1:7" ht="15">
      <c r="A135" s="193">
        <v>132</v>
      </c>
      <c r="B135" s="149" t="s">
        <v>75</v>
      </c>
      <c r="C135" s="117">
        <v>39045</v>
      </c>
      <c r="D135" s="128" t="s">
        <v>58</v>
      </c>
      <c r="E135" s="128" t="s">
        <v>76</v>
      </c>
      <c r="F135" s="250">
        <v>78557</v>
      </c>
      <c r="G135" s="196">
        <v>14471</v>
      </c>
    </row>
    <row r="136" spans="1:7" ht="15">
      <c r="A136" s="190">
        <v>133</v>
      </c>
      <c r="B136" s="247" t="s">
        <v>75</v>
      </c>
      <c r="C136" s="117">
        <v>39045</v>
      </c>
      <c r="D136" s="128" t="s">
        <v>58</v>
      </c>
      <c r="E136" s="128" t="s">
        <v>76</v>
      </c>
      <c r="F136" s="250">
        <v>38487.5</v>
      </c>
      <c r="G136" s="196">
        <v>9345</v>
      </c>
    </row>
    <row r="137" spans="1:7" ht="15">
      <c r="A137" s="193">
        <v>134</v>
      </c>
      <c r="B137" s="149" t="s">
        <v>75</v>
      </c>
      <c r="C137" s="117">
        <v>39045</v>
      </c>
      <c r="D137" s="128" t="s">
        <v>58</v>
      </c>
      <c r="E137" s="128" t="s">
        <v>76</v>
      </c>
      <c r="F137" s="250">
        <v>19951.5</v>
      </c>
      <c r="G137" s="196">
        <v>4644</v>
      </c>
    </row>
    <row r="138" spans="1:7" ht="15">
      <c r="A138" s="190">
        <v>135</v>
      </c>
      <c r="B138" s="148" t="s">
        <v>75</v>
      </c>
      <c r="C138" s="151">
        <v>39045</v>
      </c>
      <c r="D138" s="274" t="s">
        <v>58</v>
      </c>
      <c r="E138" s="273" t="s">
        <v>76</v>
      </c>
      <c r="F138" s="256">
        <v>9203</v>
      </c>
      <c r="G138" s="157">
        <v>1591</v>
      </c>
    </row>
    <row r="139" spans="1:7" ht="15">
      <c r="A139" s="193">
        <v>136</v>
      </c>
      <c r="B139" s="247" t="s">
        <v>75</v>
      </c>
      <c r="C139" s="117">
        <v>39045</v>
      </c>
      <c r="D139" s="128" t="s">
        <v>58</v>
      </c>
      <c r="E139" s="128" t="s">
        <v>76</v>
      </c>
      <c r="F139" s="254">
        <v>3795.5</v>
      </c>
      <c r="G139" s="196">
        <v>1018</v>
      </c>
    </row>
    <row r="140" spans="1:7" ht="15">
      <c r="A140" s="190">
        <v>137</v>
      </c>
      <c r="B140" s="149" t="s">
        <v>75</v>
      </c>
      <c r="C140" s="117">
        <v>39045</v>
      </c>
      <c r="D140" s="282" t="s">
        <v>58</v>
      </c>
      <c r="E140" s="282" t="s">
        <v>76</v>
      </c>
      <c r="F140" s="250">
        <v>2435</v>
      </c>
      <c r="G140" s="196">
        <v>487</v>
      </c>
    </row>
    <row r="141" spans="1:7" ht="15">
      <c r="A141" s="193">
        <v>138</v>
      </c>
      <c r="B141" s="247" t="s">
        <v>75</v>
      </c>
      <c r="C141" s="117">
        <v>39045</v>
      </c>
      <c r="D141" s="128" t="s">
        <v>58</v>
      </c>
      <c r="E141" s="128" t="s">
        <v>76</v>
      </c>
      <c r="F141" s="254">
        <v>2267.5</v>
      </c>
      <c r="G141" s="196">
        <v>561</v>
      </c>
    </row>
    <row r="142" spans="1:7" ht="15">
      <c r="A142" s="193">
        <v>139</v>
      </c>
      <c r="B142" s="338" t="s">
        <v>75</v>
      </c>
      <c r="C142" s="117">
        <v>39045</v>
      </c>
      <c r="D142" s="177" t="s">
        <v>58</v>
      </c>
      <c r="E142" s="177" t="s">
        <v>76</v>
      </c>
      <c r="F142" s="250">
        <v>1284</v>
      </c>
      <c r="G142" s="196">
        <v>303</v>
      </c>
    </row>
    <row r="143" spans="1:7" ht="15">
      <c r="A143" s="190">
        <v>140</v>
      </c>
      <c r="B143" s="283" t="s">
        <v>75</v>
      </c>
      <c r="C143" s="151">
        <v>39045</v>
      </c>
      <c r="D143" s="274" t="s">
        <v>58</v>
      </c>
      <c r="E143" s="274" t="s">
        <v>76</v>
      </c>
      <c r="F143" s="256">
        <v>1210</v>
      </c>
      <c r="G143" s="157">
        <v>300</v>
      </c>
    </row>
    <row r="144" spans="1:7" ht="15">
      <c r="A144" s="193">
        <v>141</v>
      </c>
      <c r="B144" s="338" t="s">
        <v>75</v>
      </c>
      <c r="C144" s="117">
        <v>39045</v>
      </c>
      <c r="D144" s="177" t="s">
        <v>58</v>
      </c>
      <c r="E144" s="177" t="s">
        <v>76</v>
      </c>
      <c r="F144" s="250">
        <v>1033</v>
      </c>
      <c r="G144" s="196">
        <v>241</v>
      </c>
    </row>
    <row r="145" spans="1:7" ht="15">
      <c r="A145" s="190">
        <v>142</v>
      </c>
      <c r="B145" s="247" t="s">
        <v>75</v>
      </c>
      <c r="C145" s="117">
        <v>39045</v>
      </c>
      <c r="D145" s="128" t="s">
        <v>12</v>
      </c>
      <c r="E145" s="128" t="s">
        <v>76</v>
      </c>
      <c r="F145" s="250">
        <v>836</v>
      </c>
      <c r="G145" s="196">
        <v>161</v>
      </c>
    </row>
    <row r="146" spans="1:7" ht="15">
      <c r="A146" s="193">
        <v>143</v>
      </c>
      <c r="B146" s="248" t="s">
        <v>323</v>
      </c>
      <c r="C146" s="117">
        <v>37785</v>
      </c>
      <c r="D146" s="132" t="s">
        <v>23</v>
      </c>
      <c r="E146" s="131" t="s">
        <v>324</v>
      </c>
      <c r="F146" s="254">
        <v>592</v>
      </c>
      <c r="G146" s="196">
        <v>148</v>
      </c>
    </row>
    <row r="147" spans="1:7" ht="15">
      <c r="A147" s="190">
        <v>144</v>
      </c>
      <c r="B147" s="149" t="s">
        <v>214</v>
      </c>
      <c r="C147" s="117">
        <v>38072</v>
      </c>
      <c r="D147" s="129" t="s">
        <v>215</v>
      </c>
      <c r="E147" s="129" t="s">
        <v>216</v>
      </c>
      <c r="F147" s="250">
        <v>354</v>
      </c>
      <c r="G147" s="196">
        <v>118</v>
      </c>
    </row>
    <row r="148" spans="1:7" ht="15">
      <c r="A148" s="193">
        <v>145</v>
      </c>
      <c r="B148" s="180" t="s">
        <v>122</v>
      </c>
      <c r="C148" s="116">
        <v>39066</v>
      </c>
      <c r="D148" s="127" t="s">
        <v>56</v>
      </c>
      <c r="E148" s="126" t="s">
        <v>69</v>
      </c>
      <c r="F148" s="255">
        <v>1057112</v>
      </c>
      <c r="G148" s="156">
        <v>151061</v>
      </c>
    </row>
    <row r="149" spans="1:7" ht="15">
      <c r="A149" s="193">
        <v>146</v>
      </c>
      <c r="B149" s="180" t="s">
        <v>122</v>
      </c>
      <c r="C149" s="116">
        <v>39066</v>
      </c>
      <c r="D149" s="178" t="s">
        <v>56</v>
      </c>
      <c r="E149" s="178" t="s">
        <v>69</v>
      </c>
      <c r="F149" s="251">
        <f>222438-23</f>
        <v>222415</v>
      </c>
      <c r="G149" s="195">
        <v>33037</v>
      </c>
    </row>
    <row r="150" spans="1:7" ht="15">
      <c r="A150" s="190">
        <v>147</v>
      </c>
      <c r="B150" s="147" t="s">
        <v>122</v>
      </c>
      <c r="C150" s="116">
        <v>39066</v>
      </c>
      <c r="D150" s="127" t="s">
        <v>56</v>
      </c>
      <c r="E150" s="126" t="s">
        <v>69</v>
      </c>
      <c r="F150" s="251">
        <v>32518</v>
      </c>
      <c r="G150" s="195">
        <v>6240</v>
      </c>
    </row>
    <row r="151" spans="1:7" ht="15">
      <c r="A151" s="193">
        <v>148</v>
      </c>
      <c r="B151" s="180" t="s">
        <v>122</v>
      </c>
      <c r="C151" s="116">
        <v>39066</v>
      </c>
      <c r="D151" s="127" t="s">
        <v>56</v>
      </c>
      <c r="E151" s="126" t="s">
        <v>69</v>
      </c>
      <c r="F151" s="251">
        <v>14705</v>
      </c>
      <c r="G151" s="195">
        <v>4042</v>
      </c>
    </row>
    <row r="152" spans="1:7" ht="15">
      <c r="A152" s="190">
        <v>149</v>
      </c>
      <c r="B152" s="147" t="s">
        <v>122</v>
      </c>
      <c r="C152" s="116">
        <v>39066</v>
      </c>
      <c r="D152" s="127" t="s">
        <v>56</v>
      </c>
      <c r="E152" s="126" t="s">
        <v>69</v>
      </c>
      <c r="F152" s="251">
        <v>6718</v>
      </c>
      <c r="G152" s="195">
        <v>1655</v>
      </c>
    </row>
    <row r="153" spans="1:7" ht="15">
      <c r="A153" s="193">
        <v>150</v>
      </c>
      <c r="B153" s="246" t="s">
        <v>122</v>
      </c>
      <c r="C153" s="116">
        <v>39066</v>
      </c>
      <c r="D153" s="127" t="s">
        <v>56</v>
      </c>
      <c r="E153" s="126" t="s">
        <v>69</v>
      </c>
      <c r="F153" s="255">
        <v>2937</v>
      </c>
      <c r="G153" s="195">
        <v>674</v>
      </c>
    </row>
    <row r="154" spans="1:7" ht="15">
      <c r="A154" s="190">
        <v>151</v>
      </c>
      <c r="B154" s="147" t="s">
        <v>122</v>
      </c>
      <c r="C154" s="116">
        <v>39066</v>
      </c>
      <c r="D154" s="272" t="s">
        <v>56</v>
      </c>
      <c r="E154" s="273" t="s">
        <v>69</v>
      </c>
      <c r="F154" s="251">
        <v>2701</v>
      </c>
      <c r="G154" s="195">
        <v>740</v>
      </c>
    </row>
    <row r="155" spans="1:7" ht="15">
      <c r="A155" s="193">
        <v>152</v>
      </c>
      <c r="B155" s="246" t="s">
        <v>122</v>
      </c>
      <c r="C155" s="116">
        <v>39066</v>
      </c>
      <c r="D155" s="272" t="s">
        <v>56</v>
      </c>
      <c r="E155" s="273" t="s">
        <v>69</v>
      </c>
      <c r="F155" s="255">
        <v>2526</v>
      </c>
      <c r="G155" s="156">
        <v>706</v>
      </c>
    </row>
    <row r="156" spans="1:7" ht="15">
      <c r="A156" s="193">
        <v>153</v>
      </c>
      <c r="B156" s="147" t="s">
        <v>122</v>
      </c>
      <c r="C156" s="116">
        <v>39066</v>
      </c>
      <c r="D156" s="272" t="s">
        <v>56</v>
      </c>
      <c r="E156" s="273" t="s">
        <v>69</v>
      </c>
      <c r="F156" s="255">
        <v>500</v>
      </c>
      <c r="G156" s="156">
        <v>92</v>
      </c>
    </row>
    <row r="157" spans="1:7" ht="15">
      <c r="A157" s="190">
        <v>154</v>
      </c>
      <c r="B157" s="246" t="s">
        <v>122</v>
      </c>
      <c r="C157" s="116">
        <v>39066</v>
      </c>
      <c r="D157" s="127" t="s">
        <v>56</v>
      </c>
      <c r="E157" s="126" t="s">
        <v>69</v>
      </c>
      <c r="F157" s="251">
        <v>346</v>
      </c>
      <c r="G157" s="195">
        <v>65</v>
      </c>
    </row>
    <row r="158" spans="1:7" ht="15">
      <c r="A158" s="193">
        <v>155</v>
      </c>
      <c r="B158" s="246" t="s">
        <v>122</v>
      </c>
      <c r="C158" s="116">
        <v>39066</v>
      </c>
      <c r="D158" s="127" t="s">
        <v>56</v>
      </c>
      <c r="E158" s="126" t="s">
        <v>69</v>
      </c>
      <c r="F158" s="251">
        <v>252</v>
      </c>
      <c r="G158" s="195">
        <v>36</v>
      </c>
    </row>
    <row r="159" spans="1:7" ht="15">
      <c r="A159" s="190">
        <v>156</v>
      </c>
      <c r="B159" s="249" t="s">
        <v>122</v>
      </c>
      <c r="C159" s="116">
        <v>39066</v>
      </c>
      <c r="D159" s="321" t="s">
        <v>56</v>
      </c>
      <c r="E159" s="321" t="s">
        <v>69</v>
      </c>
      <c r="F159" s="251">
        <v>231</v>
      </c>
      <c r="G159" s="195">
        <v>33</v>
      </c>
    </row>
    <row r="160" spans="1:7" ht="15">
      <c r="A160" s="193">
        <v>157</v>
      </c>
      <c r="B160" s="337" t="s">
        <v>122</v>
      </c>
      <c r="C160" s="116">
        <v>39066</v>
      </c>
      <c r="D160" s="178" t="s">
        <v>56</v>
      </c>
      <c r="E160" s="178" t="s">
        <v>69</v>
      </c>
      <c r="F160" s="251">
        <v>168</v>
      </c>
      <c r="G160" s="195">
        <v>24</v>
      </c>
    </row>
    <row r="161" spans="1:7" ht="15">
      <c r="A161" s="190">
        <v>158</v>
      </c>
      <c r="B161" s="334" t="s">
        <v>122</v>
      </c>
      <c r="C161" s="327">
        <v>39066</v>
      </c>
      <c r="D161" s="326" t="s">
        <v>56</v>
      </c>
      <c r="E161" s="326" t="s">
        <v>69</v>
      </c>
      <c r="F161" s="251">
        <v>168</v>
      </c>
      <c r="G161" s="195">
        <v>24</v>
      </c>
    </row>
    <row r="162" spans="1:7" ht="15">
      <c r="A162" s="193">
        <v>159</v>
      </c>
      <c r="B162" s="246" t="s">
        <v>122</v>
      </c>
      <c r="C162" s="116">
        <v>39066</v>
      </c>
      <c r="D162" s="127" t="s">
        <v>56</v>
      </c>
      <c r="E162" s="126" t="s">
        <v>69</v>
      </c>
      <c r="F162" s="255">
        <v>140</v>
      </c>
      <c r="G162" s="195">
        <v>20</v>
      </c>
    </row>
    <row r="163" spans="1:7" ht="15">
      <c r="A163" s="193">
        <v>160</v>
      </c>
      <c r="B163" s="337" t="s">
        <v>122</v>
      </c>
      <c r="C163" s="116">
        <v>39066</v>
      </c>
      <c r="D163" s="178" t="s">
        <v>56</v>
      </c>
      <c r="E163" s="178" t="s">
        <v>69</v>
      </c>
      <c r="F163" s="251">
        <v>126</v>
      </c>
      <c r="G163" s="195">
        <v>18</v>
      </c>
    </row>
    <row r="164" spans="1:7" ht="15">
      <c r="A164" s="190">
        <v>161</v>
      </c>
      <c r="B164" s="246" t="s">
        <v>122</v>
      </c>
      <c r="C164" s="116">
        <v>39066</v>
      </c>
      <c r="D164" s="127" t="s">
        <v>56</v>
      </c>
      <c r="E164" s="126" t="s">
        <v>69</v>
      </c>
      <c r="F164" s="255">
        <v>112</v>
      </c>
      <c r="G164" s="156">
        <v>16</v>
      </c>
    </row>
    <row r="165" spans="1:7" ht="15">
      <c r="A165" s="193">
        <v>162</v>
      </c>
      <c r="B165" s="148" t="s">
        <v>112</v>
      </c>
      <c r="C165" s="151">
        <v>39066</v>
      </c>
      <c r="D165" s="146" t="s">
        <v>58</v>
      </c>
      <c r="E165" s="146" t="s">
        <v>59</v>
      </c>
      <c r="F165" s="256">
        <v>144826</v>
      </c>
      <c r="G165" s="157">
        <v>18766</v>
      </c>
    </row>
    <row r="166" spans="1:7" ht="15">
      <c r="A166" s="190">
        <v>163</v>
      </c>
      <c r="B166" s="181" t="s">
        <v>112</v>
      </c>
      <c r="C166" s="117">
        <v>39066</v>
      </c>
      <c r="D166" s="177" t="s">
        <v>58</v>
      </c>
      <c r="E166" s="177" t="s">
        <v>59</v>
      </c>
      <c r="F166" s="250">
        <v>34457</v>
      </c>
      <c r="G166" s="196">
        <v>4967</v>
      </c>
    </row>
    <row r="167" spans="1:7" ht="15">
      <c r="A167" s="193">
        <v>164</v>
      </c>
      <c r="B167" s="149" t="s">
        <v>112</v>
      </c>
      <c r="C167" s="117">
        <v>39066</v>
      </c>
      <c r="D167" s="128" t="s">
        <v>58</v>
      </c>
      <c r="E167" s="128" t="s">
        <v>59</v>
      </c>
      <c r="F167" s="250">
        <v>11124</v>
      </c>
      <c r="G167" s="196">
        <v>1852</v>
      </c>
    </row>
    <row r="168" spans="1:7" ht="15">
      <c r="A168" s="190">
        <v>165</v>
      </c>
      <c r="B168" s="149" t="s">
        <v>112</v>
      </c>
      <c r="C168" s="117">
        <v>39066</v>
      </c>
      <c r="D168" s="128" t="s">
        <v>58</v>
      </c>
      <c r="E168" s="128" t="s">
        <v>59</v>
      </c>
      <c r="F168" s="250">
        <v>6963</v>
      </c>
      <c r="G168" s="196">
        <v>1244</v>
      </c>
    </row>
    <row r="169" spans="1:7" ht="15">
      <c r="A169" s="193">
        <v>166</v>
      </c>
      <c r="B169" s="247" t="s">
        <v>112</v>
      </c>
      <c r="C169" s="117">
        <v>39066</v>
      </c>
      <c r="D169" s="128" t="s">
        <v>58</v>
      </c>
      <c r="E169" s="128" t="s">
        <v>59</v>
      </c>
      <c r="F169" s="250">
        <v>4855</v>
      </c>
      <c r="G169" s="196">
        <v>788</v>
      </c>
    </row>
    <row r="170" spans="1:7" ht="15">
      <c r="A170" s="193">
        <v>167</v>
      </c>
      <c r="B170" s="148" t="s">
        <v>112</v>
      </c>
      <c r="C170" s="151">
        <v>39066</v>
      </c>
      <c r="D170" s="274" t="s">
        <v>58</v>
      </c>
      <c r="E170" s="273" t="s">
        <v>59</v>
      </c>
      <c r="F170" s="256">
        <v>4250</v>
      </c>
      <c r="G170" s="157">
        <v>551</v>
      </c>
    </row>
    <row r="171" spans="1:7" ht="15">
      <c r="A171" s="190">
        <v>168</v>
      </c>
      <c r="B171" s="149" t="s">
        <v>112</v>
      </c>
      <c r="C171" s="117">
        <v>39066</v>
      </c>
      <c r="D171" s="282" t="s">
        <v>58</v>
      </c>
      <c r="E171" s="282" t="s">
        <v>59</v>
      </c>
      <c r="F171" s="250">
        <v>4097</v>
      </c>
      <c r="G171" s="196">
        <v>838</v>
      </c>
    </row>
    <row r="172" spans="1:7" ht="15">
      <c r="A172" s="193">
        <v>169</v>
      </c>
      <c r="B172" s="283" t="s">
        <v>112</v>
      </c>
      <c r="C172" s="151">
        <v>39066</v>
      </c>
      <c r="D172" s="274" t="s">
        <v>58</v>
      </c>
      <c r="E172" s="274" t="s">
        <v>59</v>
      </c>
      <c r="F172" s="256">
        <v>1477</v>
      </c>
      <c r="G172" s="157">
        <v>305</v>
      </c>
    </row>
    <row r="173" spans="1:7" ht="15">
      <c r="A173" s="190">
        <v>170</v>
      </c>
      <c r="B173" s="247" t="s">
        <v>112</v>
      </c>
      <c r="C173" s="117">
        <v>39066</v>
      </c>
      <c r="D173" s="128" t="s">
        <v>58</v>
      </c>
      <c r="E173" s="128" t="s">
        <v>59</v>
      </c>
      <c r="F173" s="254">
        <v>1425</v>
      </c>
      <c r="G173" s="196">
        <v>168</v>
      </c>
    </row>
    <row r="174" spans="1:7" ht="15">
      <c r="A174" s="193">
        <v>171</v>
      </c>
      <c r="B174" s="247" t="s">
        <v>112</v>
      </c>
      <c r="C174" s="117">
        <v>39066</v>
      </c>
      <c r="D174" s="128" t="s">
        <v>12</v>
      </c>
      <c r="E174" s="128" t="s">
        <v>59</v>
      </c>
      <c r="F174" s="250">
        <v>76</v>
      </c>
      <c r="G174" s="196">
        <v>19</v>
      </c>
    </row>
    <row r="175" spans="1:7" ht="15">
      <c r="A175" s="190">
        <v>172</v>
      </c>
      <c r="B175" s="248" t="s">
        <v>194</v>
      </c>
      <c r="C175" s="117">
        <v>38863</v>
      </c>
      <c r="D175" s="323" t="s">
        <v>23</v>
      </c>
      <c r="E175" s="323" t="s">
        <v>13</v>
      </c>
      <c r="F175" s="250">
        <v>1780</v>
      </c>
      <c r="G175" s="196">
        <v>445</v>
      </c>
    </row>
    <row r="176" spans="1:7" ht="15">
      <c r="A176" s="193">
        <v>173</v>
      </c>
      <c r="B176" s="248" t="s">
        <v>194</v>
      </c>
      <c r="C176" s="117">
        <v>38863</v>
      </c>
      <c r="D176" s="132" t="s">
        <v>23</v>
      </c>
      <c r="E176" s="131" t="s">
        <v>13</v>
      </c>
      <c r="F176" s="250">
        <v>952</v>
      </c>
      <c r="G176" s="196">
        <v>238</v>
      </c>
    </row>
    <row r="177" spans="1:7" ht="15">
      <c r="A177" s="193">
        <v>174</v>
      </c>
      <c r="B177" s="248" t="s">
        <v>194</v>
      </c>
      <c r="C177" s="117">
        <v>38863</v>
      </c>
      <c r="D177" s="132" t="s">
        <v>23</v>
      </c>
      <c r="E177" s="131" t="s">
        <v>13</v>
      </c>
      <c r="F177" s="254">
        <v>353.6</v>
      </c>
      <c r="G177" s="196">
        <v>221</v>
      </c>
    </row>
    <row r="178" spans="1:7" ht="15">
      <c r="A178" s="190">
        <v>175</v>
      </c>
      <c r="B178" s="247" t="s">
        <v>131</v>
      </c>
      <c r="C178" s="117">
        <v>39024</v>
      </c>
      <c r="D178" s="128" t="s">
        <v>58</v>
      </c>
      <c r="E178" s="128" t="s">
        <v>33</v>
      </c>
      <c r="F178" s="254">
        <v>5313</v>
      </c>
      <c r="G178" s="196">
        <v>1142</v>
      </c>
    </row>
    <row r="179" spans="1:7" ht="15">
      <c r="A179" s="193">
        <v>176</v>
      </c>
      <c r="B179" s="181" t="s">
        <v>131</v>
      </c>
      <c r="C179" s="117">
        <v>39024</v>
      </c>
      <c r="D179" s="177" t="s">
        <v>58</v>
      </c>
      <c r="E179" s="177" t="s">
        <v>33</v>
      </c>
      <c r="F179" s="250">
        <v>2927</v>
      </c>
      <c r="G179" s="196">
        <v>723</v>
      </c>
    </row>
    <row r="180" spans="1:7" ht="15">
      <c r="A180" s="190">
        <v>177</v>
      </c>
      <c r="B180" s="148" t="s">
        <v>131</v>
      </c>
      <c r="C180" s="151">
        <v>39024</v>
      </c>
      <c r="D180" s="274" t="s">
        <v>58</v>
      </c>
      <c r="E180" s="273" t="s">
        <v>33</v>
      </c>
      <c r="F180" s="256">
        <v>1928</v>
      </c>
      <c r="G180" s="157">
        <v>386</v>
      </c>
    </row>
    <row r="181" spans="1:7" ht="15">
      <c r="A181" s="193">
        <v>178</v>
      </c>
      <c r="B181" s="338" t="s">
        <v>131</v>
      </c>
      <c r="C181" s="117">
        <v>39024</v>
      </c>
      <c r="D181" s="177" t="s">
        <v>58</v>
      </c>
      <c r="E181" s="177" t="s">
        <v>33</v>
      </c>
      <c r="F181" s="250">
        <v>1782</v>
      </c>
      <c r="G181" s="196">
        <v>446</v>
      </c>
    </row>
    <row r="182" spans="1:7" ht="15">
      <c r="A182" s="190">
        <v>179</v>
      </c>
      <c r="B182" s="148" t="s">
        <v>131</v>
      </c>
      <c r="C182" s="151">
        <v>39024</v>
      </c>
      <c r="D182" s="146" t="s">
        <v>58</v>
      </c>
      <c r="E182" s="146" t="s">
        <v>33</v>
      </c>
      <c r="F182" s="256">
        <v>1598</v>
      </c>
      <c r="G182" s="157">
        <v>301</v>
      </c>
    </row>
    <row r="183" spans="1:7" ht="15">
      <c r="A183" s="193">
        <v>180</v>
      </c>
      <c r="B183" s="149" t="s">
        <v>131</v>
      </c>
      <c r="C183" s="117">
        <v>39024</v>
      </c>
      <c r="D183" s="128" t="s">
        <v>58</v>
      </c>
      <c r="E183" s="128" t="s">
        <v>33</v>
      </c>
      <c r="F183" s="250">
        <v>1432</v>
      </c>
      <c r="G183" s="196">
        <v>434</v>
      </c>
    </row>
    <row r="184" spans="1:7" ht="15">
      <c r="A184" s="193">
        <v>181</v>
      </c>
      <c r="B184" s="247" t="s">
        <v>131</v>
      </c>
      <c r="C184" s="117">
        <v>39024</v>
      </c>
      <c r="D184" s="128" t="s">
        <v>58</v>
      </c>
      <c r="E184" s="128" t="s">
        <v>33</v>
      </c>
      <c r="F184" s="250">
        <v>1198</v>
      </c>
      <c r="G184" s="196">
        <v>255</v>
      </c>
    </row>
    <row r="185" spans="1:7" ht="15">
      <c r="A185" s="190">
        <v>182</v>
      </c>
      <c r="B185" s="149" t="s">
        <v>131</v>
      </c>
      <c r="C185" s="117">
        <v>39024</v>
      </c>
      <c r="D185" s="128" t="s">
        <v>58</v>
      </c>
      <c r="E185" s="128" t="s">
        <v>33</v>
      </c>
      <c r="F185" s="250">
        <v>1126</v>
      </c>
      <c r="G185" s="196">
        <v>363</v>
      </c>
    </row>
    <row r="186" spans="1:7" ht="15">
      <c r="A186" s="193">
        <v>183</v>
      </c>
      <c r="B186" s="338" t="s">
        <v>131</v>
      </c>
      <c r="C186" s="117">
        <v>39024</v>
      </c>
      <c r="D186" s="177" t="s">
        <v>58</v>
      </c>
      <c r="E186" s="177" t="s">
        <v>33</v>
      </c>
      <c r="F186" s="250">
        <v>213</v>
      </c>
      <c r="G186" s="196">
        <v>48</v>
      </c>
    </row>
    <row r="187" spans="1:7" ht="15">
      <c r="A187" s="190">
        <v>184</v>
      </c>
      <c r="B187" s="148" t="s">
        <v>125</v>
      </c>
      <c r="C187" s="151">
        <v>39073</v>
      </c>
      <c r="D187" s="146" t="s">
        <v>58</v>
      </c>
      <c r="E187" s="146" t="s">
        <v>58</v>
      </c>
      <c r="F187" s="256">
        <v>996891</v>
      </c>
      <c r="G187" s="157">
        <v>140459</v>
      </c>
    </row>
    <row r="188" spans="1:7" ht="15">
      <c r="A188" s="193">
        <v>185</v>
      </c>
      <c r="B188" s="181" t="s">
        <v>125</v>
      </c>
      <c r="C188" s="117">
        <v>39073</v>
      </c>
      <c r="D188" s="177" t="s">
        <v>58</v>
      </c>
      <c r="E188" s="177" t="s">
        <v>58</v>
      </c>
      <c r="F188" s="250">
        <v>491242.5</v>
      </c>
      <c r="G188" s="196">
        <v>66355</v>
      </c>
    </row>
    <row r="189" spans="1:7" ht="15">
      <c r="A189" s="190">
        <v>186</v>
      </c>
      <c r="B189" s="149" t="s">
        <v>125</v>
      </c>
      <c r="C189" s="117">
        <v>39073</v>
      </c>
      <c r="D189" s="128" t="s">
        <v>58</v>
      </c>
      <c r="E189" s="128" t="s">
        <v>58</v>
      </c>
      <c r="F189" s="250">
        <v>184490.5</v>
      </c>
      <c r="G189" s="196">
        <v>26647</v>
      </c>
    </row>
    <row r="190" spans="1:7" ht="15">
      <c r="A190" s="193">
        <v>187</v>
      </c>
      <c r="B190" s="247" t="s">
        <v>125</v>
      </c>
      <c r="C190" s="117">
        <v>39073</v>
      </c>
      <c r="D190" s="128" t="s">
        <v>58</v>
      </c>
      <c r="E190" s="128" t="s">
        <v>58</v>
      </c>
      <c r="F190" s="250">
        <v>82961.5</v>
      </c>
      <c r="G190" s="196">
        <v>26647</v>
      </c>
    </row>
    <row r="191" spans="1:7" ht="15">
      <c r="A191" s="193">
        <v>188</v>
      </c>
      <c r="B191" s="148" t="s">
        <v>125</v>
      </c>
      <c r="C191" s="151">
        <v>39073</v>
      </c>
      <c r="D191" s="274" t="s">
        <v>58</v>
      </c>
      <c r="E191" s="273" t="s">
        <v>58</v>
      </c>
      <c r="F191" s="256">
        <v>24501.5</v>
      </c>
      <c r="G191" s="157">
        <v>4854</v>
      </c>
    </row>
    <row r="192" spans="1:7" ht="15">
      <c r="A192" s="190">
        <v>189</v>
      </c>
      <c r="B192" s="149" t="s">
        <v>125</v>
      </c>
      <c r="C192" s="117">
        <v>39073</v>
      </c>
      <c r="D192" s="128" t="s">
        <v>58</v>
      </c>
      <c r="E192" s="128" t="s">
        <v>58</v>
      </c>
      <c r="F192" s="250">
        <v>17956.5</v>
      </c>
      <c r="G192" s="196">
        <v>3232</v>
      </c>
    </row>
    <row r="193" spans="1:7" ht="15">
      <c r="A193" s="193">
        <v>190</v>
      </c>
      <c r="B193" s="149" t="s">
        <v>125</v>
      </c>
      <c r="C193" s="117">
        <v>39073</v>
      </c>
      <c r="D193" s="282" t="s">
        <v>58</v>
      </c>
      <c r="E193" s="282" t="s">
        <v>58</v>
      </c>
      <c r="F193" s="250">
        <v>8405</v>
      </c>
      <c r="G193" s="196">
        <v>1984</v>
      </c>
    </row>
    <row r="194" spans="1:7" ht="15">
      <c r="A194" s="190">
        <v>191</v>
      </c>
      <c r="B194" s="247" t="s">
        <v>125</v>
      </c>
      <c r="C194" s="117">
        <v>39073</v>
      </c>
      <c r="D194" s="128" t="s">
        <v>58</v>
      </c>
      <c r="E194" s="128" t="s">
        <v>58</v>
      </c>
      <c r="F194" s="250">
        <v>3378.5</v>
      </c>
      <c r="G194" s="196">
        <v>1198</v>
      </c>
    </row>
    <row r="195" spans="1:7" ht="15">
      <c r="A195" s="193">
        <v>192</v>
      </c>
      <c r="B195" s="247" t="s">
        <v>125</v>
      </c>
      <c r="C195" s="117">
        <v>39073</v>
      </c>
      <c r="D195" s="128" t="s">
        <v>58</v>
      </c>
      <c r="E195" s="128" t="s">
        <v>58</v>
      </c>
      <c r="F195" s="254">
        <v>2380</v>
      </c>
      <c r="G195" s="196">
        <v>430</v>
      </c>
    </row>
    <row r="196" spans="1:7" ht="15">
      <c r="A196" s="190">
        <v>193</v>
      </c>
      <c r="B196" s="247" t="s">
        <v>125</v>
      </c>
      <c r="C196" s="117">
        <v>39073</v>
      </c>
      <c r="D196" s="128" t="s">
        <v>12</v>
      </c>
      <c r="E196" s="128" t="s">
        <v>58</v>
      </c>
      <c r="F196" s="250">
        <v>848</v>
      </c>
      <c r="G196" s="196">
        <v>350</v>
      </c>
    </row>
    <row r="197" spans="1:7" ht="15">
      <c r="A197" s="193">
        <v>194</v>
      </c>
      <c r="B197" s="335" t="s">
        <v>125</v>
      </c>
      <c r="C197" s="329">
        <v>39073</v>
      </c>
      <c r="D197" s="328" t="s">
        <v>58</v>
      </c>
      <c r="E197" s="328" t="s">
        <v>58</v>
      </c>
      <c r="F197" s="340">
        <v>140</v>
      </c>
      <c r="G197" s="342">
        <v>35</v>
      </c>
    </row>
    <row r="198" spans="1:7" ht="15">
      <c r="A198" s="193">
        <v>195</v>
      </c>
      <c r="B198" s="150" t="s">
        <v>220</v>
      </c>
      <c r="C198" s="117">
        <v>38779</v>
      </c>
      <c r="D198" s="132" t="s">
        <v>23</v>
      </c>
      <c r="E198" s="131" t="s">
        <v>221</v>
      </c>
      <c r="F198" s="250">
        <v>952</v>
      </c>
      <c r="G198" s="196">
        <v>238</v>
      </c>
    </row>
    <row r="199" spans="1:7" ht="15">
      <c r="A199" s="190">
        <v>196</v>
      </c>
      <c r="B199" s="147" t="s">
        <v>159</v>
      </c>
      <c r="C199" s="116">
        <v>38933</v>
      </c>
      <c r="D199" s="126" t="s">
        <v>48</v>
      </c>
      <c r="E199" s="126" t="s">
        <v>62</v>
      </c>
      <c r="F199" s="252">
        <v>1785</v>
      </c>
      <c r="G199" s="197">
        <v>255</v>
      </c>
    </row>
    <row r="200" spans="1:7" ht="15">
      <c r="A200" s="193">
        <v>197</v>
      </c>
      <c r="B200" s="180" t="s">
        <v>159</v>
      </c>
      <c r="C200" s="116">
        <v>38933</v>
      </c>
      <c r="D200" s="178" t="s">
        <v>48</v>
      </c>
      <c r="E200" s="178" t="s">
        <v>62</v>
      </c>
      <c r="F200" s="252">
        <v>598</v>
      </c>
      <c r="G200" s="197">
        <v>119</v>
      </c>
    </row>
    <row r="201" spans="1:7" ht="15">
      <c r="A201" s="190">
        <v>198</v>
      </c>
      <c r="B201" s="147" t="s">
        <v>78</v>
      </c>
      <c r="C201" s="116">
        <v>39059</v>
      </c>
      <c r="D201" s="127" t="s">
        <v>56</v>
      </c>
      <c r="E201" s="126" t="s">
        <v>11</v>
      </c>
      <c r="F201" s="251">
        <v>1910</v>
      </c>
      <c r="G201" s="195">
        <v>284</v>
      </c>
    </row>
    <row r="202" spans="1:7" ht="15">
      <c r="A202" s="193">
        <v>199</v>
      </c>
      <c r="B202" s="147" t="s">
        <v>78</v>
      </c>
      <c r="C202" s="116">
        <v>39059</v>
      </c>
      <c r="D202" s="127" t="s">
        <v>56</v>
      </c>
      <c r="E202" s="126" t="s">
        <v>11</v>
      </c>
      <c r="F202" s="255">
        <v>1109</v>
      </c>
      <c r="G202" s="156">
        <v>168</v>
      </c>
    </row>
    <row r="203" spans="1:7" ht="15">
      <c r="A203" s="190">
        <v>200</v>
      </c>
      <c r="B203" s="180" t="s">
        <v>78</v>
      </c>
      <c r="C203" s="116">
        <v>39059</v>
      </c>
      <c r="D203" s="178" t="s">
        <v>56</v>
      </c>
      <c r="E203" s="178" t="s">
        <v>11</v>
      </c>
      <c r="F203" s="251">
        <v>911</v>
      </c>
      <c r="G203" s="195">
        <v>163</v>
      </c>
    </row>
    <row r="204" spans="1:7" ht="15">
      <c r="A204" s="193">
        <v>201</v>
      </c>
      <c r="B204" s="246" t="s">
        <v>78</v>
      </c>
      <c r="C204" s="116">
        <v>39059</v>
      </c>
      <c r="D204" s="127" t="s">
        <v>56</v>
      </c>
      <c r="E204" s="126" t="s">
        <v>11</v>
      </c>
      <c r="F204" s="251">
        <v>492</v>
      </c>
      <c r="G204" s="195">
        <v>70</v>
      </c>
    </row>
    <row r="205" spans="1:7" ht="15">
      <c r="A205" s="193">
        <v>202</v>
      </c>
      <c r="B205" s="246" t="s">
        <v>78</v>
      </c>
      <c r="C205" s="116">
        <v>39059</v>
      </c>
      <c r="D205" s="127" t="s">
        <v>56</v>
      </c>
      <c r="E205" s="126" t="s">
        <v>11</v>
      </c>
      <c r="F205" s="255">
        <v>452</v>
      </c>
      <c r="G205" s="195">
        <v>72</v>
      </c>
    </row>
    <row r="206" spans="1:7" ht="15">
      <c r="A206" s="190">
        <v>203</v>
      </c>
      <c r="B206" s="246" t="s">
        <v>78</v>
      </c>
      <c r="C206" s="116">
        <v>39059</v>
      </c>
      <c r="D206" s="127" t="s">
        <v>56</v>
      </c>
      <c r="E206" s="126" t="s">
        <v>11</v>
      </c>
      <c r="F206" s="255">
        <v>190</v>
      </c>
      <c r="G206" s="195">
        <v>38</v>
      </c>
    </row>
    <row r="207" spans="1:7" ht="15">
      <c r="A207" s="193">
        <v>204</v>
      </c>
      <c r="B207" s="249" t="s">
        <v>78</v>
      </c>
      <c r="C207" s="116">
        <v>39059</v>
      </c>
      <c r="D207" s="321" t="s">
        <v>56</v>
      </c>
      <c r="E207" s="321" t="s">
        <v>11</v>
      </c>
      <c r="F207" s="251">
        <v>76</v>
      </c>
      <c r="G207" s="195">
        <v>12</v>
      </c>
    </row>
    <row r="208" spans="1:7" ht="15">
      <c r="A208" s="190">
        <v>205</v>
      </c>
      <c r="B208" s="337" t="s">
        <v>78</v>
      </c>
      <c r="C208" s="116">
        <v>39059</v>
      </c>
      <c r="D208" s="178" t="s">
        <v>56</v>
      </c>
      <c r="E208" s="178" t="s">
        <v>11</v>
      </c>
      <c r="F208" s="251">
        <v>71</v>
      </c>
      <c r="G208" s="195">
        <v>12</v>
      </c>
    </row>
    <row r="209" spans="1:7" ht="15">
      <c r="A209" s="193">
        <v>206</v>
      </c>
      <c r="B209" s="148" t="s">
        <v>111</v>
      </c>
      <c r="C209" s="151">
        <v>39066</v>
      </c>
      <c r="D209" s="128" t="s">
        <v>57</v>
      </c>
      <c r="E209" s="146" t="s">
        <v>65</v>
      </c>
      <c r="F209" s="256">
        <v>464996</v>
      </c>
      <c r="G209" s="157">
        <v>59280</v>
      </c>
    </row>
    <row r="210" spans="1:7" ht="15">
      <c r="A210" s="190">
        <v>207</v>
      </c>
      <c r="B210" s="181" t="s">
        <v>111</v>
      </c>
      <c r="C210" s="117">
        <v>39066</v>
      </c>
      <c r="D210" s="177" t="s">
        <v>57</v>
      </c>
      <c r="E210" s="177" t="s">
        <v>65</v>
      </c>
      <c r="F210" s="250">
        <v>113805</v>
      </c>
      <c r="G210" s="196">
        <v>17354</v>
      </c>
    </row>
    <row r="211" spans="1:7" ht="15">
      <c r="A211" s="193">
        <v>208</v>
      </c>
      <c r="B211" s="149" t="s">
        <v>111</v>
      </c>
      <c r="C211" s="117">
        <v>39066</v>
      </c>
      <c r="D211" s="128" t="s">
        <v>57</v>
      </c>
      <c r="E211" s="128" t="s">
        <v>65</v>
      </c>
      <c r="F211" s="250">
        <v>53915</v>
      </c>
      <c r="G211" s="196">
        <v>10777</v>
      </c>
    </row>
    <row r="212" spans="1:7" ht="15">
      <c r="A212" s="193">
        <v>209</v>
      </c>
      <c r="B212" s="247" t="s">
        <v>111</v>
      </c>
      <c r="C212" s="117">
        <v>39066</v>
      </c>
      <c r="D212" s="128" t="s">
        <v>57</v>
      </c>
      <c r="E212" s="128" t="s">
        <v>65</v>
      </c>
      <c r="F212" s="250">
        <v>25324</v>
      </c>
      <c r="G212" s="196">
        <v>4706</v>
      </c>
    </row>
    <row r="213" spans="1:7" ht="15">
      <c r="A213" s="190">
        <v>210</v>
      </c>
      <c r="B213" s="247" t="s">
        <v>111</v>
      </c>
      <c r="C213" s="117">
        <v>39066</v>
      </c>
      <c r="D213" s="128" t="s">
        <v>57</v>
      </c>
      <c r="E213" s="128" t="s">
        <v>65</v>
      </c>
      <c r="F213" s="254">
        <v>18828</v>
      </c>
      <c r="G213" s="196">
        <v>3600</v>
      </c>
    </row>
    <row r="214" spans="1:7" ht="15">
      <c r="A214" s="193">
        <v>211</v>
      </c>
      <c r="B214" s="149" t="s">
        <v>111</v>
      </c>
      <c r="C214" s="117">
        <v>39066</v>
      </c>
      <c r="D214" s="128" t="s">
        <v>57</v>
      </c>
      <c r="E214" s="128" t="s">
        <v>65</v>
      </c>
      <c r="F214" s="250">
        <v>13632</v>
      </c>
      <c r="G214" s="196">
        <v>2800</v>
      </c>
    </row>
    <row r="215" spans="1:7" ht="15">
      <c r="A215" s="190">
        <v>212</v>
      </c>
      <c r="B215" s="148" t="s">
        <v>111</v>
      </c>
      <c r="C215" s="151">
        <v>39066</v>
      </c>
      <c r="D215" s="274" t="s">
        <v>57</v>
      </c>
      <c r="E215" s="274" t="s">
        <v>65</v>
      </c>
      <c r="F215" s="256">
        <v>7655</v>
      </c>
      <c r="G215" s="157">
        <v>1253</v>
      </c>
    </row>
    <row r="216" spans="1:7" ht="15">
      <c r="A216" s="193">
        <v>213</v>
      </c>
      <c r="B216" s="149" t="s">
        <v>111</v>
      </c>
      <c r="C216" s="117">
        <v>39066</v>
      </c>
      <c r="D216" s="282" t="s">
        <v>57</v>
      </c>
      <c r="E216" s="282" t="s">
        <v>65</v>
      </c>
      <c r="F216" s="250">
        <v>1899</v>
      </c>
      <c r="G216" s="196">
        <v>287</v>
      </c>
    </row>
    <row r="217" spans="1:7" ht="15">
      <c r="A217" s="190">
        <v>214</v>
      </c>
      <c r="B217" s="248" t="s">
        <v>111</v>
      </c>
      <c r="C217" s="117">
        <v>39073</v>
      </c>
      <c r="D217" s="323" t="s">
        <v>57</v>
      </c>
      <c r="E217" s="323" t="s">
        <v>65</v>
      </c>
      <c r="F217" s="250">
        <v>1750</v>
      </c>
      <c r="G217" s="196">
        <v>525</v>
      </c>
    </row>
    <row r="218" spans="1:7" ht="15">
      <c r="A218" s="193">
        <v>215</v>
      </c>
      <c r="B218" s="247" t="s">
        <v>111</v>
      </c>
      <c r="C218" s="117">
        <v>39073</v>
      </c>
      <c r="D218" s="128" t="s">
        <v>57</v>
      </c>
      <c r="E218" s="128" t="s">
        <v>63</v>
      </c>
      <c r="F218" s="254">
        <v>1214</v>
      </c>
      <c r="G218" s="196">
        <v>237</v>
      </c>
    </row>
    <row r="219" spans="1:7" ht="15">
      <c r="A219" s="193">
        <v>216</v>
      </c>
      <c r="B219" s="247" t="s">
        <v>111</v>
      </c>
      <c r="C219" s="117">
        <v>39073</v>
      </c>
      <c r="D219" s="128" t="s">
        <v>57</v>
      </c>
      <c r="E219" s="128" t="s">
        <v>63</v>
      </c>
      <c r="F219" s="250">
        <v>1004</v>
      </c>
      <c r="G219" s="196">
        <v>160</v>
      </c>
    </row>
    <row r="220" spans="1:7" ht="15">
      <c r="A220" s="190">
        <v>217</v>
      </c>
      <c r="B220" s="283" t="s">
        <v>111</v>
      </c>
      <c r="C220" s="151">
        <v>39066</v>
      </c>
      <c r="D220" s="274" t="s">
        <v>57</v>
      </c>
      <c r="E220" s="274" t="s">
        <v>65</v>
      </c>
      <c r="F220" s="256">
        <v>482</v>
      </c>
      <c r="G220" s="157">
        <v>91</v>
      </c>
    </row>
    <row r="221" spans="1:7" ht="15">
      <c r="A221" s="193">
        <v>218</v>
      </c>
      <c r="B221" s="247" t="s">
        <v>111</v>
      </c>
      <c r="C221" s="117">
        <v>39073</v>
      </c>
      <c r="D221" s="128" t="s">
        <v>57</v>
      </c>
      <c r="E221" s="128" t="s">
        <v>63</v>
      </c>
      <c r="F221" s="250">
        <v>74</v>
      </c>
      <c r="G221" s="196">
        <v>11</v>
      </c>
    </row>
    <row r="222" spans="1:7" ht="15">
      <c r="A222" s="190">
        <v>219</v>
      </c>
      <c r="B222" s="150" t="s">
        <v>87</v>
      </c>
      <c r="C222" s="117">
        <v>38898</v>
      </c>
      <c r="D222" s="132" t="s">
        <v>23</v>
      </c>
      <c r="E222" s="131" t="s">
        <v>162</v>
      </c>
      <c r="F222" s="254">
        <v>1068</v>
      </c>
      <c r="G222" s="159">
        <v>356</v>
      </c>
    </row>
    <row r="223" spans="1:7" ht="15">
      <c r="A223" s="193">
        <v>220</v>
      </c>
      <c r="B223" s="150" t="s">
        <v>87</v>
      </c>
      <c r="C223" s="117">
        <v>38898</v>
      </c>
      <c r="D223" s="132" t="s">
        <v>23</v>
      </c>
      <c r="E223" s="131" t="s">
        <v>162</v>
      </c>
      <c r="F223" s="250">
        <v>454.3</v>
      </c>
      <c r="G223" s="196">
        <v>278</v>
      </c>
    </row>
    <row r="224" spans="1:7" ht="15">
      <c r="A224" s="190">
        <v>221</v>
      </c>
      <c r="B224" s="150" t="s">
        <v>87</v>
      </c>
      <c r="C224" s="117">
        <v>38898</v>
      </c>
      <c r="D224" s="132" t="s">
        <v>23</v>
      </c>
      <c r="E224" s="131" t="s">
        <v>162</v>
      </c>
      <c r="F224" s="250">
        <v>400</v>
      </c>
      <c r="G224" s="196">
        <v>80</v>
      </c>
    </row>
    <row r="225" spans="1:7" ht="15">
      <c r="A225" s="193">
        <v>222</v>
      </c>
      <c r="B225" s="181" t="s">
        <v>87</v>
      </c>
      <c r="C225" s="117">
        <v>38898</v>
      </c>
      <c r="D225" s="177" t="s">
        <v>23</v>
      </c>
      <c r="E225" s="177" t="s">
        <v>162</v>
      </c>
      <c r="F225" s="250">
        <v>30.5</v>
      </c>
      <c r="G225" s="196">
        <v>12</v>
      </c>
    </row>
    <row r="226" spans="1:7" ht="15">
      <c r="A226" s="193">
        <v>223</v>
      </c>
      <c r="B226" s="283" t="s">
        <v>15</v>
      </c>
      <c r="C226" s="151">
        <v>38947</v>
      </c>
      <c r="D226" s="274" t="s">
        <v>58</v>
      </c>
      <c r="E226" s="274" t="s">
        <v>59</v>
      </c>
      <c r="F226" s="256">
        <v>28400</v>
      </c>
      <c r="G226" s="157">
        <v>5667</v>
      </c>
    </row>
    <row r="227" spans="1:7" ht="15">
      <c r="A227" s="190">
        <v>224</v>
      </c>
      <c r="B227" s="247" t="s">
        <v>15</v>
      </c>
      <c r="C227" s="117">
        <v>38947</v>
      </c>
      <c r="D227" s="128" t="s">
        <v>58</v>
      </c>
      <c r="E227" s="128" t="s">
        <v>59</v>
      </c>
      <c r="F227" s="254">
        <v>4027.5</v>
      </c>
      <c r="G227" s="159">
        <v>806</v>
      </c>
    </row>
    <row r="228" spans="1:7" ht="15">
      <c r="A228" s="193">
        <v>225</v>
      </c>
      <c r="B228" s="148" t="s">
        <v>15</v>
      </c>
      <c r="C228" s="151">
        <v>38947</v>
      </c>
      <c r="D228" s="146" t="s">
        <v>58</v>
      </c>
      <c r="E228" s="146" t="s">
        <v>59</v>
      </c>
      <c r="F228" s="256">
        <v>1386</v>
      </c>
      <c r="G228" s="157">
        <v>318</v>
      </c>
    </row>
    <row r="229" spans="1:7" ht="15">
      <c r="A229" s="190">
        <v>226</v>
      </c>
      <c r="B229" s="181" t="s">
        <v>15</v>
      </c>
      <c r="C229" s="117">
        <v>38947</v>
      </c>
      <c r="D229" s="177" t="s">
        <v>58</v>
      </c>
      <c r="E229" s="177" t="s">
        <v>59</v>
      </c>
      <c r="F229" s="250">
        <v>611</v>
      </c>
      <c r="G229" s="196">
        <v>132</v>
      </c>
    </row>
    <row r="230" spans="1:7" ht="15">
      <c r="A230" s="193">
        <v>227</v>
      </c>
      <c r="B230" s="149" t="s">
        <v>15</v>
      </c>
      <c r="C230" s="117">
        <v>38947</v>
      </c>
      <c r="D230" s="282" t="s">
        <v>58</v>
      </c>
      <c r="E230" s="282" t="s">
        <v>59</v>
      </c>
      <c r="F230" s="250">
        <v>530</v>
      </c>
      <c r="G230" s="196">
        <v>105</v>
      </c>
    </row>
    <row r="231" spans="1:7" ht="15">
      <c r="A231" s="190">
        <v>228</v>
      </c>
      <c r="B231" s="247" t="s">
        <v>15</v>
      </c>
      <c r="C231" s="117">
        <v>38947</v>
      </c>
      <c r="D231" s="128" t="s">
        <v>12</v>
      </c>
      <c r="E231" s="128" t="s">
        <v>59</v>
      </c>
      <c r="F231" s="250">
        <v>130</v>
      </c>
      <c r="G231" s="196">
        <v>18</v>
      </c>
    </row>
    <row r="232" spans="1:7" ht="15">
      <c r="A232" s="193">
        <v>229</v>
      </c>
      <c r="B232" s="249" t="s">
        <v>278</v>
      </c>
      <c r="C232" s="116">
        <v>38464</v>
      </c>
      <c r="D232" s="129" t="s">
        <v>46</v>
      </c>
      <c r="E232" s="129" t="s">
        <v>279</v>
      </c>
      <c r="F232" s="251">
        <v>5346</v>
      </c>
      <c r="G232" s="195">
        <v>1782</v>
      </c>
    </row>
    <row r="233" spans="1:7" ht="15">
      <c r="A233" s="193">
        <v>230</v>
      </c>
      <c r="B233" s="148" t="s">
        <v>36</v>
      </c>
      <c r="C233" s="151">
        <v>39031</v>
      </c>
      <c r="D233" s="146" t="s">
        <v>58</v>
      </c>
      <c r="E233" s="146" t="s">
        <v>59</v>
      </c>
      <c r="F233" s="256">
        <v>3021</v>
      </c>
      <c r="G233" s="157">
        <v>605</v>
      </c>
    </row>
    <row r="234" spans="1:7" ht="15">
      <c r="A234" s="190">
        <v>231</v>
      </c>
      <c r="B234" s="149" t="s">
        <v>36</v>
      </c>
      <c r="C234" s="117">
        <v>39031</v>
      </c>
      <c r="D234" s="128" t="s">
        <v>58</v>
      </c>
      <c r="E234" s="128" t="s">
        <v>59</v>
      </c>
      <c r="F234" s="250">
        <v>858</v>
      </c>
      <c r="G234" s="196">
        <v>170</v>
      </c>
    </row>
    <row r="235" spans="1:7" ht="15">
      <c r="A235" s="193">
        <v>232</v>
      </c>
      <c r="B235" s="248" t="s">
        <v>195</v>
      </c>
      <c r="C235" s="117">
        <v>38779</v>
      </c>
      <c r="D235" s="132" t="s">
        <v>23</v>
      </c>
      <c r="E235" s="131" t="s">
        <v>196</v>
      </c>
      <c r="F235" s="250">
        <v>952</v>
      </c>
      <c r="G235" s="196">
        <v>238</v>
      </c>
    </row>
    <row r="236" spans="1:7" ht="15">
      <c r="A236" s="190">
        <v>233</v>
      </c>
      <c r="B236" s="147" t="s">
        <v>91</v>
      </c>
      <c r="C236" s="116">
        <v>39010</v>
      </c>
      <c r="D236" s="127" t="s">
        <v>56</v>
      </c>
      <c r="E236" s="126" t="s">
        <v>71</v>
      </c>
      <c r="F236" s="255">
        <v>1876</v>
      </c>
      <c r="G236" s="156">
        <v>410</v>
      </c>
    </row>
    <row r="237" spans="1:7" ht="15">
      <c r="A237" s="193">
        <v>234</v>
      </c>
      <c r="B237" s="180" t="s">
        <v>91</v>
      </c>
      <c r="C237" s="116">
        <v>39010</v>
      </c>
      <c r="D237" s="178" t="s">
        <v>56</v>
      </c>
      <c r="E237" s="178" t="s">
        <v>71</v>
      </c>
      <c r="F237" s="251">
        <v>582</v>
      </c>
      <c r="G237" s="195">
        <v>86</v>
      </c>
    </row>
    <row r="238" spans="1:7" ht="15">
      <c r="A238" s="190">
        <v>235</v>
      </c>
      <c r="B238" s="147" t="s">
        <v>91</v>
      </c>
      <c r="C238" s="116">
        <v>39010</v>
      </c>
      <c r="D238" s="127" t="s">
        <v>56</v>
      </c>
      <c r="E238" s="126" t="s">
        <v>71</v>
      </c>
      <c r="F238" s="251">
        <v>267</v>
      </c>
      <c r="G238" s="195">
        <v>37</v>
      </c>
    </row>
    <row r="239" spans="1:7" ht="15">
      <c r="A239" s="193">
        <v>236</v>
      </c>
      <c r="B239" s="181" t="s">
        <v>43</v>
      </c>
      <c r="C239" s="117">
        <v>39038</v>
      </c>
      <c r="D239" s="177" t="s">
        <v>57</v>
      </c>
      <c r="E239" s="177" t="s">
        <v>71</v>
      </c>
      <c r="F239" s="250">
        <v>2705</v>
      </c>
      <c r="G239" s="196">
        <v>636</v>
      </c>
    </row>
    <row r="240" spans="1:7" ht="15">
      <c r="A240" s="193">
        <v>237</v>
      </c>
      <c r="B240" s="149" t="s">
        <v>43</v>
      </c>
      <c r="C240" s="117">
        <v>39038</v>
      </c>
      <c r="D240" s="128" t="s">
        <v>57</v>
      </c>
      <c r="E240" s="128" t="s">
        <v>71</v>
      </c>
      <c r="F240" s="250">
        <v>746</v>
      </c>
      <c r="G240" s="196">
        <v>319</v>
      </c>
    </row>
    <row r="241" spans="1:7" ht="15">
      <c r="A241" s="190">
        <v>238</v>
      </c>
      <c r="B241" s="148" t="s">
        <v>43</v>
      </c>
      <c r="C241" s="151">
        <v>39038</v>
      </c>
      <c r="D241" s="128" t="s">
        <v>57</v>
      </c>
      <c r="E241" s="146" t="s">
        <v>71</v>
      </c>
      <c r="F241" s="256">
        <v>197</v>
      </c>
      <c r="G241" s="157">
        <v>24</v>
      </c>
    </row>
    <row r="242" spans="1:7" ht="15">
      <c r="A242" s="193">
        <v>239</v>
      </c>
      <c r="B242" s="247" t="s">
        <v>77</v>
      </c>
      <c r="C242" s="117">
        <v>39045</v>
      </c>
      <c r="D242" s="128" t="s">
        <v>58</v>
      </c>
      <c r="E242" s="128" t="s">
        <v>39</v>
      </c>
      <c r="F242" s="250">
        <v>29071.5</v>
      </c>
      <c r="G242" s="196">
        <v>5809</v>
      </c>
    </row>
    <row r="243" spans="1:7" ht="15">
      <c r="A243" s="190">
        <v>240</v>
      </c>
      <c r="B243" s="148" t="s">
        <v>77</v>
      </c>
      <c r="C243" s="151">
        <v>39045</v>
      </c>
      <c r="D243" s="146" t="s">
        <v>58</v>
      </c>
      <c r="E243" s="146" t="s">
        <v>39</v>
      </c>
      <c r="F243" s="256">
        <v>17062</v>
      </c>
      <c r="G243" s="157">
        <v>3367</v>
      </c>
    </row>
    <row r="244" spans="1:7" ht="15">
      <c r="A244" s="193">
        <v>241</v>
      </c>
      <c r="B244" s="181" t="s">
        <v>77</v>
      </c>
      <c r="C244" s="117">
        <v>39045</v>
      </c>
      <c r="D244" s="177" t="s">
        <v>58</v>
      </c>
      <c r="E244" s="177" t="s">
        <v>39</v>
      </c>
      <c r="F244" s="250">
        <v>5450</v>
      </c>
      <c r="G244" s="196">
        <v>985</v>
      </c>
    </row>
    <row r="245" spans="1:7" ht="15">
      <c r="A245" s="190">
        <v>242</v>
      </c>
      <c r="B245" s="149" t="s">
        <v>77</v>
      </c>
      <c r="C245" s="117">
        <v>39045</v>
      </c>
      <c r="D245" s="128" t="s">
        <v>58</v>
      </c>
      <c r="E245" s="128" t="s">
        <v>39</v>
      </c>
      <c r="F245" s="250">
        <v>5150</v>
      </c>
      <c r="G245" s="196">
        <v>717</v>
      </c>
    </row>
    <row r="246" spans="1:7" ht="15">
      <c r="A246" s="193">
        <v>243</v>
      </c>
      <c r="B246" s="148" t="s">
        <v>77</v>
      </c>
      <c r="C246" s="151">
        <v>39045</v>
      </c>
      <c r="D246" s="274" t="s">
        <v>58</v>
      </c>
      <c r="E246" s="273" t="s">
        <v>39</v>
      </c>
      <c r="F246" s="256">
        <v>2038</v>
      </c>
      <c r="G246" s="157">
        <v>401</v>
      </c>
    </row>
    <row r="247" spans="1:7" ht="15">
      <c r="A247" s="193">
        <v>244</v>
      </c>
      <c r="B247" s="149" t="s">
        <v>77</v>
      </c>
      <c r="C247" s="117">
        <v>39045</v>
      </c>
      <c r="D247" s="128" t="s">
        <v>58</v>
      </c>
      <c r="E247" s="128" t="s">
        <v>39</v>
      </c>
      <c r="F247" s="250">
        <v>960</v>
      </c>
      <c r="G247" s="196">
        <v>240</v>
      </c>
    </row>
    <row r="248" spans="1:7" ht="15">
      <c r="A248" s="190">
        <v>245</v>
      </c>
      <c r="B248" s="149" t="s">
        <v>77</v>
      </c>
      <c r="C248" s="117">
        <v>39045</v>
      </c>
      <c r="D248" s="282" t="s">
        <v>58</v>
      </c>
      <c r="E248" s="282" t="s">
        <v>39</v>
      </c>
      <c r="F248" s="250">
        <v>657</v>
      </c>
      <c r="G248" s="196">
        <v>144</v>
      </c>
    </row>
    <row r="249" spans="1:7" ht="15">
      <c r="A249" s="193">
        <v>246</v>
      </c>
      <c r="B249" s="249" t="s">
        <v>96</v>
      </c>
      <c r="C249" s="116">
        <v>39010</v>
      </c>
      <c r="D249" s="129" t="s">
        <v>45</v>
      </c>
      <c r="E249" s="129" t="s">
        <v>97</v>
      </c>
      <c r="F249" s="255">
        <v>37033.5</v>
      </c>
      <c r="G249" s="195">
        <v>5902</v>
      </c>
    </row>
    <row r="250" spans="1:7" ht="15">
      <c r="A250" s="190">
        <v>247</v>
      </c>
      <c r="B250" s="145" t="s">
        <v>96</v>
      </c>
      <c r="C250" s="116">
        <v>39010</v>
      </c>
      <c r="D250" s="129" t="s">
        <v>45</v>
      </c>
      <c r="E250" s="129" t="s">
        <v>97</v>
      </c>
      <c r="F250" s="251">
        <v>2834</v>
      </c>
      <c r="G250" s="195">
        <v>949</v>
      </c>
    </row>
    <row r="251" spans="1:7" ht="15">
      <c r="A251" s="193">
        <v>248</v>
      </c>
      <c r="B251" s="145" t="s">
        <v>96</v>
      </c>
      <c r="C251" s="116">
        <v>39010</v>
      </c>
      <c r="D251" s="129" t="s">
        <v>45</v>
      </c>
      <c r="E251" s="129" t="s">
        <v>97</v>
      </c>
      <c r="F251" s="255">
        <v>2245.5</v>
      </c>
      <c r="G251" s="156">
        <v>312</v>
      </c>
    </row>
    <row r="252" spans="1:7" ht="15">
      <c r="A252" s="190">
        <v>249</v>
      </c>
      <c r="B252" s="180" t="s">
        <v>96</v>
      </c>
      <c r="C252" s="116">
        <v>39010</v>
      </c>
      <c r="D252" s="178" t="s">
        <v>45</v>
      </c>
      <c r="E252" s="178" t="s">
        <v>97</v>
      </c>
      <c r="F252" s="251">
        <v>1320</v>
      </c>
      <c r="G252" s="195">
        <v>175</v>
      </c>
    </row>
    <row r="253" spans="1:7" ht="15">
      <c r="A253" s="193">
        <v>250</v>
      </c>
      <c r="B253" s="145" t="s">
        <v>96</v>
      </c>
      <c r="C253" s="116">
        <v>39010</v>
      </c>
      <c r="D253" s="129" t="s">
        <v>45</v>
      </c>
      <c r="E253" s="129" t="s">
        <v>97</v>
      </c>
      <c r="F253" s="251">
        <v>528</v>
      </c>
      <c r="G253" s="195">
        <v>80</v>
      </c>
    </row>
    <row r="254" spans="1:7" ht="15">
      <c r="A254" s="193">
        <v>251</v>
      </c>
      <c r="B254" s="249" t="s">
        <v>96</v>
      </c>
      <c r="C254" s="116">
        <v>39010</v>
      </c>
      <c r="D254" s="129" t="s">
        <v>45</v>
      </c>
      <c r="E254" s="129" t="s">
        <v>97</v>
      </c>
      <c r="F254" s="251">
        <v>224</v>
      </c>
      <c r="G254" s="195">
        <v>30</v>
      </c>
    </row>
    <row r="255" spans="1:7" ht="15">
      <c r="A255" s="190">
        <v>252</v>
      </c>
      <c r="B255" s="147" t="s">
        <v>52</v>
      </c>
      <c r="C255" s="116">
        <v>38800</v>
      </c>
      <c r="D255" s="126" t="s">
        <v>48</v>
      </c>
      <c r="E255" s="126" t="s">
        <v>70</v>
      </c>
      <c r="F255" s="257">
        <v>551</v>
      </c>
      <c r="G255" s="158">
        <v>90</v>
      </c>
    </row>
    <row r="256" spans="1:7" ht="15">
      <c r="A256" s="193">
        <v>253</v>
      </c>
      <c r="B256" s="246" t="s">
        <v>197</v>
      </c>
      <c r="C256" s="116">
        <v>38618</v>
      </c>
      <c r="D256" s="126" t="s">
        <v>48</v>
      </c>
      <c r="E256" s="126" t="s">
        <v>198</v>
      </c>
      <c r="F256" s="252">
        <v>1188</v>
      </c>
      <c r="G256" s="197">
        <v>396</v>
      </c>
    </row>
    <row r="257" spans="1:7" ht="15">
      <c r="A257" s="190">
        <v>254</v>
      </c>
      <c r="B257" s="338" t="s">
        <v>83</v>
      </c>
      <c r="C257" s="117">
        <v>38877</v>
      </c>
      <c r="D257" s="177" t="s">
        <v>23</v>
      </c>
      <c r="E257" s="177" t="s">
        <v>27</v>
      </c>
      <c r="F257" s="250">
        <v>6416</v>
      </c>
      <c r="G257" s="196">
        <v>1604</v>
      </c>
    </row>
    <row r="258" spans="1:7" ht="15">
      <c r="A258" s="193">
        <v>255</v>
      </c>
      <c r="B258" s="248" t="s">
        <v>83</v>
      </c>
      <c r="C258" s="117">
        <v>38877</v>
      </c>
      <c r="D258" s="132" t="s">
        <v>23</v>
      </c>
      <c r="E258" s="131" t="s">
        <v>27</v>
      </c>
      <c r="F258" s="250">
        <v>5364.5</v>
      </c>
      <c r="G258" s="196">
        <v>1324</v>
      </c>
    </row>
    <row r="259" spans="1:7" ht="15">
      <c r="A259" s="190">
        <v>256</v>
      </c>
      <c r="B259" s="248" t="s">
        <v>83</v>
      </c>
      <c r="C259" s="117">
        <v>38877</v>
      </c>
      <c r="D259" s="132" t="s">
        <v>23</v>
      </c>
      <c r="E259" s="131" t="s">
        <v>27</v>
      </c>
      <c r="F259" s="254">
        <v>3636.5</v>
      </c>
      <c r="G259" s="159">
        <v>885</v>
      </c>
    </row>
    <row r="260" spans="1:7" ht="15">
      <c r="A260" s="193">
        <v>257</v>
      </c>
      <c r="B260" s="248" t="s">
        <v>83</v>
      </c>
      <c r="C260" s="117">
        <v>38877</v>
      </c>
      <c r="D260" s="323" t="s">
        <v>23</v>
      </c>
      <c r="E260" s="323" t="s">
        <v>27</v>
      </c>
      <c r="F260" s="250">
        <v>1580.5</v>
      </c>
      <c r="G260" s="196">
        <v>370</v>
      </c>
    </row>
    <row r="261" spans="1:7" ht="15">
      <c r="A261" s="193">
        <v>258</v>
      </c>
      <c r="B261" s="150" t="s">
        <v>83</v>
      </c>
      <c r="C261" s="117">
        <v>38877</v>
      </c>
      <c r="D261" s="132" t="s">
        <v>23</v>
      </c>
      <c r="E261" s="131" t="s">
        <v>27</v>
      </c>
      <c r="F261" s="250">
        <v>1105</v>
      </c>
      <c r="G261" s="196">
        <v>285</v>
      </c>
    </row>
    <row r="262" spans="1:7" ht="15">
      <c r="A262" s="190">
        <v>259</v>
      </c>
      <c r="B262" s="248" t="s">
        <v>83</v>
      </c>
      <c r="C262" s="117">
        <v>38877</v>
      </c>
      <c r="D262" s="132" t="s">
        <v>23</v>
      </c>
      <c r="E262" s="131" t="s">
        <v>27</v>
      </c>
      <c r="F262" s="250">
        <v>914</v>
      </c>
      <c r="G262" s="196">
        <v>239</v>
      </c>
    </row>
    <row r="263" spans="1:7" ht="15">
      <c r="A263" s="193">
        <v>260</v>
      </c>
      <c r="B263" s="248" t="s">
        <v>83</v>
      </c>
      <c r="C263" s="117">
        <v>38877</v>
      </c>
      <c r="D263" s="132" t="s">
        <v>23</v>
      </c>
      <c r="E263" s="131" t="s">
        <v>27</v>
      </c>
      <c r="F263" s="254">
        <v>789.5</v>
      </c>
      <c r="G263" s="196">
        <v>177</v>
      </c>
    </row>
    <row r="264" spans="1:7" ht="15">
      <c r="A264" s="190">
        <v>261</v>
      </c>
      <c r="B264" s="181" t="s">
        <v>83</v>
      </c>
      <c r="C264" s="117">
        <v>38877</v>
      </c>
      <c r="D264" s="177" t="s">
        <v>23</v>
      </c>
      <c r="E264" s="177" t="s">
        <v>27</v>
      </c>
      <c r="F264" s="250">
        <v>755</v>
      </c>
      <c r="G264" s="196">
        <v>140</v>
      </c>
    </row>
    <row r="265" spans="1:7" ht="15">
      <c r="A265" s="193">
        <v>262</v>
      </c>
      <c r="B265" s="150" t="s">
        <v>83</v>
      </c>
      <c r="C265" s="117">
        <v>38877</v>
      </c>
      <c r="D265" s="132" t="s">
        <v>23</v>
      </c>
      <c r="E265" s="131" t="s">
        <v>27</v>
      </c>
      <c r="F265" s="254">
        <v>160</v>
      </c>
      <c r="G265" s="159">
        <v>16</v>
      </c>
    </row>
    <row r="266" spans="1:7" ht="15">
      <c r="A266" s="190">
        <v>263</v>
      </c>
      <c r="B266" s="247" t="s">
        <v>254</v>
      </c>
      <c r="C266" s="117">
        <v>38821</v>
      </c>
      <c r="D266" s="128" t="s">
        <v>58</v>
      </c>
      <c r="E266" s="128" t="s">
        <v>59</v>
      </c>
      <c r="F266" s="254">
        <v>5035</v>
      </c>
      <c r="G266" s="196">
        <v>1007</v>
      </c>
    </row>
    <row r="267" spans="1:7" ht="15">
      <c r="A267" s="193">
        <v>264</v>
      </c>
      <c r="B267" s="247" t="s">
        <v>254</v>
      </c>
      <c r="C267" s="117">
        <v>38821</v>
      </c>
      <c r="D267" s="128" t="s">
        <v>58</v>
      </c>
      <c r="E267" s="128" t="s">
        <v>59</v>
      </c>
      <c r="F267" s="254">
        <v>4651.5</v>
      </c>
      <c r="G267" s="159">
        <v>884</v>
      </c>
    </row>
    <row r="268" spans="1:7" ht="15">
      <c r="A268" s="193">
        <v>265</v>
      </c>
      <c r="B268" s="149" t="s">
        <v>254</v>
      </c>
      <c r="C268" s="117">
        <v>38821</v>
      </c>
      <c r="D268" s="282" t="s">
        <v>58</v>
      </c>
      <c r="E268" s="282" t="s">
        <v>59</v>
      </c>
      <c r="F268" s="250">
        <v>610</v>
      </c>
      <c r="G268" s="196">
        <v>116</v>
      </c>
    </row>
    <row r="269" spans="1:7" ht="15">
      <c r="A269" s="190">
        <v>266</v>
      </c>
      <c r="B269" s="149" t="s">
        <v>210</v>
      </c>
      <c r="C269" s="117">
        <v>37589</v>
      </c>
      <c r="D269" s="129" t="s">
        <v>46</v>
      </c>
      <c r="E269" s="129" t="s">
        <v>211</v>
      </c>
      <c r="F269" s="250">
        <v>354</v>
      </c>
      <c r="G269" s="196">
        <v>118</v>
      </c>
    </row>
    <row r="270" spans="1:7" ht="15">
      <c r="A270" s="193">
        <v>267</v>
      </c>
      <c r="B270" s="338" t="s">
        <v>199</v>
      </c>
      <c r="C270" s="117">
        <v>38982</v>
      </c>
      <c r="D270" s="177" t="s">
        <v>58</v>
      </c>
      <c r="E270" s="177" t="s">
        <v>200</v>
      </c>
      <c r="F270" s="250">
        <v>1782</v>
      </c>
      <c r="G270" s="196">
        <v>446</v>
      </c>
    </row>
    <row r="271" spans="1:7" ht="15">
      <c r="A271" s="190">
        <v>268</v>
      </c>
      <c r="B271" s="247" t="s">
        <v>199</v>
      </c>
      <c r="C271" s="117">
        <v>38982</v>
      </c>
      <c r="D271" s="128" t="s">
        <v>58</v>
      </c>
      <c r="E271" s="128" t="s">
        <v>200</v>
      </c>
      <c r="F271" s="250">
        <v>330</v>
      </c>
      <c r="G271" s="196">
        <v>66</v>
      </c>
    </row>
    <row r="272" spans="1:7" ht="15">
      <c r="A272" s="193">
        <v>269</v>
      </c>
      <c r="B272" s="147" t="s">
        <v>128</v>
      </c>
      <c r="C272" s="116">
        <v>39038</v>
      </c>
      <c r="D272" s="126" t="s">
        <v>48</v>
      </c>
      <c r="E272" s="126" t="s">
        <v>42</v>
      </c>
      <c r="F272" s="257">
        <v>19312</v>
      </c>
      <c r="G272" s="158">
        <v>3691</v>
      </c>
    </row>
    <row r="273" spans="1:7" ht="15">
      <c r="A273" s="190">
        <v>270</v>
      </c>
      <c r="B273" s="180" t="s">
        <v>128</v>
      </c>
      <c r="C273" s="116">
        <v>39038</v>
      </c>
      <c r="D273" s="178" t="s">
        <v>48</v>
      </c>
      <c r="E273" s="178" t="s">
        <v>42</v>
      </c>
      <c r="F273" s="252">
        <v>9417</v>
      </c>
      <c r="G273" s="197">
        <v>2021</v>
      </c>
    </row>
    <row r="274" spans="1:7" ht="15">
      <c r="A274" s="193">
        <v>271</v>
      </c>
      <c r="B274" s="147" t="s">
        <v>128</v>
      </c>
      <c r="C274" s="116">
        <v>39038</v>
      </c>
      <c r="D274" s="126" t="s">
        <v>48</v>
      </c>
      <c r="E274" s="126" t="s">
        <v>42</v>
      </c>
      <c r="F274" s="252">
        <v>8894</v>
      </c>
      <c r="G274" s="197">
        <v>1715</v>
      </c>
    </row>
    <row r="275" spans="1:7" ht="15">
      <c r="A275" s="193">
        <v>272</v>
      </c>
      <c r="B275" s="246" t="s">
        <v>128</v>
      </c>
      <c r="C275" s="116">
        <v>39038</v>
      </c>
      <c r="D275" s="126" t="s">
        <v>48</v>
      </c>
      <c r="E275" s="126" t="s">
        <v>42</v>
      </c>
      <c r="F275" s="252">
        <v>3218.5</v>
      </c>
      <c r="G275" s="197">
        <v>562</v>
      </c>
    </row>
    <row r="276" spans="1:7" ht="15">
      <c r="A276" s="190">
        <v>273</v>
      </c>
      <c r="B276" s="147" t="s">
        <v>128</v>
      </c>
      <c r="C276" s="116">
        <v>39038</v>
      </c>
      <c r="D276" s="126" t="s">
        <v>48</v>
      </c>
      <c r="E276" s="126" t="s">
        <v>42</v>
      </c>
      <c r="F276" s="252">
        <v>825</v>
      </c>
      <c r="G276" s="197">
        <v>165</v>
      </c>
    </row>
    <row r="277" spans="1:7" ht="15">
      <c r="A277" s="193">
        <v>274</v>
      </c>
      <c r="B277" s="337" t="s">
        <v>128</v>
      </c>
      <c r="C277" s="116">
        <v>39038</v>
      </c>
      <c r="D277" s="178" t="s">
        <v>48</v>
      </c>
      <c r="E277" s="178" t="s">
        <v>42</v>
      </c>
      <c r="F277" s="252">
        <v>210</v>
      </c>
      <c r="G277" s="197">
        <v>35</v>
      </c>
    </row>
    <row r="278" spans="1:7" ht="15">
      <c r="A278" s="190">
        <v>275</v>
      </c>
      <c r="B278" s="337" t="s">
        <v>128</v>
      </c>
      <c r="C278" s="116">
        <v>39038</v>
      </c>
      <c r="D278" s="178" t="s">
        <v>48</v>
      </c>
      <c r="E278" s="178" t="s">
        <v>42</v>
      </c>
      <c r="F278" s="252">
        <v>102</v>
      </c>
      <c r="G278" s="197">
        <v>17</v>
      </c>
    </row>
    <row r="279" spans="1:7" ht="15">
      <c r="A279" s="193">
        <v>276</v>
      </c>
      <c r="B279" s="247" t="s">
        <v>305</v>
      </c>
      <c r="C279" s="119">
        <v>38828</v>
      </c>
      <c r="D279" s="128" t="s">
        <v>64</v>
      </c>
      <c r="E279" s="129" t="s">
        <v>306</v>
      </c>
      <c r="F279" s="258">
        <v>949</v>
      </c>
      <c r="G279" s="198">
        <v>190</v>
      </c>
    </row>
    <row r="280" spans="1:7" ht="15">
      <c r="A280" s="190">
        <v>277</v>
      </c>
      <c r="B280" s="248" t="s">
        <v>229</v>
      </c>
      <c r="C280" s="117">
        <v>38814</v>
      </c>
      <c r="D280" s="132" t="s">
        <v>23</v>
      </c>
      <c r="E280" s="131" t="s">
        <v>193</v>
      </c>
      <c r="F280" s="254">
        <v>4276</v>
      </c>
      <c r="G280" s="196">
        <v>1069</v>
      </c>
    </row>
    <row r="281" spans="1:7" ht="15">
      <c r="A281" s="193">
        <v>278</v>
      </c>
      <c r="B281" s="181" t="s">
        <v>153</v>
      </c>
      <c r="C281" s="117">
        <v>39038</v>
      </c>
      <c r="D281" s="177" t="s">
        <v>58</v>
      </c>
      <c r="E281" s="177" t="s">
        <v>154</v>
      </c>
      <c r="F281" s="250">
        <v>2427</v>
      </c>
      <c r="G281" s="196">
        <v>457</v>
      </c>
    </row>
    <row r="282" spans="1:7" ht="15">
      <c r="A282" s="193">
        <v>279</v>
      </c>
      <c r="B282" s="149" t="s">
        <v>153</v>
      </c>
      <c r="C282" s="117">
        <v>39038</v>
      </c>
      <c r="D282" s="282" t="s">
        <v>58</v>
      </c>
      <c r="E282" s="282" t="s">
        <v>248</v>
      </c>
      <c r="F282" s="250">
        <v>1802</v>
      </c>
      <c r="G282" s="196">
        <v>212</v>
      </c>
    </row>
    <row r="283" spans="1:7" ht="15">
      <c r="A283" s="190">
        <v>280</v>
      </c>
      <c r="B283" s="338" t="s">
        <v>153</v>
      </c>
      <c r="C283" s="117">
        <v>39038</v>
      </c>
      <c r="D283" s="177" t="s">
        <v>58</v>
      </c>
      <c r="E283" s="177" t="s">
        <v>154</v>
      </c>
      <c r="F283" s="250">
        <v>1782</v>
      </c>
      <c r="G283" s="196">
        <v>446</v>
      </c>
    </row>
    <row r="284" spans="1:7" ht="15">
      <c r="A284" s="193">
        <v>281</v>
      </c>
      <c r="B284" s="149" t="s">
        <v>153</v>
      </c>
      <c r="C284" s="117">
        <v>39038</v>
      </c>
      <c r="D284" s="128" t="s">
        <v>58</v>
      </c>
      <c r="E284" s="128" t="s">
        <v>154</v>
      </c>
      <c r="F284" s="250">
        <v>1511</v>
      </c>
      <c r="G284" s="196">
        <v>303</v>
      </c>
    </row>
    <row r="285" spans="1:7" ht="15">
      <c r="A285" s="190">
        <v>282</v>
      </c>
      <c r="B285" s="148" t="s">
        <v>153</v>
      </c>
      <c r="C285" s="151">
        <v>39038</v>
      </c>
      <c r="D285" s="274" t="s">
        <v>58</v>
      </c>
      <c r="E285" s="273" t="s">
        <v>248</v>
      </c>
      <c r="F285" s="256">
        <v>1189</v>
      </c>
      <c r="G285" s="157">
        <v>238</v>
      </c>
    </row>
    <row r="286" spans="1:7" ht="15">
      <c r="A286" s="193">
        <v>283</v>
      </c>
      <c r="B286" s="149" t="s">
        <v>153</v>
      </c>
      <c r="C286" s="117">
        <v>39038</v>
      </c>
      <c r="D286" s="128" t="s">
        <v>58</v>
      </c>
      <c r="E286" s="128" t="s">
        <v>154</v>
      </c>
      <c r="F286" s="250">
        <v>460</v>
      </c>
      <c r="G286" s="196">
        <v>92</v>
      </c>
    </row>
    <row r="287" spans="1:7" ht="15">
      <c r="A287" s="190">
        <v>284</v>
      </c>
      <c r="B287" s="248" t="s">
        <v>153</v>
      </c>
      <c r="C287" s="117">
        <v>39038</v>
      </c>
      <c r="D287" s="323" t="s">
        <v>58</v>
      </c>
      <c r="E287" s="323" t="s">
        <v>154</v>
      </c>
      <c r="F287" s="250">
        <v>286</v>
      </c>
      <c r="G287" s="196">
        <v>63</v>
      </c>
    </row>
    <row r="288" spans="1:7" ht="15">
      <c r="A288" s="193">
        <v>285</v>
      </c>
      <c r="B288" s="335" t="s">
        <v>153</v>
      </c>
      <c r="C288" s="329">
        <v>39038</v>
      </c>
      <c r="D288" s="328" t="s">
        <v>58</v>
      </c>
      <c r="E288" s="328" t="s">
        <v>154</v>
      </c>
      <c r="F288" s="340">
        <v>188</v>
      </c>
      <c r="G288" s="342">
        <v>42</v>
      </c>
    </row>
    <row r="289" spans="1:7" ht="15">
      <c r="A289" s="193">
        <v>286</v>
      </c>
      <c r="B289" s="248" t="s">
        <v>201</v>
      </c>
      <c r="C289" s="117">
        <v>38982</v>
      </c>
      <c r="D289" s="132" t="s">
        <v>23</v>
      </c>
      <c r="E289" s="131" t="s">
        <v>202</v>
      </c>
      <c r="F289" s="250">
        <v>3560</v>
      </c>
      <c r="G289" s="196">
        <v>890</v>
      </c>
    </row>
    <row r="290" spans="1:7" ht="15">
      <c r="A290" s="190">
        <v>287</v>
      </c>
      <c r="B290" s="150" t="s">
        <v>201</v>
      </c>
      <c r="C290" s="117">
        <v>38982</v>
      </c>
      <c r="D290" s="132" t="s">
        <v>23</v>
      </c>
      <c r="E290" s="131" t="s">
        <v>202</v>
      </c>
      <c r="F290" s="250">
        <v>1780</v>
      </c>
      <c r="G290" s="196">
        <v>445</v>
      </c>
    </row>
    <row r="291" spans="1:7" ht="15">
      <c r="A291" s="193">
        <v>288</v>
      </c>
      <c r="B291" s="248" t="s">
        <v>157</v>
      </c>
      <c r="C291" s="117">
        <v>39045</v>
      </c>
      <c r="D291" s="132" t="s">
        <v>23</v>
      </c>
      <c r="E291" s="131" t="s">
        <v>158</v>
      </c>
      <c r="F291" s="254">
        <v>1068</v>
      </c>
      <c r="G291" s="196">
        <v>267</v>
      </c>
    </row>
    <row r="292" spans="1:7" ht="15">
      <c r="A292" s="190">
        <v>289</v>
      </c>
      <c r="B292" s="181" t="s">
        <v>157</v>
      </c>
      <c r="C292" s="117">
        <v>39045</v>
      </c>
      <c r="D292" s="177" t="s">
        <v>23</v>
      </c>
      <c r="E292" s="177" t="s">
        <v>158</v>
      </c>
      <c r="F292" s="250">
        <v>851.5</v>
      </c>
      <c r="G292" s="196">
        <v>142</v>
      </c>
    </row>
    <row r="293" spans="1:7" ht="15">
      <c r="A293" s="193">
        <v>290</v>
      </c>
      <c r="B293" s="150" t="s">
        <v>157</v>
      </c>
      <c r="C293" s="117">
        <v>39045</v>
      </c>
      <c r="D293" s="132" t="s">
        <v>23</v>
      </c>
      <c r="E293" s="131" t="s">
        <v>158</v>
      </c>
      <c r="F293" s="250">
        <v>290.5</v>
      </c>
      <c r="G293" s="196">
        <v>39</v>
      </c>
    </row>
    <row r="294" spans="1:7" ht="15">
      <c r="A294" s="190">
        <v>291</v>
      </c>
      <c r="B294" s="248" t="s">
        <v>157</v>
      </c>
      <c r="C294" s="117">
        <v>39045</v>
      </c>
      <c r="D294" s="132" t="s">
        <v>23</v>
      </c>
      <c r="E294" s="131" t="s">
        <v>158</v>
      </c>
      <c r="F294" s="250">
        <v>236</v>
      </c>
      <c r="G294" s="196">
        <v>97</v>
      </c>
    </row>
    <row r="295" spans="1:7" ht="15">
      <c r="A295" s="193">
        <v>292</v>
      </c>
      <c r="B295" s="150" t="s">
        <v>157</v>
      </c>
      <c r="C295" s="117">
        <v>39045</v>
      </c>
      <c r="D295" s="132" t="s">
        <v>23</v>
      </c>
      <c r="E295" s="131" t="s">
        <v>158</v>
      </c>
      <c r="F295" s="250">
        <v>176</v>
      </c>
      <c r="G295" s="196">
        <v>68</v>
      </c>
    </row>
    <row r="296" spans="1:7" ht="15">
      <c r="A296" s="193">
        <v>293</v>
      </c>
      <c r="B296" s="248" t="s">
        <v>157</v>
      </c>
      <c r="C296" s="117">
        <v>39045</v>
      </c>
      <c r="D296" s="132" t="s">
        <v>23</v>
      </c>
      <c r="E296" s="131" t="s">
        <v>158</v>
      </c>
      <c r="F296" s="250">
        <v>74</v>
      </c>
      <c r="G296" s="196">
        <v>14</v>
      </c>
    </row>
    <row r="297" spans="1:7" ht="15">
      <c r="A297" s="190">
        <v>294</v>
      </c>
      <c r="B297" s="150" t="s">
        <v>274</v>
      </c>
      <c r="C297" s="117">
        <v>39045</v>
      </c>
      <c r="D297" s="276" t="s">
        <v>23</v>
      </c>
      <c r="E297" s="277" t="s">
        <v>158</v>
      </c>
      <c r="F297" s="254">
        <v>372</v>
      </c>
      <c r="G297" s="159">
        <v>124</v>
      </c>
    </row>
    <row r="298" spans="1:7" ht="15">
      <c r="A298" s="193">
        <v>295</v>
      </c>
      <c r="B298" s="147" t="s">
        <v>121</v>
      </c>
      <c r="C298" s="116">
        <v>39073</v>
      </c>
      <c r="D298" s="126" t="s">
        <v>48</v>
      </c>
      <c r="E298" s="126" t="s">
        <v>33</v>
      </c>
      <c r="F298" s="257">
        <v>1289903.5</v>
      </c>
      <c r="G298" s="158">
        <v>169709</v>
      </c>
    </row>
    <row r="299" spans="1:7" ht="15">
      <c r="A299" s="190">
        <v>296</v>
      </c>
      <c r="B299" s="180" t="s">
        <v>121</v>
      </c>
      <c r="C299" s="116">
        <v>39073</v>
      </c>
      <c r="D299" s="178" t="s">
        <v>48</v>
      </c>
      <c r="E299" s="178" t="s">
        <v>33</v>
      </c>
      <c r="F299" s="252">
        <v>386658</v>
      </c>
      <c r="G299" s="197">
        <v>52723</v>
      </c>
    </row>
    <row r="300" spans="1:7" ht="15">
      <c r="A300" s="193">
        <v>297</v>
      </c>
      <c r="B300" s="147" t="s">
        <v>121</v>
      </c>
      <c r="C300" s="116">
        <v>39073</v>
      </c>
      <c r="D300" s="126" t="s">
        <v>48</v>
      </c>
      <c r="E300" s="126" t="s">
        <v>33</v>
      </c>
      <c r="F300" s="252">
        <v>174047.5</v>
      </c>
      <c r="G300" s="197">
        <v>26534</v>
      </c>
    </row>
    <row r="301" spans="1:7" ht="15">
      <c r="A301" s="190">
        <v>298</v>
      </c>
      <c r="B301" s="246" t="s">
        <v>121</v>
      </c>
      <c r="C301" s="116">
        <v>39073</v>
      </c>
      <c r="D301" s="126" t="s">
        <v>48</v>
      </c>
      <c r="E301" s="126" t="s">
        <v>33</v>
      </c>
      <c r="F301" s="252">
        <v>53640.5</v>
      </c>
      <c r="G301" s="197">
        <v>10972</v>
      </c>
    </row>
    <row r="302" spans="1:7" ht="15">
      <c r="A302" s="193">
        <v>299</v>
      </c>
      <c r="B302" s="147" t="s">
        <v>121</v>
      </c>
      <c r="C302" s="116">
        <v>39073</v>
      </c>
      <c r="D302" s="273" t="s">
        <v>48</v>
      </c>
      <c r="E302" s="273" t="s">
        <v>33</v>
      </c>
      <c r="F302" s="252">
        <v>19067</v>
      </c>
      <c r="G302" s="197">
        <v>3834</v>
      </c>
    </row>
    <row r="303" spans="1:7" ht="15">
      <c r="A303" s="193">
        <v>300</v>
      </c>
      <c r="B303" s="246" t="s">
        <v>121</v>
      </c>
      <c r="C303" s="116">
        <v>39073</v>
      </c>
      <c r="D303" s="273" t="s">
        <v>48</v>
      </c>
      <c r="E303" s="273" t="s">
        <v>33</v>
      </c>
      <c r="F303" s="257">
        <v>16336.5</v>
      </c>
      <c r="G303" s="158">
        <v>3779</v>
      </c>
    </row>
    <row r="304" spans="1:7" ht="15">
      <c r="A304" s="190">
        <v>301</v>
      </c>
      <c r="B304" s="246" t="s">
        <v>121</v>
      </c>
      <c r="C304" s="116">
        <v>39073</v>
      </c>
      <c r="D304" s="126" t="s">
        <v>48</v>
      </c>
      <c r="E304" s="126" t="s">
        <v>33</v>
      </c>
      <c r="F304" s="257">
        <v>13202</v>
      </c>
      <c r="G304" s="197">
        <v>2814</v>
      </c>
    </row>
    <row r="305" spans="1:7" ht="15">
      <c r="A305" s="193">
        <v>302</v>
      </c>
      <c r="B305" s="147" t="s">
        <v>121</v>
      </c>
      <c r="C305" s="116">
        <v>39073</v>
      </c>
      <c r="D305" s="126" t="s">
        <v>48</v>
      </c>
      <c r="E305" s="126" t="s">
        <v>33</v>
      </c>
      <c r="F305" s="252">
        <v>11222</v>
      </c>
      <c r="G305" s="197">
        <v>2184</v>
      </c>
    </row>
    <row r="306" spans="1:7" ht="15">
      <c r="A306" s="190">
        <v>303</v>
      </c>
      <c r="B306" s="147" t="s">
        <v>121</v>
      </c>
      <c r="C306" s="116">
        <v>39073</v>
      </c>
      <c r="D306" s="273" t="s">
        <v>48</v>
      </c>
      <c r="E306" s="273" t="s">
        <v>33</v>
      </c>
      <c r="F306" s="257">
        <v>4695</v>
      </c>
      <c r="G306" s="158">
        <v>945</v>
      </c>
    </row>
    <row r="307" spans="1:7" ht="15">
      <c r="A307" s="193">
        <v>304</v>
      </c>
      <c r="B307" s="246" t="s">
        <v>121</v>
      </c>
      <c r="C307" s="116">
        <v>39073</v>
      </c>
      <c r="D307" s="126" t="s">
        <v>48</v>
      </c>
      <c r="E307" s="126" t="s">
        <v>33</v>
      </c>
      <c r="F307" s="252">
        <v>4541</v>
      </c>
      <c r="G307" s="197">
        <v>777</v>
      </c>
    </row>
    <row r="308" spans="1:7" ht="15">
      <c r="A308" s="190">
        <v>305</v>
      </c>
      <c r="B308" s="334" t="s">
        <v>121</v>
      </c>
      <c r="C308" s="327">
        <v>39073</v>
      </c>
      <c r="D308" s="326" t="s">
        <v>48</v>
      </c>
      <c r="E308" s="326" t="s">
        <v>33</v>
      </c>
      <c r="F308" s="252">
        <v>3319</v>
      </c>
      <c r="G308" s="197">
        <v>761</v>
      </c>
    </row>
    <row r="309" spans="1:7" ht="15">
      <c r="A309" s="193">
        <v>306</v>
      </c>
      <c r="B309" s="337" t="s">
        <v>121</v>
      </c>
      <c r="C309" s="116">
        <v>39073</v>
      </c>
      <c r="D309" s="178" t="s">
        <v>48</v>
      </c>
      <c r="E309" s="178" t="s">
        <v>33</v>
      </c>
      <c r="F309" s="252">
        <v>1437</v>
      </c>
      <c r="G309" s="197">
        <v>298</v>
      </c>
    </row>
    <row r="310" spans="1:7" ht="15">
      <c r="A310" s="193">
        <v>307</v>
      </c>
      <c r="B310" s="246" t="s">
        <v>121</v>
      </c>
      <c r="C310" s="116">
        <v>39073</v>
      </c>
      <c r="D310" s="126" t="s">
        <v>48</v>
      </c>
      <c r="E310" s="126" t="s">
        <v>33</v>
      </c>
      <c r="F310" s="252">
        <v>1360</v>
      </c>
      <c r="G310" s="197">
        <v>312</v>
      </c>
    </row>
    <row r="311" spans="1:7" ht="15">
      <c r="A311" s="190">
        <v>308</v>
      </c>
      <c r="B311" s="337" t="s">
        <v>121</v>
      </c>
      <c r="C311" s="116">
        <v>39073</v>
      </c>
      <c r="D311" s="178" t="s">
        <v>48</v>
      </c>
      <c r="E311" s="178" t="s">
        <v>33</v>
      </c>
      <c r="F311" s="252">
        <v>554</v>
      </c>
      <c r="G311" s="197">
        <v>128</v>
      </c>
    </row>
    <row r="312" spans="1:7" ht="15">
      <c r="A312" s="193">
        <v>309</v>
      </c>
      <c r="B312" s="249" t="s">
        <v>121</v>
      </c>
      <c r="C312" s="116">
        <v>39073</v>
      </c>
      <c r="D312" s="321" t="s">
        <v>48</v>
      </c>
      <c r="E312" s="321" t="s">
        <v>338</v>
      </c>
      <c r="F312" s="252">
        <v>400</v>
      </c>
      <c r="G312" s="197">
        <v>80</v>
      </c>
    </row>
    <row r="313" spans="1:7" ht="15">
      <c r="A313" s="190">
        <v>310</v>
      </c>
      <c r="B313" s="246" t="s">
        <v>121</v>
      </c>
      <c r="C313" s="116">
        <v>39073</v>
      </c>
      <c r="D313" s="126" t="s">
        <v>48</v>
      </c>
      <c r="E313" s="126" t="s">
        <v>33</v>
      </c>
      <c r="F313" s="257">
        <v>145</v>
      </c>
      <c r="G313" s="197">
        <v>29</v>
      </c>
    </row>
    <row r="314" spans="1:7" ht="15">
      <c r="A314" s="193">
        <v>311</v>
      </c>
      <c r="B314" s="248" t="s">
        <v>247</v>
      </c>
      <c r="C314" s="117">
        <v>38779</v>
      </c>
      <c r="D314" s="276" t="s">
        <v>23</v>
      </c>
      <c r="E314" s="277" t="s">
        <v>196</v>
      </c>
      <c r="F314" s="254">
        <v>3560</v>
      </c>
      <c r="G314" s="159">
        <v>890</v>
      </c>
    </row>
    <row r="315" spans="1:7" ht="15">
      <c r="A315" s="190">
        <v>312</v>
      </c>
      <c r="B315" s="248" t="s">
        <v>321</v>
      </c>
      <c r="C315" s="117">
        <v>38856</v>
      </c>
      <c r="D315" s="132" t="s">
        <v>23</v>
      </c>
      <c r="E315" s="131" t="s">
        <v>322</v>
      </c>
      <c r="F315" s="254">
        <v>1664</v>
      </c>
      <c r="G315" s="196">
        <v>416</v>
      </c>
    </row>
    <row r="316" spans="1:7" ht="15">
      <c r="A316" s="193">
        <v>313</v>
      </c>
      <c r="B316" s="248" t="s">
        <v>230</v>
      </c>
      <c r="C316" s="117">
        <v>38548</v>
      </c>
      <c r="D316" s="132" t="s">
        <v>23</v>
      </c>
      <c r="E316" s="131" t="s">
        <v>205</v>
      </c>
      <c r="F316" s="254">
        <v>236</v>
      </c>
      <c r="G316" s="196">
        <v>59</v>
      </c>
    </row>
    <row r="317" spans="1:7" ht="15">
      <c r="A317" s="193">
        <v>314</v>
      </c>
      <c r="B317" s="181" t="s">
        <v>152</v>
      </c>
      <c r="C317" s="117">
        <v>37246</v>
      </c>
      <c r="D317" s="178" t="s">
        <v>46</v>
      </c>
      <c r="E317" s="178" t="s">
        <v>150</v>
      </c>
      <c r="F317" s="251">
        <v>6255</v>
      </c>
      <c r="G317" s="195">
        <v>2085</v>
      </c>
    </row>
    <row r="318" spans="1:7" ht="15">
      <c r="A318" s="190">
        <v>315</v>
      </c>
      <c r="B318" s="181" t="s">
        <v>151</v>
      </c>
      <c r="C318" s="117">
        <v>37610</v>
      </c>
      <c r="D318" s="178" t="s">
        <v>46</v>
      </c>
      <c r="E318" s="178" t="s">
        <v>150</v>
      </c>
      <c r="F318" s="250">
        <v>6255</v>
      </c>
      <c r="G318" s="196">
        <v>2085</v>
      </c>
    </row>
    <row r="319" spans="1:7" ht="15">
      <c r="A319" s="193">
        <v>316</v>
      </c>
      <c r="B319" s="180" t="s">
        <v>149</v>
      </c>
      <c r="C319" s="116">
        <v>37974</v>
      </c>
      <c r="D319" s="178" t="s">
        <v>46</v>
      </c>
      <c r="E319" s="178" t="s">
        <v>150</v>
      </c>
      <c r="F319" s="251">
        <v>6255</v>
      </c>
      <c r="G319" s="195">
        <v>2085</v>
      </c>
    </row>
    <row r="320" spans="1:7" ht="15">
      <c r="A320" s="190">
        <v>317</v>
      </c>
      <c r="B320" s="338" t="s">
        <v>365</v>
      </c>
      <c r="C320" s="117">
        <v>38660</v>
      </c>
      <c r="D320" s="177" t="s">
        <v>23</v>
      </c>
      <c r="E320" s="177" t="s">
        <v>205</v>
      </c>
      <c r="F320" s="250">
        <v>4276</v>
      </c>
      <c r="G320" s="196">
        <v>1069</v>
      </c>
    </row>
    <row r="321" spans="1:7" ht="15">
      <c r="A321" s="193">
        <v>318</v>
      </c>
      <c r="B321" s="150" t="s">
        <v>270</v>
      </c>
      <c r="C321" s="117">
        <v>38688</v>
      </c>
      <c r="D321" s="276" t="s">
        <v>23</v>
      </c>
      <c r="E321" s="277" t="s">
        <v>85</v>
      </c>
      <c r="F321" s="254">
        <v>1664</v>
      </c>
      <c r="G321" s="159">
        <v>416</v>
      </c>
    </row>
    <row r="322" spans="1:7" ht="15">
      <c r="A322" s="190">
        <v>319</v>
      </c>
      <c r="B322" s="181" t="s">
        <v>156</v>
      </c>
      <c r="C322" s="117">
        <v>38842</v>
      </c>
      <c r="D322" s="177" t="s">
        <v>57</v>
      </c>
      <c r="E322" s="177" t="s">
        <v>60</v>
      </c>
      <c r="F322" s="250">
        <v>1155</v>
      </c>
      <c r="G322" s="196">
        <v>350</v>
      </c>
    </row>
    <row r="323" spans="1:7" ht="15">
      <c r="A323" s="193">
        <v>320</v>
      </c>
      <c r="B323" s="249" t="s">
        <v>300</v>
      </c>
      <c r="C323" s="116">
        <v>38296</v>
      </c>
      <c r="D323" s="129" t="s">
        <v>46</v>
      </c>
      <c r="E323" s="129" t="s">
        <v>185</v>
      </c>
      <c r="F323" s="251">
        <v>5346</v>
      </c>
      <c r="G323" s="195">
        <v>1782</v>
      </c>
    </row>
    <row r="324" spans="1:7" ht="15">
      <c r="A324" s="193">
        <v>321</v>
      </c>
      <c r="B324" s="247" t="s">
        <v>304</v>
      </c>
      <c r="C324" s="117">
        <v>39038</v>
      </c>
      <c r="D324" s="128" t="s">
        <v>58</v>
      </c>
      <c r="E324" s="128" t="s">
        <v>66</v>
      </c>
      <c r="F324" s="250">
        <v>2376</v>
      </c>
      <c r="G324" s="196">
        <v>475</v>
      </c>
    </row>
    <row r="325" spans="1:7" ht="15">
      <c r="A325" s="190">
        <v>322</v>
      </c>
      <c r="B325" s="145" t="s">
        <v>255</v>
      </c>
      <c r="C325" s="116">
        <v>38996</v>
      </c>
      <c r="D325" s="275" t="s">
        <v>73</v>
      </c>
      <c r="E325" s="275" t="s">
        <v>135</v>
      </c>
      <c r="F325" s="251">
        <v>1737</v>
      </c>
      <c r="G325" s="195">
        <v>255</v>
      </c>
    </row>
    <row r="326" spans="1:7" ht="15">
      <c r="A326" s="193">
        <v>323</v>
      </c>
      <c r="B326" s="149" t="s">
        <v>105</v>
      </c>
      <c r="C326" s="117">
        <v>38954</v>
      </c>
      <c r="D326" s="128" t="s">
        <v>57</v>
      </c>
      <c r="E326" s="128" t="s">
        <v>65</v>
      </c>
      <c r="F326" s="250">
        <v>1156</v>
      </c>
      <c r="G326" s="196">
        <v>350</v>
      </c>
    </row>
    <row r="327" spans="1:7" ht="15">
      <c r="A327" s="190">
        <v>324</v>
      </c>
      <c r="B327" s="148" t="s">
        <v>105</v>
      </c>
      <c r="C327" s="151">
        <v>38954</v>
      </c>
      <c r="D327" s="128" t="s">
        <v>57</v>
      </c>
      <c r="E327" s="146" t="s">
        <v>65</v>
      </c>
      <c r="F327" s="256">
        <v>413</v>
      </c>
      <c r="G327" s="157">
        <v>100</v>
      </c>
    </row>
    <row r="328" spans="1:7" ht="15">
      <c r="A328" s="193">
        <v>325</v>
      </c>
      <c r="B328" s="147" t="s">
        <v>167</v>
      </c>
      <c r="C328" s="116">
        <v>38639</v>
      </c>
      <c r="D328" s="126" t="s">
        <v>48</v>
      </c>
      <c r="E328" s="126" t="s">
        <v>25</v>
      </c>
      <c r="F328" s="252">
        <v>1946</v>
      </c>
      <c r="G328" s="197">
        <v>278</v>
      </c>
    </row>
    <row r="329" spans="1:7" ht="15">
      <c r="A329" s="190">
        <v>326</v>
      </c>
      <c r="B329" s="247" t="s">
        <v>169</v>
      </c>
      <c r="C329" s="117">
        <v>38800</v>
      </c>
      <c r="D329" s="128" t="s">
        <v>58</v>
      </c>
      <c r="E329" s="128" t="s">
        <v>59</v>
      </c>
      <c r="F329" s="254">
        <v>3021</v>
      </c>
      <c r="G329" s="159">
        <v>604</v>
      </c>
    </row>
    <row r="330" spans="1:7" ht="15">
      <c r="A330" s="193">
        <v>327</v>
      </c>
      <c r="B330" s="149" t="s">
        <v>169</v>
      </c>
      <c r="C330" s="117">
        <v>38800</v>
      </c>
      <c r="D330" s="128" t="s">
        <v>58</v>
      </c>
      <c r="E330" s="128" t="s">
        <v>59</v>
      </c>
      <c r="F330" s="250">
        <v>1510</v>
      </c>
      <c r="G330" s="196">
        <v>302</v>
      </c>
    </row>
    <row r="331" spans="1:7" ht="15">
      <c r="A331" s="193">
        <v>328</v>
      </c>
      <c r="B331" s="249" t="s">
        <v>307</v>
      </c>
      <c r="C331" s="116">
        <v>39073</v>
      </c>
      <c r="D331" s="127" t="s">
        <v>56</v>
      </c>
      <c r="E331" s="126" t="s">
        <v>11</v>
      </c>
      <c r="F331" s="255">
        <v>736993</v>
      </c>
      <c r="G331" s="156">
        <v>80041</v>
      </c>
    </row>
    <row r="332" spans="1:7" ht="15">
      <c r="A332" s="190">
        <v>329</v>
      </c>
      <c r="B332" s="249" t="s">
        <v>307</v>
      </c>
      <c r="C332" s="116">
        <v>39073</v>
      </c>
      <c r="D332" s="178" t="s">
        <v>56</v>
      </c>
      <c r="E332" s="178" t="s">
        <v>11</v>
      </c>
      <c r="F332" s="251">
        <v>318216</v>
      </c>
      <c r="G332" s="195">
        <v>36145</v>
      </c>
    </row>
    <row r="333" spans="1:7" ht="15">
      <c r="A333" s="193">
        <v>330</v>
      </c>
      <c r="B333" s="249" t="s">
        <v>307</v>
      </c>
      <c r="C333" s="116">
        <v>39073</v>
      </c>
      <c r="D333" s="127" t="s">
        <v>56</v>
      </c>
      <c r="E333" s="126" t="s">
        <v>11</v>
      </c>
      <c r="F333" s="251">
        <v>148350</v>
      </c>
      <c r="G333" s="195">
        <v>17661</v>
      </c>
    </row>
    <row r="334" spans="1:7" ht="15">
      <c r="A334" s="190">
        <v>331</v>
      </c>
      <c r="B334" s="249" t="s">
        <v>307</v>
      </c>
      <c r="C334" s="116">
        <v>39073</v>
      </c>
      <c r="D334" s="127" t="s">
        <v>56</v>
      </c>
      <c r="E334" s="126" t="s">
        <v>11</v>
      </c>
      <c r="F334" s="251">
        <v>83269</v>
      </c>
      <c r="G334" s="195">
        <v>10172</v>
      </c>
    </row>
    <row r="335" spans="1:7" ht="15">
      <c r="A335" s="193">
        <v>332</v>
      </c>
      <c r="B335" s="249" t="s">
        <v>307</v>
      </c>
      <c r="C335" s="116">
        <v>39073</v>
      </c>
      <c r="D335" s="127" t="s">
        <v>56</v>
      </c>
      <c r="E335" s="126" t="s">
        <v>11</v>
      </c>
      <c r="F335" s="251">
        <v>13464</v>
      </c>
      <c r="G335" s="195">
        <v>1277</v>
      </c>
    </row>
    <row r="336" spans="1:7" ht="15">
      <c r="A336" s="190">
        <v>333</v>
      </c>
      <c r="B336" s="249" t="s">
        <v>307</v>
      </c>
      <c r="C336" s="116">
        <v>39073</v>
      </c>
      <c r="D336" s="272" t="s">
        <v>56</v>
      </c>
      <c r="E336" s="273" t="s">
        <v>11</v>
      </c>
      <c r="F336" s="255">
        <v>3459</v>
      </c>
      <c r="G336" s="156">
        <v>1543</v>
      </c>
    </row>
    <row r="337" spans="1:7" ht="15">
      <c r="A337" s="193">
        <v>334</v>
      </c>
      <c r="B337" s="249" t="s">
        <v>307</v>
      </c>
      <c r="C337" s="116">
        <v>39073</v>
      </c>
      <c r="D337" s="272" t="s">
        <v>56</v>
      </c>
      <c r="E337" s="273" t="s">
        <v>11</v>
      </c>
      <c r="F337" s="255">
        <v>2344</v>
      </c>
      <c r="G337" s="156">
        <v>389</v>
      </c>
    </row>
    <row r="338" spans="1:7" ht="15">
      <c r="A338" s="193">
        <v>335</v>
      </c>
      <c r="B338" s="249" t="s">
        <v>307</v>
      </c>
      <c r="C338" s="116">
        <v>39073</v>
      </c>
      <c r="D338" s="272" t="s">
        <v>56</v>
      </c>
      <c r="E338" s="273" t="s">
        <v>11</v>
      </c>
      <c r="F338" s="251">
        <v>2218</v>
      </c>
      <c r="G338" s="195">
        <v>444</v>
      </c>
    </row>
    <row r="339" spans="1:7" ht="15">
      <c r="A339" s="190">
        <v>336</v>
      </c>
      <c r="B339" s="249" t="s">
        <v>307</v>
      </c>
      <c r="C339" s="116">
        <v>39073</v>
      </c>
      <c r="D339" s="127" t="s">
        <v>56</v>
      </c>
      <c r="E339" s="126" t="s">
        <v>11</v>
      </c>
      <c r="F339" s="251">
        <v>2077</v>
      </c>
      <c r="G339" s="195">
        <v>644</v>
      </c>
    </row>
    <row r="340" spans="1:7" ht="15">
      <c r="A340" s="193">
        <v>337</v>
      </c>
      <c r="B340" s="249" t="s">
        <v>307</v>
      </c>
      <c r="C340" s="116">
        <v>39073</v>
      </c>
      <c r="D340" s="321" t="s">
        <v>56</v>
      </c>
      <c r="E340" s="321" t="s">
        <v>11</v>
      </c>
      <c r="F340" s="251">
        <v>1365</v>
      </c>
      <c r="G340" s="195">
        <v>228</v>
      </c>
    </row>
    <row r="341" spans="1:7" ht="15">
      <c r="A341" s="190">
        <v>338</v>
      </c>
      <c r="B341" s="246" t="s">
        <v>307</v>
      </c>
      <c r="C341" s="116">
        <v>39073</v>
      </c>
      <c r="D341" s="127" t="s">
        <v>56</v>
      </c>
      <c r="E341" s="126" t="s">
        <v>11</v>
      </c>
      <c r="F341" s="255">
        <v>1317</v>
      </c>
      <c r="G341" s="195">
        <v>223</v>
      </c>
    </row>
    <row r="342" spans="1:7" ht="15">
      <c r="A342" s="193">
        <v>339</v>
      </c>
      <c r="B342" s="249" t="s">
        <v>307</v>
      </c>
      <c r="C342" s="116">
        <v>39073</v>
      </c>
      <c r="D342" s="127" t="s">
        <v>56</v>
      </c>
      <c r="E342" s="126" t="s">
        <v>11</v>
      </c>
      <c r="F342" s="255">
        <v>1073</v>
      </c>
      <c r="G342" s="195">
        <v>200</v>
      </c>
    </row>
    <row r="343" spans="1:7" ht="15">
      <c r="A343" s="190">
        <v>340</v>
      </c>
      <c r="B343" s="246" t="s">
        <v>307</v>
      </c>
      <c r="C343" s="116">
        <v>39073</v>
      </c>
      <c r="D343" s="127" t="s">
        <v>56</v>
      </c>
      <c r="E343" s="126" t="s">
        <v>11</v>
      </c>
      <c r="F343" s="251">
        <v>628</v>
      </c>
      <c r="G343" s="195">
        <v>89</v>
      </c>
    </row>
    <row r="344" spans="1:7" ht="15">
      <c r="A344" s="193">
        <v>341</v>
      </c>
      <c r="B344" s="249" t="s">
        <v>331</v>
      </c>
      <c r="C344" s="116">
        <v>38968</v>
      </c>
      <c r="D344" s="321" t="s">
        <v>48</v>
      </c>
      <c r="E344" s="321" t="s">
        <v>70</v>
      </c>
      <c r="F344" s="252">
        <v>996</v>
      </c>
      <c r="G344" s="197">
        <v>166</v>
      </c>
    </row>
    <row r="345" spans="1:7" ht="15">
      <c r="A345" s="193">
        <v>342</v>
      </c>
      <c r="B345" s="150" t="s">
        <v>115</v>
      </c>
      <c r="C345" s="117">
        <v>39066</v>
      </c>
      <c r="D345" s="276" t="s">
        <v>23</v>
      </c>
      <c r="E345" s="277" t="s">
        <v>25</v>
      </c>
      <c r="F345" s="250">
        <v>1068</v>
      </c>
      <c r="G345" s="196">
        <v>267</v>
      </c>
    </row>
    <row r="346" spans="1:7" ht="15">
      <c r="A346" s="190">
        <v>343</v>
      </c>
      <c r="B346" s="248" t="s">
        <v>115</v>
      </c>
      <c r="C346" s="117">
        <v>39066</v>
      </c>
      <c r="D346" s="323" t="s">
        <v>23</v>
      </c>
      <c r="E346" s="323" t="s">
        <v>25</v>
      </c>
      <c r="F346" s="250">
        <v>793</v>
      </c>
      <c r="G346" s="196">
        <v>109</v>
      </c>
    </row>
    <row r="347" spans="1:7" ht="15">
      <c r="A347" s="193">
        <v>344</v>
      </c>
      <c r="B347" s="248" t="s">
        <v>115</v>
      </c>
      <c r="C347" s="117">
        <v>39066</v>
      </c>
      <c r="D347" s="132" t="s">
        <v>23</v>
      </c>
      <c r="E347" s="131" t="s">
        <v>203</v>
      </c>
      <c r="F347" s="250">
        <v>420</v>
      </c>
      <c r="G347" s="196">
        <v>84</v>
      </c>
    </row>
    <row r="348" spans="1:7" ht="15">
      <c r="A348" s="190">
        <v>345</v>
      </c>
      <c r="B348" s="181" t="s">
        <v>115</v>
      </c>
      <c r="C348" s="117">
        <v>39066</v>
      </c>
      <c r="D348" s="177" t="s">
        <v>23</v>
      </c>
      <c r="E348" s="177" t="s">
        <v>25</v>
      </c>
      <c r="F348" s="250">
        <v>268</v>
      </c>
      <c r="G348" s="196">
        <v>28</v>
      </c>
    </row>
    <row r="349" spans="1:7" ht="15">
      <c r="A349" s="193">
        <v>346</v>
      </c>
      <c r="B349" s="150" t="s">
        <v>115</v>
      </c>
      <c r="C349" s="117">
        <v>39066</v>
      </c>
      <c r="D349" s="132" t="s">
        <v>23</v>
      </c>
      <c r="E349" s="131" t="s">
        <v>25</v>
      </c>
      <c r="F349" s="254">
        <v>212</v>
      </c>
      <c r="G349" s="159">
        <v>23</v>
      </c>
    </row>
    <row r="350" spans="1:7" ht="15">
      <c r="A350" s="190">
        <v>347</v>
      </c>
      <c r="B350" s="338" t="s">
        <v>115</v>
      </c>
      <c r="C350" s="117">
        <v>39066</v>
      </c>
      <c r="D350" s="177" t="s">
        <v>23</v>
      </c>
      <c r="E350" s="177" t="s">
        <v>203</v>
      </c>
      <c r="F350" s="250">
        <v>147</v>
      </c>
      <c r="G350" s="196">
        <v>36</v>
      </c>
    </row>
    <row r="351" spans="1:7" ht="15">
      <c r="A351" s="193">
        <v>348</v>
      </c>
      <c r="B351" s="149" t="s">
        <v>231</v>
      </c>
      <c r="C351" s="117">
        <v>38989</v>
      </c>
      <c r="D351" s="282" t="s">
        <v>58</v>
      </c>
      <c r="E351" s="282" t="s">
        <v>66</v>
      </c>
      <c r="F351" s="250">
        <v>1135</v>
      </c>
      <c r="G351" s="196">
        <v>216</v>
      </c>
    </row>
    <row r="352" spans="1:7" ht="15">
      <c r="A352" s="193">
        <v>349</v>
      </c>
      <c r="B352" s="148" t="s">
        <v>231</v>
      </c>
      <c r="C352" s="151">
        <v>38989</v>
      </c>
      <c r="D352" s="274" t="s">
        <v>66</v>
      </c>
      <c r="E352" s="273" t="s">
        <v>66</v>
      </c>
      <c r="F352" s="256">
        <v>1135</v>
      </c>
      <c r="G352" s="157">
        <v>216</v>
      </c>
    </row>
    <row r="353" spans="1:7" ht="15">
      <c r="A353" s="190">
        <v>350</v>
      </c>
      <c r="B353" s="247" t="s">
        <v>231</v>
      </c>
      <c r="C353" s="117">
        <v>38989</v>
      </c>
      <c r="D353" s="128" t="s">
        <v>58</v>
      </c>
      <c r="E353" s="128" t="s">
        <v>66</v>
      </c>
      <c r="F353" s="254">
        <v>397</v>
      </c>
      <c r="G353" s="196">
        <v>77</v>
      </c>
    </row>
    <row r="354" spans="1:7" ht="15">
      <c r="A354" s="193">
        <v>351</v>
      </c>
      <c r="B354" s="180" t="s">
        <v>146</v>
      </c>
      <c r="C354" s="116">
        <v>39073</v>
      </c>
      <c r="D354" s="178" t="s">
        <v>73</v>
      </c>
      <c r="E354" s="178" t="s">
        <v>135</v>
      </c>
      <c r="F354" s="251">
        <v>28432.5</v>
      </c>
      <c r="G354" s="195">
        <v>3928</v>
      </c>
    </row>
    <row r="355" spans="1:7" ht="15">
      <c r="A355" s="190">
        <v>352</v>
      </c>
      <c r="B355" s="145" t="s">
        <v>146</v>
      </c>
      <c r="C355" s="116">
        <v>39073</v>
      </c>
      <c r="D355" s="129" t="s">
        <v>73</v>
      </c>
      <c r="E355" s="129" t="s">
        <v>135</v>
      </c>
      <c r="F355" s="251">
        <v>3756</v>
      </c>
      <c r="G355" s="195">
        <v>644</v>
      </c>
    </row>
    <row r="356" spans="1:7" ht="15">
      <c r="A356" s="193">
        <v>353</v>
      </c>
      <c r="B356" s="249" t="s">
        <v>146</v>
      </c>
      <c r="C356" s="116">
        <v>39073</v>
      </c>
      <c r="D356" s="129" t="s">
        <v>73</v>
      </c>
      <c r="E356" s="129" t="s">
        <v>135</v>
      </c>
      <c r="F356" s="251">
        <v>3051</v>
      </c>
      <c r="G356" s="195">
        <v>698</v>
      </c>
    </row>
    <row r="357" spans="1:7" ht="15">
      <c r="A357" s="190">
        <v>354</v>
      </c>
      <c r="B357" s="249" t="s">
        <v>146</v>
      </c>
      <c r="C357" s="116">
        <v>39073</v>
      </c>
      <c r="D357" s="129" t="s">
        <v>73</v>
      </c>
      <c r="E357" s="129" t="s">
        <v>135</v>
      </c>
      <c r="F357" s="251">
        <v>1594</v>
      </c>
      <c r="G357" s="195">
        <v>314</v>
      </c>
    </row>
    <row r="358" spans="1:7" ht="15">
      <c r="A358" s="193">
        <v>355</v>
      </c>
      <c r="B358" s="145" t="s">
        <v>146</v>
      </c>
      <c r="C358" s="116">
        <v>39073</v>
      </c>
      <c r="D358" s="275" t="s">
        <v>73</v>
      </c>
      <c r="E358" s="275" t="s">
        <v>135</v>
      </c>
      <c r="F358" s="251">
        <v>1243</v>
      </c>
      <c r="G358" s="195">
        <v>259</v>
      </c>
    </row>
    <row r="359" spans="1:7" ht="15">
      <c r="A359" s="193">
        <v>356</v>
      </c>
      <c r="B359" s="145" t="s">
        <v>146</v>
      </c>
      <c r="C359" s="116">
        <v>39073</v>
      </c>
      <c r="D359" s="275" t="s">
        <v>73</v>
      </c>
      <c r="E359" s="275" t="s">
        <v>135</v>
      </c>
      <c r="F359" s="255">
        <v>950</v>
      </c>
      <c r="G359" s="156">
        <v>179</v>
      </c>
    </row>
    <row r="360" spans="1:7" ht="15">
      <c r="A360" s="190">
        <v>357</v>
      </c>
      <c r="B360" s="145" t="s">
        <v>146</v>
      </c>
      <c r="C360" s="116">
        <v>39073</v>
      </c>
      <c r="D360" s="129" t="s">
        <v>73</v>
      </c>
      <c r="E360" s="129" t="s">
        <v>135</v>
      </c>
      <c r="F360" s="251">
        <v>584.5</v>
      </c>
      <c r="G360" s="195">
        <v>144</v>
      </c>
    </row>
    <row r="361" spans="1:7" ht="15">
      <c r="A361" s="193">
        <v>358</v>
      </c>
      <c r="B361" s="149" t="s">
        <v>168</v>
      </c>
      <c r="C361" s="117">
        <v>38436</v>
      </c>
      <c r="D361" s="128" t="s">
        <v>58</v>
      </c>
      <c r="E361" s="128" t="s">
        <v>59</v>
      </c>
      <c r="F361" s="250">
        <v>1510</v>
      </c>
      <c r="G361" s="196">
        <v>302</v>
      </c>
    </row>
    <row r="362" spans="1:7" ht="15">
      <c r="A362" s="190">
        <v>359</v>
      </c>
      <c r="B362" s="149" t="s">
        <v>168</v>
      </c>
      <c r="C362" s="117">
        <v>38436</v>
      </c>
      <c r="D362" s="128" t="s">
        <v>58</v>
      </c>
      <c r="E362" s="128" t="s">
        <v>59</v>
      </c>
      <c r="F362" s="250">
        <v>201</v>
      </c>
      <c r="G362" s="196">
        <v>47</v>
      </c>
    </row>
    <row r="363" spans="1:7" ht="15">
      <c r="A363" s="193">
        <v>360</v>
      </c>
      <c r="B363" s="247" t="s">
        <v>168</v>
      </c>
      <c r="C363" s="117">
        <v>38436</v>
      </c>
      <c r="D363" s="128" t="s">
        <v>58</v>
      </c>
      <c r="E363" s="128" t="s">
        <v>59</v>
      </c>
      <c r="F363" s="250">
        <v>201</v>
      </c>
      <c r="G363" s="196">
        <v>47</v>
      </c>
    </row>
    <row r="364" spans="1:7" ht="15">
      <c r="A364" s="190">
        <v>361</v>
      </c>
      <c r="B364" s="147" t="s">
        <v>32</v>
      </c>
      <c r="C364" s="116">
        <v>39024</v>
      </c>
      <c r="D364" s="127" t="s">
        <v>56</v>
      </c>
      <c r="E364" s="126" t="s">
        <v>71</v>
      </c>
      <c r="F364" s="255">
        <v>4639</v>
      </c>
      <c r="G364" s="156">
        <v>1240</v>
      </c>
    </row>
    <row r="365" spans="1:7" ht="15">
      <c r="A365" s="193">
        <v>362</v>
      </c>
      <c r="B365" s="246" t="s">
        <v>32</v>
      </c>
      <c r="C365" s="116">
        <v>39024</v>
      </c>
      <c r="D365" s="127" t="s">
        <v>56</v>
      </c>
      <c r="E365" s="126" t="s">
        <v>71</v>
      </c>
      <c r="F365" s="251">
        <v>3468</v>
      </c>
      <c r="G365" s="195">
        <v>968</v>
      </c>
    </row>
    <row r="366" spans="1:7" ht="15">
      <c r="A366" s="193">
        <v>363</v>
      </c>
      <c r="B366" s="180" t="s">
        <v>32</v>
      </c>
      <c r="C366" s="116">
        <v>39024</v>
      </c>
      <c r="D366" s="178" t="s">
        <v>56</v>
      </c>
      <c r="E366" s="178" t="s">
        <v>71</v>
      </c>
      <c r="F366" s="251">
        <v>1123</v>
      </c>
      <c r="G366" s="195">
        <v>375</v>
      </c>
    </row>
    <row r="367" spans="1:7" ht="15">
      <c r="A367" s="190">
        <v>364</v>
      </c>
      <c r="B367" s="147" t="s">
        <v>32</v>
      </c>
      <c r="C367" s="116">
        <v>39024</v>
      </c>
      <c r="D367" s="127" t="s">
        <v>56</v>
      </c>
      <c r="E367" s="126" t="s">
        <v>71</v>
      </c>
      <c r="F367" s="251">
        <v>130</v>
      </c>
      <c r="G367" s="195">
        <v>20</v>
      </c>
    </row>
    <row r="368" spans="1:7" ht="15">
      <c r="A368" s="193">
        <v>365</v>
      </c>
      <c r="B368" s="147" t="s">
        <v>256</v>
      </c>
      <c r="C368" s="116">
        <v>39024</v>
      </c>
      <c r="D368" s="272" t="s">
        <v>56</v>
      </c>
      <c r="E368" s="273" t="s">
        <v>11</v>
      </c>
      <c r="F368" s="251">
        <v>719</v>
      </c>
      <c r="G368" s="195">
        <v>90</v>
      </c>
    </row>
    <row r="369" spans="1:7" ht="15">
      <c r="A369" s="190">
        <v>366</v>
      </c>
      <c r="B369" s="182" t="s">
        <v>100</v>
      </c>
      <c r="C369" s="119">
        <v>39059</v>
      </c>
      <c r="D369" s="179" t="s">
        <v>64</v>
      </c>
      <c r="E369" s="179" t="s">
        <v>101</v>
      </c>
      <c r="F369" s="258">
        <v>8747</v>
      </c>
      <c r="G369" s="198">
        <v>1379</v>
      </c>
    </row>
    <row r="370" spans="1:7" ht="15">
      <c r="A370" s="193">
        <v>367</v>
      </c>
      <c r="B370" s="121" t="s">
        <v>100</v>
      </c>
      <c r="C370" s="119">
        <v>39059</v>
      </c>
      <c r="D370" s="130" t="s">
        <v>64</v>
      </c>
      <c r="E370" s="130" t="s">
        <v>101</v>
      </c>
      <c r="F370" s="259">
        <v>4587</v>
      </c>
      <c r="G370" s="160">
        <v>707</v>
      </c>
    </row>
    <row r="371" spans="1:7" ht="15">
      <c r="A371" s="190">
        <v>368</v>
      </c>
      <c r="B371" s="241" t="s">
        <v>100</v>
      </c>
      <c r="C371" s="119">
        <v>39059</v>
      </c>
      <c r="D371" s="130" t="s">
        <v>64</v>
      </c>
      <c r="E371" s="130" t="s">
        <v>101</v>
      </c>
      <c r="F371" s="258">
        <v>4297</v>
      </c>
      <c r="G371" s="198">
        <v>700</v>
      </c>
    </row>
    <row r="372" spans="1:7" ht="15">
      <c r="A372" s="193">
        <v>369</v>
      </c>
      <c r="B372" s="339" t="s">
        <v>100</v>
      </c>
      <c r="C372" s="333">
        <v>39059</v>
      </c>
      <c r="D372" s="332" t="s">
        <v>64</v>
      </c>
      <c r="E372" s="332" t="s">
        <v>101</v>
      </c>
      <c r="F372" s="341">
        <v>424</v>
      </c>
      <c r="G372" s="343">
        <v>61</v>
      </c>
    </row>
    <row r="373" spans="1:7" ht="15">
      <c r="A373" s="193">
        <v>370</v>
      </c>
      <c r="B373" s="347" t="s">
        <v>100</v>
      </c>
      <c r="C373" s="119">
        <v>39059</v>
      </c>
      <c r="D373" s="179" t="s">
        <v>64</v>
      </c>
      <c r="E373" s="179" t="s">
        <v>101</v>
      </c>
      <c r="F373" s="258">
        <v>110</v>
      </c>
      <c r="G373" s="198">
        <v>18</v>
      </c>
    </row>
    <row r="374" spans="1:7" ht="15">
      <c r="A374" s="190">
        <v>371</v>
      </c>
      <c r="B374" s="150" t="s">
        <v>217</v>
      </c>
      <c r="C374" s="117">
        <v>38191</v>
      </c>
      <c r="D374" s="132" t="s">
        <v>23</v>
      </c>
      <c r="E374" s="131" t="s">
        <v>193</v>
      </c>
      <c r="F374" s="250">
        <v>803.2</v>
      </c>
      <c r="G374" s="196">
        <v>502</v>
      </c>
    </row>
    <row r="375" spans="1:7" ht="15">
      <c r="A375" s="193">
        <v>372</v>
      </c>
      <c r="B375" s="248" t="s">
        <v>217</v>
      </c>
      <c r="C375" s="117">
        <v>38191</v>
      </c>
      <c r="D375" s="132" t="s">
        <v>23</v>
      </c>
      <c r="E375" s="131" t="s">
        <v>193</v>
      </c>
      <c r="F375" s="254">
        <v>476</v>
      </c>
      <c r="G375" s="196">
        <v>119</v>
      </c>
    </row>
    <row r="376" spans="1:7" ht="15">
      <c r="A376" s="190">
        <v>373</v>
      </c>
      <c r="B376" s="338" t="s">
        <v>217</v>
      </c>
      <c r="C376" s="117">
        <v>38191</v>
      </c>
      <c r="D376" s="177" t="s">
        <v>23</v>
      </c>
      <c r="E376" s="177" t="s">
        <v>193</v>
      </c>
      <c r="F376" s="250">
        <v>435.2</v>
      </c>
      <c r="G376" s="196">
        <v>272</v>
      </c>
    </row>
    <row r="377" spans="1:7" ht="15">
      <c r="A377" s="193">
        <v>374</v>
      </c>
      <c r="B377" s="150" t="s">
        <v>250</v>
      </c>
      <c r="C377" s="117">
        <v>37869</v>
      </c>
      <c r="D377" s="276" t="s">
        <v>23</v>
      </c>
      <c r="E377" s="277" t="s">
        <v>27</v>
      </c>
      <c r="F377" s="250">
        <v>952</v>
      </c>
      <c r="G377" s="196">
        <v>238</v>
      </c>
    </row>
    <row r="378" spans="1:7" ht="15">
      <c r="A378" s="190">
        <v>375</v>
      </c>
      <c r="B378" s="150" t="s">
        <v>253</v>
      </c>
      <c r="C378" s="117">
        <v>38751</v>
      </c>
      <c r="D378" s="276" t="s">
        <v>23</v>
      </c>
      <c r="E378" s="277" t="s">
        <v>27</v>
      </c>
      <c r="F378" s="250">
        <v>245.5</v>
      </c>
      <c r="G378" s="196">
        <v>97</v>
      </c>
    </row>
    <row r="379" spans="1:7" ht="15">
      <c r="A379" s="193">
        <v>376</v>
      </c>
      <c r="B379" s="246" t="s">
        <v>160</v>
      </c>
      <c r="C379" s="116">
        <v>39003</v>
      </c>
      <c r="D379" s="127" t="s">
        <v>56</v>
      </c>
      <c r="E379" s="126" t="s">
        <v>144</v>
      </c>
      <c r="F379" s="251">
        <v>544</v>
      </c>
      <c r="G379" s="195">
        <v>133</v>
      </c>
    </row>
    <row r="380" spans="1:7" ht="15">
      <c r="A380" s="193">
        <v>377</v>
      </c>
      <c r="B380" s="180" t="s">
        <v>160</v>
      </c>
      <c r="C380" s="116">
        <v>39003</v>
      </c>
      <c r="D380" s="178" t="s">
        <v>56</v>
      </c>
      <c r="E380" s="178" t="s">
        <v>144</v>
      </c>
      <c r="F380" s="251">
        <v>513</v>
      </c>
      <c r="G380" s="195">
        <v>162</v>
      </c>
    </row>
    <row r="381" spans="1:7" ht="15">
      <c r="A381" s="190">
        <v>378</v>
      </c>
      <c r="B381" s="148" t="s">
        <v>82</v>
      </c>
      <c r="C381" s="151">
        <v>39010</v>
      </c>
      <c r="D381" s="146" t="s">
        <v>58</v>
      </c>
      <c r="E381" s="146" t="s">
        <v>71</v>
      </c>
      <c r="F381" s="256">
        <v>13340</v>
      </c>
      <c r="G381" s="157">
        <v>1914</v>
      </c>
    </row>
    <row r="382" spans="1:7" ht="15">
      <c r="A382" s="193">
        <v>379</v>
      </c>
      <c r="B382" s="247" t="s">
        <v>82</v>
      </c>
      <c r="C382" s="117">
        <v>39010</v>
      </c>
      <c r="D382" s="128" t="s">
        <v>58</v>
      </c>
      <c r="E382" s="128" t="s">
        <v>71</v>
      </c>
      <c r="F382" s="250">
        <v>5274.5</v>
      </c>
      <c r="G382" s="196">
        <v>1016</v>
      </c>
    </row>
    <row r="383" spans="1:7" ht="15">
      <c r="A383" s="190">
        <v>380</v>
      </c>
      <c r="B383" s="181" t="s">
        <v>82</v>
      </c>
      <c r="C383" s="117">
        <v>39010</v>
      </c>
      <c r="D383" s="177" t="s">
        <v>58</v>
      </c>
      <c r="E383" s="177" t="s">
        <v>71</v>
      </c>
      <c r="F383" s="250">
        <v>3471</v>
      </c>
      <c r="G383" s="196">
        <v>491</v>
      </c>
    </row>
    <row r="384" spans="1:7" ht="15">
      <c r="A384" s="193">
        <v>381</v>
      </c>
      <c r="B384" s="148" t="s">
        <v>82</v>
      </c>
      <c r="C384" s="151">
        <v>39010</v>
      </c>
      <c r="D384" s="274" t="s">
        <v>58</v>
      </c>
      <c r="E384" s="273" t="s">
        <v>71</v>
      </c>
      <c r="F384" s="256">
        <v>2629</v>
      </c>
      <c r="G384" s="157">
        <v>519</v>
      </c>
    </row>
    <row r="385" spans="1:7" ht="15">
      <c r="A385" s="190">
        <v>382</v>
      </c>
      <c r="B385" s="149" t="s">
        <v>82</v>
      </c>
      <c r="C385" s="117">
        <v>39010</v>
      </c>
      <c r="D385" s="128" t="s">
        <v>58</v>
      </c>
      <c r="E385" s="128" t="s">
        <v>71</v>
      </c>
      <c r="F385" s="250">
        <v>2097</v>
      </c>
      <c r="G385" s="196">
        <v>307</v>
      </c>
    </row>
    <row r="386" spans="1:7" ht="15">
      <c r="A386" s="193">
        <v>383</v>
      </c>
      <c r="B386" s="338" t="s">
        <v>82</v>
      </c>
      <c r="C386" s="117">
        <v>39010</v>
      </c>
      <c r="D386" s="177" t="s">
        <v>58</v>
      </c>
      <c r="E386" s="177" t="s">
        <v>71</v>
      </c>
      <c r="F386" s="250">
        <v>369</v>
      </c>
      <c r="G386" s="196">
        <v>113</v>
      </c>
    </row>
    <row r="387" spans="1:7" ht="15">
      <c r="A387" s="193">
        <v>384</v>
      </c>
      <c r="B387" s="248" t="s">
        <v>82</v>
      </c>
      <c r="C387" s="117">
        <v>39010</v>
      </c>
      <c r="D387" s="323" t="s">
        <v>58</v>
      </c>
      <c r="E387" s="323" t="s">
        <v>71</v>
      </c>
      <c r="F387" s="250">
        <v>347</v>
      </c>
      <c r="G387" s="196">
        <v>128</v>
      </c>
    </row>
    <row r="388" spans="1:7" ht="15">
      <c r="A388" s="190">
        <v>385</v>
      </c>
      <c r="B388" s="335" t="s">
        <v>82</v>
      </c>
      <c r="C388" s="329">
        <v>39010</v>
      </c>
      <c r="D388" s="328" t="s">
        <v>58</v>
      </c>
      <c r="E388" s="328" t="s">
        <v>71</v>
      </c>
      <c r="F388" s="340">
        <v>318</v>
      </c>
      <c r="G388" s="342">
        <v>123</v>
      </c>
    </row>
    <row r="389" spans="1:7" ht="15">
      <c r="A389" s="193">
        <v>386</v>
      </c>
      <c r="B389" s="247" t="s">
        <v>82</v>
      </c>
      <c r="C389" s="117">
        <v>39010</v>
      </c>
      <c r="D389" s="128" t="s">
        <v>58</v>
      </c>
      <c r="E389" s="128" t="s">
        <v>71</v>
      </c>
      <c r="F389" s="254">
        <v>130</v>
      </c>
      <c r="G389" s="196">
        <v>18</v>
      </c>
    </row>
    <row r="390" spans="1:7" ht="15">
      <c r="A390" s="190">
        <v>387</v>
      </c>
      <c r="B390" s="149" t="s">
        <v>82</v>
      </c>
      <c r="C390" s="117">
        <v>39010</v>
      </c>
      <c r="D390" s="282" t="s">
        <v>58</v>
      </c>
      <c r="E390" s="282" t="s">
        <v>71</v>
      </c>
      <c r="F390" s="250">
        <v>49</v>
      </c>
      <c r="G390" s="196">
        <v>7</v>
      </c>
    </row>
    <row r="391" spans="1:7" ht="15">
      <c r="A391" s="193">
        <v>388</v>
      </c>
      <c r="B391" s="248" t="s">
        <v>232</v>
      </c>
      <c r="C391" s="117">
        <v>38758</v>
      </c>
      <c r="D391" s="276" t="s">
        <v>23</v>
      </c>
      <c r="E391" s="277" t="s">
        <v>233</v>
      </c>
      <c r="F391" s="254">
        <v>4276</v>
      </c>
      <c r="G391" s="159">
        <v>1069</v>
      </c>
    </row>
    <row r="392" spans="1:7" ht="15">
      <c r="A392" s="190">
        <v>389</v>
      </c>
      <c r="B392" s="248" t="s">
        <v>232</v>
      </c>
      <c r="C392" s="117">
        <v>38758</v>
      </c>
      <c r="D392" s="132" t="s">
        <v>23</v>
      </c>
      <c r="E392" s="131" t="s">
        <v>233</v>
      </c>
      <c r="F392" s="254">
        <v>3560</v>
      </c>
      <c r="G392" s="196">
        <v>890</v>
      </c>
    </row>
    <row r="393" spans="1:7" ht="15">
      <c r="A393" s="193">
        <v>390</v>
      </c>
      <c r="B393" s="248" t="s">
        <v>232</v>
      </c>
      <c r="C393" s="117">
        <v>38758</v>
      </c>
      <c r="D393" s="132" t="s">
        <v>23</v>
      </c>
      <c r="E393" s="131" t="s">
        <v>233</v>
      </c>
      <c r="F393" s="254">
        <v>1008</v>
      </c>
      <c r="G393" s="196">
        <v>252</v>
      </c>
    </row>
    <row r="394" spans="1:7" ht="15">
      <c r="A394" s="193">
        <v>391</v>
      </c>
      <c r="B394" s="145" t="s">
        <v>155</v>
      </c>
      <c r="C394" s="116">
        <v>39052</v>
      </c>
      <c r="D394" s="129" t="s">
        <v>73</v>
      </c>
      <c r="E394" s="129" t="s">
        <v>135</v>
      </c>
      <c r="F394" s="251">
        <v>1617</v>
      </c>
      <c r="G394" s="195">
        <v>271</v>
      </c>
    </row>
    <row r="395" spans="1:7" ht="15">
      <c r="A395" s="190">
        <v>392</v>
      </c>
      <c r="B395" s="180" t="s">
        <v>155</v>
      </c>
      <c r="C395" s="151">
        <v>39073</v>
      </c>
      <c r="D395" s="146" t="s">
        <v>73</v>
      </c>
      <c r="E395" s="146" t="s">
        <v>135</v>
      </c>
      <c r="F395" s="256">
        <v>1562.5</v>
      </c>
      <c r="G395" s="157">
        <v>266</v>
      </c>
    </row>
    <row r="396" spans="1:7" ht="15">
      <c r="A396" s="193">
        <v>393</v>
      </c>
      <c r="B396" s="180" t="s">
        <v>155</v>
      </c>
      <c r="C396" s="116">
        <v>39052</v>
      </c>
      <c r="D396" s="178" t="s">
        <v>73</v>
      </c>
      <c r="E396" s="178" t="s">
        <v>135</v>
      </c>
      <c r="F396" s="251">
        <v>1522</v>
      </c>
      <c r="G396" s="195">
        <v>316</v>
      </c>
    </row>
    <row r="397" spans="1:7" ht="15">
      <c r="A397" s="190">
        <v>394</v>
      </c>
      <c r="B397" s="145" t="s">
        <v>155</v>
      </c>
      <c r="C397" s="116">
        <v>39052</v>
      </c>
      <c r="D397" s="275" t="s">
        <v>73</v>
      </c>
      <c r="E397" s="275" t="s">
        <v>135</v>
      </c>
      <c r="F397" s="255">
        <v>1188</v>
      </c>
      <c r="G397" s="156">
        <v>198</v>
      </c>
    </row>
    <row r="398" spans="1:7" ht="15">
      <c r="A398" s="193">
        <v>395</v>
      </c>
      <c r="B398" s="337" t="s">
        <v>155</v>
      </c>
      <c r="C398" s="116">
        <v>39052</v>
      </c>
      <c r="D398" s="178" t="s">
        <v>73</v>
      </c>
      <c r="E398" s="178" t="s">
        <v>135</v>
      </c>
      <c r="F398" s="251">
        <v>1116</v>
      </c>
      <c r="G398" s="195">
        <v>185</v>
      </c>
    </row>
    <row r="399" spans="1:7" ht="15">
      <c r="A399" s="190">
        <v>396</v>
      </c>
      <c r="B399" s="249" t="s">
        <v>155</v>
      </c>
      <c r="C399" s="116">
        <v>39052</v>
      </c>
      <c r="D399" s="129" t="s">
        <v>73</v>
      </c>
      <c r="E399" s="129" t="s">
        <v>135</v>
      </c>
      <c r="F399" s="251">
        <v>301</v>
      </c>
      <c r="G399" s="195">
        <v>60</v>
      </c>
    </row>
    <row r="400" spans="1:7" ht="15">
      <c r="A400" s="193">
        <v>397</v>
      </c>
      <c r="B400" s="337" t="s">
        <v>155</v>
      </c>
      <c r="C400" s="116">
        <v>39052</v>
      </c>
      <c r="D400" s="178" t="s">
        <v>73</v>
      </c>
      <c r="E400" s="178" t="s">
        <v>135</v>
      </c>
      <c r="F400" s="251">
        <v>272</v>
      </c>
      <c r="G400" s="195">
        <v>68</v>
      </c>
    </row>
    <row r="401" spans="1:7" ht="15">
      <c r="A401" s="193">
        <v>398</v>
      </c>
      <c r="B401" s="180" t="s">
        <v>155</v>
      </c>
      <c r="C401" s="116">
        <v>39052</v>
      </c>
      <c r="D401" s="129" t="s">
        <v>73</v>
      </c>
      <c r="E401" s="129" t="s">
        <v>135</v>
      </c>
      <c r="F401" s="251">
        <v>197</v>
      </c>
      <c r="G401" s="195">
        <v>47</v>
      </c>
    </row>
    <row r="402" spans="1:7" ht="15">
      <c r="A402" s="190">
        <v>399</v>
      </c>
      <c r="B402" s="147" t="s">
        <v>113</v>
      </c>
      <c r="C402" s="116">
        <v>39066</v>
      </c>
      <c r="D402" s="127" t="s">
        <v>56</v>
      </c>
      <c r="E402" s="126" t="s">
        <v>71</v>
      </c>
      <c r="F402" s="255">
        <v>41071</v>
      </c>
      <c r="G402" s="156">
        <v>3570</v>
      </c>
    </row>
    <row r="403" spans="1:7" ht="15">
      <c r="A403" s="193">
        <v>400</v>
      </c>
      <c r="B403" s="180" t="s">
        <v>113</v>
      </c>
      <c r="C403" s="116">
        <v>39066</v>
      </c>
      <c r="D403" s="178" t="s">
        <v>56</v>
      </c>
      <c r="E403" s="178" t="s">
        <v>71</v>
      </c>
      <c r="F403" s="251">
        <v>3039</v>
      </c>
      <c r="G403" s="195">
        <v>371</v>
      </c>
    </row>
    <row r="404" spans="1:7" ht="15">
      <c r="A404" s="190">
        <v>401</v>
      </c>
      <c r="B404" s="246" t="s">
        <v>113</v>
      </c>
      <c r="C404" s="116">
        <v>39066</v>
      </c>
      <c r="D404" s="127" t="s">
        <v>56</v>
      </c>
      <c r="E404" s="126" t="s">
        <v>71</v>
      </c>
      <c r="F404" s="251">
        <v>2600</v>
      </c>
      <c r="G404" s="195">
        <v>361</v>
      </c>
    </row>
    <row r="405" spans="1:7" ht="15">
      <c r="A405" s="193">
        <v>402</v>
      </c>
      <c r="B405" s="249" t="s">
        <v>113</v>
      </c>
      <c r="C405" s="116">
        <v>39066</v>
      </c>
      <c r="D405" s="321" t="s">
        <v>56</v>
      </c>
      <c r="E405" s="321" t="s">
        <v>71</v>
      </c>
      <c r="F405" s="251">
        <v>2186</v>
      </c>
      <c r="G405" s="195">
        <v>301</v>
      </c>
    </row>
    <row r="406" spans="1:7" ht="15">
      <c r="A406" s="190">
        <v>403</v>
      </c>
      <c r="B406" s="246" t="s">
        <v>113</v>
      </c>
      <c r="C406" s="116">
        <v>39066</v>
      </c>
      <c r="D406" s="127" t="s">
        <v>56</v>
      </c>
      <c r="E406" s="126" t="s">
        <v>71</v>
      </c>
      <c r="F406" s="255">
        <v>2174</v>
      </c>
      <c r="G406" s="195">
        <v>300</v>
      </c>
    </row>
    <row r="407" spans="1:7" ht="15">
      <c r="A407" s="193">
        <v>404</v>
      </c>
      <c r="B407" s="246" t="s">
        <v>113</v>
      </c>
      <c r="C407" s="116">
        <v>39066</v>
      </c>
      <c r="D407" s="127" t="s">
        <v>56</v>
      </c>
      <c r="E407" s="126" t="s">
        <v>71</v>
      </c>
      <c r="F407" s="251">
        <v>2174</v>
      </c>
      <c r="G407" s="195">
        <v>300</v>
      </c>
    </row>
    <row r="408" spans="1:7" ht="15">
      <c r="A408" s="193">
        <v>405</v>
      </c>
      <c r="B408" s="147" t="s">
        <v>113</v>
      </c>
      <c r="C408" s="116">
        <v>39066</v>
      </c>
      <c r="D408" s="127" t="s">
        <v>56</v>
      </c>
      <c r="E408" s="126" t="s">
        <v>71</v>
      </c>
      <c r="F408" s="251">
        <v>1124</v>
      </c>
      <c r="G408" s="195">
        <v>164</v>
      </c>
    </row>
    <row r="409" spans="1:7" ht="15">
      <c r="A409" s="190">
        <v>406</v>
      </c>
      <c r="B409" s="147" t="s">
        <v>113</v>
      </c>
      <c r="C409" s="116">
        <v>39066</v>
      </c>
      <c r="D409" s="127" t="s">
        <v>56</v>
      </c>
      <c r="E409" s="126" t="s">
        <v>71</v>
      </c>
      <c r="F409" s="251">
        <v>762</v>
      </c>
      <c r="G409" s="195">
        <v>96</v>
      </c>
    </row>
    <row r="410" spans="1:7" ht="15">
      <c r="A410" s="193">
        <v>407</v>
      </c>
      <c r="B410" s="246" t="s">
        <v>113</v>
      </c>
      <c r="C410" s="116">
        <v>39066</v>
      </c>
      <c r="D410" s="272" t="s">
        <v>56</v>
      </c>
      <c r="E410" s="273" t="s">
        <v>71</v>
      </c>
      <c r="F410" s="255">
        <v>751</v>
      </c>
      <c r="G410" s="156">
        <v>88</v>
      </c>
    </row>
    <row r="411" spans="1:7" ht="15">
      <c r="A411" s="190">
        <v>408</v>
      </c>
      <c r="B411" s="337" t="s">
        <v>113</v>
      </c>
      <c r="C411" s="116">
        <v>39066</v>
      </c>
      <c r="D411" s="178" t="s">
        <v>56</v>
      </c>
      <c r="E411" s="178" t="s">
        <v>71</v>
      </c>
      <c r="F411" s="251">
        <v>252</v>
      </c>
      <c r="G411" s="195">
        <v>32</v>
      </c>
    </row>
    <row r="412" spans="1:7" ht="15">
      <c r="A412" s="193">
        <v>409</v>
      </c>
      <c r="B412" s="147" t="s">
        <v>113</v>
      </c>
      <c r="C412" s="116">
        <v>39066</v>
      </c>
      <c r="D412" s="272" t="s">
        <v>56</v>
      </c>
      <c r="E412" s="273" t="s">
        <v>71</v>
      </c>
      <c r="F412" s="251">
        <v>237</v>
      </c>
      <c r="G412" s="195">
        <v>46</v>
      </c>
    </row>
    <row r="413" spans="1:7" ht="15">
      <c r="A413" s="190">
        <v>410</v>
      </c>
      <c r="B413" s="246" t="s">
        <v>113</v>
      </c>
      <c r="C413" s="116">
        <v>39066</v>
      </c>
      <c r="D413" s="127" t="s">
        <v>56</v>
      </c>
      <c r="E413" s="126" t="s">
        <v>71</v>
      </c>
      <c r="F413" s="255">
        <v>234</v>
      </c>
      <c r="G413" s="195">
        <v>27</v>
      </c>
    </row>
    <row r="414" spans="1:7" ht="15">
      <c r="A414" s="193">
        <v>411</v>
      </c>
      <c r="B414" s="147" t="s">
        <v>113</v>
      </c>
      <c r="C414" s="116">
        <v>39066</v>
      </c>
      <c r="D414" s="272" t="s">
        <v>56</v>
      </c>
      <c r="E414" s="273" t="s">
        <v>71</v>
      </c>
      <c r="F414" s="255">
        <v>161</v>
      </c>
      <c r="G414" s="156">
        <v>29</v>
      </c>
    </row>
    <row r="415" spans="1:7" ht="15">
      <c r="A415" s="193">
        <v>412</v>
      </c>
      <c r="B415" s="150" t="s">
        <v>218</v>
      </c>
      <c r="C415" s="117">
        <v>38709</v>
      </c>
      <c r="D415" s="132" t="s">
        <v>23</v>
      </c>
      <c r="E415" s="131" t="s">
        <v>33</v>
      </c>
      <c r="F415" s="250">
        <v>3560</v>
      </c>
      <c r="G415" s="196">
        <v>890</v>
      </c>
    </row>
    <row r="416" spans="1:7" ht="15">
      <c r="A416" s="190">
        <v>413</v>
      </c>
      <c r="B416" s="148" t="s">
        <v>133</v>
      </c>
      <c r="C416" s="151">
        <v>39031</v>
      </c>
      <c r="D416" s="146" t="s">
        <v>58</v>
      </c>
      <c r="E416" s="146" t="s">
        <v>39</v>
      </c>
      <c r="F416" s="256">
        <v>570</v>
      </c>
      <c r="G416" s="157">
        <v>142</v>
      </c>
    </row>
    <row r="417" spans="1:7" ht="15">
      <c r="A417" s="193">
        <v>414</v>
      </c>
      <c r="B417" s="247" t="s">
        <v>133</v>
      </c>
      <c r="C417" s="117">
        <v>39031</v>
      </c>
      <c r="D417" s="128" t="s">
        <v>58</v>
      </c>
      <c r="E417" s="128" t="s">
        <v>39</v>
      </c>
      <c r="F417" s="250">
        <v>310</v>
      </c>
      <c r="G417" s="196">
        <v>69</v>
      </c>
    </row>
    <row r="418" spans="1:7" ht="15">
      <c r="A418" s="190">
        <v>415</v>
      </c>
      <c r="B418" s="247" t="s">
        <v>133</v>
      </c>
      <c r="C418" s="117">
        <v>39031</v>
      </c>
      <c r="D418" s="128" t="s">
        <v>12</v>
      </c>
      <c r="E418" s="128" t="s">
        <v>39</v>
      </c>
      <c r="F418" s="250">
        <v>254</v>
      </c>
      <c r="G418" s="196">
        <v>57</v>
      </c>
    </row>
    <row r="419" spans="1:7" ht="15">
      <c r="A419" s="193">
        <v>416</v>
      </c>
      <c r="B419" s="181" t="s">
        <v>133</v>
      </c>
      <c r="C419" s="117">
        <v>39031</v>
      </c>
      <c r="D419" s="177" t="s">
        <v>58</v>
      </c>
      <c r="E419" s="177" t="s">
        <v>39</v>
      </c>
      <c r="F419" s="250">
        <v>176</v>
      </c>
      <c r="G419" s="196">
        <v>44</v>
      </c>
    </row>
    <row r="420" spans="1:7" ht="15">
      <c r="A420" s="190">
        <v>417</v>
      </c>
      <c r="B420" s="248" t="s">
        <v>332</v>
      </c>
      <c r="C420" s="117">
        <v>38891</v>
      </c>
      <c r="D420" s="323" t="s">
        <v>23</v>
      </c>
      <c r="E420" s="323" t="s">
        <v>333</v>
      </c>
      <c r="F420" s="250">
        <v>712</v>
      </c>
      <c r="G420" s="196">
        <v>178</v>
      </c>
    </row>
    <row r="421" spans="1:7" ht="15">
      <c r="A421" s="193">
        <v>418</v>
      </c>
      <c r="B421" s="148" t="s">
        <v>79</v>
      </c>
      <c r="C421" s="151">
        <v>39052</v>
      </c>
      <c r="D421" s="146" t="s">
        <v>58</v>
      </c>
      <c r="E421" s="146" t="s">
        <v>14</v>
      </c>
      <c r="F421" s="256">
        <v>137705.5</v>
      </c>
      <c r="G421" s="157">
        <v>21048</v>
      </c>
    </row>
    <row r="422" spans="1:7" ht="15">
      <c r="A422" s="193">
        <v>419</v>
      </c>
      <c r="B422" s="181" t="s">
        <v>79</v>
      </c>
      <c r="C422" s="117">
        <v>39052</v>
      </c>
      <c r="D422" s="177" t="s">
        <v>58</v>
      </c>
      <c r="E422" s="177" t="s">
        <v>14</v>
      </c>
      <c r="F422" s="250">
        <v>96374</v>
      </c>
      <c r="G422" s="196">
        <v>15913</v>
      </c>
    </row>
    <row r="423" spans="1:7" ht="15">
      <c r="A423" s="190">
        <v>420</v>
      </c>
      <c r="B423" s="149" t="s">
        <v>79</v>
      </c>
      <c r="C423" s="117">
        <v>39052</v>
      </c>
      <c r="D423" s="128" t="s">
        <v>58</v>
      </c>
      <c r="E423" s="128" t="s">
        <v>14</v>
      </c>
      <c r="F423" s="250">
        <v>73504</v>
      </c>
      <c r="G423" s="196">
        <v>13224</v>
      </c>
    </row>
    <row r="424" spans="1:7" ht="15">
      <c r="A424" s="193">
        <v>421</v>
      </c>
      <c r="B424" s="247" t="s">
        <v>79</v>
      </c>
      <c r="C424" s="117">
        <v>39052</v>
      </c>
      <c r="D424" s="128" t="s">
        <v>58</v>
      </c>
      <c r="E424" s="128" t="s">
        <v>14</v>
      </c>
      <c r="F424" s="250">
        <v>30884</v>
      </c>
      <c r="G424" s="196">
        <v>6184</v>
      </c>
    </row>
    <row r="425" spans="1:7" ht="15">
      <c r="A425" s="190">
        <v>422</v>
      </c>
      <c r="B425" s="149" t="s">
        <v>79</v>
      </c>
      <c r="C425" s="117">
        <v>39052</v>
      </c>
      <c r="D425" s="282" t="s">
        <v>58</v>
      </c>
      <c r="E425" s="282" t="s">
        <v>14</v>
      </c>
      <c r="F425" s="250">
        <v>17976</v>
      </c>
      <c r="G425" s="196">
        <v>3081</v>
      </c>
    </row>
    <row r="426" spans="1:7" ht="15">
      <c r="A426" s="193">
        <v>423</v>
      </c>
      <c r="B426" s="149" t="s">
        <v>79</v>
      </c>
      <c r="C426" s="117">
        <v>39052</v>
      </c>
      <c r="D426" s="128" t="s">
        <v>58</v>
      </c>
      <c r="E426" s="128" t="s">
        <v>14</v>
      </c>
      <c r="F426" s="250">
        <v>17454.5</v>
      </c>
      <c r="G426" s="196">
        <v>3648</v>
      </c>
    </row>
    <row r="427" spans="1:7" ht="15">
      <c r="A427" s="190">
        <v>424</v>
      </c>
      <c r="B427" s="247" t="s">
        <v>79</v>
      </c>
      <c r="C427" s="117">
        <v>39052</v>
      </c>
      <c r="D427" s="128" t="s">
        <v>58</v>
      </c>
      <c r="E427" s="128" t="s">
        <v>14</v>
      </c>
      <c r="F427" s="254">
        <v>10984.5</v>
      </c>
      <c r="G427" s="196">
        <v>2101</v>
      </c>
    </row>
    <row r="428" spans="1:7" ht="15">
      <c r="A428" s="193">
        <v>425</v>
      </c>
      <c r="B428" s="148" t="s">
        <v>79</v>
      </c>
      <c r="C428" s="151">
        <v>39052</v>
      </c>
      <c r="D428" s="274" t="s">
        <v>58</v>
      </c>
      <c r="E428" s="273" t="s">
        <v>14</v>
      </c>
      <c r="F428" s="256">
        <v>8264</v>
      </c>
      <c r="G428" s="157">
        <v>1405</v>
      </c>
    </row>
    <row r="429" spans="1:7" ht="15">
      <c r="A429" s="193">
        <v>426</v>
      </c>
      <c r="B429" s="283" t="s">
        <v>79</v>
      </c>
      <c r="C429" s="151">
        <v>39052</v>
      </c>
      <c r="D429" s="274" t="s">
        <v>58</v>
      </c>
      <c r="E429" s="274" t="s">
        <v>14</v>
      </c>
      <c r="F429" s="256">
        <v>5607</v>
      </c>
      <c r="G429" s="157">
        <v>939</v>
      </c>
    </row>
    <row r="430" spans="1:7" ht="15">
      <c r="A430" s="190">
        <v>427</v>
      </c>
      <c r="B430" s="247" t="s">
        <v>79</v>
      </c>
      <c r="C430" s="117">
        <v>39052</v>
      </c>
      <c r="D430" s="128" t="s">
        <v>58</v>
      </c>
      <c r="E430" s="128" t="s">
        <v>302</v>
      </c>
      <c r="F430" s="250">
        <v>4629</v>
      </c>
      <c r="G430" s="196">
        <v>964</v>
      </c>
    </row>
    <row r="431" spans="1:7" ht="15">
      <c r="A431" s="193">
        <v>428</v>
      </c>
      <c r="B431" s="247" t="s">
        <v>79</v>
      </c>
      <c r="C431" s="117">
        <v>39052</v>
      </c>
      <c r="D431" s="128" t="s">
        <v>12</v>
      </c>
      <c r="E431" s="128" t="s">
        <v>14</v>
      </c>
      <c r="F431" s="250">
        <v>2782</v>
      </c>
      <c r="G431" s="196">
        <v>414</v>
      </c>
    </row>
    <row r="432" spans="1:7" ht="15">
      <c r="A432" s="190">
        <v>429</v>
      </c>
      <c r="B432" s="338" t="s">
        <v>79</v>
      </c>
      <c r="C432" s="117">
        <v>39052</v>
      </c>
      <c r="D432" s="177" t="s">
        <v>58</v>
      </c>
      <c r="E432" s="177" t="s">
        <v>14</v>
      </c>
      <c r="F432" s="250">
        <v>2202</v>
      </c>
      <c r="G432" s="196">
        <v>531</v>
      </c>
    </row>
    <row r="433" spans="1:7" ht="15">
      <c r="A433" s="193">
        <v>430</v>
      </c>
      <c r="B433" s="248" t="s">
        <v>79</v>
      </c>
      <c r="C433" s="117">
        <v>39052</v>
      </c>
      <c r="D433" s="323" t="s">
        <v>58</v>
      </c>
      <c r="E433" s="323" t="s">
        <v>14</v>
      </c>
      <c r="F433" s="250">
        <v>1637</v>
      </c>
      <c r="G433" s="196">
        <v>585</v>
      </c>
    </row>
    <row r="434" spans="1:7" ht="15">
      <c r="A434" s="190">
        <v>431</v>
      </c>
      <c r="B434" s="247" t="s">
        <v>79</v>
      </c>
      <c r="C434" s="117">
        <v>39052</v>
      </c>
      <c r="D434" s="128" t="s">
        <v>58</v>
      </c>
      <c r="E434" s="128" t="s">
        <v>302</v>
      </c>
      <c r="F434" s="254">
        <v>1262</v>
      </c>
      <c r="G434" s="196">
        <v>287</v>
      </c>
    </row>
    <row r="435" spans="1:7" ht="15">
      <c r="A435" s="193">
        <v>432</v>
      </c>
      <c r="B435" s="338" t="s">
        <v>102</v>
      </c>
      <c r="C435" s="117">
        <v>39059</v>
      </c>
      <c r="D435" s="177" t="s">
        <v>23</v>
      </c>
      <c r="E435" s="177" t="s">
        <v>103</v>
      </c>
      <c r="F435" s="250">
        <v>8402</v>
      </c>
      <c r="G435" s="196">
        <v>1001</v>
      </c>
    </row>
    <row r="436" spans="1:7" ht="15">
      <c r="A436" s="193">
        <v>433</v>
      </c>
      <c r="B436" s="248" t="s">
        <v>102</v>
      </c>
      <c r="C436" s="117">
        <v>39059</v>
      </c>
      <c r="D436" s="132" t="s">
        <v>23</v>
      </c>
      <c r="E436" s="131" t="s">
        <v>103</v>
      </c>
      <c r="F436" s="250">
        <v>2970</v>
      </c>
      <c r="G436" s="196">
        <v>759</v>
      </c>
    </row>
    <row r="437" spans="1:7" ht="15">
      <c r="A437" s="190">
        <v>434</v>
      </c>
      <c r="B437" s="338" t="s">
        <v>102</v>
      </c>
      <c r="C437" s="117">
        <v>39059</v>
      </c>
      <c r="D437" s="177" t="s">
        <v>23</v>
      </c>
      <c r="E437" s="177" t="s">
        <v>103</v>
      </c>
      <c r="F437" s="250">
        <v>2390</v>
      </c>
      <c r="G437" s="196">
        <v>600</v>
      </c>
    </row>
    <row r="438" spans="1:7" ht="15">
      <c r="A438" s="193">
        <v>435</v>
      </c>
      <c r="B438" s="150" t="s">
        <v>102</v>
      </c>
      <c r="C438" s="117">
        <v>39059</v>
      </c>
      <c r="D438" s="132" t="s">
        <v>23</v>
      </c>
      <c r="E438" s="131" t="s">
        <v>103</v>
      </c>
      <c r="F438" s="250">
        <v>1068</v>
      </c>
      <c r="G438" s="196">
        <v>267</v>
      </c>
    </row>
    <row r="439" spans="1:7" ht="15">
      <c r="A439" s="190">
        <v>436</v>
      </c>
      <c r="B439" s="248" t="s">
        <v>102</v>
      </c>
      <c r="C439" s="117">
        <v>39059</v>
      </c>
      <c r="D439" s="132" t="s">
        <v>23</v>
      </c>
      <c r="E439" s="131" t="s">
        <v>103</v>
      </c>
      <c r="F439" s="250">
        <v>952</v>
      </c>
      <c r="G439" s="196">
        <v>238</v>
      </c>
    </row>
    <row r="440" spans="1:7" ht="15">
      <c r="A440" s="193">
        <v>437</v>
      </c>
      <c r="B440" s="181" t="s">
        <v>102</v>
      </c>
      <c r="C440" s="117">
        <v>39059</v>
      </c>
      <c r="D440" s="177" t="s">
        <v>23</v>
      </c>
      <c r="E440" s="177" t="s">
        <v>103</v>
      </c>
      <c r="F440" s="250">
        <v>453</v>
      </c>
      <c r="G440" s="196">
        <v>91</v>
      </c>
    </row>
    <row r="441" spans="1:7" ht="15">
      <c r="A441" s="190">
        <v>438</v>
      </c>
      <c r="B441" s="338" t="s">
        <v>102</v>
      </c>
      <c r="C441" s="117">
        <v>39059</v>
      </c>
      <c r="D441" s="177" t="s">
        <v>23</v>
      </c>
      <c r="E441" s="177" t="s">
        <v>103</v>
      </c>
      <c r="F441" s="250">
        <v>414</v>
      </c>
      <c r="G441" s="196">
        <v>71</v>
      </c>
    </row>
    <row r="442" spans="1:7" ht="15">
      <c r="A442" s="193">
        <v>439</v>
      </c>
      <c r="B442" s="248" t="s">
        <v>102</v>
      </c>
      <c r="C442" s="117">
        <v>39059</v>
      </c>
      <c r="D442" s="132" t="s">
        <v>23</v>
      </c>
      <c r="E442" s="131" t="s">
        <v>103</v>
      </c>
      <c r="F442" s="250">
        <v>340</v>
      </c>
      <c r="G442" s="196">
        <v>68</v>
      </c>
    </row>
    <row r="443" spans="1:7" ht="15">
      <c r="A443" s="193">
        <v>440</v>
      </c>
      <c r="B443" s="248" t="s">
        <v>102</v>
      </c>
      <c r="C443" s="117">
        <v>39059</v>
      </c>
      <c r="D443" s="276" t="s">
        <v>23</v>
      </c>
      <c r="E443" s="277" t="s">
        <v>103</v>
      </c>
      <c r="F443" s="254">
        <v>117</v>
      </c>
      <c r="G443" s="159">
        <v>49</v>
      </c>
    </row>
    <row r="444" spans="1:7" ht="15">
      <c r="A444" s="190">
        <v>441</v>
      </c>
      <c r="B444" s="150" t="s">
        <v>102</v>
      </c>
      <c r="C444" s="117">
        <v>39059</v>
      </c>
      <c r="D444" s="132" t="s">
        <v>23</v>
      </c>
      <c r="E444" s="131" t="s">
        <v>103</v>
      </c>
      <c r="F444" s="254">
        <v>115</v>
      </c>
      <c r="G444" s="159">
        <v>14</v>
      </c>
    </row>
    <row r="445" spans="1:7" ht="15">
      <c r="A445" s="193">
        <v>442</v>
      </c>
      <c r="B445" s="248" t="s">
        <v>102</v>
      </c>
      <c r="C445" s="117">
        <v>39059</v>
      </c>
      <c r="D445" s="132" t="s">
        <v>23</v>
      </c>
      <c r="E445" s="131" t="s">
        <v>103</v>
      </c>
      <c r="F445" s="254">
        <v>60</v>
      </c>
      <c r="G445" s="196">
        <v>24</v>
      </c>
    </row>
    <row r="446" spans="1:7" ht="15">
      <c r="A446" s="190">
        <v>443</v>
      </c>
      <c r="B446" s="150" t="s">
        <v>84</v>
      </c>
      <c r="C446" s="117">
        <v>38891</v>
      </c>
      <c r="D446" s="132" t="s">
        <v>23</v>
      </c>
      <c r="E446" s="131" t="s">
        <v>13</v>
      </c>
      <c r="F446" s="254">
        <v>2030.2</v>
      </c>
      <c r="G446" s="159">
        <v>506</v>
      </c>
    </row>
    <row r="447" spans="1:7" ht="15">
      <c r="A447" s="193">
        <v>444</v>
      </c>
      <c r="B447" s="181" t="s">
        <v>84</v>
      </c>
      <c r="C447" s="117">
        <v>38891</v>
      </c>
      <c r="D447" s="177" t="s">
        <v>23</v>
      </c>
      <c r="E447" s="177" t="s">
        <v>13</v>
      </c>
      <c r="F447" s="250">
        <v>1554.4</v>
      </c>
      <c r="G447" s="196">
        <v>456</v>
      </c>
    </row>
    <row r="448" spans="1:7" ht="15">
      <c r="A448" s="190">
        <v>445</v>
      </c>
      <c r="B448" s="150" t="s">
        <v>84</v>
      </c>
      <c r="C448" s="117">
        <v>38891</v>
      </c>
      <c r="D448" s="132" t="s">
        <v>23</v>
      </c>
      <c r="E448" s="131" t="s">
        <v>13</v>
      </c>
      <c r="F448" s="250">
        <v>699</v>
      </c>
      <c r="G448" s="196">
        <v>199</v>
      </c>
    </row>
    <row r="449" spans="1:7" ht="15">
      <c r="A449" s="193">
        <v>446</v>
      </c>
      <c r="B449" s="150" t="s">
        <v>84</v>
      </c>
      <c r="C449" s="117">
        <v>38891</v>
      </c>
      <c r="D449" s="276" t="s">
        <v>23</v>
      </c>
      <c r="E449" s="277" t="s">
        <v>13</v>
      </c>
      <c r="F449" s="250">
        <v>195</v>
      </c>
      <c r="G449" s="196">
        <v>65</v>
      </c>
    </row>
    <row r="450" spans="1:7" ht="15">
      <c r="A450" s="193">
        <v>447</v>
      </c>
      <c r="B450" s="147" t="s">
        <v>17</v>
      </c>
      <c r="C450" s="116">
        <v>39052</v>
      </c>
      <c r="D450" s="127" t="s">
        <v>56</v>
      </c>
      <c r="E450" s="126" t="s">
        <v>71</v>
      </c>
      <c r="F450" s="255">
        <v>18054</v>
      </c>
      <c r="G450" s="156">
        <v>2827</v>
      </c>
    </row>
    <row r="451" spans="1:7" ht="15">
      <c r="A451" s="190">
        <v>448</v>
      </c>
      <c r="B451" s="147" t="s">
        <v>17</v>
      </c>
      <c r="C451" s="116">
        <v>39052</v>
      </c>
      <c r="D451" s="178" t="s">
        <v>56</v>
      </c>
      <c r="E451" s="178" t="s">
        <v>71</v>
      </c>
      <c r="F451" s="251">
        <v>7487</v>
      </c>
      <c r="G451" s="195">
        <v>1405</v>
      </c>
    </row>
    <row r="452" spans="1:7" ht="15">
      <c r="A452" s="193">
        <v>449</v>
      </c>
      <c r="B452" s="147" t="s">
        <v>17</v>
      </c>
      <c r="C452" s="116">
        <v>39052</v>
      </c>
      <c r="D452" s="127" t="s">
        <v>56</v>
      </c>
      <c r="E452" s="126" t="s">
        <v>71</v>
      </c>
      <c r="F452" s="251">
        <v>5131</v>
      </c>
      <c r="G452" s="195">
        <v>1115</v>
      </c>
    </row>
    <row r="453" spans="1:7" ht="15">
      <c r="A453" s="190">
        <v>450</v>
      </c>
      <c r="B453" s="147" t="s">
        <v>17</v>
      </c>
      <c r="C453" s="116">
        <v>39052</v>
      </c>
      <c r="D453" s="272" t="s">
        <v>56</v>
      </c>
      <c r="E453" s="273" t="s">
        <v>71</v>
      </c>
      <c r="F453" s="255">
        <v>1536</v>
      </c>
      <c r="G453" s="156">
        <v>296</v>
      </c>
    </row>
    <row r="454" spans="1:7" ht="15">
      <c r="A454" s="193">
        <v>451</v>
      </c>
      <c r="B454" s="147" t="s">
        <v>17</v>
      </c>
      <c r="C454" s="116">
        <v>39052</v>
      </c>
      <c r="D454" s="321" t="s">
        <v>56</v>
      </c>
      <c r="E454" s="321" t="s">
        <v>71</v>
      </c>
      <c r="F454" s="251">
        <v>1196.5</v>
      </c>
      <c r="G454" s="195">
        <v>209</v>
      </c>
    </row>
    <row r="455" spans="1:7" ht="15">
      <c r="A455" s="190">
        <v>452</v>
      </c>
      <c r="B455" s="147" t="s">
        <v>17</v>
      </c>
      <c r="C455" s="116">
        <v>39052</v>
      </c>
      <c r="D455" s="272" t="s">
        <v>56</v>
      </c>
      <c r="E455" s="273" t="s">
        <v>71</v>
      </c>
      <c r="F455" s="251">
        <v>723</v>
      </c>
      <c r="G455" s="195">
        <v>149</v>
      </c>
    </row>
    <row r="456" spans="1:7" ht="15">
      <c r="A456" s="193">
        <v>453</v>
      </c>
      <c r="B456" s="147" t="s">
        <v>17</v>
      </c>
      <c r="C456" s="116">
        <v>39052</v>
      </c>
      <c r="D456" s="127" t="s">
        <v>56</v>
      </c>
      <c r="E456" s="126" t="s">
        <v>71</v>
      </c>
      <c r="F456" s="251">
        <v>530</v>
      </c>
      <c r="G456" s="195">
        <v>106</v>
      </c>
    </row>
    <row r="457" spans="1:7" ht="15">
      <c r="A457" s="193">
        <v>454</v>
      </c>
      <c r="B457" s="334" t="s">
        <v>17</v>
      </c>
      <c r="C457" s="327">
        <v>39052</v>
      </c>
      <c r="D457" s="326" t="s">
        <v>56</v>
      </c>
      <c r="E457" s="326" t="s">
        <v>71</v>
      </c>
      <c r="F457" s="251">
        <v>335</v>
      </c>
      <c r="G457" s="195">
        <v>65</v>
      </c>
    </row>
    <row r="458" spans="1:7" ht="15">
      <c r="A458" s="190">
        <v>455</v>
      </c>
      <c r="B458" s="149" t="s">
        <v>212</v>
      </c>
      <c r="C458" s="117">
        <v>37862</v>
      </c>
      <c r="D458" s="129" t="s">
        <v>46</v>
      </c>
      <c r="E458" s="129" t="s">
        <v>213</v>
      </c>
      <c r="F458" s="251">
        <v>354</v>
      </c>
      <c r="G458" s="195">
        <v>118</v>
      </c>
    </row>
    <row r="459" spans="1:7" ht="15">
      <c r="A459" s="193">
        <v>456</v>
      </c>
      <c r="B459" s="180" t="s">
        <v>95</v>
      </c>
      <c r="C459" s="116">
        <v>39010</v>
      </c>
      <c r="D459" s="178" t="s">
        <v>68</v>
      </c>
      <c r="E459" s="178" t="s">
        <v>40</v>
      </c>
      <c r="F459" s="260">
        <v>2615</v>
      </c>
      <c r="G459" s="199">
        <v>432</v>
      </c>
    </row>
    <row r="460" spans="1:7" ht="15">
      <c r="A460" s="190">
        <v>457</v>
      </c>
      <c r="B460" s="337" t="s">
        <v>95</v>
      </c>
      <c r="C460" s="116">
        <v>39010</v>
      </c>
      <c r="D460" s="178" t="s">
        <v>68</v>
      </c>
      <c r="E460" s="178" t="s">
        <v>368</v>
      </c>
      <c r="F460" s="260">
        <v>1841</v>
      </c>
      <c r="G460" s="199">
        <v>263</v>
      </c>
    </row>
    <row r="461" spans="1:7" ht="15">
      <c r="A461" s="193">
        <v>458</v>
      </c>
      <c r="B461" s="147" t="s">
        <v>95</v>
      </c>
      <c r="C461" s="116">
        <v>39010</v>
      </c>
      <c r="D461" s="126" t="s">
        <v>68</v>
      </c>
      <c r="E461" s="126" t="s">
        <v>40</v>
      </c>
      <c r="F461" s="261">
        <v>1100</v>
      </c>
      <c r="G461" s="161">
        <v>143</v>
      </c>
    </row>
    <row r="462" spans="1:7" ht="15">
      <c r="A462" s="190">
        <v>459</v>
      </c>
      <c r="B462" s="249" t="s">
        <v>171</v>
      </c>
      <c r="C462" s="116">
        <v>39038</v>
      </c>
      <c r="D462" s="129" t="s">
        <v>45</v>
      </c>
      <c r="E462" s="129" t="s">
        <v>172</v>
      </c>
      <c r="F462" s="255">
        <v>1188</v>
      </c>
      <c r="G462" s="195">
        <v>396</v>
      </c>
    </row>
    <row r="463" spans="1:7" ht="15">
      <c r="A463" s="193">
        <v>460</v>
      </c>
      <c r="B463" s="145" t="s">
        <v>171</v>
      </c>
      <c r="C463" s="116">
        <v>39038</v>
      </c>
      <c r="D463" s="129" t="s">
        <v>45</v>
      </c>
      <c r="E463" s="129" t="s">
        <v>172</v>
      </c>
      <c r="F463" s="251">
        <v>885</v>
      </c>
      <c r="G463" s="195">
        <v>171</v>
      </c>
    </row>
    <row r="464" spans="1:7" ht="15">
      <c r="A464" s="193">
        <v>461</v>
      </c>
      <c r="B464" s="248" t="s">
        <v>204</v>
      </c>
      <c r="C464" s="117">
        <v>38639</v>
      </c>
      <c r="D464" s="132" t="s">
        <v>23</v>
      </c>
      <c r="E464" s="131" t="s">
        <v>205</v>
      </c>
      <c r="F464" s="250">
        <v>3560</v>
      </c>
      <c r="G464" s="196">
        <v>890</v>
      </c>
    </row>
    <row r="465" spans="1:7" ht="15">
      <c r="A465" s="190">
        <v>462</v>
      </c>
      <c r="B465" s="148" t="s">
        <v>16</v>
      </c>
      <c r="C465" s="151">
        <v>39059</v>
      </c>
      <c r="D465" s="146" t="s">
        <v>58</v>
      </c>
      <c r="E465" s="146" t="s">
        <v>38</v>
      </c>
      <c r="F465" s="256">
        <v>291.5</v>
      </c>
      <c r="G465" s="157">
        <v>19</v>
      </c>
    </row>
    <row r="466" spans="1:7" ht="15">
      <c r="A466" s="193">
        <v>463</v>
      </c>
      <c r="B466" s="247" t="s">
        <v>34</v>
      </c>
      <c r="C466" s="119">
        <v>38982</v>
      </c>
      <c r="D466" s="128" t="s">
        <v>64</v>
      </c>
      <c r="E466" s="129" t="s">
        <v>281</v>
      </c>
      <c r="F466" s="258">
        <v>2355</v>
      </c>
      <c r="G466" s="198">
        <v>418</v>
      </c>
    </row>
    <row r="467" spans="1:7" ht="15">
      <c r="A467" s="190">
        <v>464</v>
      </c>
      <c r="B467" s="347" t="s">
        <v>34</v>
      </c>
      <c r="C467" s="119">
        <v>39024</v>
      </c>
      <c r="D467" s="179" t="s">
        <v>64</v>
      </c>
      <c r="E467" s="179" t="s">
        <v>62</v>
      </c>
      <c r="F467" s="258">
        <v>1921</v>
      </c>
      <c r="G467" s="198">
        <v>417</v>
      </c>
    </row>
    <row r="468" spans="1:7" ht="15">
      <c r="A468" s="193">
        <v>465</v>
      </c>
      <c r="B468" s="121" t="s">
        <v>34</v>
      </c>
      <c r="C468" s="119">
        <v>39024</v>
      </c>
      <c r="D468" s="130" t="s">
        <v>64</v>
      </c>
      <c r="E468" s="130" t="s">
        <v>62</v>
      </c>
      <c r="F468" s="259">
        <v>1186</v>
      </c>
      <c r="G468" s="160">
        <v>237</v>
      </c>
    </row>
    <row r="469" spans="1:7" ht="15">
      <c r="A469" s="190">
        <v>466</v>
      </c>
      <c r="B469" s="121" t="s">
        <v>34</v>
      </c>
      <c r="C469" s="119">
        <v>39024</v>
      </c>
      <c r="D469" s="279" t="s">
        <v>64</v>
      </c>
      <c r="E469" s="279" t="s">
        <v>62</v>
      </c>
      <c r="F469" s="259">
        <v>958</v>
      </c>
      <c r="G469" s="160">
        <v>124</v>
      </c>
    </row>
    <row r="470" spans="1:7" ht="15">
      <c r="A470" s="193">
        <v>467</v>
      </c>
      <c r="B470" s="338" t="s">
        <v>94</v>
      </c>
      <c r="C470" s="117">
        <v>39010</v>
      </c>
      <c r="D470" s="177" t="s">
        <v>23</v>
      </c>
      <c r="E470" s="177" t="s">
        <v>85</v>
      </c>
      <c r="F470" s="250">
        <v>4558</v>
      </c>
      <c r="G470" s="196">
        <v>1133</v>
      </c>
    </row>
    <row r="471" spans="1:7" ht="15">
      <c r="A471" s="193">
        <v>468</v>
      </c>
      <c r="B471" s="248" t="s">
        <v>94</v>
      </c>
      <c r="C471" s="117">
        <v>39010</v>
      </c>
      <c r="D471" s="132" t="s">
        <v>23</v>
      </c>
      <c r="E471" s="131" t="s">
        <v>85</v>
      </c>
      <c r="F471" s="250">
        <v>2852</v>
      </c>
      <c r="G471" s="196">
        <v>713</v>
      </c>
    </row>
    <row r="472" spans="1:7" ht="15">
      <c r="A472" s="190">
        <v>469</v>
      </c>
      <c r="B472" s="150" t="s">
        <v>94</v>
      </c>
      <c r="C472" s="117">
        <v>39010</v>
      </c>
      <c r="D472" s="132" t="s">
        <v>23</v>
      </c>
      <c r="E472" s="131" t="s">
        <v>85</v>
      </c>
      <c r="F472" s="250">
        <v>2339</v>
      </c>
      <c r="G472" s="196">
        <v>447</v>
      </c>
    </row>
    <row r="473" spans="1:7" ht="15">
      <c r="A473" s="193">
        <v>470</v>
      </c>
      <c r="B473" s="150" t="s">
        <v>94</v>
      </c>
      <c r="C473" s="117">
        <v>39010</v>
      </c>
      <c r="D473" s="276" t="s">
        <v>23</v>
      </c>
      <c r="E473" s="277" t="s">
        <v>85</v>
      </c>
      <c r="F473" s="254">
        <v>2083</v>
      </c>
      <c r="G473" s="159">
        <v>384</v>
      </c>
    </row>
    <row r="474" spans="1:7" ht="15">
      <c r="A474" s="190">
        <v>471</v>
      </c>
      <c r="B474" s="150" t="s">
        <v>94</v>
      </c>
      <c r="C474" s="117">
        <v>39010</v>
      </c>
      <c r="D474" s="132" t="s">
        <v>23</v>
      </c>
      <c r="E474" s="131" t="s">
        <v>85</v>
      </c>
      <c r="F474" s="254">
        <v>1894</v>
      </c>
      <c r="G474" s="159">
        <v>394</v>
      </c>
    </row>
    <row r="475" spans="1:7" ht="15">
      <c r="A475" s="193">
        <v>472</v>
      </c>
      <c r="B475" s="248" t="s">
        <v>94</v>
      </c>
      <c r="C475" s="117">
        <v>39010</v>
      </c>
      <c r="D475" s="132" t="s">
        <v>23</v>
      </c>
      <c r="E475" s="131" t="s">
        <v>85</v>
      </c>
      <c r="F475" s="254">
        <v>1780</v>
      </c>
      <c r="G475" s="196">
        <v>445</v>
      </c>
    </row>
    <row r="476" spans="1:7" ht="15">
      <c r="A476" s="190">
        <v>473</v>
      </c>
      <c r="B476" s="181" t="s">
        <v>94</v>
      </c>
      <c r="C476" s="117">
        <v>39010</v>
      </c>
      <c r="D476" s="177" t="s">
        <v>23</v>
      </c>
      <c r="E476" s="177" t="s">
        <v>85</v>
      </c>
      <c r="F476" s="250">
        <v>1723</v>
      </c>
      <c r="G476" s="196">
        <v>386</v>
      </c>
    </row>
    <row r="477" spans="1:7" ht="15">
      <c r="A477" s="193">
        <v>474</v>
      </c>
      <c r="B477" s="150" t="s">
        <v>94</v>
      </c>
      <c r="C477" s="117">
        <v>39010</v>
      </c>
      <c r="D477" s="132" t="s">
        <v>23</v>
      </c>
      <c r="E477" s="131" t="s">
        <v>85</v>
      </c>
      <c r="F477" s="250">
        <v>1526</v>
      </c>
      <c r="G477" s="196">
        <v>373</v>
      </c>
    </row>
    <row r="478" spans="1:7" ht="15">
      <c r="A478" s="193">
        <v>475</v>
      </c>
      <c r="B478" s="248" t="s">
        <v>94</v>
      </c>
      <c r="C478" s="117">
        <v>39010</v>
      </c>
      <c r="D478" s="132" t="s">
        <v>23</v>
      </c>
      <c r="E478" s="131" t="s">
        <v>85</v>
      </c>
      <c r="F478" s="254">
        <v>1188</v>
      </c>
      <c r="G478" s="159">
        <v>297</v>
      </c>
    </row>
    <row r="479" spans="1:7" ht="15">
      <c r="A479" s="190">
        <v>476</v>
      </c>
      <c r="B479" s="248" t="s">
        <v>94</v>
      </c>
      <c r="C479" s="117">
        <v>39010</v>
      </c>
      <c r="D479" s="276" t="s">
        <v>23</v>
      </c>
      <c r="E479" s="277" t="s">
        <v>85</v>
      </c>
      <c r="F479" s="254">
        <v>357.5</v>
      </c>
      <c r="G479" s="159">
        <v>84</v>
      </c>
    </row>
    <row r="480" spans="1:7" ht="15">
      <c r="A480" s="193">
        <v>477</v>
      </c>
      <c r="B480" s="248" t="s">
        <v>94</v>
      </c>
      <c r="C480" s="117">
        <v>39010</v>
      </c>
      <c r="D480" s="132" t="s">
        <v>23</v>
      </c>
      <c r="E480" s="131" t="s">
        <v>85</v>
      </c>
      <c r="F480" s="250">
        <v>351</v>
      </c>
      <c r="G480" s="196">
        <v>51</v>
      </c>
    </row>
    <row r="481" spans="1:7" ht="15">
      <c r="A481" s="190">
        <v>478</v>
      </c>
      <c r="B481" s="248" t="s">
        <v>94</v>
      </c>
      <c r="C481" s="117">
        <v>39010</v>
      </c>
      <c r="D481" s="323" t="s">
        <v>23</v>
      </c>
      <c r="E481" s="323" t="s">
        <v>85</v>
      </c>
      <c r="F481" s="250">
        <v>254</v>
      </c>
      <c r="G481" s="196">
        <v>37</v>
      </c>
    </row>
    <row r="482" spans="1:7" ht="15">
      <c r="A482" s="193">
        <v>479</v>
      </c>
      <c r="B482" s="248" t="s">
        <v>94</v>
      </c>
      <c r="C482" s="117">
        <v>39010</v>
      </c>
      <c r="D482" s="132" t="s">
        <v>23</v>
      </c>
      <c r="E482" s="131" t="s">
        <v>85</v>
      </c>
      <c r="F482" s="250">
        <v>175</v>
      </c>
      <c r="G482" s="196">
        <v>27</v>
      </c>
    </row>
    <row r="483" spans="1:7" ht="15">
      <c r="A483" s="190">
        <v>480</v>
      </c>
      <c r="B483" s="150" t="s">
        <v>94</v>
      </c>
      <c r="C483" s="117">
        <v>39010</v>
      </c>
      <c r="D483" s="276" t="s">
        <v>23</v>
      </c>
      <c r="E483" s="277" t="s">
        <v>85</v>
      </c>
      <c r="F483" s="250">
        <v>159</v>
      </c>
      <c r="G483" s="196">
        <v>37</v>
      </c>
    </row>
    <row r="484" spans="1:7" ht="15">
      <c r="A484" s="193">
        <v>481</v>
      </c>
      <c r="B484" s="147" t="s">
        <v>170</v>
      </c>
      <c r="C484" s="116">
        <v>38814</v>
      </c>
      <c r="D484" s="126" t="s">
        <v>48</v>
      </c>
      <c r="E484" s="126" t="s">
        <v>70</v>
      </c>
      <c r="F484" s="252">
        <v>960</v>
      </c>
      <c r="G484" s="197">
        <v>192</v>
      </c>
    </row>
    <row r="485" spans="1:7" ht="15.75" thickBot="1">
      <c r="A485" s="193">
        <v>482</v>
      </c>
      <c r="B485" s="200" t="s">
        <v>132</v>
      </c>
      <c r="C485" s="201">
        <v>38996</v>
      </c>
      <c r="D485" s="202" t="s">
        <v>57</v>
      </c>
      <c r="E485" s="203" t="s">
        <v>63</v>
      </c>
      <c r="F485" s="262">
        <v>795</v>
      </c>
      <c r="G485" s="204">
        <v>159</v>
      </c>
    </row>
    <row r="486" spans="1:7" ht="15">
      <c r="A486" s="403" t="s">
        <v>50</v>
      </c>
      <c r="B486" s="404"/>
      <c r="C486" s="185"/>
      <c r="D486" s="185"/>
      <c r="E486" s="185"/>
      <c r="F486" s="263">
        <f>SUM(F4:F485)</f>
        <v>10214864.399999997</v>
      </c>
      <c r="G486" s="188">
        <f>SUM(G4:G485)</f>
        <v>1502861</v>
      </c>
    </row>
    <row r="487" spans="1:7" ht="12.75">
      <c r="A487" s="91"/>
      <c r="B487" s="83"/>
      <c r="C487" s="84"/>
      <c r="D487" s="84"/>
      <c r="E487" s="84"/>
      <c r="F487" s="264"/>
      <c r="G487" s="171"/>
    </row>
    <row r="488" spans="1:7" ht="12.75">
      <c r="A488" s="92"/>
      <c r="B488" s="87"/>
      <c r="C488" s="50"/>
      <c r="D488" s="50"/>
      <c r="E488" s="50"/>
      <c r="F488" s="265"/>
      <c r="G488" s="172"/>
    </row>
    <row r="489" spans="1:7" ht="12.75">
      <c r="A489" s="92"/>
      <c r="B489" s="87"/>
      <c r="C489" s="369" t="s">
        <v>31</v>
      </c>
      <c r="D489" s="395"/>
      <c r="E489" s="395"/>
      <c r="F489" s="395"/>
      <c r="G489" s="395"/>
    </row>
    <row r="490" spans="1:7" ht="12.75">
      <c r="A490" s="92"/>
      <c r="B490" s="87"/>
      <c r="C490" s="395"/>
      <c r="D490" s="395"/>
      <c r="E490" s="395"/>
      <c r="F490" s="395"/>
      <c r="G490" s="395"/>
    </row>
    <row r="491" spans="1:7" ht="12.75">
      <c r="A491" s="92"/>
      <c r="B491" s="87"/>
      <c r="C491" s="395"/>
      <c r="D491" s="395"/>
      <c r="E491" s="395"/>
      <c r="F491" s="395"/>
      <c r="G491" s="395"/>
    </row>
    <row r="492" spans="1:7" ht="12.75">
      <c r="A492" s="92"/>
      <c r="B492" s="87"/>
      <c r="C492" s="395"/>
      <c r="D492" s="395"/>
      <c r="E492" s="395"/>
      <c r="F492" s="395"/>
      <c r="G492" s="395"/>
    </row>
    <row r="493" spans="1:7" ht="12.75">
      <c r="A493" s="92"/>
      <c r="B493" s="87"/>
      <c r="C493" s="395"/>
      <c r="D493" s="395"/>
      <c r="E493" s="395"/>
      <c r="F493" s="395"/>
      <c r="G493" s="395"/>
    </row>
    <row r="494" spans="1:7" ht="12.75">
      <c r="A494" s="92"/>
      <c r="B494" s="87"/>
      <c r="C494" s="395"/>
      <c r="D494" s="395"/>
      <c r="E494" s="395"/>
      <c r="F494" s="395"/>
      <c r="G494" s="395"/>
    </row>
    <row r="495" spans="1:7" ht="12.75">
      <c r="A495" s="92"/>
      <c r="B495" s="87"/>
      <c r="C495" s="104"/>
      <c r="D495" s="90"/>
      <c r="E495" s="90"/>
      <c r="F495" s="266"/>
      <c r="G495" s="173"/>
    </row>
    <row r="496" spans="1:7" ht="12.75">
      <c r="A496" s="92"/>
      <c r="B496" s="87"/>
      <c r="C496" s="396" t="s">
        <v>19</v>
      </c>
      <c r="D496" s="395"/>
      <c r="E496" s="395"/>
      <c r="F496" s="395"/>
      <c r="G496" s="395"/>
    </row>
    <row r="497" spans="1:7" ht="12.75">
      <c r="A497" s="92"/>
      <c r="B497" s="87"/>
      <c r="C497" s="395"/>
      <c r="D497" s="395"/>
      <c r="E497" s="395"/>
      <c r="F497" s="395"/>
      <c r="G497" s="395"/>
    </row>
    <row r="498" spans="1:7" ht="12.75">
      <c r="A498" s="92"/>
      <c r="B498" s="87"/>
      <c r="C498" s="395"/>
      <c r="D498" s="395"/>
      <c r="E498" s="395"/>
      <c r="F498" s="395"/>
      <c r="G498" s="395"/>
    </row>
    <row r="499" spans="1:7" ht="12.75">
      <c r="A499" s="92"/>
      <c r="B499" s="87"/>
      <c r="C499" s="395"/>
      <c r="D499" s="395"/>
      <c r="E499" s="395"/>
      <c r="F499" s="395"/>
      <c r="G499" s="395"/>
    </row>
    <row r="500" spans="1:7" ht="12.75">
      <c r="A500" s="92"/>
      <c r="B500" s="87"/>
      <c r="C500" s="395"/>
      <c r="D500" s="395"/>
      <c r="E500" s="395"/>
      <c r="F500" s="395"/>
      <c r="G500" s="395"/>
    </row>
    <row r="501" spans="1:7" ht="12.75">
      <c r="A501" s="92"/>
      <c r="B501" s="87"/>
      <c r="C501" s="395"/>
      <c r="D501" s="395"/>
      <c r="E501" s="395"/>
      <c r="F501" s="395"/>
      <c r="G501" s="395"/>
    </row>
    <row r="502" spans="1:7" ht="12.75">
      <c r="A502" s="92"/>
      <c r="B502" s="87"/>
      <c r="C502" s="397"/>
      <c r="D502" s="397"/>
      <c r="E502" s="397"/>
      <c r="F502" s="397"/>
      <c r="G502" s="397"/>
    </row>
    <row r="503" spans="1:7" ht="12.75">
      <c r="A503" s="92"/>
      <c r="B503" s="87"/>
      <c r="C503" s="50"/>
      <c r="D503" s="50"/>
      <c r="E503" s="50"/>
      <c r="F503" s="265"/>
      <c r="G503" s="172"/>
    </row>
    <row r="504" spans="1:7" ht="12.75">
      <c r="A504" s="92"/>
      <c r="B504" s="87"/>
      <c r="C504" s="50"/>
      <c r="D504" s="50"/>
      <c r="E504" s="50"/>
      <c r="F504" s="265"/>
      <c r="G504" s="172"/>
    </row>
  </sheetData>
  <mergeCells count="9">
    <mergeCell ref="C489:G494"/>
    <mergeCell ref="C496:G502"/>
    <mergeCell ref="A1:G1"/>
    <mergeCell ref="B2:B3"/>
    <mergeCell ref="C2:C3"/>
    <mergeCell ref="D2:D3"/>
    <mergeCell ref="E2:E3"/>
    <mergeCell ref="F2:G2"/>
    <mergeCell ref="A486:B486"/>
  </mergeCells>
  <printOptions/>
  <pageMargins left="0.46" right="0.3" top="0.61" bottom="0.52" header="0.5" footer="0.5"/>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W64"/>
  <sheetViews>
    <sheetView zoomScale="90" zoomScaleNormal="90" workbookViewId="0" topLeftCell="A7">
      <selection activeCell="C66" sqref="C66"/>
    </sheetView>
  </sheetViews>
  <sheetFormatPr defaultColWidth="9.140625" defaultRowHeight="12.75"/>
  <cols>
    <col min="1" max="1" width="2.7109375" style="230" bestFit="1" customWidth="1"/>
    <col min="2" max="2" width="4.7109375" style="231" bestFit="1" customWidth="1"/>
    <col min="3" max="3" width="7.57421875" style="232" bestFit="1" customWidth="1"/>
    <col min="4" max="4" width="2.7109375" style="230" bestFit="1" customWidth="1"/>
    <col min="5" max="5" width="1.8515625" style="230" bestFit="1" customWidth="1"/>
    <col min="6" max="6" width="4.28125" style="233" bestFit="1" customWidth="1"/>
    <col min="7" max="7" width="11.28125" style="234" bestFit="1" customWidth="1"/>
    <col min="8" max="8" width="8.421875" style="235" bestFit="1" customWidth="1"/>
    <col min="9" max="9" width="6.421875" style="232" bestFit="1" customWidth="1"/>
    <col min="10" max="10" width="9.7109375" style="236" bestFit="1" customWidth="1"/>
    <col min="11" max="11" width="6.28125" style="237" bestFit="1" customWidth="1"/>
    <col min="12" max="12" width="6.00390625" style="238" bestFit="1" customWidth="1"/>
    <col min="13" max="13" width="1.8515625" style="233" bestFit="1" customWidth="1"/>
    <col min="14" max="14" width="9.7109375" style="234" bestFit="1" customWidth="1"/>
    <col min="15" max="15" width="6.28125" style="235" bestFit="1" customWidth="1"/>
    <col min="16" max="16" width="6.00390625" style="239" bestFit="1" customWidth="1"/>
    <col min="17" max="17" width="2.7109375" style="230" bestFit="1" customWidth="1"/>
    <col min="18" max="18" width="10.421875" style="236" bestFit="1" customWidth="1"/>
    <col min="19" max="19" width="8.421875" style="237" bestFit="1" customWidth="1"/>
    <col min="20" max="20" width="6.00390625" style="238" bestFit="1" customWidth="1"/>
    <col min="21" max="21" width="20.57421875" style="240" bestFit="1" customWidth="1"/>
    <col min="22" max="22" width="6.28125" style="235" bestFit="1" customWidth="1"/>
    <col min="23" max="23" width="6.00390625" style="239" bestFit="1" customWidth="1"/>
    <col min="24" max="16384" width="9.140625" style="220" customWidth="1"/>
  </cols>
  <sheetData>
    <row r="1" spans="1:23" ht="14.25" thickBot="1">
      <c r="A1" s="205">
        <v>1</v>
      </c>
      <c r="B1" s="206" t="s">
        <v>139</v>
      </c>
      <c r="C1" s="207" t="s">
        <v>138</v>
      </c>
      <c r="D1" s="208">
        <v>10</v>
      </c>
      <c r="E1" s="209">
        <v>2</v>
      </c>
      <c r="F1" s="210">
        <v>56</v>
      </c>
      <c r="G1" s="211">
        <v>8691537.8</v>
      </c>
      <c r="H1" s="212">
        <v>1116749</v>
      </c>
      <c r="I1" s="213" t="s">
        <v>56</v>
      </c>
      <c r="J1" s="214">
        <v>2578324</v>
      </c>
      <c r="K1" s="215">
        <v>326212</v>
      </c>
      <c r="L1" s="216">
        <f aca="true" t="shared" si="0" ref="L1:L17">SUM(K1/H1)</f>
        <v>0.29210861169340646</v>
      </c>
      <c r="M1" s="210">
        <v>4</v>
      </c>
      <c r="N1" s="211">
        <v>3067842</v>
      </c>
      <c r="O1" s="217">
        <v>355957</v>
      </c>
      <c r="P1" s="218">
        <f aca="true" t="shared" si="1" ref="P1:P17">SUM(O1/H1)</f>
        <v>0.31874396126613946</v>
      </c>
      <c r="Q1" s="205">
        <v>15</v>
      </c>
      <c r="R1" s="214">
        <v>4982432.6</v>
      </c>
      <c r="S1" s="215">
        <v>687078</v>
      </c>
      <c r="T1" s="216">
        <f aca="true" t="shared" si="2" ref="T1:T17">SUM(S1/H1)</f>
        <v>0.6152483682546391</v>
      </c>
      <c r="U1" s="219" t="s">
        <v>140</v>
      </c>
      <c r="V1" s="217">
        <v>169709</v>
      </c>
      <c r="W1" s="218">
        <f aca="true" t="shared" si="3" ref="W1:W17">SUM(V1/H1)</f>
        <v>0.15196700422386766</v>
      </c>
    </row>
    <row r="2" spans="1:23" ht="14.25" thickBot="1">
      <c r="A2" s="205">
        <v>2</v>
      </c>
      <c r="B2" s="206" t="s">
        <v>141</v>
      </c>
      <c r="C2" s="207" t="s">
        <v>138</v>
      </c>
      <c r="D2" s="208">
        <v>11</v>
      </c>
      <c r="E2" s="209">
        <v>1</v>
      </c>
      <c r="F2" s="210">
        <v>60</v>
      </c>
      <c r="G2" s="211">
        <v>5118756.19</v>
      </c>
      <c r="H2" s="212">
        <v>659053</v>
      </c>
      <c r="I2" s="213" t="s">
        <v>57</v>
      </c>
      <c r="J2" s="214">
        <v>1728906</v>
      </c>
      <c r="K2" s="215">
        <v>201031</v>
      </c>
      <c r="L2" s="216">
        <f t="shared" si="0"/>
        <v>0.30503009621380983</v>
      </c>
      <c r="M2" s="210">
        <v>4</v>
      </c>
      <c r="N2" s="211">
        <v>1283953.79</v>
      </c>
      <c r="O2" s="217">
        <v>146284</v>
      </c>
      <c r="P2" s="218">
        <f t="shared" si="1"/>
        <v>0.22196090450995595</v>
      </c>
      <c r="Q2" s="205">
        <v>15</v>
      </c>
      <c r="R2" s="214">
        <v>2107779</v>
      </c>
      <c r="S2" s="215">
        <v>296899</v>
      </c>
      <c r="T2" s="216">
        <f t="shared" si="2"/>
        <v>0.4504933594111551</v>
      </c>
      <c r="U2" s="324" t="s">
        <v>161</v>
      </c>
      <c r="V2" s="217">
        <v>124215</v>
      </c>
      <c r="W2" s="218">
        <f t="shared" si="3"/>
        <v>0.18847497849186637</v>
      </c>
    </row>
    <row r="3" spans="1:23" ht="14.25" thickBot="1">
      <c r="A3" s="205">
        <v>3</v>
      </c>
      <c r="B3" s="206" t="s">
        <v>176</v>
      </c>
      <c r="C3" s="207" t="s">
        <v>138</v>
      </c>
      <c r="D3" s="208">
        <v>10</v>
      </c>
      <c r="E3" s="209">
        <v>2</v>
      </c>
      <c r="F3" s="210">
        <v>62</v>
      </c>
      <c r="G3" s="211">
        <v>6529602.8</v>
      </c>
      <c r="H3" s="212">
        <v>890256</v>
      </c>
      <c r="I3" s="213" t="s">
        <v>175</v>
      </c>
      <c r="J3" s="214">
        <v>3607269.5</v>
      </c>
      <c r="K3" s="215">
        <v>527388</v>
      </c>
      <c r="L3" s="216">
        <f t="shared" si="0"/>
        <v>0.5924003882029438</v>
      </c>
      <c r="M3" s="210">
        <v>5</v>
      </c>
      <c r="N3" s="211">
        <v>3682940.5</v>
      </c>
      <c r="O3" s="217">
        <v>511626</v>
      </c>
      <c r="P3" s="218">
        <f t="shared" si="1"/>
        <v>0.5746953685232113</v>
      </c>
      <c r="Q3" s="205">
        <v>16</v>
      </c>
      <c r="R3" s="214">
        <v>4246940.5</v>
      </c>
      <c r="S3" s="215">
        <v>616838</v>
      </c>
      <c r="T3" s="216">
        <f t="shared" si="2"/>
        <v>0.6928771050124908</v>
      </c>
      <c r="U3" s="219" t="s">
        <v>177</v>
      </c>
      <c r="V3" s="217">
        <v>453903</v>
      </c>
      <c r="W3" s="218">
        <f t="shared" si="3"/>
        <v>0.5098567153717583</v>
      </c>
    </row>
    <row r="4" spans="1:23" ht="14.25" thickBot="1">
      <c r="A4" s="205">
        <v>4</v>
      </c>
      <c r="B4" s="206" t="s">
        <v>179</v>
      </c>
      <c r="C4" s="207" t="s">
        <v>138</v>
      </c>
      <c r="D4" s="208">
        <v>10</v>
      </c>
      <c r="E4" s="209">
        <v>2</v>
      </c>
      <c r="F4" s="210">
        <v>61</v>
      </c>
      <c r="G4" s="211">
        <v>7092188.4</v>
      </c>
      <c r="H4" s="212">
        <v>992303</v>
      </c>
      <c r="I4" s="213" t="s">
        <v>175</v>
      </c>
      <c r="J4" s="214">
        <v>4481033</v>
      </c>
      <c r="K4" s="215">
        <v>657202</v>
      </c>
      <c r="L4" s="216">
        <f t="shared" si="0"/>
        <v>0.6622997209521688</v>
      </c>
      <c r="M4" s="210">
        <v>3</v>
      </c>
      <c r="N4" s="211">
        <v>2723182.5</v>
      </c>
      <c r="O4" s="217">
        <v>383964</v>
      </c>
      <c r="P4" s="218">
        <f t="shared" si="1"/>
        <v>0.38694229484340975</v>
      </c>
      <c r="Q4" s="205">
        <v>17</v>
      </c>
      <c r="R4" s="214">
        <v>5464750.5</v>
      </c>
      <c r="S4" s="215">
        <v>798920</v>
      </c>
      <c r="T4" s="216">
        <f t="shared" si="2"/>
        <v>0.8051169854369079</v>
      </c>
      <c r="U4" s="219" t="s">
        <v>180</v>
      </c>
      <c r="V4" s="217">
        <v>302980</v>
      </c>
      <c r="W4" s="218">
        <f t="shared" si="3"/>
        <v>0.30533012597966547</v>
      </c>
    </row>
    <row r="5" spans="1:23" ht="14.25" thickBot="1">
      <c r="A5" s="205">
        <v>5</v>
      </c>
      <c r="B5" s="206" t="s">
        <v>206</v>
      </c>
      <c r="C5" s="207" t="s">
        <v>207</v>
      </c>
      <c r="D5" s="208">
        <v>10</v>
      </c>
      <c r="E5" s="209">
        <v>2</v>
      </c>
      <c r="F5" s="210">
        <v>59</v>
      </c>
      <c r="G5" s="211">
        <v>9179330.2</v>
      </c>
      <c r="H5" s="212">
        <v>1224917</v>
      </c>
      <c r="I5" s="213" t="s">
        <v>56</v>
      </c>
      <c r="J5" s="214">
        <v>3493499</v>
      </c>
      <c r="K5" s="215">
        <v>456605</v>
      </c>
      <c r="L5" s="216">
        <f t="shared" si="0"/>
        <v>0.3727640321752413</v>
      </c>
      <c r="M5" s="210">
        <v>3</v>
      </c>
      <c r="N5" s="211">
        <v>4795747.5</v>
      </c>
      <c r="O5" s="217">
        <v>625765</v>
      </c>
      <c r="P5" s="218">
        <f t="shared" si="1"/>
        <v>0.5108631850158011</v>
      </c>
      <c r="Q5" s="205">
        <v>19</v>
      </c>
      <c r="R5" s="214">
        <v>7049057.5</v>
      </c>
      <c r="S5" s="215">
        <v>968934</v>
      </c>
      <c r="T5" s="216">
        <f t="shared" si="2"/>
        <v>0.7910201262616161</v>
      </c>
      <c r="U5" s="219" t="s">
        <v>208</v>
      </c>
      <c r="V5" s="217">
        <v>274655</v>
      </c>
      <c r="W5" s="218">
        <f t="shared" si="3"/>
        <v>0.22422335554164077</v>
      </c>
    </row>
    <row r="6" spans="1:23" ht="14.25" thickBot="1">
      <c r="A6" s="205">
        <v>6</v>
      </c>
      <c r="B6" s="206" t="s">
        <v>228</v>
      </c>
      <c r="C6" s="207" t="s">
        <v>207</v>
      </c>
      <c r="D6" s="208">
        <v>10</v>
      </c>
      <c r="E6" s="209">
        <v>2</v>
      </c>
      <c r="F6" s="210">
        <v>51</v>
      </c>
      <c r="G6" s="211">
        <v>8785416.1</v>
      </c>
      <c r="H6" s="212">
        <v>1151292</v>
      </c>
      <c r="I6" s="213" t="s">
        <v>56</v>
      </c>
      <c r="J6" s="214">
        <v>4155506</v>
      </c>
      <c r="K6" s="215">
        <v>521201</v>
      </c>
      <c r="L6" s="216">
        <f t="shared" si="0"/>
        <v>0.4527096514177116</v>
      </c>
      <c r="M6" s="210">
        <v>5</v>
      </c>
      <c r="N6" s="211">
        <v>1872291.5</v>
      </c>
      <c r="O6" s="217">
        <v>216438</v>
      </c>
      <c r="P6" s="218">
        <f t="shared" si="1"/>
        <v>0.18799574738641456</v>
      </c>
      <c r="Q6" s="205">
        <v>17</v>
      </c>
      <c r="R6" s="214">
        <v>5912605</v>
      </c>
      <c r="S6" s="215">
        <v>810354</v>
      </c>
      <c r="T6" s="216">
        <f t="shared" si="2"/>
        <v>0.7038648752879374</v>
      </c>
      <c r="U6" s="219" t="s">
        <v>208</v>
      </c>
      <c r="V6" s="217">
        <v>238848</v>
      </c>
      <c r="W6" s="218">
        <f t="shared" si="3"/>
        <v>0.2074608353050312</v>
      </c>
    </row>
    <row r="7" spans="1:23" ht="14.25" thickBot="1">
      <c r="A7" s="205">
        <v>7</v>
      </c>
      <c r="B7" s="206" t="s">
        <v>241</v>
      </c>
      <c r="C7" s="207" t="s">
        <v>207</v>
      </c>
      <c r="D7" s="208">
        <v>9</v>
      </c>
      <c r="E7" s="209">
        <v>3</v>
      </c>
      <c r="F7" s="210">
        <v>52</v>
      </c>
      <c r="G7" s="211">
        <v>6302662.94</v>
      </c>
      <c r="H7" s="212">
        <v>828699</v>
      </c>
      <c r="I7" s="213" t="s">
        <v>56</v>
      </c>
      <c r="J7" s="214">
        <v>2914628</v>
      </c>
      <c r="K7" s="215">
        <v>366924</v>
      </c>
      <c r="L7" s="216">
        <f t="shared" si="0"/>
        <v>0.44277113885741387</v>
      </c>
      <c r="M7" s="210">
        <v>4</v>
      </c>
      <c r="N7" s="211">
        <v>1331644</v>
      </c>
      <c r="O7" s="217">
        <v>154379</v>
      </c>
      <c r="P7" s="218">
        <f t="shared" si="1"/>
        <v>0.18629080039917992</v>
      </c>
      <c r="Q7" s="205">
        <v>18</v>
      </c>
      <c r="R7" s="214">
        <v>3602022.94</v>
      </c>
      <c r="S7" s="215">
        <v>511804</v>
      </c>
      <c r="T7" s="216">
        <f t="shared" si="2"/>
        <v>0.6175993937485142</v>
      </c>
      <c r="U7" s="219" t="s">
        <v>208</v>
      </c>
      <c r="V7" s="217">
        <v>139396</v>
      </c>
      <c r="W7" s="218">
        <f t="shared" si="3"/>
        <v>0.16821065308393035</v>
      </c>
    </row>
    <row r="8" spans="1:23" ht="14.25" thickBot="1">
      <c r="A8" s="205">
        <v>8</v>
      </c>
      <c r="B8" s="206" t="s">
        <v>249</v>
      </c>
      <c r="C8" s="207" t="s">
        <v>207</v>
      </c>
      <c r="D8" s="208">
        <v>9</v>
      </c>
      <c r="E8" s="209">
        <v>3</v>
      </c>
      <c r="F8" s="210">
        <v>63</v>
      </c>
      <c r="G8" s="211">
        <v>6053217.5</v>
      </c>
      <c r="H8" s="212">
        <v>775939</v>
      </c>
      <c r="I8" s="213" t="s">
        <v>56</v>
      </c>
      <c r="J8" s="214">
        <v>2583853</v>
      </c>
      <c r="K8" s="215">
        <v>311964</v>
      </c>
      <c r="L8" s="216">
        <f t="shared" si="0"/>
        <v>0.4020470681329331</v>
      </c>
      <c r="M8" s="210">
        <v>5</v>
      </c>
      <c r="N8" s="211">
        <v>2873712.5</v>
      </c>
      <c r="O8" s="217">
        <v>340864</v>
      </c>
      <c r="P8" s="218">
        <f t="shared" si="1"/>
        <v>0.4392922639537386</v>
      </c>
      <c r="Q8" s="205">
        <v>19</v>
      </c>
      <c r="R8" s="214">
        <v>2339416.5</v>
      </c>
      <c r="S8" s="215">
        <v>340194</v>
      </c>
      <c r="T8" s="216">
        <f t="shared" si="2"/>
        <v>0.43842879401602447</v>
      </c>
      <c r="U8" s="324" t="s">
        <v>264</v>
      </c>
      <c r="V8" s="217">
        <v>121457</v>
      </c>
      <c r="W8" s="218">
        <f t="shared" si="3"/>
        <v>0.1565290570521652</v>
      </c>
    </row>
    <row r="9" spans="1:23" ht="14.25" thickBot="1">
      <c r="A9" s="205">
        <v>9</v>
      </c>
      <c r="B9" s="206" t="s">
        <v>265</v>
      </c>
      <c r="C9" s="207" t="s">
        <v>275</v>
      </c>
      <c r="D9" s="208">
        <v>9</v>
      </c>
      <c r="E9" s="209">
        <v>3</v>
      </c>
      <c r="F9" s="210">
        <v>61</v>
      </c>
      <c r="G9" s="211">
        <v>5270968</v>
      </c>
      <c r="H9" s="212">
        <v>674938</v>
      </c>
      <c r="I9" s="213" t="s">
        <v>56</v>
      </c>
      <c r="J9" s="214">
        <v>1779119</v>
      </c>
      <c r="K9" s="215">
        <v>220698</v>
      </c>
      <c r="L9" s="216">
        <f t="shared" si="0"/>
        <v>0.3269900346402188</v>
      </c>
      <c r="M9" s="210">
        <v>6</v>
      </c>
      <c r="N9" s="211">
        <v>1015200</v>
      </c>
      <c r="O9" s="217">
        <v>116014</v>
      </c>
      <c r="P9" s="218">
        <f t="shared" si="1"/>
        <v>0.17188838085868627</v>
      </c>
      <c r="Q9" s="205">
        <v>17</v>
      </c>
      <c r="R9" s="214">
        <v>1651440</v>
      </c>
      <c r="S9" s="215">
        <v>243524</v>
      </c>
      <c r="T9" s="216">
        <f t="shared" si="2"/>
        <v>0.36080943731127896</v>
      </c>
      <c r="U9" s="324" t="s">
        <v>264</v>
      </c>
      <c r="V9" s="217">
        <v>81309</v>
      </c>
      <c r="W9" s="218">
        <f t="shared" si="3"/>
        <v>0.12046884306410366</v>
      </c>
    </row>
    <row r="10" spans="1:23" ht="14.25" thickBot="1">
      <c r="A10" s="205">
        <v>10</v>
      </c>
      <c r="B10" s="206" t="s">
        <v>228</v>
      </c>
      <c r="C10" s="207" t="s">
        <v>275</v>
      </c>
      <c r="D10" s="208">
        <v>9</v>
      </c>
      <c r="E10" s="209">
        <v>3</v>
      </c>
      <c r="F10" s="210">
        <v>65</v>
      </c>
      <c r="G10" s="211">
        <v>5088138.05</v>
      </c>
      <c r="H10" s="212">
        <v>653287</v>
      </c>
      <c r="I10" s="213" t="s">
        <v>56</v>
      </c>
      <c r="J10" s="214">
        <v>2301130</v>
      </c>
      <c r="K10" s="215">
        <v>286844</v>
      </c>
      <c r="L10" s="216">
        <f t="shared" si="0"/>
        <v>0.4390780774759026</v>
      </c>
      <c r="M10" s="210">
        <v>5</v>
      </c>
      <c r="N10" s="211">
        <v>2343737.5</v>
      </c>
      <c r="O10" s="217">
        <v>283835</v>
      </c>
      <c r="P10" s="218">
        <f t="shared" si="1"/>
        <v>0.43447213858533845</v>
      </c>
      <c r="Q10" s="205">
        <v>21</v>
      </c>
      <c r="R10" s="214">
        <v>1588352.55</v>
      </c>
      <c r="S10" s="215">
        <v>230463</v>
      </c>
      <c r="T10" s="216">
        <f t="shared" si="2"/>
        <v>0.3527745079880665</v>
      </c>
      <c r="U10" s="324" t="s">
        <v>276</v>
      </c>
      <c r="V10" s="217">
        <v>102037</v>
      </c>
      <c r="W10" s="218">
        <f t="shared" si="3"/>
        <v>0.1561901583836813</v>
      </c>
    </row>
    <row r="11" spans="1:23" ht="14.25" thickBot="1">
      <c r="A11" s="205">
        <v>11</v>
      </c>
      <c r="B11" s="206" t="s">
        <v>241</v>
      </c>
      <c r="C11" s="207" t="s">
        <v>275</v>
      </c>
      <c r="D11" s="208">
        <v>10</v>
      </c>
      <c r="E11" s="209">
        <v>2</v>
      </c>
      <c r="F11" s="210">
        <v>68</v>
      </c>
      <c r="G11" s="211">
        <v>4963885.5</v>
      </c>
      <c r="H11" s="212">
        <v>638208</v>
      </c>
      <c r="I11" s="213" t="s">
        <v>56</v>
      </c>
      <c r="J11" s="214">
        <v>1481838</v>
      </c>
      <c r="K11" s="215">
        <v>191563</v>
      </c>
      <c r="L11" s="216">
        <f t="shared" si="0"/>
        <v>0.30015762886081027</v>
      </c>
      <c r="M11" s="210">
        <v>6</v>
      </c>
      <c r="N11" s="211">
        <v>1956043.5</v>
      </c>
      <c r="O11" s="217">
        <v>227604</v>
      </c>
      <c r="P11" s="218">
        <f t="shared" si="1"/>
        <v>0.35662981347773764</v>
      </c>
      <c r="Q11" s="205">
        <v>22</v>
      </c>
      <c r="R11" s="214">
        <v>1714676</v>
      </c>
      <c r="S11" s="215">
        <v>241825</v>
      </c>
      <c r="T11" s="216">
        <f t="shared" si="2"/>
        <v>0.3789125175491376</v>
      </c>
      <c r="U11" s="219" t="s">
        <v>309</v>
      </c>
      <c r="V11" s="217">
        <v>86101</v>
      </c>
      <c r="W11" s="218">
        <f t="shared" si="3"/>
        <v>0.13491056207380667</v>
      </c>
    </row>
    <row r="12" spans="1:23" ht="14.25" thickBot="1">
      <c r="A12" s="205">
        <v>12</v>
      </c>
      <c r="B12" s="206" t="s">
        <v>249</v>
      </c>
      <c r="C12" s="207" t="s">
        <v>275</v>
      </c>
      <c r="D12" s="208">
        <v>9</v>
      </c>
      <c r="E12" s="209">
        <v>3</v>
      </c>
      <c r="F12" s="210">
        <v>65</v>
      </c>
      <c r="G12" s="211">
        <v>7431119.24</v>
      </c>
      <c r="H12" s="212">
        <v>927854</v>
      </c>
      <c r="I12" s="213" t="s">
        <v>56</v>
      </c>
      <c r="J12" s="214">
        <v>3934346</v>
      </c>
      <c r="K12" s="215">
        <v>495714</v>
      </c>
      <c r="L12" s="216">
        <f t="shared" si="0"/>
        <v>0.5342586225850188</v>
      </c>
      <c r="M12" s="210">
        <v>7</v>
      </c>
      <c r="N12" s="211">
        <v>4723762.92</v>
      </c>
      <c r="O12" s="217">
        <v>577212</v>
      </c>
      <c r="P12" s="218">
        <f t="shared" si="1"/>
        <v>0.6220935621336977</v>
      </c>
      <c r="Q12" s="205">
        <v>21</v>
      </c>
      <c r="R12" s="214">
        <v>2186546.74</v>
      </c>
      <c r="S12" s="215">
        <v>274346</v>
      </c>
      <c r="T12" s="216">
        <f t="shared" si="2"/>
        <v>0.2956779838207304</v>
      </c>
      <c r="U12" s="325">
        <v>300</v>
      </c>
      <c r="V12" s="217">
        <v>400017</v>
      </c>
      <c r="W12" s="218">
        <f t="shared" si="3"/>
        <v>0.4311206288920455</v>
      </c>
    </row>
    <row r="13" spans="1:23" ht="14.25" thickBot="1">
      <c r="A13" s="205">
        <v>13</v>
      </c>
      <c r="B13" s="206" t="s">
        <v>325</v>
      </c>
      <c r="C13" s="207" t="s">
        <v>275</v>
      </c>
      <c r="D13" s="208">
        <v>9</v>
      </c>
      <c r="E13" s="209">
        <v>3</v>
      </c>
      <c r="F13" s="210">
        <v>73</v>
      </c>
      <c r="G13" s="211">
        <v>6115849</v>
      </c>
      <c r="H13" s="212">
        <v>774256</v>
      </c>
      <c r="I13" s="213" t="s">
        <v>56</v>
      </c>
      <c r="J13" s="214">
        <v>2474433.5</v>
      </c>
      <c r="K13" s="215">
        <v>305358</v>
      </c>
      <c r="L13" s="216">
        <f t="shared" si="0"/>
        <v>0.39438893595916596</v>
      </c>
      <c r="M13" s="210">
        <v>4</v>
      </c>
      <c r="N13" s="211">
        <v>2046232.5</v>
      </c>
      <c r="O13" s="217">
        <v>196021</v>
      </c>
      <c r="P13" s="218">
        <f t="shared" si="1"/>
        <v>0.25317336901489945</v>
      </c>
      <c r="Q13" s="205">
        <v>22</v>
      </c>
      <c r="R13" s="214">
        <v>1678588</v>
      </c>
      <c r="S13" s="215">
        <v>229561</v>
      </c>
      <c r="T13" s="216">
        <f t="shared" si="2"/>
        <v>0.2964923746151144</v>
      </c>
      <c r="U13" s="325">
        <v>300</v>
      </c>
      <c r="V13" s="217">
        <v>186496</v>
      </c>
      <c r="W13" s="218">
        <f t="shared" si="3"/>
        <v>0.24087123638693145</v>
      </c>
    </row>
    <row r="14" spans="1:23" ht="14.25" thickBot="1">
      <c r="A14" s="205">
        <v>14</v>
      </c>
      <c r="B14" s="206" t="s">
        <v>339</v>
      </c>
      <c r="C14" s="207" t="s">
        <v>340</v>
      </c>
      <c r="D14" s="208">
        <v>10</v>
      </c>
      <c r="E14" s="209">
        <v>2</v>
      </c>
      <c r="F14" s="210">
        <v>70</v>
      </c>
      <c r="G14" s="211">
        <v>4962298.9</v>
      </c>
      <c r="H14" s="212">
        <v>628674</v>
      </c>
      <c r="I14" s="213" t="s">
        <v>56</v>
      </c>
      <c r="J14" s="214">
        <v>1789094</v>
      </c>
      <c r="K14" s="215">
        <v>219403</v>
      </c>
      <c r="L14" s="216">
        <f t="shared" si="0"/>
        <v>0.34899327791510387</v>
      </c>
      <c r="M14" s="210">
        <v>3</v>
      </c>
      <c r="N14" s="211">
        <v>862608.5</v>
      </c>
      <c r="O14" s="217">
        <v>100043</v>
      </c>
      <c r="P14" s="218">
        <f t="shared" si="1"/>
        <v>0.15913335051234823</v>
      </c>
      <c r="Q14" s="205">
        <v>21</v>
      </c>
      <c r="R14" s="214">
        <v>1370545.4</v>
      </c>
      <c r="S14" s="215">
        <v>186939</v>
      </c>
      <c r="T14" s="216">
        <f t="shared" si="2"/>
        <v>0.2973544317086439</v>
      </c>
      <c r="U14" s="219" t="s">
        <v>341</v>
      </c>
      <c r="V14" s="217">
        <v>113536</v>
      </c>
      <c r="W14" s="218">
        <f t="shared" si="3"/>
        <v>0.180595984564337</v>
      </c>
    </row>
    <row r="15" spans="1:23" ht="14.25" thickBot="1">
      <c r="A15" s="205">
        <v>15</v>
      </c>
      <c r="B15" s="206" t="s">
        <v>350</v>
      </c>
      <c r="C15" s="207" t="s">
        <v>340</v>
      </c>
      <c r="D15" s="208">
        <v>11</v>
      </c>
      <c r="E15" s="209">
        <v>1</v>
      </c>
      <c r="F15" s="210">
        <v>80</v>
      </c>
      <c r="G15" s="211">
        <v>3793784.2</v>
      </c>
      <c r="H15" s="212">
        <v>487872</v>
      </c>
      <c r="I15" s="213" t="s">
        <v>56</v>
      </c>
      <c r="J15" s="214">
        <v>1073143</v>
      </c>
      <c r="K15" s="215">
        <v>134878</v>
      </c>
      <c r="L15" s="216">
        <f t="shared" si="0"/>
        <v>0.2764618588482225</v>
      </c>
      <c r="M15" s="210">
        <v>8</v>
      </c>
      <c r="N15" s="211">
        <v>1316910.5</v>
      </c>
      <c r="O15" s="217">
        <v>145325</v>
      </c>
      <c r="P15" s="218">
        <f t="shared" si="1"/>
        <v>0.2978752623638987</v>
      </c>
      <c r="Q15" s="205">
        <v>22</v>
      </c>
      <c r="R15" s="214">
        <v>698457</v>
      </c>
      <c r="S15" s="215">
        <v>104479</v>
      </c>
      <c r="T15" s="216">
        <f t="shared" si="2"/>
        <v>0.2141524826183917</v>
      </c>
      <c r="U15" s="324" t="s">
        <v>369</v>
      </c>
      <c r="V15" s="217">
        <v>73516</v>
      </c>
      <c r="W15" s="218">
        <f t="shared" si="3"/>
        <v>0.15068706545979274</v>
      </c>
    </row>
    <row r="16" spans="1:23" ht="14.25" thickBot="1">
      <c r="A16" s="205">
        <v>16</v>
      </c>
      <c r="B16" s="206" t="s">
        <v>371</v>
      </c>
      <c r="C16" s="207" t="s">
        <v>340</v>
      </c>
      <c r="D16" s="208">
        <v>10</v>
      </c>
      <c r="E16" s="209">
        <v>2</v>
      </c>
      <c r="F16" s="210">
        <v>90</v>
      </c>
      <c r="G16" s="211">
        <v>3559322.95</v>
      </c>
      <c r="H16" s="212">
        <v>471366</v>
      </c>
      <c r="I16" s="213" t="s">
        <v>45</v>
      </c>
      <c r="J16" s="214">
        <v>659788.5</v>
      </c>
      <c r="K16" s="215">
        <v>94559</v>
      </c>
      <c r="L16" s="216">
        <f t="shared" si="0"/>
        <v>0.2006063228998273</v>
      </c>
      <c r="M16" s="210">
        <v>7</v>
      </c>
      <c r="N16" s="211">
        <v>1560286</v>
      </c>
      <c r="O16" s="217">
        <v>186713</v>
      </c>
      <c r="P16" s="218">
        <f t="shared" si="1"/>
        <v>0.3961104534480637</v>
      </c>
      <c r="Q16" s="205">
        <v>27</v>
      </c>
      <c r="R16" s="214">
        <v>738315.5</v>
      </c>
      <c r="S16" s="215">
        <v>107568</v>
      </c>
      <c r="T16" s="216">
        <f t="shared" si="2"/>
        <v>0.2282048344598465</v>
      </c>
      <c r="U16" s="324" t="s">
        <v>374</v>
      </c>
      <c r="V16" s="217">
        <v>70778</v>
      </c>
      <c r="W16" s="218">
        <f t="shared" si="3"/>
        <v>0.15015508118956394</v>
      </c>
    </row>
    <row r="17" spans="1:23" ht="14.25" thickBot="1">
      <c r="A17" s="205">
        <v>17</v>
      </c>
      <c r="B17" s="206" t="s">
        <v>395</v>
      </c>
      <c r="C17" s="207" t="s">
        <v>340</v>
      </c>
      <c r="D17" s="208">
        <v>10</v>
      </c>
      <c r="E17" s="209">
        <v>2</v>
      </c>
      <c r="F17" s="210">
        <v>69</v>
      </c>
      <c r="G17" s="211">
        <v>4494130.15</v>
      </c>
      <c r="H17" s="212">
        <v>593399</v>
      </c>
      <c r="I17" s="213" t="s">
        <v>57</v>
      </c>
      <c r="J17" s="214">
        <v>1764375</v>
      </c>
      <c r="K17" s="215">
        <v>236210</v>
      </c>
      <c r="L17" s="216">
        <f t="shared" si="0"/>
        <v>0.39806268632067127</v>
      </c>
      <c r="M17" s="210">
        <v>4</v>
      </c>
      <c r="N17" s="211">
        <v>2537879</v>
      </c>
      <c r="O17" s="217">
        <v>316879</v>
      </c>
      <c r="P17" s="218">
        <f t="shared" si="1"/>
        <v>0.5340066296033529</v>
      </c>
      <c r="Q17" s="205">
        <v>19</v>
      </c>
      <c r="R17" s="214">
        <v>1827729.5</v>
      </c>
      <c r="S17" s="215">
        <v>253779</v>
      </c>
      <c r="T17" s="216">
        <f t="shared" si="2"/>
        <v>0.4276700837042193</v>
      </c>
      <c r="U17" s="219" t="s">
        <v>412</v>
      </c>
      <c r="V17" s="217">
        <v>189829</v>
      </c>
      <c r="W17" s="218">
        <f t="shared" si="3"/>
        <v>0.31990111206793403</v>
      </c>
    </row>
    <row r="18" spans="1:23" ht="14.25" thickBot="1">
      <c r="A18" s="205"/>
      <c r="B18" s="206"/>
      <c r="C18" s="207"/>
      <c r="D18" s="208"/>
      <c r="E18" s="209"/>
      <c r="F18" s="210"/>
      <c r="G18" s="211"/>
      <c r="H18" s="212"/>
      <c r="I18" s="213"/>
      <c r="J18" s="214"/>
      <c r="K18" s="215"/>
      <c r="L18" s="216"/>
      <c r="M18" s="210"/>
      <c r="N18" s="211"/>
      <c r="O18" s="217"/>
      <c r="P18" s="218"/>
      <c r="Q18" s="205"/>
      <c r="R18" s="214"/>
      <c r="S18" s="215"/>
      <c r="T18" s="216"/>
      <c r="U18" s="324"/>
      <c r="V18" s="217"/>
      <c r="W18" s="218"/>
    </row>
    <row r="19" spans="1:23" ht="14.25" thickBot="1">
      <c r="A19" s="205"/>
      <c r="B19" s="206"/>
      <c r="C19" s="207"/>
      <c r="D19" s="208"/>
      <c r="E19" s="209"/>
      <c r="F19" s="210"/>
      <c r="G19" s="211"/>
      <c r="H19" s="212"/>
      <c r="I19" s="213"/>
      <c r="J19" s="214"/>
      <c r="K19" s="215"/>
      <c r="L19" s="216"/>
      <c r="M19" s="210"/>
      <c r="N19" s="211"/>
      <c r="O19" s="217"/>
      <c r="P19" s="218"/>
      <c r="Q19" s="205"/>
      <c r="R19" s="214"/>
      <c r="S19" s="215"/>
      <c r="T19" s="216"/>
      <c r="U19" s="324"/>
      <c r="V19" s="217"/>
      <c r="W19" s="218"/>
    </row>
    <row r="20" spans="1:23" ht="14.25" thickBot="1">
      <c r="A20" s="205"/>
      <c r="B20" s="206"/>
      <c r="C20" s="207"/>
      <c r="D20" s="208"/>
      <c r="E20" s="209"/>
      <c r="F20" s="210"/>
      <c r="G20" s="211"/>
      <c r="H20" s="212"/>
      <c r="I20" s="213"/>
      <c r="J20" s="214"/>
      <c r="K20" s="215"/>
      <c r="L20" s="216"/>
      <c r="M20" s="210"/>
      <c r="N20" s="211"/>
      <c r="O20" s="217"/>
      <c r="P20" s="218"/>
      <c r="Q20" s="205"/>
      <c r="R20" s="214"/>
      <c r="S20" s="215"/>
      <c r="T20" s="216"/>
      <c r="U20" s="219"/>
      <c r="V20" s="217"/>
      <c r="W20" s="218"/>
    </row>
    <row r="21" spans="1:23" ht="14.25" thickBot="1">
      <c r="A21" s="205"/>
      <c r="B21" s="206"/>
      <c r="C21" s="207"/>
      <c r="D21" s="208"/>
      <c r="E21" s="209"/>
      <c r="F21" s="210"/>
      <c r="G21" s="211"/>
      <c r="H21" s="212"/>
      <c r="I21" s="213"/>
      <c r="J21" s="214"/>
      <c r="K21" s="215"/>
      <c r="L21" s="216"/>
      <c r="M21" s="210"/>
      <c r="N21" s="211"/>
      <c r="O21" s="217"/>
      <c r="P21" s="218"/>
      <c r="Q21" s="205"/>
      <c r="R21" s="214"/>
      <c r="S21" s="215"/>
      <c r="T21" s="216"/>
      <c r="U21" s="219"/>
      <c r="V21" s="217"/>
      <c r="W21" s="218"/>
    </row>
    <row r="22" spans="1:23" ht="14.25" thickBot="1">
      <c r="A22" s="205"/>
      <c r="B22" s="206"/>
      <c r="C22" s="207"/>
      <c r="D22" s="208"/>
      <c r="E22" s="209"/>
      <c r="F22" s="210"/>
      <c r="G22" s="211"/>
      <c r="H22" s="212"/>
      <c r="I22" s="213"/>
      <c r="J22" s="214"/>
      <c r="K22" s="215"/>
      <c r="L22" s="216"/>
      <c r="M22" s="210"/>
      <c r="N22" s="211"/>
      <c r="O22" s="217"/>
      <c r="P22" s="218"/>
      <c r="Q22" s="205"/>
      <c r="R22" s="214"/>
      <c r="S22" s="215"/>
      <c r="T22" s="216"/>
      <c r="U22" s="219"/>
      <c r="V22" s="217"/>
      <c r="W22" s="218"/>
    </row>
    <row r="23" spans="1:23" ht="14.25" thickBot="1">
      <c r="A23" s="205"/>
      <c r="B23" s="206"/>
      <c r="C23" s="207"/>
      <c r="D23" s="208"/>
      <c r="E23" s="209"/>
      <c r="F23" s="210"/>
      <c r="G23" s="211"/>
      <c r="H23" s="212"/>
      <c r="I23" s="213"/>
      <c r="J23" s="214"/>
      <c r="K23" s="215"/>
      <c r="L23" s="216"/>
      <c r="M23" s="210"/>
      <c r="N23" s="211"/>
      <c r="O23" s="217"/>
      <c r="P23" s="218"/>
      <c r="Q23" s="205"/>
      <c r="R23" s="214"/>
      <c r="S23" s="215"/>
      <c r="T23" s="216"/>
      <c r="U23" s="219"/>
      <c r="V23" s="217"/>
      <c r="W23" s="218"/>
    </row>
    <row r="24" spans="1:23" ht="14.25" thickBot="1">
      <c r="A24" s="205"/>
      <c r="B24" s="206"/>
      <c r="C24" s="207"/>
      <c r="D24" s="208"/>
      <c r="E24" s="209"/>
      <c r="F24" s="210"/>
      <c r="G24" s="211"/>
      <c r="H24" s="212"/>
      <c r="I24" s="213"/>
      <c r="J24" s="214"/>
      <c r="K24" s="215"/>
      <c r="L24" s="216"/>
      <c r="M24" s="210"/>
      <c r="N24" s="211"/>
      <c r="O24" s="217"/>
      <c r="P24" s="218"/>
      <c r="Q24" s="205"/>
      <c r="R24" s="214"/>
      <c r="S24" s="215"/>
      <c r="T24" s="216"/>
      <c r="U24" s="219"/>
      <c r="V24" s="217"/>
      <c r="W24" s="218"/>
    </row>
    <row r="25" spans="1:23" ht="14.25" thickBot="1">
      <c r="A25" s="205"/>
      <c r="B25" s="206"/>
      <c r="C25" s="207"/>
      <c r="D25" s="208"/>
      <c r="E25" s="209"/>
      <c r="F25" s="210"/>
      <c r="G25" s="211"/>
      <c r="H25" s="212"/>
      <c r="I25" s="213"/>
      <c r="J25" s="214"/>
      <c r="K25" s="215"/>
      <c r="L25" s="216"/>
      <c r="M25" s="210"/>
      <c r="N25" s="211"/>
      <c r="O25" s="217"/>
      <c r="P25" s="218"/>
      <c r="Q25" s="205"/>
      <c r="R25" s="214"/>
      <c r="S25" s="215"/>
      <c r="T25" s="216"/>
      <c r="U25" s="219"/>
      <c r="V25" s="217"/>
      <c r="W25" s="218"/>
    </row>
    <row r="26" spans="1:23" ht="14.25" thickBot="1">
      <c r="A26" s="205"/>
      <c r="B26" s="206"/>
      <c r="C26" s="207"/>
      <c r="D26" s="208"/>
      <c r="E26" s="209"/>
      <c r="F26" s="210"/>
      <c r="G26" s="211"/>
      <c r="H26" s="212"/>
      <c r="I26" s="213"/>
      <c r="J26" s="214"/>
      <c r="K26" s="215"/>
      <c r="L26" s="216"/>
      <c r="M26" s="210"/>
      <c r="N26" s="211"/>
      <c r="O26" s="217"/>
      <c r="P26" s="218"/>
      <c r="Q26" s="205"/>
      <c r="R26" s="214"/>
      <c r="S26" s="215"/>
      <c r="T26" s="216"/>
      <c r="U26" s="219"/>
      <c r="V26" s="217"/>
      <c r="W26" s="218"/>
    </row>
    <row r="27" spans="1:23" ht="14.25" hidden="1" thickBot="1">
      <c r="A27" s="205"/>
      <c r="B27" s="206"/>
      <c r="C27" s="207"/>
      <c r="D27" s="208"/>
      <c r="E27" s="209"/>
      <c r="F27" s="210"/>
      <c r="G27" s="211"/>
      <c r="H27" s="212"/>
      <c r="I27" s="213"/>
      <c r="J27" s="214"/>
      <c r="K27" s="215"/>
      <c r="L27" s="216"/>
      <c r="M27" s="210"/>
      <c r="N27" s="211"/>
      <c r="O27" s="217"/>
      <c r="P27" s="218"/>
      <c r="Q27" s="205"/>
      <c r="R27" s="214"/>
      <c r="S27" s="215"/>
      <c r="T27" s="216"/>
      <c r="U27" s="219"/>
      <c r="V27" s="217"/>
      <c r="W27" s="218"/>
    </row>
    <row r="28" spans="1:23" ht="14.25" hidden="1" thickBot="1">
      <c r="A28" s="205"/>
      <c r="B28" s="206"/>
      <c r="C28" s="207"/>
      <c r="D28" s="208"/>
      <c r="E28" s="209"/>
      <c r="F28" s="210"/>
      <c r="G28" s="211"/>
      <c r="H28" s="212"/>
      <c r="I28" s="213"/>
      <c r="J28" s="214"/>
      <c r="K28" s="215"/>
      <c r="L28" s="216"/>
      <c r="M28" s="210"/>
      <c r="N28" s="211"/>
      <c r="O28" s="217"/>
      <c r="P28" s="218"/>
      <c r="Q28" s="205"/>
      <c r="R28" s="214"/>
      <c r="S28" s="215"/>
      <c r="T28" s="216"/>
      <c r="U28" s="219"/>
      <c r="V28" s="217"/>
      <c r="W28" s="218"/>
    </row>
    <row r="29" spans="1:23" ht="14.25" hidden="1" thickBot="1">
      <c r="A29" s="205"/>
      <c r="B29" s="206"/>
      <c r="C29" s="207"/>
      <c r="D29" s="208"/>
      <c r="E29" s="209"/>
      <c r="F29" s="210"/>
      <c r="G29" s="211"/>
      <c r="H29" s="212"/>
      <c r="I29" s="213"/>
      <c r="J29" s="214"/>
      <c r="K29" s="215"/>
      <c r="L29" s="216"/>
      <c r="M29" s="210"/>
      <c r="N29" s="211"/>
      <c r="O29" s="217"/>
      <c r="P29" s="218"/>
      <c r="Q29" s="205"/>
      <c r="R29" s="214"/>
      <c r="S29" s="215"/>
      <c r="T29" s="216"/>
      <c r="U29" s="219"/>
      <c r="V29" s="217"/>
      <c r="W29" s="218"/>
    </row>
    <row r="30" spans="1:23" ht="14.25" hidden="1" thickBot="1">
      <c r="A30" s="205"/>
      <c r="B30" s="206"/>
      <c r="C30" s="207"/>
      <c r="D30" s="208"/>
      <c r="E30" s="209"/>
      <c r="F30" s="210"/>
      <c r="G30" s="211"/>
      <c r="H30" s="212"/>
      <c r="I30" s="213"/>
      <c r="J30" s="214"/>
      <c r="K30" s="215"/>
      <c r="L30" s="216"/>
      <c r="M30" s="210"/>
      <c r="N30" s="211"/>
      <c r="O30" s="217"/>
      <c r="P30" s="218"/>
      <c r="Q30" s="205"/>
      <c r="R30" s="214"/>
      <c r="S30" s="215"/>
      <c r="T30" s="216"/>
      <c r="U30" s="219"/>
      <c r="V30" s="217"/>
      <c r="W30" s="218"/>
    </row>
    <row r="31" spans="1:23" ht="14.25" hidden="1" thickBot="1">
      <c r="A31" s="205"/>
      <c r="B31" s="206"/>
      <c r="C31" s="207"/>
      <c r="D31" s="208"/>
      <c r="E31" s="209"/>
      <c r="F31" s="210"/>
      <c r="G31" s="211"/>
      <c r="H31" s="212"/>
      <c r="I31" s="213"/>
      <c r="J31" s="214"/>
      <c r="K31" s="215"/>
      <c r="L31" s="216"/>
      <c r="M31" s="210"/>
      <c r="N31" s="211"/>
      <c r="O31" s="217"/>
      <c r="P31" s="218"/>
      <c r="Q31" s="205"/>
      <c r="R31" s="214"/>
      <c r="S31" s="215"/>
      <c r="T31" s="216"/>
      <c r="U31" s="219"/>
      <c r="V31" s="217"/>
      <c r="W31" s="218"/>
    </row>
    <row r="32" spans="1:23" ht="14.25" hidden="1" thickBot="1">
      <c r="A32" s="205"/>
      <c r="B32" s="206"/>
      <c r="C32" s="207"/>
      <c r="D32" s="208"/>
      <c r="E32" s="209"/>
      <c r="F32" s="210"/>
      <c r="G32" s="211"/>
      <c r="H32" s="212"/>
      <c r="I32" s="213"/>
      <c r="J32" s="214"/>
      <c r="K32" s="215"/>
      <c r="L32" s="216"/>
      <c r="M32" s="210"/>
      <c r="N32" s="211"/>
      <c r="O32" s="217"/>
      <c r="P32" s="218"/>
      <c r="Q32" s="205"/>
      <c r="R32" s="214"/>
      <c r="S32" s="215"/>
      <c r="T32" s="216"/>
      <c r="U32" s="219"/>
      <c r="V32" s="217"/>
      <c r="W32" s="218"/>
    </row>
    <row r="33" spans="1:23" ht="14.25" hidden="1" thickBot="1">
      <c r="A33" s="205"/>
      <c r="B33" s="206"/>
      <c r="C33" s="207"/>
      <c r="D33" s="208"/>
      <c r="E33" s="209"/>
      <c r="F33" s="210"/>
      <c r="G33" s="211"/>
      <c r="H33" s="212"/>
      <c r="I33" s="213"/>
      <c r="J33" s="214"/>
      <c r="K33" s="215"/>
      <c r="L33" s="216"/>
      <c r="M33" s="210"/>
      <c r="N33" s="211"/>
      <c r="O33" s="217"/>
      <c r="P33" s="218"/>
      <c r="Q33" s="205"/>
      <c r="R33" s="214"/>
      <c r="S33" s="215"/>
      <c r="T33" s="216"/>
      <c r="U33" s="219"/>
      <c r="V33" s="217"/>
      <c r="W33" s="218"/>
    </row>
    <row r="34" spans="1:23" ht="14.25" hidden="1" thickBot="1">
      <c r="A34" s="205"/>
      <c r="B34" s="206"/>
      <c r="C34" s="207"/>
      <c r="D34" s="208"/>
      <c r="E34" s="209"/>
      <c r="F34" s="210"/>
      <c r="G34" s="211"/>
      <c r="H34" s="212"/>
      <c r="I34" s="213"/>
      <c r="J34" s="214"/>
      <c r="K34" s="215"/>
      <c r="L34" s="216"/>
      <c r="M34" s="210"/>
      <c r="N34" s="211"/>
      <c r="O34" s="217"/>
      <c r="P34" s="218"/>
      <c r="Q34" s="205"/>
      <c r="R34" s="214"/>
      <c r="S34" s="215"/>
      <c r="T34" s="216"/>
      <c r="U34" s="219"/>
      <c r="V34" s="217"/>
      <c r="W34" s="218"/>
    </row>
    <row r="35" spans="1:23" ht="14.25" hidden="1" thickBot="1">
      <c r="A35" s="205"/>
      <c r="B35" s="206"/>
      <c r="C35" s="207"/>
      <c r="D35" s="208"/>
      <c r="E35" s="209"/>
      <c r="F35" s="210"/>
      <c r="G35" s="211"/>
      <c r="H35" s="212"/>
      <c r="I35" s="213"/>
      <c r="J35" s="214"/>
      <c r="K35" s="215"/>
      <c r="L35" s="216"/>
      <c r="M35" s="210"/>
      <c r="N35" s="211"/>
      <c r="O35" s="217"/>
      <c r="P35" s="218"/>
      <c r="Q35" s="205"/>
      <c r="R35" s="214"/>
      <c r="S35" s="215"/>
      <c r="T35" s="216"/>
      <c r="U35" s="219"/>
      <c r="V35" s="217"/>
      <c r="W35" s="218"/>
    </row>
    <row r="36" spans="1:23" ht="14.25" hidden="1" thickBot="1">
      <c r="A36" s="205"/>
      <c r="B36" s="206"/>
      <c r="C36" s="207"/>
      <c r="D36" s="208"/>
      <c r="E36" s="209"/>
      <c r="F36" s="210"/>
      <c r="G36" s="211"/>
      <c r="H36" s="212"/>
      <c r="I36" s="213"/>
      <c r="J36" s="214"/>
      <c r="K36" s="215"/>
      <c r="L36" s="216"/>
      <c r="M36" s="210"/>
      <c r="N36" s="211"/>
      <c r="O36" s="217"/>
      <c r="P36" s="218"/>
      <c r="Q36" s="205"/>
      <c r="R36" s="214"/>
      <c r="S36" s="215"/>
      <c r="T36" s="216"/>
      <c r="U36" s="219"/>
      <c r="V36" s="217"/>
      <c r="W36" s="218"/>
    </row>
    <row r="37" spans="1:23" ht="14.25" hidden="1" thickBot="1">
      <c r="A37" s="205"/>
      <c r="B37" s="206"/>
      <c r="C37" s="207"/>
      <c r="D37" s="208"/>
      <c r="E37" s="209"/>
      <c r="F37" s="210"/>
      <c r="G37" s="211"/>
      <c r="H37" s="212"/>
      <c r="I37" s="213"/>
      <c r="J37" s="214"/>
      <c r="K37" s="215"/>
      <c r="L37" s="216"/>
      <c r="M37" s="210"/>
      <c r="N37" s="211"/>
      <c r="O37" s="217"/>
      <c r="P37" s="218"/>
      <c r="Q37" s="205"/>
      <c r="R37" s="214"/>
      <c r="S37" s="215"/>
      <c r="T37" s="216"/>
      <c r="U37" s="219"/>
      <c r="V37" s="217"/>
      <c r="W37" s="218"/>
    </row>
    <row r="38" spans="1:23" ht="14.25" hidden="1" thickBot="1">
      <c r="A38" s="205"/>
      <c r="B38" s="206"/>
      <c r="C38" s="207"/>
      <c r="D38" s="208"/>
      <c r="E38" s="209"/>
      <c r="F38" s="210"/>
      <c r="G38" s="211"/>
      <c r="H38" s="212"/>
      <c r="I38" s="213"/>
      <c r="J38" s="214"/>
      <c r="K38" s="215"/>
      <c r="L38" s="216"/>
      <c r="M38" s="210"/>
      <c r="N38" s="211"/>
      <c r="O38" s="217"/>
      <c r="P38" s="218"/>
      <c r="Q38" s="205"/>
      <c r="R38" s="214"/>
      <c r="S38" s="215"/>
      <c r="T38" s="216"/>
      <c r="U38" s="219"/>
      <c r="V38" s="217"/>
      <c r="W38" s="218"/>
    </row>
    <row r="39" spans="1:23" ht="14.25" hidden="1" thickBot="1">
      <c r="A39" s="205"/>
      <c r="B39" s="206"/>
      <c r="C39" s="207"/>
      <c r="D39" s="208"/>
      <c r="E39" s="209"/>
      <c r="F39" s="210"/>
      <c r="G39" s="211"/>
      <c r="H39" s="212"/>
      <c r="I39" s="213"/>
      <c r="J39" s="214"/>
      <c r="K39" s="215"/>
      <c r="L39" s="216"/>
      <c r="M39" s="210"/>
      <c r="N39" s="211"/>
      <c r="O39" s="217"/>
      <c r="P39" s="218"/>
      <c r="Q39" s="205"/>
      <c r="R39" s="214"/>
      <c r="S39" s="215"/>
      <c r="T39" s="216"/>
      <c r="U39" s="219"/>
      <c r="V39" s="217"/>
      <c r="W39" s="218"/>
    </row>
    <row r="40" spans="1:23" ht="14.25" hidden="1" thickBot="1">
      <c r="A40" s="205"/>
      <c r="B40" s="206"/>
      <c r="C40" s="207"/>
      <c r="D40" s="208"/>
      <c r="E40" s="209"/>
      <c r="F40" s="210"/>
      <c r="G40" s="211"/>
      <c r="H40" s="212"/>
      <c r="I40" s="213"/>
      <c r="J40" s="214"/>
      <c r="K40" s="215"/>
      <c r="L40" s="216"/>
      <c r="M40" s="210"/>
      <c r="N40" s="211"/>
      <c r="O40" s="217"/>
      <c r="P40" s="218"/>
      <c r="Q40" s="205"/>
      <c r="R40" s="214"/>
      <c r="S40" s="215"/>
      <c r="T40" s="216"/>
      <c r="U40" s="219"/>
      <c r="V40" s="217"/>
      <c r="W40" s="218"/>
    </row>
    <row r="41" spans="1:23" ht="14.25" hidden="1" thickBot="1">
      <c r="A41" s="205"/>
      <c r="B41" s="206"/>
      <c r="C41" s="207"/>
      <c r="D41" s="208"/>
      <c r="E41" s="209"/>
      <c r="F41" s="210"/>
      <c r="G41" s="211"/>
      <c r="H41" s="212"/>
      <c r="I41" s="213"/>
      <c r="J41" s="214"/>
      <c r="K41" s="215"/>
      <c r="L41" s="216"/>
      <c r="M41" s="210"/>
      <c r="N41" s="211"/>
      <c r="O41" s="217"/>
      <c r="P41" s="218"/>
      <c r="Q41" s="205"/>
      <c r="R41" s="214"/>
      <c r="S41" s="215"/>
      <c r="T41" s="216"/>
      <c r="U41" s="219"/>
      <c r="V41" s="217"/>
      <c r="W41" s="218"/>
    </row>
    <row r="42" spans="1:23" ht="14.25" hidden="1" thickBot="1">
      <c r="A42" s="205"/>
      <c r="B42" s="206"/>
      <c r="C42" s="207"/>
      <c r="D42" s="208"/>
      <c r="E42" s="209"/>
      <c r="F42" s="210"/>
      <c r="G42" s="211"/>
      <c r="H42" s="212"/>
      <c r="I42" s="213"/>
      <c r="J42" s="214"/>
      <c r="K42" s="215"/>
      <c r="L42" s="216"/>
      <c r="M42" s="210"/>
      <c r="N42" s="211"/>
      <c r="O42" s="217"/>
      <c r="P42" s="218"/>
      <c r="Q42" s="205"/>
      <c r="R42" s="214"/>
      <c r="S42" s="215"/>
      <c r="T42" s="216"/>
      <c r="U42" s="219"/>
      <c r="V42" s="217"/>
      <c r="W42" s="218"/>
    </row>
    <row r="43" spans="1:23" ht="14.25" hidden="1" thickBot="1">
      <c r="A43" s="205"/>
      <c r="B43" s="206"/>
      <c r="C43" s="207"/>
      <c r="D43" s="208"/>
      <c r="E43" s="209"/>
      <c r="F43" s="210"/>
      <c r="G43" s="211"/>
      <c r="H43" s="212"/>
      <c r="I43" s="213"/>
      <c r="J43" s="214"/>
      <c r="K43" s="215"/>
      <c r="L43" s="216"/>
      <c r="M43" s="210"/>
      <c r="N43" s="211"/>
      <c r="O43" s="217"/>
      <c r="P43" s="218"/>
      <c r="Q43" s="205"/>
      <c r="R43" s="214"/>
      <c r="S43" s="215"/>
      <c r="T43" s="216"/>
      <c r="U43" s="219"/>
      <c r="V43" s="217"/>
      <c r="W43" s="218"/>
    </row>
    <row r="44" spans="1:23" ht="14.25" hidden="1" thickBot="1">
      <c r="A44" s="205"/>
      <c r="B44" s="206"/>
      <c r="C44" s="207"/>
      <c r="D44" s="208"/>
      <c r="E44" s="209"/>
      <c r="F44" s="210"/>
      <c r="G44" s="211"/>
      <c r="H44" s="212"/>
      <c r="I44" s="213"/>
      <c r="J44" s="214"/>
      <c r="K44" s="215"/>
      <c r="L44" s="216"/>
      <c r="M44" s="210"/>
      <c r="N44" s="211"/>
      <c r="O44" s="217"/>
      <c r="P44" s="218"/>
      <c r="Q44" s="205"/>
      <c r="R44" s="214"/>
      <c r="S44" s="215"/>
      <c r="T44" s="216"/>
      <c r="U44" s="219"/>
      <c r="V44" s="217"/>
      <c r="W44" s="218"/>
    </row>
    <row r="45" spans="1:23" ht="14.25" hidden="1" thickBot="1">
      <c r="A45" s="205"/>
      <c r="B45" s="206"/>
      <c r="C45" s="207"/>
      <c r="D45" s="208"/>
      <c r="E45" s="209"/>
      <c r="F45" s="210"/>
      <c r="G45" s="211"/>
      <c r="H45" s="212"/>
      <c r="I45" s="213"/>
      <c r="J45" s="214"/>
      <c r="K45" s="215"/>
      <c r="L45" s="216"/>
      <c r="M45" s="210"/>
      <c r="N45" s="211"/>
      <c r="O45" s="217"/>
      <c r="P45" s="218"/>
      <c r="Q45" s="205"/>
      <c r="R45" s="214"/>
      <c r="S45" s="215"/>
      <c r="T45" s="216"/>
      <c r="U45" s="219"/>
      <c r="V45" s="217"/>
      <c r="W45" s="218"/>
    </row>
    <row r="46" spans="1:23" ht="14.25" hidden="1" thickBot="1">
      <c r="A46" s="205"/>
      <c r="B46" s="206"/>
      <c r="C46" s="207"/>
      <c r="D46" s="208"/>
      <c r="E46" s="209"/>
      <c r="F46" s="210"/>
      <c r="G46" s="211"/>
      <c r="H46" s="212"/>
      <c r="I46" s="213"/>
      <c r="J46" s="214"/>
      <c r="K46" s="215"/>
      <c r="L46" s="216"/>
      <c r="M46" s="210"/>
      <c r="N46" s="211"/>
      <c r="O46" s="217"/>
      <c r="P46" s="218"/>
      <c r="Q46" s="205"/>
      <c r="R46" s="214"/>
      <c r="S46" s="215"/>
      <c r="T46" s="216"/>
      <c r="U46" s="219"/>
      <c r="V46" s="217"/>
      <c r="W46" s="218"/>
    </row>
    <row r="47" spans="1:23" ht="14.25" hidden="1" thickBot="1">
      <c r="A47" s="205"/>
      <c r="B47" s="206"/>
      <c r="C47" s="207"/>
      <c r="D47" s="208"/>
      <c r="E47" s="209"/>
      <c r="F47" s="210"/>
      <c r="G47" s="211"/>
      <c r="H47" s="212"/>
      <c r="I47" s="213"/>
      <c r="J47" s="214"/>
      <c r="K47" s="215"/>
      <c r="L47" s="216"/>
      <c r="M47" s="210"/>
      <c r="N47" s="211"/>
      <c r="O47" s="217"/>
      <c r="P47" s="218"/>
      <c r="Q47" s="205"/>
      <c r="R47" s="214"/>
      <c r="S47" s="215"/>
      <c r="T47" s="216"/>
      <c r="U47" s="219"/>
      <c r="V47" s="217"/>
      <c r="W47" s="218"/>
    </row>
    <row r="48" spans="1:23" ht="14.25" hidden="1" thickBot="1">
      <c r="A48" s="205"/>
      <c r="B48" s="206"/>
      <c r="C48" s="207"/>
      <c r="D48" s="208"/>
      <c r="E48" s="209"/>
      <c r="F48" s="210"/>
      <c r="G48" s="211"/>
      <c r="H48" s="212"/>
      <c r="I48" s="213"/>
      <c r="J48" s="214"/>
      <c r="K48" s="215"/>
      <c r="L48" s="216"/>
      <c r="M48" s="210"/>
      <c r="N48" s="211"/>
      <c r="O48" s="217"/>
      <c r="P48" s="218"/>
      <c r="Q48" s="205"/>
      <c r="R48" s="214"/>
      <c r="S48" s="215"/>
      <c r="T48" s="216"/>
      <c r="U48" s="219"/>
      <c r="V48" s="217"/>
      <c r="W48" s="218"/>
    </row>
    <row r="49" spans="1:23" ht="14.25" hidden="1" thickBot="1">
      <c r="A49" s="205"/>
      <c r="B49" s="206"/>
      <c r="C49" s="207"/>
      <c r="D49" s="208"/>
      <c r="E49" s="209"/>
      <c r="F49" s="210"/>
      <c r="G49" s="211"/>
      <c r="H49" s="212"/>
      <c r="I49" s="213"/>
      <c r="J49" s="214"/>
      <c r="K49" s="215"/>
      <c r="L49" s="216"/>
      <c r="M49" s="210"/>
      <c r="N49" s="211"/>
      <c r="O49" s="217"/>
      <c r="P49" s="218"/>
      <c r="Q49" s="205"/>
      <c r="R49" s="214"/>
      <c r="S49" s="215"/>
      <c r="T49" s="216"/>
      <c r="U49" s="219"/>
      <c r="V49" s="217"/>
      <c r="W49" s="218"/>
    </row>
    <row r="50" spans="1:23" ht="14.25" hidden="1" thickBot="1">
      <c r="A50" s="205"/>
      <c r="B50" s="206"/>
      <c r="C50" s="207"/>
      <c r="D50" s="208"/>
      <c r="E50" s="209"/>
      <c r="F50" s="210"/>
      <c r="G50" s="211"/>
      <c r="H50" s="212"/>
      <c r="I50" s="213"/>
      <c r="J50" s="214"/>
      <c r="K50" s="215"/>
      <c r="L50" s="216"/>
      <c r="M50" s="210"/>
      <c r="N50" s="211"/>
      <c r="O50" s="217"/>
      <c r="P50" s="218"/>
      <c r="Q50" s="205"/>
      <c r="R50" s="214"/>
      <c r="S50" s="215"/>
      <c r="T50" s="216"/>
      <c r="U50" s="219"/>
      <c r="V50" s="217"/>
      <c r="W50" s="218"/>
    </row>
    <row r="51" spans="1:23" ht="14.25" hidden="1" thickBot="1">
      <c r="A51" s="205"/>
      <c r="B51" s="206"/>
      <c r="C51" s="207"/>
      <c r="D51" s="208"/>
      <c r="E51" s="209"/>
      <c r="F51" s="210"/>
      <c r="G51" s="211"/>
      <c r="H51" s="212"/>
      <c r="I51" s="213"/>
      <c r="J51" s="214"/>
      <c r="K51" s="215"/>
      <c r="L51" s="216"/>
      <c r="M51" s="210"/>
      <c r="N51" s="211"/>
      <c r="O51" s="217"/>
      <c r="P51" s="218"/>
      <c r="Q51" s="205"/>
      <c r="R51" s="214"/>
      <c r="S51" s="215"/>
      <c r="T51" s="216"/>
      <c r="U51" s="219"/>
      <c r="V51" s="217"/>
      <c r="W51" s="218"/>
    </row>
    <row r="52" spans="1:23" ht="14.25" hidden="1" thickBot="1">
      <c r="A52" s="205"/>
      <c r="B52" s="206"/>
      <c r="C52" s="207"/>
      <c r="D52" s="208"/>
      <c r="E52" s="209"/>
      <c r="F52" s="210"/>
      <c r="G52" s="211"/>
      <c r="H52" s="212"/>
      <c r="I52" s="213"/>
      <c r="J52" s="214"/>
      <c r="K52" s="215"/>
      <c r="L52" s="216"/>
      <c r="M52" s="210"/>
      <c r="N52" s="211"/>
      <c r="O52" s="217"/>
      <c r="P52" s="218"/>
      <c r="Q52" s="205"/>
      <c r="R52" s="214"/>
      <c r="S52" s="215"/>
      <c r="T52" s="216"/>
      <c r="U52" s="219"/>
      <c r="V52" s="217"/>
      <c r="W52" s="218"/>
    </row>
    <row r="53" spans="1:23" ht="14.25" hidden="1" thickBot="1">
      <c r="A53" s="205"/>
      <c r="B53" s="206"/>
      <c r="C53" s="207"/>
      <c r="D53" s="208"/>
      <c r="E53" s="209"/>
      <c r="F53" s="210"/>
      <c r="G53" s="211"/>
      <c r="H53" s="212"/>
      <c r="I53" s="213"/>
      <c r="J53" s="214"/>
      <c r="K53" s="215"/>
      <c r="L53" s="216"/>
      <c r="M53" s="210"/>
      <c r="N53" s="211"/>
      <c r="O53" s="217"/>
      <c r="P53" s="218"/>
      <c r="Q53" s="205"/>
      <c r="R53" s="214"/>
      <c r="S53" s="215"/>
      <c r="T53" s="216"/>
      <c r="U53" s="219"/>
      <c r="V53" s="217"/>
      <c r="W53" s="218"/>
    </row>
    <row r="54" spans="1:23" ht="14.25" hidden="1" thickBot="1">
      <c r="A54" s="205"/>
      <c r="B54" s="206"/>
      <c r="C54" s="207"/>
      <c r="D54" s="208"/>
      <c r="E54" s="209"/>
      <c r="F54" s="210"/>
      <c r="G54" s="211"/>
      <c r="H54" s="212"/>
      <c r="I54" s="213"/>
      <c r="J54" s="214"/>
      <c r="K54" s="215"/>
      <c r="L54" s="216"/>
      <c r="M54" s="210"/>
      <c r="N54" s="211"/>
      <c r="O54" s="217"/>
      <c r="P54" s="218"/>
      <c r="Q54" s="205"/>
      <c r="R54" s="214"/>
      <c r="S54" s="215"/>
      <c r="T54" s="216"/>
      <c r="U54" s="219"/>
      <c r="V54" s="217"/>
      <c r="W54" s="218"/>
    </row>
    <row r="55" spans="1:23" ht="14.25" hidden="1" thickBot="1">
      <c r="A55" s="205"/>
      <c r="B55" s="206"/>
      <c r="C55" s="207"/>
      <c r="D55" s="208"/>
      <c r="E55" s="209"/>
      <c r="F55" s="210"/>
      <c r="G55" s="211"/>
      <c r="H55" s="212"/>
      <c r="I55" s="213"/>
      <c r="J55" s="214"/>
      <c r="K55" s="215"/>
      <c r="L55" s="216"/>
      <c r="M55" s="210"/>
      <c r="N55" s="211"/>
      <c r="O55" s="217"/>
      <c r="P55" s="218"/>
      <c r="Q55" s="205"/>
      <c r="R55" s="214"/>
      <c r="S55" s="215"/>
      <c r="T55" s="216"/>
      <c r="U55" s="219"/>
      <c r="V55" s="217"/>
      <c r="W55" s="218"/>
    </row>
    <row r="56" spans="1:23" ht="14.25" hidden="1" thickBot="1">
      <c r="A56" s="205"/>
      <c r="B56" s="206"/>
      <c r="C56" s="207"/>
      <c r="D56" s="208"/>
      <c r="E56" s="209"/>
      <c r="F56" s="210"/>
      <c r="G56" s="211"/>
      <c r="H56" s="212"/>
      <c r="I56" s="213"/>
      <c r="J56" s="214"/>
      <c r="K56" s="215"/>
      <c r="L56" s="216"/>
      <c r="M56" s="210"/>
      <c r="N56" s="211"/>
      <c r="O56" s="217"/>
      <c r="P56" s="218"/>
      <c r="Q56" s="205"/>
      <c r="R56" s="214"/>
      <c r="S56" s="215"/>
      <c r="T56" s="216"/>
      <c r="U56" s="219"/>
      <c r="V56" s="217"/>
      <c r="W56" s="218"/>
    </row>
    <row r="57" spans="1:23" ht="14.25" hidden="1" thickBot="1">
      <c r="A57" s="205"/>
      <c r="B57" s="206"/>
      <c r="C57" s="207"/>
      <c r="D57" s="208"/>
      <c r="E57" s="209"/>
      <c r="F57" s="210"/>
      <c r="G57" s="211"/>
      <c r="H57" s="212"/>
      <c r="I57" s="213"/>
      <c r="J57" s="214"/>
      <c r="K57" s="215"/>
      <c r="L57" s="216"/>
      <c r="M57" s="210"/>
      <c r="N57" s="211"/>
      <c r="O57" s="217"/>
      <c r="P57" s="218"/>
      <c r="Q57" s="205"/>
      <c r="R57" s="214"/>
      <c r="S57" s="215"/>
      <c r="T57" s="216"/>
      <c r="U57" s="219"/>
      <c r="V57" s="217"/>
      <c r="W57" s="218"/>
    </row>
    <row r="58" spans="1:23" ht="14.25" hidden="1" thickBot="1">
      <c r="A58" s="205"/>
      <c r="B58" s="206"/>
      <c r="C58" s="207"/>
      <c r="D58" s="208"/>
      <c r="E58" s="209"/>
      <c r="F58" s="210"/>
      <c r="G58" s="211"/>
      <c r="H58" s="212"/>
      <c r="I58" s="213"/>
      <c r="J58" s="214"/>
      <c r="K58" s="215"/>
      <c r="L58" s="216"/>
      <c r="M58" s="210"/>
      <c r="N58" s="211"/>
      <c r="O58" s="217"/>
      <c r="P58" s="218"/>
      <c r="Q58" s="205"/>
      <c r="R58" s="214"/>
      <c r="S58" s="215"/>
      <c r="T58" s="216"/>
      <c r="U58" s="219"/>
      <c r="V58" s="217"/>
      <c r="W58" s="218"/>
    </row>
    <row r="59" spans="1:23" ht="14.25" hidden="1" thickBot="1">
      <c r="A59" s="205"/>
      <c r="B59" s="206"/>
      <c r="C59" s="207"/>
      <c r="D59" s="208"/>
      <c r="E59" s="209"/>
      <c r="F59" s="210"/>
      <c r="G59" s="211"/>
      <c r="H59" s="212"/>
      <c r="I59" s="213"/>
      <c r="J59" s="214"/>
      <c r="K59" s="215"/>
      <c r="L59" s="216"/>
      <c r="M59" s="210"/>
      <c r="N59" s="211"/>
      <c r="O59" s="217"/>
      <c r="P59" s="218"/>
      <c r="Q59" s="205"/>
      <c r="R59" s="214"/>
      <c r="S59" s="215"/>
      <c r="T59" s="216"/>
      <c r="U59" s="219"/>
      <c r="V59" s="217"/>
      <c r="W59" s="218"/>
    </row>
    <row r="60" spans="1:23" ht="14.25" hidden="1" thickBot="1">
      <c r="A60" s="205"/>
      <c r="B60" s="206"/>
      <c r="C60" s="207"/>
      <c r="D60" s="208"/>
      <c r="E60" s="209"/>
      <c r="F60" s="210"/>
      <c r="G60" s="211"/>
      <c r="H60" s="212"/>
      <c r="I60" s="213"/>
      <c r="J60" s="214"/>
      <c r="K60" s="215"/>
      <c r="L60" s="216"/>
      <c r="M60" s="210"/>
      <c r="N60" s="211"/>
      <c r="O60" s="217"/>
      <c r="P60" s="218"/>
      <c r="Q60" s="205"/>
      <c r="R60" s="214"/>
      <c r="S60" s="215"/>
      <c r="T60" s="216"/>
      <c r="U60" s="219"/>
      <c r="V60" s="217"/>
      <c r="W60" s="218"/>
    </row>
    <row r="61" spans="1:23" ht="14.25" thickBot="1">
      <c r="A61" s="205"/>
      <c r="B61" s="206"/>
      <c r="C61" s="207"/>
      <c r="D61" s="208"/>
      <c r="E61" s="209"/>
      <c r="F61" s="210"/>
      <c r="G61" s="211"/>
      <c r="H61" s="212"/>
      <c r="I61" s="213"/>
      <c r="J61" s="214"/>
      <c r="K61" s="215"/>
      <c r="L61" s="216"/>
      <c r="M61" s="210"/>
      <c r="N61" s="211"/>
      <c r="O61" s="217"/>
      <c r="P61" s="218"/>
      <c r="Q61" s="205"/>
      <c r="R61" s="214"/>
      <c r="S61" s="215"/>
      <c r="T61" s="216"/>
      <c r="U61" s="219"/>
      <c r="V61" s="217"/>
      <c r="W61" s="218"/>
    </row>
    <row r="63" spans="1:23" ht="14.25" thickBot="1">
      <c r="A63" s="405">
        <v>2007</v>
      </c>
      <c r="B63" s="406"/>
      <c r="C63" s="406"/>
      <c r="D63" s="406"/>
      <c r="E63" s="406"/>
      <c r="F63" s="222">
        <f>SUM(F1:F62)</f>
        <v>1105</v>
      </c>
      <c r="G63" s="223">
        <f>SUM(G1:G62)</f>
        <v>103432207.92000002</v>
      </c>
      <c r="H63" s="224">
        <f>SUM(H1:H62)</f>
        <v>13489062</v>
      </c>
      <c r="I63" s="305">
        <f>G63/H63</f>
        <v>7.6678576998163415</v>
      </c>
      <c r="J63" s="225"/>
      <c r="K63" s="226"/>
      <c r="L63" s="227"/>
      <c r="M63" s="222"/>
      <c r="N63" s="223"/>
      <c r="O63" s="224"/>
      <c r="P63" s="228"/>
      <c r="Q63" s="221"/>
      <c r="R63" s="225">
        <f>SUM(R1:R62)</f>
        <v>49159655.230000004</v>
      </c>
      <c r="S63" s="226">
        <f>SUM(S1:S62)</f>
        <v>6903505</v>
      </c>
      <c r="T63" s="227">
        <f>SUM(S63/H63)</f>
        <v>0.5117854006453525</v>
      </c>
      <c r="U63" s="229"/>
      <c r="V63" s="224"/>
      <c r="W63" s="228"/>
    </row>
    <row r="64" spans="1:23" s="295" customFormat="1" ht="14.25" thickBot="1">
      <c r="A64" s="407" t="s">
        <v>277</v>
      </c>
      <c r="B64" s="408"/>
      <c r="C64" s="408"/>
      <c r="D64" s="408"/>
      <c r="E64" s="408"/>
      <c r="F64" s="286">
        <v>1025</v>
      </c>
      <c r="G64" s="287">
        <v>117968587</v>
      </c>
      <c r="H64" s="288">
        <v>17638133</v>
      </c>
      <c r="I64" s="306">
        <f>G64/H64</f>
        <v>6.688269501086085</v>
      </c>
      <c r="J64" s="289"/>
      <c r="K64" s="290"/>
      <c r="L64" s="291"/>
      <c r="M64" s="286"/>
      <c r="N64" s="287"/>
      <c r="O64" s="288"/>
      <c r="P64" s="292"/>
      <c r="Q64" s="293"/>
      <c r="R64" s="289">
        <v>80398383.22</v>
      </c>
      <c r="S64" s="290">
        <v>12500996</v>
      </c>
      <c r="T64" s="291">
        <f>SUM(S64/H64)</f>
        <v>0.7087482558386423</v>
      </c>
      <c r="U64" s="294"/>
      <c r="V64" s="288"/>
      <c r="W64" s="292"/>
    </row>
  </sheetData>
  <mergeCells count="2">
    <mergeCell ref="A63:E63"/>
    <mergeCell ref="A64:E64"/>
  </mergeCells>
  <printOptions/>
  <pageMargins left="0.75" right="0.75" top="1" bottom="1" header="0.5" footer="0.5"/>
  <pageSetup horizontalDpi="300" verticalDpi="300" orientation="portrait" paperSize="9" r:id="rId2"/>
  <ignoredErrors>
    <ignoredError sqref="B3 B7 B11"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cp:lastModifiedBy>
  <cp:lastPrinted>2007-04-13T15:04:33Z</cp:lastPrinted>
  <dcterms:created xsi:type="dcterms:W3CDTF">2006-03-17T12:24:26Z</dcterms:created>
  <dcterms:modified xsi:type="dcterms:W3CDTF">2007-04-27T17:48:32Z</dcterms:modified>
  <cp:category/>
  <cp:version/>
  <cp:contentType/>
  <cp:contentStatus/>
</cp:coreProperties>
</file>