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4876" windowWidth="19320" windowHeight="12120" tabRatio="931" activeTab="1"/>
  </bookViews>
  <sheets>
    <sheet name="19-25 Oct' (WK 43)" sheetId="1" r:id="rId1"/>
    <sheet name="29 Dec'-25 Oct' (Annual)" sheetId="2" r:id="rId2"/>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'19-25 Oct'' (WK 43)'!$A$1:$O$102</definedName>
    <definedName name="_xlnm.Print_Area" localSheetId="1">'29 Dec'-25 Oct' (Annual)'!$A$1:$J$202</definedName>
  </definedNames>
  <calcPr fullCalcOnLoad="1"/>
</workbook>
</file>

<file path=xl/sharedStrings.xml><?xml version="1.0" encoding="utf-8"?>
<sst xmlns="http://schemas.openxmlformats.org/spreadsheetml/2006/main" count="946" uniqueCount="360">
  <si>
    <t>QUAND J'ETAIS CHANTEUR</t>
  </si>
  <si>
    <t>EUROPACORP</t>
  </si>
  <si>
    <t>ENEL MUNDO E CADA RATO</t>
  </si>
  <si>
    <t>UNICEF</t>
  </si>
  <si>
    <t>ERMAN FILMS</t>
  </si>
  <si>
    <t>SÖZÜN BİTTİĞİ YER</t>
  </si>
  <si>
    <t>16</t>
  </si>
  <si>
    <t>SHOOTER</t>
  </si>
  <si>
    <t>BREACH</t>
  </si>
  <si>
    <t>SUNSHINE</t>
  </si>
  <si>
    <t>15</t>
  </si>
  <si>
    <t>JE M'APPELLE ELISABETH</t>
  </si>
  <si>
    <t>BREAKING AND ENTERING</t>
  </si>
  <si>
    <t>FRACTURE</t>
  </si>
  <si>
    <t>49</t>
  </si>
  <si>
    <t>MR BEAN'S HOLIDAY</t>
  </si>
  <si>
    <t>IMPY'S ISLAND</t>
  </si>
  <si>
    <t>ZODIAC</t>
  </si>
  <si>
    <t>BESTLINE</t>
  </si>
  <si>
    <t>DEREN MEDYA</t>
  </si>
  <si>
    <t>PIRATES OF THE CARIBBEAN: AT WORLD'S END</t>
  </si>
  <si>
    <t>CASHBACK</t>
  </si>
  <si>
    <t>FIND ME GUILTY</t>
  </si>
  <si>
    <t>SYNDICATE</t>
  </si>
  <si>
    <t>MR. BROOKS</t>
  </si>
  <si>
    <t>ELEMENT</t>
  </si>
  <si>
    <t>BUG</t>
  </si>
  <si>
    <t>PLANETE BLANCHE, LA</t>
  </si>
  <si>
    <t>HARRY POTTER AND THE ORDER OF THE PHOENIX</t>
  </si>
  <si>
    <t>OZEN-UMUT</t>
  </si>
  <si>
    <t>ARZU-FIDA</t>
  </si>
  <si>
    <t>LAST MIMZY, THE</t>
  </si>
  <si>
    <t>EVAN ALMIGHTY!</t>
  </si>
  <si>
    <t>4: RISE OF THE SILVER SURFER</t>
  </si>
  <si>
    <t>OUTLAW</t>
  </si>
  <si>
    <t>PERFECT STRANGER, THE</t>
  </si>
  <si>
    <t>RATATOUILLE</t>
  </si>
  <si>
    <t>I WANT CANDY</t>
  </si>
  <si>
    <t>EALING STUDIOS</t>
  </si>
  <si>
    <t>SHREK THE THIRD</t>
  </si>
  <si>
    <r>
      <t xml:space="preserve">2007 Türkiye Annual Box Office Report  </t>
    </r>
    <r>
      <rPr>
        <sz val="16"/>
        <color indexed="9"/>
        <rFont val="Impact"/>
        <family val="2"/>
      </rPr>
      <t>29 Dec' '06 -25 Oct' '07</t>
    </r>
  </si>
  <si>
    <t>Elimize ulaşan en son rapor zamanı: 19.20</t>
  </si>
  <si>
    <t>*Dağıtımcı firmalardan Avşar Film, Umut Sanat ve Barbar Film bu hafta film dağıtmamıştır.</t>
  </si>
  <si>
    <t>INVASION</t>
  </si>
  <si>
    <t>RESIDENT EVIL 3</t>
  </si>
  <si>
    <t>MUHTEŞEM FİLM</t>
  </si>
  <si>
    <t>I COULD NEVER BE YOUR WOMAN</t>
  </si>
  <si>
    <t>HALLOWEEN</t>
  </si>
  <si>
    <t>MEDYAVİZYON</t>
  </si>
  <si>
    <t>SUBURBAN GIRL</t>
  </si>
  <si>
    <t>38</t>
  </si>
  <si>
    <t>ENERGY-DE YAPIM</t>
  </si>
  <si>
    <t>ACROSS THE UNIVERSE</t>
  </si>
  <si>
    <t>İSTANBUL GÜNEŞİ</t>
  </si>
  <si>
    <t>frutt wılt</t>
  </si>
  <si>
    <t>PARAMOUNT - DREAM WORKS</t>
  </si>
  <si>
    <t>EUROPA CORP.</t>
  </si>
  <si>
    <t>FIDA FILM</t>
  </si>
  <si>
    <t>VACANCY</t>
  </si>
  <si>
    <t>HOAX</t>
  </si>
  <si>
    <t>FRAGILE, A GHOST STORY</t>
  </si>
  <si>
    <t>GEDO SENKI</t>
  </si>
  <si>
    <t>11</t>
  </si>
  <si>
    <t>13</t>
  </si>
  <si>
    <t>DIE HARD 4.0</t>
  </si>
  <si>
    <t>SCENES OF A SEXUAL NATURE</t>
  </si>
  <si>
    <t>THE WORKS</t>
  </si>
  <si>
    <t>DEAD IN 3 DAYS</t>
  </si>
  <si>
    <t>DREAMACHINE</t>
  </si>
  <si>
    <t>GREAT RAID, THE</t>
  </si>
  <si>
    <t>MIRAMAX</t>
  </si>
  <si>
    <t>HYDE PARK</t>
  </si>
  <si>
    <t>TRANSFORMERS</t>
  </si>
  <si>
    <t>RISE: BLOOD HUNTER</t>
  </si>
  <si>
    <t>FRITT WILT</t>
  </si>
  <si>
    <t>CANDY</t>
  </si>
  <si>
    <t>14</t>
  </si>
  <si>
    <t>POLİS</t>
  </si>
  <si>
    <t>PERFUME: THE STORY OF A MURDERER</t>
  </si>
  <si>
    <t>PAINTED VEIL, THE</t>
  </si>
  <si>
    <t>QUEEN, THE</t>
  </si>
  <si>
    <t>GHOST RIDER</t>
  </si>
  <si>
    <t>AKSOY</t>
  </si>
  <si>
    <t>GOMEDA</t>
  </si>
  <si>
    <t>DREAMGIRLS</t>
  </si>
  <si>
    <t>SİS VE GECE</t>
  </si>
  <si>
    <t>LETTERS FROM IWO JIMA</t>
  </si>
  <si>
    <t>EUROPA</t>
  </si>
  <si>
    <t>ROMANTİK</t>
  </si>
  <si>
    <t xml:space="preserve">PLATO </t>
  </si>
  <si>
    <t>98</t>
  </si>
  <si>
    <t>ADEM'İN TRENLERİ</t>
  </si>
  <si>
    <t>91</t>
  </si>
  <si>
    <t>74</t>
  </si>
  <si>
    <t>NOTES ON A SCANDAL</t>
  </si>
  <si>
    <t>LAST KING OF SCOTLAND, THE</t>
  </si>
  <si>
    <t>62</t>
  </si>
  <si>
    <t>CORSICAN FILE, THE</t>
  </si>
  <si>
    <t>INTERVIEW</t>
  </si>
  <si>
    <t>MICHOU D'AUBER</t>
  </si>
  <si>
    <t>BORDERTOWN</t>
  </si>
  <si>
    <t>BRAVE ONE</t>
  </si>
  <si>
    <t>PRA</t>
  </si>
  <si>
    <t>71 FILMS SHOWN</t>
  </si>
  <si>
    <t>STARDUST</t>
  </si>
  <si>
    <t>RUSH HOUR 3</t>
  </si>
  <si>
    <t>CAPTIVITY</t>
  </si>
  <si>
    <t>BANA ŞANS DİLE</t>
  </si>
  <si>
    <t>9</t>
  </si>
  <si>
    <t>74 FILMS SHOWN</t>
  </si>
  <si>
    <t>BOURNE ULTIMATUM</t>
  </si>
  <si>
    <t>AVRUPALI</t>
  </si>
  <si>
    <t>SHOOT'EM UP</t>
  </si>
  <si>
    <t>JANJAN</t>
  </si>
  <si>
    <t>EVENING</t>
  </si>
  <si>
    <t>DAYWATCH</t>
  </si>
  <si>
    <t>CUMHURBAŞKANI ÖTELİ TÜRKİYE'DE</t>
  </si>
  <si>
    <t>32</t>
  </si>
  <si>
    <t>PREMONITION</t>
  </si>
  <si>
    <t>90</t>
  </si>
  <si>
    <t>SATURNO CONTRO</t>
  </si>
  <si>
    <t>AFS</t>
  </si>
  <si>
    <t>AURA</t>
  </si>
  <si>
    <t>GOOD SHEPERD, THE</t>
  </si>
  <si>
    <t>UGLY DUCKLING AND ME, THE</t>
  </si>
  <si>
    <t>DEATH OF A PRESIDENT</t>
  </si>
  <si>
    <t>GRBAVICA</t>
  </si>
  <si>
    <t>IRFAN</t>
  </si>
  <si>
    <t>MANDATE</t>
  </si>
  <si>
    <t>NORBIT</t>
  </si>
  <si>
    <t>ZİNCİRBOZAN</t>
  </si>
  <si>
    <t>TURKMAX</t>
  </si>
  <si>
    <t>99</t>
  </si>
  <si>
    <t>BECAUSE I SAID SO</t>
  </si>
  <si>
    <t>SEVGİLİM İSTANBUL</t>
  </si>
  <si>
    <t>RENAISSANCE</t>
  </si>
  <si>
    <t>BELGE</t>
  </si>
  <si>
    <t>PARS: KİRAZ OPERASYONU</t>
  </si>
  <si>
    <t>SINEGRAF</t>
  </si>
  <si>
    <t>SUMMER RAIN</t>
  </si>
  <si>
    <t>IFR - PROMETE</t>
  </si>
  <si>
    <t>NEXT</t>
  </si>
  <si>
    <t>WILD HOGS</t>
  </si>
  <si>
    <t>BEYNELMİLEL</t>
  </si>
  <si>
    <t>97</t>
  </si>
  <si>
    <t>NIGHT AT THE MUSEUM</t>
  </si>
  <si>
    <t>D PRODUCTIONS</t>
  </si>
  <si>
    <t>DEJA VU</t>
  </si>
  <si>
    <t>SCHOOL FOR SCOUNDRELS</t>
  </si>
  <si>
    <t>FILMPOP</t>
  </si>
  <si>
    <t>IBERIA</t>
  </si>
  <si>
    <t>SHI GAN</t>
  </si>
  <si>
    <t>CINECLICK</t>
  </si>
  <si>
    <t>NEW LINE</t>
  </si>
  <si>
    <t>17</t>
  </si>
  <si>
    <t>26</t>
  </si>
  <si>
    <t>STAY</t>
  </si>
  <si>
    <t>WAR</t>
  </si>
  <si>
    <t>MARSH, THE</t>
  </si>
  <si>
    <t>NO RESERVATIONS</t>
  </si>
  <si>
    <t>HORS DE PRIX</t>
  </si>
  <si>
    <t>SHARK BAIT</t>
  </si>
  <si>
    <t>I NOW PRONOUNCE CHUCK AND LARRY</t>
  </si>
  <si>
    <t>HOSTEL: PART II</t>
  </si>
  <si>
    <t>BRATZ</t>
  </si>
  <si>
    <t>BECOMING JANE</t>
  </si>
  <si>
    <t>FREE ZONE</t>
  </si>
  <si>
    <t>19</t>
  </si>
  <si>
    <t>12</t>
  </si>
  <si>
    <t>LICENSE TO WED</t>
  </si>
  <si>
    <t>HUNTING PARTY</t>
  </si>
  <si>
    <t>GOYA'S GHOSTS</t>
  </si>
  <si>
    <t>WELCOME BACK PINOCCHIO</t>
  </si>
  <si>
    <t>HORIZON</t>
  </si>
  <si>
    <t>WINTER SOLSTICE</t>
  </si>
  <si>
    <t>A.E. FİLM</t>
  </si>
  <si>
    <t>23</t>
  </si>
  <si>
    <t>21</t>
  </si>
  <si>
    <t>40</t>
  </si>
  <si>
    <t>I KNOW WHO KILLED ME</t>
  </si>
  <si>
    <t>NATIVITY STORY, THE</t>
  </si>
  <si>
    <t>PLATO</t>
  </si>
  <si>
    <t>31</t>
  </si>
  <si>
    <t>YANLIŞ ZAMAN YOLCULARI</t>
  </si>
  <si>
    <t>MEDSER</t>
  </si>
  <si>
    <t>6</t>
  </si>
  <si>
    <t>28</t>
  </si>
  <si>
    <t>KNOCKED UP</t>
  </si>
  <si>
    <t>BRIDGE TO TERABETHIA</t>
  </si>
  <si>
    <t>HANWAY</t>
  </si>
  <si>
    <t>BAMBI 2</t>
  </si>
  <si>
    <t>AMERİKALILAR KARADENİZ'DE 2</t>
  </si>
  <si>
    <t>ENERGY</t>
  </si>
  <si>
    <t>163</t>
  </si>
  <si>
    <t>BLOOD DIAMOND</t>
  </si>
  <si>
    <t>BARDA</t>
  </si>
  <si>
    <t>FILMAKAR</t>
  </si>
  <si>
    <t>55</t>
  </si>
  <si>
    <t>INCONVENIENT TRUTH, AN</t>
  </si>
  <si>
    <t>ÇILGIN DERSANE</t>
  </si>
  <si>
    <t>NEŞELİ GENÇLİK</t>
  </si>
  <si>
    <t>DEREN</t>
  </si>
  <si>
    <t>AVSAR</t>
  </si>
  <si>
    <t>*Sorted according to Week Total G.B.O. - Haftalık toplam hasılat sütununa göre sıralanmıştır.</t>
  </si>
  <si>
    <t>MEDYAVIZYON</t>
  </si>
  <si>
    <t>LAST WEEK</t>
  </si>
  <si>
    <t>TOTAL</t>
  </si>
  <si>
    <t>Company</t>
  </si>
  <si>
    <t>Distributor</t>
  </si>
  <si>
    <t>UNP</t>
  </si>
  <si>
    <t>WB</t>
  </si>
  <si>
    <t>UIP</t>
  </si>
  <si>
    <t>OZEN</t>
  </si>
  <si>
    <t>FOX</t>
  </si>
  <si>
    <t>BUENA VISTA</t>
  </si>
  <si>
    <t>COLUMBIA</t>
  </si>
  <si>
    <t>UNIVERSAL</t>
  </si>
  <si>
    <t>CHANTIER</t>
  </si>
  <si>
    <t>PARAMOUNT</t>
  </si>
  <si>
    <t>OZEN - UMUT</t>
  </si>
  <si>
    <t>R FILM</t>
  </si>
  <si>
    <t>TIGLON</t>
  </si>
  <si>
    <t>WEINSTEIN CO.</t>
  </si>
  <si>
    <t>FIDA</t>
  </si>
  <si>
    <t>Weekly Movie Magazine Antrakt Presents - Haftalık Antrakt Sinema Gazetesi Sunar</t>
  </si>
  <si>
    <t>35 MILIM</t>
  </si>
  <si>
    <t>MAVİ GÖZLÜ DEV</t>
  </si>
  <si>
    <t>NUMBER 23, THE</t>
  </si>
  <si>
    <t>ALPHA DOG</t>
  </si>
  <si>
    <t>BİR İHTİMAL DAHA VAR</t>
  </si>
  <si>
    <t>CINEMEDYA - ESEK</t>
  </si>
  <si>
    <t>18'LER TAKIMI</t>
  </si>
  <si>
    <t>AVSAR FILM</t>
  </si>
  <si>
    <t>28 WEEKS LATER</t>
  </si>
  <si>
    <t>WHISPER</t>
  </si>
  <si>
    <t>HOT FUZZ</t>
  </si>
  <si>
    <t>MARS PROD.</t>
  </si>
  <si>
    <t>FALL DOWN DEAD</t>
  </si>
  <si>
    <t>FACTORY GIRL</t>
  </si>
  <si>
    <t>INVISIBLE WAVES</t>
  </si>
  <si>
    <t xml:space="preserve">BLACK DAHLIA, THE </t>
  </si>
  <si>
    <t>SEEDS OF DEATH</t>
  </si>
  <si>
    <t>SIMPSONS MOVIE, THE</t>
  </si>
  <si>
    <t>GRINDHOUSE</t>
  </si>
  <si>
    <t>BLACK SNAKE MOAN</t>
  </si>
  <si>
    <t>GOODBYE BAFANA</t>
  </si>
  <si>
    <t>7</t>
  </si>
  <si>
    <t xml:space="preserve">HILLS HAVE EYES 2 </t>
  </si>
  <si>
    <t>NAMESAKE, THE</t>
  </si>
  <si>
    <t>FOUNTAIN, THE</t>
  </si>
  <si>
    <t>HISTORY BOYS, THE</t>
  </si>
  <si>
    <t>MESSENGERS, THE</t>
  </si>
  <si>
    <t>LITTLE MISS SUNSHINE</t>
  </si>
  <si>
    <t>COPYING BEETHOVEN</t>
  </si>
  <si>
    <t>7. SANAT</t>
  </si>
  <si>
    <t>SPIDER-MAN 3</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</si>
  <si>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</si>
  <si>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</si>
  <si>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</si>
  <si>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</si>
  <si>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</si>
  <si>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</si>
  <si>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</si>
  <si>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OPEN SEASON</t>
  </si>
  <si>
    <t>MARS</t>
  </si>
  <si>
    <t>30</t>
  </si>
  <si>
    <t>MAN OF THE YEAR</t>
  </si>
  <si>
    <t>EVERYONE'S HERO</t>
  </si>
  <si>
    <t>8</t>
  </si>
  <si>
    <t>MASKELİ BEŞLER I.R.A.K</t>
  </si>
  <si>
    <t>HOLIDAY,THE</t>
  </si>
  <si>
    <t>BLOOD AND CHOCOLATE</t>
  </si>
  <si>
    <t>HOST, THE</t>
  </si>
  <si>
    <t>57</t>
  </si>
  <si>
    <t>HANNIBAL RISING</t>
  </si>
  <si>
    <t>REAPING, THE</t>
  </si>
  <si>
    <t>PURSUIT OF HAPPYNESS, THE</t>
  </si>
  <si>
    <t>ASTERIX ET LES VIKINGS</t>
  </si>
  <si>
    <t>LABERINTO DEL FAUNO, EL</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</si>
  <si>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</si>
  <si>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</si>
  <si>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</si>
  <si>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</si>
  <si>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</si>
  <si>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</si>
  <si>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</si>
  <si>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</si>
  <si>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</si>
  <si>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</si>
  <si>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</si>
  <si>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</si>
  <si>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</si>
  <si>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DEATH PROOF</t>
  </si>
  <si>
    <t>DELTA FARCE</t>
  </si>
  <si>
    <t>TRUANDS</t>
  </si>
  <si>
    <t>18</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</si>
  <si>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</si>
  <si>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</si>
  <si>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</si>
  <si>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</si>
  <si>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</si>
  <si>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MUTLULUK</t>
  </si>
  <si>
    <t>ANS</t>
  </si>
  <si>
    <t>KARA</t>
  </si>
  <si>
    <t>ROCKY BALBOA</t>
  </si>
  <si>
    <t>HITCHER, THE</t>
  </si>
  <si>
    <t>UMUT ADASI</t>
  </si>
  <si>
    <t>KARIZMA</t>
  </si>
  <si>
    <t>BETA</t>
  </si>
  <si>
    <t>MUSIC AND LYRICS</t>
  </si>
  <si>
    <t>SHERRYBABY</t>
  </si>
  <si>
    <t>5</t>
  </si>
  <si>
    <t>TMNT</t>
  </si>
  <si>
    <t>LITTLE CHILDREN, THE</t>
  </si>
  <si>
    <t>10</t>
  </si>
  <si>
    <t>MEET THE ROBINSONS</t>
  </si>
  <si>
    <t>APOCALYPTO</t>
  </si>
  <si>
    <t>NEW FILMS</t>
  </si>
  <si>
    <t>ENERGY - SINEVIZYON</t>
  </si>
  <si>
    <t>PARIS, JE T'AIME</t>
  </si>
  <si>
    <t>LIMON</t>
  </si>
  <si>
    <t>2</t>
  </si>
  <si>
    <t>SPOT</t>
  </si>
  <si>
    <t>PRINCES</t>
  </si>
  <si>
    <t>KENDA</t>
  </si>
  <si>
    <t>SURF'S UP</t>
  </si>
  <si>
    <t>DISTURBIA</t>
  </si>
  <si>
    <t>IT'S A BOY GIRL THING</t>
  </si>
  <si>
    <t>ICON</t>
  </si>
  <si>
    <t>GEORGIA RULE</t>
  </si>
  <si>
    <t>LA VIE EN ROSE</t>
  </si>
  <si>
    <t xml:space="preserve">QUAND J'ETAIS CHANTEUR </t>
  </si>
  <si>
    <t>AMENIS</t>
  </si>
  <si>
    <t>TRANSYLVANIA</t>
  </si>
  <si>
    <t>BKM</t>
  </si>
  <si>
    <t>Title</t>
  </si>
  <si>
    <t>Release
Date</t>
  </si>
  <si>
    <t># of
Prints</t>
  </si>
  <si>
    <t>Week</t>
  </si>
  <si>
    <t>Cumulative</t>
  </si>
  <si>
    <t>G.B.O.</t>
  </si>
  <si>
    <t>Adm.</t>
  </si>
  <si>
    <t>Avg.
Ticket</t>
  </si>
  <si>
    <t xml:space="preserve">Avg.
Ticket </t>
  </si>
  <si>
    <t># of
Screen</t>
  </si>
  <si>
    <t>WARNER BROS.</t>
  </si>
  <si>
    <t>Weeks in Release</t>
  </si>
  <si>
    <t>SON OSMANLI "YANDIM ALİ"</t>
  </si>
  <si>
    <t>EMRET KOMUTANIM ŞAH MAT</t>
  </si>
  <si>
    <t>ALTIOKLAR</t>
  </si>
  <si>
    <t>UMUT - OZEN</t>
  </si>
  <si>
    <t>GUIDE TO RECOGNIZING YOUR SAINTS, A</t>
  </si>
  <si>
    <t>FIRST LOOK</t>
  </si>
  <si>
    <t>HAPPY FEET</t>
  </si>
  <si>
    <t>EFLATUN</t>
  </si>
  <si>
    <t>PYRAMIDE</t>
  </si>
  <si>
    <t>LIONS GATE</t>
  </si>
  <si>
    <t>İKLİMLER</t>
  </si>
  <si>
    <t>CO PRODUCTION</t>
  </si>
  <si>
    <t>PI-YALAN DUNYA</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</si>
</sst>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77">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sz val="26"/>
      <color indexed="9"/>
      <name val="Impact"/>
      <family val="2"/>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medium"/>
      <bottom style="hair"/>
    </border>
    <border>
      <left style="hair"/>
      <right style="hair"/>
      <top style="hair"/>
      <bottom style="medium"/>
    </border>
    <border>
      <left style="hair"/>
      <right style="medium"/>
      <top style="hair"/>
      <bottom style="medium"/>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medium"/>
      <right style="hair"/>
      <top style="medium"/>
      <bottom style="hair"/>
    </border>
    <border>
      <left style="medium"/>
      <right style="hair"/>
      <top style="hair"/>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style="hair"/>
    </border>
    <border>
      <left>
        <color indexed="63"/>
      </left>
      <right style="hair"/>
      <top>
        <color indexed="63"/>
      </top>
      <bottom style="hair"/>
    </border>
    <border>
      <left style="medium"/>
      <right>
        <color indexed="63"/>
      </right>
      <top style="hair"/>
      <bottom style="hair"/>
    </border>
    <border>
      <left>
        <color indexed="63"/>
      </left>
      <right style="hair"/>
      <top style="hair"/>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0" applyNumberFormat="0" applyFill="0" applyBorder="0" applyAlignment="0" applyProtection="0"/>
    <xf numFmtId="0" fontId="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41">
    <xf numFmtId="0" fontId="0" fillId="0" borderId="0" xfId="0" applyAlignment="1">
      <alignment/>
    </xf>
    <xf numFmtId="179"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5" fillId="33" borderId="10" xfId="0" applyFont="1" applyFill="1" applyBorder="1" applyAlignment="1">
      <alignment vertical="center"/>
    </xf>
    <xf numFmtId="184" fontId="15" fillId="33" borderId="10" xfId="0" applyNumberFormat="1" applyFont="1" applyFill="1" applyBorder="1" applyAlignment="1">
      <alignment horizontal="center" vertical="center"/>
    </xf>
    <xf numFmtId="0" fontId="15" fillId="33" borderId="10" xfId="0" applyFont="1" applyFill="1" applyBorder="1" applyAlignment="1">
      <alignment horizontal="center" vertical="center"/>
    </xf>
    <xf numFmtId="3" fontId="15"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5" fillId="33" borderId="11" xfId="0" applyNumberFormat="1" applyFont="1" applyFill="1" applyBorder="1" applyAlignment="1">
      <alignment horizontal="right" vertical="center"/>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1" fontId="28" fillId="0" borderId="12" xfId="0" applyNumberFormat="1" applyFont="1" applyFill="1" applyBorder="1" applyAlignment="1" applyProtection="1">
      <alignment horizontal="right" vertical="center"/>
      <protection locked="0"/>
    </xf>
    <xf numFmtId="1" fontId="28" fillId="0" borderId="13" xfId="0" applyNumberFormat="1" applyFont="1" applyFill="1" applyBorder="1" applyAlignment="1" applyProtection="1">
      <alignment horizontal="right" vertical="center"/>
      <protection/>
    </xf>
    <xf numFmtId="1" fontId="28" fillId="0" borderId="14" xfId="0" applyNumberFormat="1" applyFont="1" applyFill="1" applyBorder="1" applyAlignment="1" applyProtection="1">
      <alignment horizontal="right" vertical="center"/>
      <protection/>
    </xf>
    <xf numFmtId="1" fontId="28" fillId="0" borderId="15" xfId="0" applyNumberFormat="1" applyFont="1" applyFill="1" applyBorder="1" applyAlignment="1" applyProtection="1">
      <alignment horizontal="right" vertical="center"/>
      <protection/>
    </xf>
    <xf numFmtId="1" fontId="28" fillId="0" borderId="16"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7" xfId="0" applyNumberFormat="1" applyFont="1" applyFill="1" applyBorder="1" applyAlignment="1" applyProtection="1">
      <alignment horizontal="center" vertical="center" wrapText="1"/>
      <protection/>
    </xf>
    <xf numFmtId="1" fontId="25" fillId="0" borderId="18" xfId="0" applyNumberFormat="1" applyFont="1" applyFill="1" applyBorder="1" applyAlignment="1" applyProtection="1">
      <alignment horizontal="center" vertical="center" wrapText="1"/>
      <protection/>
    </xf>
    <xf numFmtId="187" fontId="24" fillId="0" borderId="19" xfId="0" applyNumberFormat="1" applyFont="1" applyFill="1" applyBorder="1" applyAlignment="1" applyProtection="1">
      <alignment horizontal="center" vertical="center" wrapText="1"/>
      <protection/>
    </xf>
    <xf numFmtId="193" fontId="24" fillId="0" borderId="19"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7" xfId="0" applyFont="1" applyFill="1" applyBorder="1" applyAlignment="1">
      <alignment horizontal="center" vertical="center"/>
    </xf>
    <xf numFmtId="184" fontId="15" fillId="33" borderId="20" xfId="0" applyNumberFormat="1" applyFont="1" applyFill="1" applyBorder="1" applyAlignment="1">
      <alignment horizontal="center" vertical="center"/>
    </xf>
    <xf numFmtId="0" fontId="15" fillId="33" borderId="20" xfId="0" applyFont="1" applyFill="1" applyBorder="1" applyAlignment="1">
      <alignment horizontal="center" vertical="center"/>
    </xf>
    <xf numFmtId="0" fontId="15" fillId="33" borderId="20" xfId="0" applyFont="1" applyFill="1" applyBorder="1" applyAlignment="1">
      <alignment vertical="center"/>
    </xf>
    <xf numFmtId="3" fontId="15" fillId="33" borderId="20" xfId="0" applyNumberFormat="1" applyFont="1" applyFill="1" applyBorder="1" applyAlignment="1">
      <alignment horizontal="center" vertical="center"/>
    </xf>
    <xf numFmtId="192" fontId="15" fillId="33" borderId="21" xfId="0" applyNumberFormat="1" applyFont="1" applyFill="1" applyBorder="1" applyAlignment="1">
      <alignment horizontal="right" vertical="center"/>
    </xf>
    <xf numFmtId="0" fontId="34" fillId="0" borderId="0" xfId="0" applyFont="1" applyFill="1" applyBorder="1" applyAlignment="1" applyProtection="1">
      <alignment vertical="center"/>
      <protection locked="0"/>
    </xf>
    <xf numFmtId="184" fontId="12" fillId="0" borderId="10" xfId="0" applyNumberFormat="1" applyFont="1" applyFill="1" applyBorder="1" applyAlignment="1" applyProtection="1">
      <alignment horizontal="center" vertical="center"/>
      <protection locked="0"/>
    </xf>
    <xf numFmtId="184"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184" fontId="12" fillId="0" borderId="10" xfId="0" applyNumberFormat="1" applyFont="1" applyFill="1" applyBorder="1" applyAlignment="1" applyProtection="1">
      <alignment horizontal="center" vertical="center"/>
      <protection/>
    </xf>
    <xf numFmtId="193" fontId="35" fillId="0" borderId="10" xfId="0" applyNumberFormat="1" applyFont="1" applyFill="1" applyBorder="1" applyAlignment="1">
      <alignment horizontal="right" vertical="center"/>
    </xf>
    <xf numFmtId="0" fontId="12" fillId="0" borderId="10" xfId="0" applyFont="1" applyFill="1" applyBorder="1" applyAlignment="1" applyProtection="1">
      <alignment horizontal="left" vertical="center"/>
      <protection locked="0"/>
    </xf>
    <xf numFmtId="184" fontId="12" fillId="0" borderId="10" xfId="0" applyNumberFormat="1"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49" fontId="12" fillId="0" borderId="10" xfId="0" applyNumberFormat="1"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xf>
    <xf numFmtId="0" fontId="33" fillId="0" borderId="0" xfId="0" applyFont="1" applyFill="1" applyBorder="1" applyAlignment="1">
      <alignment horizontal="center" vertical="center"/>
    </xf>
    <xf numFmtId="184" fontId="0" fillId="0" borderId="0" xfId="0" applyNumberFormat="1" applyAlignment="1">
      <alignment horizontal="center" vertical="center"/>
    </xf>
    <xf numFmtId="192" fontId="12" fillId="0" borderId="11" xfId="0" applyNumberFormat="1" applyFont="1" applyBorder="1" applyAlignment="1">
      <alignment vertical="center"/>
    </xf>
    <xf numFmtId="184" fontId="12" fillId="0" borderId="22" xfId="0" applyNumberFormat="1" applyFont="1" applyFill="1" applyBorder="1" applyAlignment="1">
      <alignment horizontal="center" vertical="center"/>
    </xf>
    <xf numFmtId="0" fontId="22" fillId="0" borderId="23" xfId="0" applyFont="1" applyFill="1" applyBorder="1" applyAlignment="1">
      <alignment horizontal="center" vertical="center"/>
    </xf>
    <xf numFmtId="0" fontId="14" fillId="33" borderId="20" xfId="0" applyFont="1" applyFill="1" applyBorder="1" applyAlignment="1">
      <alignment horizontal="center" vertical="center"/>
    </xf>
    <xf numFmtId="3" fontId="14" fillId="33" borderId="20" xfId="0" applyNumberFormat="1" applyFont="1" applyFill="1" applyBorder="1" applyAlignment="1">
      <alignment horizontal="center" vertical="center"/>
    </xf>
    <xf numFmtId="187" fontId="14" fillId="33" borderId="20" xfId="0" applyNumberFormat="1" applyFont="1" applyFill="1" applyBorder="1" applyAlignment="1">
      <alignment horizontal="center" vertical="center"/>
    </xf>
    <xf numFmtId="193" fontId="14" fillId="33" borderId="20" xfId="0" applyNumberFormat="1" applyFont="1" applyFill="1" applyBorder="1" applyAlignment="1">
      <alignment horizontal="center" vertical="center"/>
    </xf>
    <xf numFmtId="192" fontId="14" fillId="33" borderId="21" xfId="0" applyNumberFormat="1" applyFont="1" applyFill="1" applyBorder="1" applyAlignment="1">
      <alignment horizontal="center" vertical="center"/>
    </xf>
    <xf numFmtId="0" fontId="37"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12" fillId="0" borderId="24" xfId="0" applyFont="1" applyFill="1" applyBorder="1" applyAlignment="1" applyProtection="1">
      <alignment horizontal="left" vertical="center"/>
      <protection locked="0"/>
    </xf>
    <xf numFmtId="0" fontId="12" fillId="0" borderId="24" xfId="0" applyFont="1" applyFill="1" applyBorder="1" applyAlignment="1">
      <alignment horizontal="left" vertical="center"/>
    </xf>
    <xf numFmtId="49" fontId="12" fillId="0" borderId="24" xfId="0" applyNumberFormat="1" applyFont="1" applyFill="1" applyBorder="1" applyAlignment="1" applyProtection="1">
      <alignment horizontal="left" vertical="center"/>
      <protection locked="0"/>
    </xf>
    <xf numFmtId="192" fontId="12" fillId="0" borderId="11" xfId="60" applyNumberFormat="1" applyFont="1" applyFill="1" applyBorder="1" applyAlignment="1" applyProtection="1">
      <alignment vertical="center"/>
      <protection/>
    </xf>
    <xf numFmtId="184" fontId="12"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49" fontId="12" fillId="0" borderId="10" xfId="0" applyNumberFormat="1" applyFont="1" applyFill="1" applyBorder="1" applyAlignment="1" applyProtection="1">
      <alignment vertical="center"/>
      <protection locked="0"/>
    </xf>
    <xf numFmtId="0" fontId="12" fillId="0" borderId="10"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vertical="center"/>
      <protection/>
    </xf>
    <xf numFmtId="0" fontId="12" fillId="0" borderId="10" xfId="0" applyFont="1" applyFill="1" applyBorder="1" applyAlignment="1">
      <alignment vertical="center"/>
    </xf>
    <xf numFmtId="192" fontId="12" fillId="0" borderId="11" xfId="42" applyNumberFormat="1" applyFont="1" applyFill="1" applyBorder="1" applyAlignment="1" applyProtection="1">
      <alignment vertical="center"/>
      <protection/>
    </xf>
    <xf numFmtId="192" fontId="24" fillId="0" borderId="19" xfId="0" applyNumberFormat="1" applyFont="1" applyFill="1" applyBorder="1" applyAlignment="1" applyProtection="1">
      <alignment horizontal="center" wrapText="1"/>
      <protection/>
    </xf>
    <xf numFmtId="192" fontId="24" fillId="0" borderId="25" xfId="0" applyNumberFormat="1" applyFont="1" applyFill="1" applyBorder="1" applyAlignment="1" applyProtection="1">
      <alignment horizontal="center" wrapText="1"/>
      <protection/>
    </xf>
    <xf numFmtId="192" fontId="12" fillId="0" borderId="26" xfId="0" applyNumberFormat="1" applyFont="1" applyBorder="1" applyAlignment="1">
      <alignment vertical="center"/>
    </xf>
    <xf numFmtId="0" fontId="12" fillId="0" borderId="27" xfId="0" applyFont="1" applyBorder="1" applyAlignment="1">
      <alignment horizontal="center" vertical="center"/>
    </xf>
    <xf numFmtId="192" fontId="12" fillId="0" borderId="28" xfId="0" applyNumberFormat="1" applyFont="1" applyBorder="1" applyAlignment="1">
      <alignment vertical="center"/>
    </xf>
    <xf numFmtId="0" fontId="12" fillId="0" borderId="10" xfId="57" applyNumberFormat="1" applyFont="1" applyFill="1" applyBorder="1" applyAlignment="1">
      <alignment horizontal="left" vertical="center"/>
      <protection/>
    </xf>
    <xf numFmtId="184" fontId="12" fillId="0" borderId="10" xfId="57" applyNumberFormat="1" applyFont="1" applyFill="1" applyBorder="1" applyAlignment="1">
      <alignment horizontal="center" vertical="center"/>
      <protection/>
    </xf>
    <xf numFmtId="0" fontId="12" fillId="0" borderId="10" xfId="57" applyNumberFormat="1" applyFont="1" applyFill="1" applyBorder="1" applyAlignment="1">
      <alignment horizontal="center" vertical="center"/>
      <protection/>
    </xf>
    <xf numFmtId="0" fontId="12" fillId="0" borderId="10" xfId="0" applyNumberFormat="1" applyFont="1" applyFill="1" applyBorder="1" applyAlignment="1">
      <alignment horizontal="center" vertical="center"/>
    </xf>
    <xf numFmtId="184" fontId="12" fillId="0" borderId="10" xfId="57" applyNumberFormat="1" applyFont="1" applyFill="1" applyBorder="1" applyAlignment="1" applyProtection="1">
      <alignment horizontal="center" vertical="center"/>
      <protection/>
    </xf>
    <xf numFmtId="0" fontId="12" fillId="0" borderId="24" xfId="57" applyNumberFormat="1" applyFont="1" applyFill="1" applyBorder="1" applyAlignment="1">
      <alignment horizontal="left" vertical="center"/>
      <protection/>
    </xf>
    <xf numFmtId="0" fontId="12" fillId="0" borderId="24" xfId="0" applyNumberFormat="1" applyFont="1" applyFill="1" applyBorder="1" applyAlignment="1" applyProtection="1">
      <alignment horizontal="left" vertical="center"/>
      <protection locked="0"/>
    </xf>
    <xf numFmtId="0" fontId="12" fillId="0" borderId="24" xfId="0" applyNumberFormat="1" applyFont="1" applyFill="1" applyBorder="1" applyAlignment="1">
      <alignment horizontal="left" vertical="center"/>
    </xf>
    <xf numFmtId="0" fontId="12" fillId="0" borderId="10"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left" vertical="center"/>
      <protection/>
    </xf>
    <xf numFmtId="192" fontId="12" fillId="0" borderId="11" xfId="0" applyNumberFormat="1" applyFont="1" applyFill="1" applyBorder="1" applyAlignment="1" applyProtection="1">
      <alignment vertical="center"/>
      <protection/>
    </xf>
    <xf numFmtId="0" fontId="12" fillId="0" borderId="10" xfId="0"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center" vertical="center"/>
      <protection locked="0"/>
    </xf>
    <xf numFmtId="184" fontId="12" fillId="0" borderId="27"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3"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12" fillId="0" borderId="10" xfId="57"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5" fillId="33" borderId="20" xfId="0" applyNumberFormat="1" applyFont="1" applyFill="1" applyBorder="1" applyAlignment="1">
      <alignment horizontal="right" vertical="center"/>
    </xf>
    <xf numFmtId="192" fontId="15" fillId="33" borderId="10" xfId="0" applyNumberFormat="1" applyFont="1" applyFill="1" applyBorder="1" applyAlignment="1">
      <alignment horizontal="right" vertical="center"/>
    </xf>
    <xf numFmtId="0" fontId="37" fillId="0" borderId="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protection/>
    </xf>
    <xf numFmtId="4" fontId="10" fillId="0" borderId="0" xfId="0" applyNumberFormat="1" applyFont="1" applyBorder="1" applyAlignment="1">
      <alignment horizontal="right" vertical="center"/>
    </xf>
    <xf numFmtId="3" fontId="10" fillId="0" borderId="0" xfId="0" applyNumberFormat="1" applyFont="1" applyBorder="1" applyAlignment="1">
      <alignment horizontal="right" vertical="center" indent="1"/>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39" fillId="0" borderId="0" xfId="0" applyNumberFormat="1" applyFont="1" applyBorder="1" applyAlignment="1">
      <alignment horizontal="right" vertical="center"/>
    </xf>
    <xf numFmtId="3" fontId="39" fillId="0" borderId="0" xfId="0" applyNumberFormat="1" applyFont="1" applyBorder="1" applyAlignment="1">
      <alignment horizontal="right" vertical="center" indent="1"/>
    </xf>
    <xf numFmtId="4" fontId="10" fillId="0" borderId="0" xfId="0" applyNumberFormat="1" applyFont="1" applyBorder="1" applyAlignment="1">
      <alignment horizontal="right" vertical="center"/>
    </xf>
    <xf numFmtId="3" fontId="10" fillId="0" borderId="0" xfId="0" applyNumberFormat="1" applyFont="1" applyBorder="1" applyAlignment="1">
      <alignment horizontal="right" vertical="center" indent="1"/>
    </xf>
    <xf numFmtId="187"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0" fontId="12" fillId="0" borderId="24" xfId="57" applyFont="1" applyFill="1" applyBorder="1" applyAlignment="1" applyProtection="1">
      <alignment horizontal="left" vertical="center"/>
      <protection/>
    </xf>
    <xf numFmtId="0" fontId="12" fillId="0" borderId="27" xfId="0" applyNumberFormat="1" applyFont="1" applyFill="1" applyBorder="1" applyAlignment="1" applyProtection="1">
      <alignment horizontal="center" vertical="center"/>
      <protection locked="0"/>
    </xf>
    <xf numFmtId="0" fontId="27" fillId="0" borderId="0" xfId="0" applyFont="1" applyFill="1" applyBorder="1" applyAlignment="1">
      <alignment horizontal="left" vertical="center"/>
    </xf>
    <xf numFmtId="184"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3" fontId="27" fillId="0" borderId="0" xfId="0" applyNumberFormat="1" applyFont="1" applyFill="1" applyBorder="1" applyAlignment="1">
      <alignment horizontal="center" vertical="center"/>
    </xf>
    <xf numFmtId="0" fontId="27" fillId="0" borderId="0" xfId="0" applyFont="1" applyFill="1" applyBorder="1" applyAlignment="1" applyProtection="1">
      <alignment horizontal="left" vertical="center"/>
      <protection locked="0"/>
    </xf>
    <xf numFmtId="184" fontId="27" fillId="0" borderId="0" xfId="0" applyNumberFormat="1" applyFont="1" applyFill="1" applyBorder="1" applyAlignment="1" applyProtection="1">
      <alignment horizontal="center" vertical="center"/>
      <protection locked="0"/>
    </xf>
    <xf numFmtId="4" fontId="27" fillId="0" borderId="0" xfId="0" applyNumberFormat="1" applyFont="1" applyFill="1" applyBorder="1" applyAlignment="1" applyProtection="1">
      <alignment horizontal="center" vertical="center"/>
      <protection locked="0"/>
    </xf>
    <xf numFmtId="3" fontId="27"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left" vertical="center"/>
      <protection locked="0"/>
    </xf>
    <xf numFmtId="0" fontId="27" fillId="0" borderId="0" xfId="0" applyFont="1" applyFill="1" applyBorder="1" applyAlignment="1" applyProtection="1">
      <alignment vertical="center"/>
      <protection locked="0"/>
    </xf>
    <xf numFmtId="0" fontId="27" fillId="0" borderId="0" xfId="0" applyNumberFormat="1" applyFont="1" applyFill="1" applyBorder="1" applyAlignment="1">
      <alignment horizontal="left" vertical="center"/>
    </xf>
    <xf numFmtId="49" fontId="27" fillId="0" borderId="0" xfId="0" applyNumberFormat="1" applyFont="1" applyFill="1" applyBorder="1" applyAlignment="1" applyProtection="1">
      <alignment vertical="center"/>
      <protection locked="0"/>
    </xf>
    <xf numFmtId="0" fontId="27" fillId="0" borderId="0" xfId="0" applyFont="1" applyFill="1" applyBorder="1" applyAlignment="1" applyProtection="1">
      <alignment horizontal="left" vertical="center"/>
      <protection/>
    </xf>
    <xf numFmtId="184" fontId="27" fillId="0" borderId="0" xfId="0" applyNumberFormat="1" applyFont="1" applyFill="1" applyBorder="1" applyAlignment="1" applyProtection="1">
      <alignment horizontal="center" vertical="center"/>
      <protection/>
    </xf>
    <xf numFmtId="4" fontId="27" fillId="0" borderId="0" xfId="0" applyNumberFormat="1" applyFont="1" applyFill="1" applyBorder="1" applyAlignment="1" applyProtection="1">
      <alignment horizontal="center" vertical="center"/>
      <protection/>
    </xf>
    <xf numFmtId="3" fontId="27" fillId="0" borderId="0"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horizontal="left" vertical="center"/>
      <protection locked="0"/>
    </xf>
    <xf numFmtId="49" fontId="27" fillId="0" borderId="0" xfId="0" applyNumberFormat="1" applyFont="1" applyFill="1" applyBorder="1" applyAlignment="1">
      <alignment vertical="center"/>
    </xf>
    <xf numFmtId="49" fontId="27" fillId="0" borderId="0" xfId="0" applyNumberFormat="1" applyFont="1" applyFill="1" applyBorder="1" applyAlignment="1">
      <alignment horizontal="left" vertical="center"/>
    </xf>
    <xf numFmtId="0" fontId="27" fillId="0" borderId="0" xfId="0" applyFont="1" applyFill="1" applyBorder="1" applyAlignment="1">
      <alignment vertical="center"/>
    </xf>
    <xf numFmtId="197" fontId="27" fillId="0" borderId="0" xfId="0" applyNumberFormat="1" applyFont="1" applyFill="1" applyBorder="1" applyAlignment="1">
      <alignment horizontal="center" vertical="center"/>
    </xf>
    <xf numFmtId="0" fontId="27" fillId="0" borderId="0" xfId="57" applyNumberFormat="1" applyFont="1" applyFill="1" applyBorder="1" applyAlignment="1">
      <alignment horizontal="left" vertical="center"/>
      <protection/>
    </xf>
    <xf numFmtId="184" fontId="27" fillId="0" borderId="0" xfId="57" applyNumberFormat="1" applyFont="1" applyFill="1" applyBorder="1" applyAlignment="1">
      <alignment horizontal="center" vertical="center"/>
      <protection/>
    </xf>
    <xf numFmtId="4" fontId="27" fillId="0" borderId="0" xfId="57" applyNumberFormat="1" applyFont="1" applyFill="1" applyBorder="1" applyAlignment="1">
      <alignment horizontal="center" vertical="center"/>
      <protection/>
    </xf>
    <xf numFmtId="3" fontId="27" fillId="0" borderId="0" xfId="57" applyNumberFormat="1" applyFont="1" applyFill="1" applyBorder="1" applyAlignment="1">
      <alignment horizontal="center"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lignment horizontal="left"/>
    </xf>
    <xf numFmtId="184" fontId="27" fillId="0" borderId="0" xfId="0" applyNumberFormat="1" applyFont="1" applyFill="1" applyBorder="1" applyAlignment="1">
      <alignment horizontal="center"/>
    </xf>
    <xf numFmtId="4" fontId="27" fillId="0" borderId="0" xfId="0" applyNumberFormat="1" applyFont="1" applyFill="1" applyBorder="1" applyAlignment="1">
      <alignment horizontal="center"/>
    </xf>
    <xf numFmtId="3" fontId="27" fillId="0" borderId="0" xfId="0" applyNumberFormat="1" applyFont="1" applyFill="1" applyBorder="1" applyAlignment="1">
      <alignment horizontal="center"/>
    </xf>
    <xf numFmtId="0" fontId="27" fillId="0" borderId="0" xfId="0" applyNumberFormat="1" applyFont="1" applyFill="1" applyBorder="1" applyAlignment="1" applyProtection="1">
      <alignment horizontal="left" vertical="center"/>
      <protection/>
    </xf>
    <xf numFmtId="0" fontId="21" fillId="0" borderId="29" xfId="0" applyFont="1" applyFill="1" applyBorder="1" applyAlignment="1">
      <alignment horizontal="righ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4" fontId="18" fillId="0" borderId="0" xfId="0" applyNumberFormat="1" applyFont="1" applyFill="1" applyBorder="1" applyAlignment="1" applyProtection="1">
      <alignment horizontal="right" vertical="center"/>
      <protection/>
    </xf>
    <xf numFmtId="4" fontId="24" fillId="0" borderId="19" xfId="0" applyNumberFormat="1" applyFont="1" applyFill="1" applyBorder="1" applyAlignment="1" applyProtection="1">
      <alignment horizontal="right" wrapText="1"/>
      <protection/>
    </xf>
    <xf numFmtId="4" fontId="14" fillId="33" borderId="20" xfId="0" applyNumberFormat="1" applyFont="1" applyFill="1" applyBorder="1" applyAlignment="1">
      <alignment horizontal="right" vertical="center"/>
    </xf>
    <xf numFmtId="4" fontId="14" fillId="33" borderId="10" xfId="0" applyNumberFormat="1" applyFont="1" applyFill="1" applyBorder="1" applyAlignment="1">
      <alignment horizontal="right" vertical="center"/>
    </xf>
    <xf numFmtId="4" fontId="19" fillId="0" borderId="0" xfId="0" applyNumberFormat="1" applyFont="1" applyFill="1" applyBorder="1" applyAlignment="1" applyProtection="1">
      <alignment horizontal="right" vertical="center"/>
      <protection locked="0"/>
    </xf>
    <xf numFmtId="4" fontId="10" fillId="0" borderId="0" xfId="0" applyNumberFormat="1" applyFont="1" applyAlignment="1">
      <alignment horizontal="right" vertical="center"/>
    </xf>
    <xf numFmtId="4" fontId="20" fillId="0" borderId="0" xfId="0" applyNumberFormat="1" applyFont="1" applyFill="1" applyBorder="1" applyAlignment="1" applyProtection="1">
      <alignment horizontal="right" vertical="center"/>
      <protection locked="0"/>
    </xf>
    <xf numFmtId="4" fontId="10" fillId="0" borderId="0" xfId="0" applyNumberFormat="1" applyFont="1" applyAlignment="1">
      <alignment horizontal="right" vertical="center"/>
    </xf>
    <xf numFmtId="4" fontId="4" fillId="0" borderId="0" xfId="0" applyNumberFormat="1" applyFont="1" applyFill="1" applyBorder="1" applyAlignment="1" applyProtection="1">
      <alignment horizontal="right" vertical="center"/>
      <protection/>
    </xf>
    <xf numFmtId="4" fontId="15" fillId="33" borderId="20" xfId="0" applyNumberFormat="1" applyFont="1" applyFill="1" applyBorder="1" applyAlignment="1">
      <alignment horizontal="right" vertical="center"/>
    </xf>
    <xf numFmtId="4" fontId="15" fillId="33" borderId="10" xfId="0" applyNumberFormat="1" applyFont="1" applyFill="1" applyBorder="1" applyAlignment="1">
      <alignment horizontal="right" vertical="center"/>
    </xf>
    <xf numFmtId="4" fontId="9" fillId="0" borderId="0" xfId="42" applyNumberFormat="1" applyFont="1" applyFill="1" applyBorder="1" applyAlignment="1" applyProtection="1">
      <alignment horizontal="right" vertical="center"/>
      <protection/>
    </xf>
    <xf numFmtId="4" fontId="0" fillId="0" borderId="0" xfId="0" applyNumberFormat="1" applyAlignment="1">
      <alignment horizontal="right" vertical="center"/>
    </xf>
    <xf numFmtId="4" fontId="6" fillId="0" borderId="0" xfId="0" applyNumberFormat="1" applyFont="1" applyFill="1" applyBorder="1" applyAlignment="1" applyProtection="1">
      <alignment horizontal="right" vertical="center"/>
      <protection locked="0"/>
    </xf>
    <xf numFmtId="3" fontId="31" fillId="0" borderId="0" xfId="0" applyNumberFormat="1" applyFont="1" applyFill="1" applyBorder="1" applyAlignment="1" applyProtection="1">
      <alignment horizontal="right" vertical="center"/>
      <protection/>
    </xf>
    <xf numFmtId="3" fontId="24" fillId="0" borderId="19" xfId="0" applyNumberFormat="1" applyFont="1" applyFill="1" applyBorder="1" applyAlignment="1" applyProtection="1">
      <alignment horizontal="center" wrapText="1"/>
      <protection/>
    </xf>
    <xf numFmtId="3" fontId="14" fillId="33" borderId="20" xfId="0" applyNumberFormat="1" applyFont="1" applyFill="1" applyBorder="1" applyAlignment="1">
      <alignment horizontal="right" vertical="center"/>
    </xf>
    <xf numFmtId="3" fontId="14" fillId="33" borderId="10" xfId="0" applyNumberFormat="1" applyFont="1" applyFill="1" applyBorder="1" applyAlignment="1">
      <alignment horizontal="right" vertical="center"/>
    </xf>
    <xf numFmtId="3" fontId="8" fillId="0" borderId="0" xfId="0" applyNumberFormat="1" applyFont="1" applyFill="1" applyBorder="1" applyAlignment="1" applyProtection="1">
      <alignment horizontal="right" vertical="center"/>
      <protection locked="0"/>
    </xf>
    <xf numFmtId="3" fontId="10" fillId="0" borderId="0" xfId="0" applyNumberFormat="1" applyFont="1" applyAlignment="1">
      <alignment horizontal="right" vertical="center"/>
    </xf>
    <xf numFmtId="3" fontId="32" fillId="0" borderId="0" xfId="0" applyNumberFormat="1" applyFont="1" applyFill="1" applyBorder="1" applyAlignment="1" applyProtection="1">
      <alignment horizontal="right" vertical="center"/>
      <protection locked="0"/>
    </xf>
    <xf numFmtId="3" fontId="10" fillId="0" borderId="0" xfId="0" applyNumberFormat="1" applyFont="1" applyAlignment="1">
      <alignment horizontal="right" vertical="center"/>
    </xf>
    <xf numFmtId="3" fontId="3" fillId="0" borderId="0" xfId="0" applyNumberFormat="1" applyFont="1" applyFill="1" applyBorder="1" applyAlignment="1" applyProtection="1">
      <alignment horizontal="right" vertical="center"/>
      <protection/>
    </xf>
    <xf numFmtId="3" fontId="15" fillId="33" borderId="20" xfId="0" applyNumberFormat="1" applyFont="1" applyFill="1" applyBorder="1" applyAlignment="1">
      <alignment horizontal="right" vertical="center"/>
    </xf>
    <xf numFmtId="3" fontId="9"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xf>
    <xf numFmtId="3" fontId="15" fillId="33" borderId="10" xfId="0" applyNumberFormat="1" applyFont="1" applyFill="1" applyBorder="1" applyAlignment="1">
      <alignment horizontal="right" vertical="center"/>
    </xf>
    <xf numFmtId="4" fontId="24" fillId="0" borderId="19" xfId="0" applyNumberFormat="1" applyFont="1" applyFill="1" applyBorder="1" applyAlignment="1" applyProtection="1">
      <alignment horizontal="center" wrapText="1"/>
      <protection/>
    </xf>
    <xf numFmtId="0" fontId="12" fillId="0" borderId="10" xfId="57" applyNumberFormat="1" applyFont="1" applyFill="1" applyBorder="1" applyAlignment="1" applyProtection="1">
      <alignment horizontal="center" vertical="center"/>
      <protection/>
    </xf>
    <xf numFmtId="0" fontId="12" fillId="0" borderId="10" xfId="57" applyFont="1" applyFill="1" applyBorder="1" applyAlignment="1" applyProtection="1">
      <alignment horizontal="center" vertical="center"/>
      <protection/>
    </xf>
    <xf numFmtId="200" fontId="35" fillId="0" borderId="22" xfId="0" applyNumberFormat="1" applyFont="1" applyFill="1" applyBorder="1" applyAlignment="1">
      <alignment vertical="center"/>
    </xf>
    <xf numFmtId="200" fontId="35" fillId="0" borderId="10" xfId="0" applyNumberFormat="1" applyFont="1" applyFill="1" applyBorder="1" applyAlignment="1">
      <alignment vertical="center"/>
    </xf>
    <xf numFmtId="200" fontId="35" fillId="0" borderId="10" xfId="42" applyNumberFormat="1" applyFont="1" applyFill="1" applyBorder="1" applyAlignment="1" applyProtection="1">
      <alignment vertical="center"/>
      <protection locked="0"/>
    </xf>
    <xf numFmtId="200" fontId="35" fillId="0" borderId="10" xfId="0" applyNumberFormat="1" applyFont="1" applyFill="1" applyBorder="1" applyAlignment="1" applyProtection="1">
      <alignment vertical="center"/>
      <protection/>
    </xf>
    <xf numFmtId="200" fontId="35" fillId="0" borderId="10" xfId="42" applyNumberFormat="1" applyFont="1" applyFill="1" applyBorder="1" applyAlignment="1" applyProtection="1">
      <alignment vertical="center"/>
      <protection/>
    </xf>
    <xf numFmtId="193" fontId="35" fillId="0" borderId="10" xfId="42" applyNumberFormat="1" applyFont="1" applyFill="1" applyBorder="1" applyAlignment="1" applyProtection="1">
      <alignment vertical="center"/>
      <protection locked="0"/>
    </xf>
    <xf numFmtId="193" fontId="35" fillId="0" borderId="10" xfId="0" applyNumberFormat="1" applyFont="1" applyFill="1" applyBorder="1" applyAlignment="1">
      <alignment vertical="center"/>
    </xf>
    <xf numFmtId="0" fontId="12" fillId="0" borderId="10" xfId="57" applyFont="1" applyFill="1" applyBorder="1" applyAlignment="1" applyProtection="1">
      <alignment horizontal="left" vertical="center"/>
      <protection/>
    </xf>
    <xf numFmtId="193" fontId="35" fillId="0" borderId="10" xfId="0" applyNumberFormat="1" applyFont="1" applyFill="1" applyBorder="1" applyAlignment="1" applyProtection="1">
      <alignment vertical="center"/>
      <protection/>
    </xf>
    <xf numFmtId="200" fontId="35" fillId="0" borderId="27" xfId="42" applyNumberFormat="1" applyFont="1" applyFill="1" applyBorder="1" applyAlignment="1" applyProtection="1">
      <alignment vertical="center"/>
      <protection locked="0"/>
    </xf>
    <xf numFmtId="193" fontId="35" fillId="0" borderId="27" xfId="42" applyNumberFormat="1" applyFont="1" applyFill="1" applyBorder="1" applyAlignment="1" applyProtection="1">
      <alignment vertical="center"/>
      <protection locked="0"/>
    </xf>
    <xf numFmtId="0" fontId="12" fillId="0" borderId="10" xfId="0" applyNumberFormat="1" applyFont="1" applyFill="1" applyBorder="1" applyAlignment="1">
      <alignment vertical="center"/>
    </xf>
    <xf numFmtId="0" fontId="12" fillId="0" borderId="10" xfId="0" applyNumberFormat="1" applyFont="1" applyFill="1" applyBorder="1" applyAlignment="1" applyProtection="1">
      <alignment vertical="center"/>
      <protection locked="0"/>
    </xf>
    <xf numFmtId="0" fontId="12" fillId="0" borderId="10" xfId="0" applyNumberFormat="1" applyFont="1" applyFill="1" applyBorder="1" applyAlignment="1" applyProtection="1">
      <alignment vertical="center"/>
      <protection/>
    </xf>
    <xf numFmtId="193" fontId="35" fillId="0" borderId="22" xfId="0" applyNumberFormat="1" applyFont="1" applyFill="1" applyBorder="1" applyAlignment="1">
      <alignment vertical="center"/>
    </xf>
    <xf numFmtId="192" fontId="12" fillId="0" borderId="11" xfId="0" applyNumberFormat="1" applyFont="1" applyFill="1" applyBorder="1" applyAlignment="1">
      <alignment vertical="center"/>
    </xf>
    <xf numFmtId="192" fontId="12" fillId="0" borderId="28" xfId="42" applyNumberFormat="1" applyFont="1" applyFill="1" applyBorder="1" applyAlignment="1" applyProtection="1">
      <alignment vertical="center"/>
      <protection/>
    </xf>
    <xf numFmtId="0" fontId="12" fillId="0" borderId="32" xfId="0" applyFont="1" applyFill="1" applyBorder="1" applyAlignment="1">
      <alignment horizontal="left" vertical="center"/>
    </xf>
    <xf numFmtId="0" fontId="12" fillId="0" borderId="22" xfId="0" applyFont="1" applyFill="1" applyBorder="1" applyAlignment="1">
      <alignment horizontal="center" vertical="center"/>
    </xf>
    <xf numFmtId="0" fontId="12" fillId="0" borderId="22" xfId="0" applyFont="1" applyFill="1" applyBorder="1" applyAlignment="1">
      <alignment horizontal="left" vertical="center"/>
    </xf>
    <xf numFmtId="192" fontId="12" fillId="0" borderId="11" xfId="42" applyNumberFormat="1" applyFont="1" applyFill="1" applyBorder="1" applyAlignment="1" applyProtection="1">
      <alignment horizontal="right" vertical="center"/>
      <protection/>
    </xf>
    <xf numFmtId="192" fontId="12" fillId="0" borderId="11" xfId="0" applyNumberFormat="1" applyFont="1" applyFill="1" applyBorder="1" applyAlignment="1" applyProtection="1">
      <alignment horizontal="right" vertical="center"/>
      <protection/>
    </xf>
    <xf numFmtId="0" fontId="12" fillId="0" borderId="33" xfId="0" applyNumberFormat="1" applyFont="1" applyFill="1" applyBorder="1" applyAlignment="1" applyProtection="1">
      <alignment horizontal="left" vertical="center"/>
      <protection locked="0"/>
    </xf>
    <xf numFmtId="0" fontId="12" fillId="0" borderId="27" xfId="0" applyNumberFormat="1" applyFont="1" applyFill="1" applyBorder="1" applyAlignment="1" applyProtection="1">
      <alignment vertical="center"/>
      <protection locked="0"/>
    </xf>
    <xf numFmtId="192" fontId="12" fillId="0" borderId="26" xfId="57" applyNumberFormat="1" applyFont="1" applyFill="1" applyBorder="1" applyAlignment="1" applyProtection="1">
      <alignment vertical="center"/>
      <protection/>
    </xf>
    <xf numFmtId="192" fontId="12" fillId="0" borderId="11" xfId="57" applyNumberFormat="1" applyFont="1" applyFill="1" applyBorder="1" applyAlignment="1" applyProtection="1">
      <alignment vertical="center"/>
      <protection/>
    </xf>
    <xf numFmtId="0" fontId="12" fillId="0" borderId="10" xfId="0" applyFont="1" applyBorder="1" applyAlignment="1" applyProtection="1">
      <alignment horizontal="left" vertical="center"/>
      <protection locked="0"/>
    </xf>
    <xf numFmtId="184" fontId="12" fillId="0" borderId="10" xfId="0" applyNumberFormat="1" applyFont="1" applyBorder="1" applyAlignment="1" applyProtection="1">
      <alignment horizontal="center" vertical="center"/>
      <protection locked="0"/>
    </xf>
    <xf numFmtId="184" fontId="12" fillId="0" borderId="10" xfId="0" applyNumberFormat="1"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200" fontId="35" fillId="0" borderId="10" xfId="0" applyNumberFormat="1" applyFont="1" applyBorder="1" applyAlignment="1" applyProtection="1">
      <alignment horizontal="right" vertical="center"/>
      <protection locked="0"/>
    </xf>
    <xf numFmtId="193" fontId="35" fillId="0" borderId="10" xfId="0" applyNumberFormat="1" applyFont="1" applyBorder="1" applyAlignment="1" applyProtection="1">
      <alignment horizontal="right" vertical="center"/>
      <protection locked="0"/>
    </xf>
    <xf numFmtId="193" fontId="12" fillId="0" borderId="10" xfId="0" applyNumberFormat="1" applyFont="1" applyBorder="1" applyAlignment="1">
      <alignment horizontal="right" vertical="center"/>
    </xf>
    <xf numFmtId="192" fontId="12" fillId="0" borderId="10" xfId="0" applyNumberFormat="1" applyFont="1" applyBorder="1" applyAlignment="1">
      <alignment vertical="center"/>
    </xf>
    <xf numFmtId="200" fontId="12" fillId="0" borderId="10" xfId="0" applyNumberFormat="1" applyFont="1" applyBorder="1" applyAlignment="1" applyProtection="1">
      <alignment horizontal="right" vertical="center"/>
      <protection locked="0"/>
    </xf>
    <xf numFmtId="193" fontId="12" fillId="0" borderId="10" xfId="0" applyNumberFormat="1" applyFont="1" applyBorder="1" applyAlignment="1" applyProtection="1">
      <alignment horizontal="right" vertical="center"/>
      <protection locked="0"/>
    </xf>
    <xf numFmtId="0" fontId="12" fillId="0" borderId="10" xfId="0" applyFont="1" applyBorder="1" applyAlignment="1">
      <alignment horizontal="left" vertical="center"/>
    </xf>
    <xf numFmtId="184"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200" fontId="35" fillId="0" borderId="10" xfId="0" applyNumberFormat="1" applyFont="1" applyBorder="1" applyAlignment="1">
      <alignment horizontal="right" vertical="center"/>
    </xf>
    <xf numFmtId="193" fontId="35" fillId="0" borderId="10" xfId="0" applyNumberFormat="1" applyFont="1" applyBorder="1" applyAlignment="1">
      <alignment horizontal="right" vertical="center"/>
    </xf>
    <xf numFmtId="200" fontId="12" fillId="0" borderId="10" xfId="0" applyNumberFormat="1" applyFont="1" applyBorder="1" applyAlignment="1">
      <alignment horizontal="right" vertical="center"/>
    </xf>
    <xf numFmtId="49" fontId="12" fillId="0" borderId="10" xfId="0" applyNumberFormat="1" applyFont="1" applyBorder="1" applyAlignment="1" applyProtection="1">
      <alignment horizontal="left" vertical="center"/>
      <protection locked="0"/>
    </xf>
    <xf numFmtId="14" fontId="12" fillId="0" borderId="10" xfId="0" applyNumberFormat="1" applyFont="1" applyBorder="1" applyAlignment="1">
      <alignment horizontal="left" vertical="center"/>
    </xf>
    <xf numFmtId="49" fontId="12" fillId="0" borderId="10" xfId="0" applyNumberFormat="1" applyFont="1" applyBorder="1" applyAlignment="1" applyProtection="1">
      <alignment horizontal="center" vertical="center"/>
      <protection locked="0"/>
    </xf>
    <xf numFmtId="1" fontId="12" fillId="0" borderId="10" xfId="0" applyNumberFormat="1" applyFont="1" applyBorder="1" applyAlignment="1">
      <alignment horizontal="center" vertical="center"/>
    </xf>
    <xf numFmtId="1" fontId="12" fillId="0" borderId="10" xfId="0" applyNumberFormat="1" applyFont="1" applyBorder="1" applyAlignment="1" applyProtection="1">
      <alignment horizontal="center" vertical="center"/>
      <protection locked="0"/>
    </xf>
    <xf numFmtId="0" fontId="35" fillId="0" borderId="29" xfId="0" applyFont="1" applyBorder="1" applyAlignment="1" applyProtection="1">
      <alignment vertical="center"/>
      <protection locked="0"/>
    </xf>
    <xf numFmtId="0" fontId="12" fillId="0" borderId="32" xfId="0" applyFont="1" applyBorder="1" applyAlignment="1" applyProtection="1">
      <alignment horizontal="left" vertical="center"/>
      <protection locked="0"/>
    </xf>
    <xf numFmtId="184" fontId="12" fillId="0" borderId="22" xfId="0" applyNumberFormat="1" applyFont="1" applyBorder="1" applyAlignment="1" applyProtection="1">
      <alignment horizontal="center" vertical="center"/>
      <protection locked="0"/>
    </xf>
    <xf numFmtId="184" fontId="12" fillId="0" borderId="22" xfId="0" applyNumberFormat="1"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22" xfId="0" applyFont="1" applyBorder="1" applyAlignment="1" applyProtection="1">
      <alignment horizontal="center" vertical="center"/>
      <protection locked="0"/>
    </xf>
    <xf numFmtId="200" fontId="35" fillId="0" borderId="22" xfId="0" applyNumberFormat="1" applyFont="1" applyBorder="1" applyAlignment="1" applyProtection="1">
      <alignment horizontal="right" vertical="center"/>
      <protection locked="0"/>
    </xf>
    <xf numFmtId="193" fontId="35" fillId="0" borderId="22" xfId="0" applyNumberFormat="1" applyFont="1" applyBorder="1" applyAlignment="1" applyProtection="1">
      <alignment horizontal="right" vertical="center"/>
      <protection locked="0"/>
    </xf>
    <xf numFmtId="193" fontId="12" fillId="0" borderId="22" xfId="0" applyNumberFormat="1" applyFont="1" applyBorder="1" applyAlignment="1">
      <alignment horizontal="right" vertical="center"/>
    </xf>
    <xf numFmtId="192" fontId="12" fillId="0" borderId="22" xfId="0" applyNumberFormat="1" applyFont="1" applyBorder="1" applyAlignment="1">
      <alignment vertical="center"/>
    </xf>
    <xf numFmtId="200" fontId="12" fillId="0" borderId="22" xfId="0" applyNumberFormat="1" applyFont="1" applyBorder="1" applyAlignment="1" applyProtection="1">
      <alignment horizontal="right" vertical="center"/>
      <protection locked="0"/>
    </xf>
    <xf numFmtId="193" fontId="12" fillId="0" borderId="22" xfId="0" applyNumberFormat="1" applyFont="1" applyBorder="1" applyAlignment="1" applyProtection="1">
      <alignment horizontal="right" vertical="center"/>
      <protection locked="0"/>
    </xf>
    <xf numFmtId="0" fontId="12" fillId="0" borderId="24" xfId="0" applyFont="1" applyBorder="1" applyAlignment="1">
      <alignment horizontal="left" vertical="center"/>
    </xf>
    <xf numFmtId="49" fontId="12" fillId="0" borderId="24" xfId="0" applyNumberFormat="1"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33" xfId="0" applyFont="1" applyBorder="1" applyAlignment="1">
      <alignment horizontal="left" vertical="center"/>
    </xf>
    <xf numFmtId="184" fontId="12" fillId="0" borderId="27" xfId="0" applyNumberFormat="1" applyFont="1" applyBorder="1" applyAlignment="1">
      <alignment horizontal="center" vertical="center"/>
    </xf>
    <xf numFmtId="0" fontId="12" fillId="0" borderId="27" xfId="0" applyFont="1" applyBorder="1" applyAlignment="1">
      <alignment horizontal="left" vertical="center"/>
    </xf>
    <xf numFmtId="200" fontId="35" fillId="0" borderId="27" xfId="0" applyNumberFormat="1" applyFont="1" applyBorder="1" applyAlignment="1">
      <alignment horizontal="right" vertical="center"/>
    </xf>
    <xf numFmtId="193" fontId="35" fillId="0" borderId="27" xfId="0" applyNumberFormat="1" applyFont="1" applyBorder="1" applyAlignment="1">
      <alignment horizontal="right" vertical="center"/>
    </xf>
    <xf numFmtId="193" fontId="12" fillId="0" borderId="27" xfId="0" applyNumberFormat="1" applyFont="1" applyBorder="1" applyAlignment="1">
      <alignment horizontal="right" vertical="center"/>
    </xf>
    <xf numFmtId="192" fontId="12" fillId="0" borderId="27" xfId="0" applyNumberFormat="1" applyFont="1" applyBorder="1" applyAlignment="1">
      <alignment vertical="center"/>
    </xf>
    <xf numFmtId="200" fontId="12" fillId="0" borderId="27" xfId="0" applyNumberFormat="1" applyFont="1" applyBorder="1" applyAlignment="1">
      <alignment horizontal="right" vertical="center"/>
    </xf>
    <xf numFmtId="0" fontId="35" fillId="0" borderId="30" xfId="0" applyFont="1" applyBorder="1" applyAlignment="1" applyProtection="1">
      <alignment vertical="center"/>
      <protection locked="0"/>
    </xf>
    <xf numFmtId="0" fontId="12" fillId="0" borderId="34" xfId="0" applyFont="1" applyBorder="1" applyAlignment="1">
      <alignment horizontal="left" vertical="center"/>
    </xf>
    <xf numFmtId="184" fontId="12" fillId="0" borderId="20" xfId="0" applyNumberFormat="1" applyFont="1" applyBorder="1" applyAlignment="1">
      <alignment horizontal="center" vertical="center"/>
    </xf>
    <xf numFmtId="0" fontId="12" fillId="0" borderId="20" xfId="0" applyFont="1" applyBorder="1" applyAlignment="1">
      <alignment horizontal="left" vertical="center"/>
    </xf>
    <xf numFmtId="0" fontId="12" fillId="0" borderId="20" xfId="0" applyFont="1" applyBorder="1" applyAlignment="1">
      <alignment horizontal="center" vertical="center"/>
    </xf>
    <xf numFmtId="200" fontId="35" fillId="0" borderId="20" xfId="0" applyNumberFormat="1" applyFont="1" applyBorder="1" applyAlignment="1">
      <alignment horizontal="right" vertical="center"/>
    </xf>
    <xf numFmtId="193" fontId="35" fillId="0" borderId="20" xfId="0" applyNumberFormat="1" applyFont="1" applyBorder="1" applyAlignment="1">
      <alignment horizontal="right" vertical="center"/>
    </xf>
    <xf numFmtId="193" fontId="12" fillId="0" borderId="20" xfId="0" applyNumberFormat="1" applyFont="1" applyBorder="1" applyAlignment="1">
      <alignment horizontal="right" vertical="center"/>
    </xf>
    <xf numFmtId="192" fontId="12" fillId="0" borderId="20" xfId="0" applyNumberFormat="1" applyFont="1" applyBorder="1" applyAlignment="1">
      <alignment vertical="center"/>
    </xf>
    <xf numFmtId="200" fontId="12" fillId="0" borderId="20" xfId="0" applyNumberFormat="1" applyFont="1" applyBorder="1" applyAlignment="1">
      <alignment horizontal="right" vertical="center"/>
    </xf>
    <xf numFmtId="192" fontId="12" fillId="0" borderId="21" xfId="0" applyNumberFormat="1" applyFont="1" applyBorder="1" applyAlignment="1">
      <alignment vertical="center"/>
    </xf>
    <xf numFmtId="0" fontId="35" fillId="0" borderId="31" xfId="0" applyFont="1" applyBorder="1" applyAlignment="1" applyProtection="1">
      <alignment vertical="center"/>
      <protection locked="0"/>
    </xf>
    <xf numFmtId="49" fontId="12" fillId="0" borderId="35" xfId="0" applyNumberFormat="1" applyFont="1" applyBorder="1" applyAlignment="1" applyProtection="1">
      <alignment horizontal="left" vertical="center"/>
      <protection locked="0"/>
    </xf>
    <xf numFmtId="184" fontId="12" fillId="0" borderId="36" xfId="0" applyNumberFormat="1" applyFont="1" applyBorder="1" applyAlignment="1" applyProtection="1">
      <alignment horizontal="center" vertical="center"/>
      <protection locked="0"/>
    </xf>
    <xf numFmtId="49" fontId="12" fillId="0" borderId="36" xfId="0" applyNumberFormat="1" applyFont="1" applyBorder="1" applyAlignment="1" applyProtection="1">
      <alignment horizontal="left" vertical="center"/>
      <protection locked="0"/>
    </xf>
    <xf numFmtId="0" fontId="12" fillId="0" borderId="36" xfId="0" applyFont="1" applyBorder="1" applyAlignment="1" applyProtection="1">
      <alignment horizontal="center" vertical="center"/>
      <protection locked="0"/>
    </xf>
    <xf numFmtId="200" fontId="35" fillId="0" borderId="36" xfId="0" applyNumberFormat="1" applyFont="1" applyBorder="1" applyAlignment="1" applyProtection="1">
      <alignment horizontal="right" vertical="center"/>
      <protection locked="0"/>
    </xf>
    <xf numFmtId="193" fontId="35" fillId="0" borderId="36" xfId="0" applyNumberFormat="1" applyFont="1" applyBorder="1" applyAlignment="1" applyProtection="1">
      <alignment horizontal="right" vertical="center"/>
      <protection locked="0"/>
    </xf>
    <xf numFmtId="193" fontId="12" fillId="0" borderId="36" xfId="0" applyNumberFormat="1" applyFont="1" applyBorder="1" applyAlignment="1">
      <alignment horizontal="right" vertical="center"/>
    </xf>
    <xf numFmtId="192" fontId="12" fillId="0" borderId="36" xfId="0" applyNumberFormat="1" applyFont="1" applyBorder="1" applyAlignment="1">
      <alignment vertical="center"/>
    </xf>
    <xf numFmtId="200" fontId="12" fillId="0" borderId="36" xfId="0" applyNumberFormat="1" applyFont="1" applyBorder="1" applyAlignment="1" applyProtection="1">
      <alignment horizontal="right" vertical="center"/>
      <protection locked="0"/>
    </xf>
    <xf numFmtId="193" fontId="12" fillId="0" borderId="36" xfId="0" applyNumberFormat="1" applyFont="1" applyBorder="1" applyAlignment="1" applyProtection="1">
      <alignment horizontal="right" vertical="center"/>
      <protection locked="0"/>
    </xf>
    <xf numFmtId="192" fontId="12" fillId="0" borderId="37" xfId="0" applyNumberFormat="1" applyFont="1" applyBorder="1" applyAlignment="1">
      <alignment vertical="center"/>
    </xf>
    <xf numFmtId="200" fontId="35" fillId="0" borderId="10" xfId="42" applyNumberFormat="1" applyFont="1" applyFill="1" applyBorder="1" applyAlignment="1" applyProtection="1">
      <alignment horizontal="right" vertical="center"/>
      <protection locked="0"/>
    </xf>
    <xf numFmtId="193" fontId="35" fillId="0" borderId="10" xfId="42" applyNumberFormat="1" applyFont="1" applyFill="1" applyBorder="1" applyAlignment="1" applyProtection="1">
      <alignment horizontal="right" vertical="center"/>
      <protection locked="0"/>
    </xf>
    <xf numFmtId="200" fontId="35" fillId="0" borderId="10" xfId="0" applyNumberFormat="1" applyFont="1" applyFill="1" applyBorder="1" applyAlignment="1">
      <alignment horizontal="right" vertical="center"/>
    </xf>
    <xf numFmtId="14" fontId="12" fillId="0" borderId="10" xfId="0" applyNumberFormat="1" applyFont="1" applyFill="1" applyBorder="1" applyAlignment="1">
      <alignment horizontal="left" vertical="center"/>
    </xf>
    <xf numFmtId="200" fontId="35" fillId="0" borderId="10" xfId="0" applyNumberFormat="1" applyFont="1" applyFill="1" applyBorder="1" applyAlignment="1" applyProtection="1">
      <alignment horizontal="right" vertical="center"/>
      <protection/>
    </xf>
    <xf numFmtId="200" fontId="35" fillId="0" borderId="10" xfId="42" applyNumberFormat="1" applyFont="1" applyFill="1" applyBorder="1" applyAlignment="1" applyProtection="1">
      <alignment horizontal="right" vertical="center"/>
      <protection/>
    </xf>
    <xf numFmtId="200" fontId="35" fillId="0" borderId="10" xfId="57" applyNumberFormat="1" applyFont="1" applyFill="1" applyBorder="1" applyAlignment="1">
      <alignment horizontal="right" vertical="center"/>
      <protection/>
    </xf>
    <xf numFmtId="193" fontId="35" fillId="0" borderId="10" xfId="42" applyNumberFormat="1" applyFont="1" applyFill="1" applyBorder="1" applyAlignment="1" applyProtection="1">
      <alignment horizontal="right" vertical="center"/>
      <protection/>
    </xf>
    <xf numFmtId="1" fontId="12" fillId="0" borderId="10" xfId="0" applyNumberFormat="1" applyFont="1" applyFill="1" applyBorder="1" applyAlignment="1" applyProtection="1">
      <alignment horizontal="center" vertical="center"/>
      <protection locked="0"/>
    </xf>
    <xf numFmtId="193" fontId="35" fillId="0" borderId="10" xfId="57" applyNumberFormat="1" applyFont="1" applyFill="1" applyBorder="1" applyAlignment="1">
      <alignment horizontal="right" vertical="center"/>
      <protection/>
    </xf>
    <xf numFmtId="193" fontId="35" fillId="0" borderId="10" xfId="0" applyNumberFormat="1" applyFont="1" applyFill="1" applyBorder="1" applyAlignment="1" applyProtection="1">
      <alignment horizontal="right" vertical="center"/>
      <protection/>
    </xf>
    <xf numFmtId="200" fontId="35" fillId="0" borderId="10" xfId="57" applyNumberFormat="1" applyFont="1" applyFill="1" applyBorder="1" applyAlignment="1" applyProtection="1">
      <alignment horizontal="right" vertical="center"/>
      <protection/>
    </xf>
    <xf numFmtId="193" fontId="35" fillId="0" borderId="10" xfId="57" applyNumberFormat="1" applyFont="1" applyFill="1" applyBorder="1" applyAlignment="1" applyProtection="1">
      <alignment horizontal="right" vertical="center"/>
      <protection/>
    </xf>
    <xf numFmtId="1" fontId="12" fillId="0" borderId="10" xfId="0" applyNumberFormat="1" applyFont="1" applyFill="1" applyBorder="1" applyAlignment="1">
      <alignment horizontal="center" vertical="center"/>
    </xf>
    <xf numFmtId="0" fontId="36"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38" xfId="0" applyNumberFormat="1" applyFont="1" applyFill="1" applyBorder="1" applyAlignment="1" applyProtection="1">
      <alignment horizontal="center" vertical="center" wrapText="1"/>
      <protection/>
    </xf>
    <xf numFmtId="181" fontId="24" fillId="0" borderId="39" xfId="0" applyNumberFormat="1" applyFont="1" applyFill="1" applyBorder="1" applyAlignment="1" applyProtection="1">
      <alignment horizontal="center" vertical="center" wrapText="1"/>
      <protection/>
    </xf>
    <xf numFmtId="0" fontId="24" fillId="0" borderId="38" xfId="0" applyNumberFormat="1" applyFont="1" applyFill="1" applyBorder="1" applyAlignment="1" applyProtection="1">
      <alignment horizontal="center" vertical="center" wrapText="1"/>
      <protection/>
    </xf>
    <xf numFmtId="0" fontId="26" fillId="0" borderId="19" xfId="0" applyFont="1" applyBorder="1" applyAlignment="1">
      <alignment horizontal="center" vertical="center"/>
    </xf>
    <xf numFmtId="179" fontId="24" fillId="0" borderId="38" xfId="42" applyFont="1" applyFill="1" applyBorder="1" applyAlignment="1" applyProtection="1">
      <alignment horizontal="center" vertical="center" wrapText="1"/>
      <protection/>
    </xf>
    <xf numFmtId="0" fontId="24" fillId="0" borderId="38" xfId="0" applyFont="1" applyFill="1" applyBorder="1" applyAlignment="1" applyProtection="1">
      <alignment horizontal="center" vertical="center" wrapText="1"/>
      <protection/>
    </xf>
    <xf numFmtId="0" fontId="24" fillId="0" borderId="40" xfId="0" applyNumberFormat="1" applyFont="1" applyFill="1" applyBorder="1" applyAlignment="1" applyProtection="1">
      <alignment horizontal="center" vertical="center" wrapText="1"/>
      <protection/>
    </xf>
    <xf numFmtId="0" fontId="26" fillId="0" borderId="41" xfId="0" applyFont="1" applyBorder="1" applyAlignment="1">
      <alignment horizontal="center" vertical="center" wrapText="1"/>
    </xf>
    <xf numFmtId="4" fontId="24" fillId="0" borderId="38" xfId="0" applyNumberFormat="1" applyFont="1" applyFill="1" applyBorder="1" applyAlignment="1" applyProtection="1">
      <alignment horizontal="center" vertical="center" wrapText="1"/>
      <protection/>
    </xf>
    <xf numFmtId="184" fontId="24" fillId="0" borderId="38" xfId="0" applyNumberFormat="1" applyFont="1" applyFill="1" applyBorder="1" applyAlignment="1" applyProtection="1">
      <alignment horizontal="center" vertical="center" wrapText="1"/>
      <protection/>
    </xf>
    <xf numFmtId="184" fontId="26" fillId="0" borderId="19" xfId="0" applyNumberFormat="1" applyFont="1" applyBorder="1" applyAlignment="1">
      <alignment horizontal="center" vertical="center"/>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42" xfId="0" applyFont="1" applyFill="1" applyBorder="1" applyAlignment="1">
      <alignment horizontal="right" vertical="center"/>
    </xf>
    <xf numFmtId="0" fontId="33" fillId="0" borderId="43" xfId="0" applyFont="1" applyBorder="1" applyAlignment="1">
      <alignment horizontal="right" vertical="center"/>
    </xf>
    <xf numFmtId="0" fontId="15" fillId="33" borderId="44" xfId="0" applyFont="1" applyFill="1" applyBorder="1" applyAlignment="1">
      <alignment horizontal="right" vertical="center"/>
    </xf>
    <xf numFmtId="0" fontId="0" fillId="0" borderId="45" xfId="0" applyBorder="1" applyAlignment="1">
      <alignment horizontal="right" vertical="center"/>
    </xf>
    <xf numFmtId="0" fontId="17" fillId="0" borderId="0" xfId="0" applyFont="1" applyBorder="1" applyAlignment="1" applyProtection="1">
      <alignment horizontal="right" vertical="center" wrapText="1"/>
      <protection locked="0"/>
    </xf>
    <xf numFmtId="0" fontId="30"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24" fillId="0" borderId="41" xfId="0" applyNumberFormat="1" applyFont="1" applyFill="1" applyBorder="1" applyAlignment="1" applyProtection="1">
      <alignment horizontal="center" vertical="center" wrapText="1"/>
      <protection/>
    </xf>
    <xf numFmtId="0" fontId="24" fillId="0" borderId="46" xfId="0" applyNumberFormat="1" applyFont="1" applyFill="1" applyBorder="1" applyAlignment="1" applyProtection="1">
      <alignment horizontal="center" vertical="center" wrapText="1"/>
      <protection/>
    </xf>
    <xf numFmtId="0" fontId="24" fillId="0" borderId="47" xfId="0" applyNumberFormat="1" applyFont="1" applyFill="1" applyBorder="1" applyAlignment="1" applyProtection="1">
      <alignment horizontal="center" vertical="center" wrapText="1"/>
      <protection/>
    </xf>
    <xf numFmtId="192" fontId="24" fillId="0" borderId="48" xfId="0" applyNumberFormat="1" applyFont="1" applyFill="1" applyBorder="1" applyAlignment="1" applyProtection="1">
      <alignment horizontal="center" vertical="center" wrapText="1"/>
      <protection/>
    </xf>
    <xf numFmtId="192" fontId="24" fillId="0" borderId="49" xfId="0" applyNumberFormat="1" applyFont="1" applyFill="1" applyBorder="1" applyAlignment="1" applyProtection="1">
      <alignment horizontal="center" vertical="center" wrapText="1"/>
      <protection/>
    </xf>
    <xf numFmtId="0" fontId="29" fillId="34" borderId="50" xfId="0" applyFont="1" applyFill="1" applyBorder="1" applyAlignment="1">
      <alignment horizontal="center" vertical="center" wrapText="1"/>
    </xf>
    <xf numFmtId="0" fontId="14" fillId="33" borderId="51" xfId="0" applyFont="1" applyFill="1" applyBorder="1" applyAlignment="1">
      <alignment horizontal="center" vertical="center"/>
    </xf>
    <xf numFmtId="0" fontId="14" fillId="33" borderId="43" xfId="0" applyFont="1" applyFill="1" applyBorder="1" applyAlignment="1">
      <alignment horizontal="center" vertical="center"/>
    </xf>
    <xf numFmtId="0" fontId="24" fillId="0" borderId="40" xfId="0" applyNumberFormat="1" applyFont="1" applyFill="1" applyBorder="1" applyAlignment="1">
      <alignment horizontal="center" vertical="center" wrapText="1"/>
    </xf>
    <xf numFmtId="0" fontId="24" fillId="0" borderId="41"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196340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276225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448800" y="466725"/>
          <a:ext cx="251460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43
</a:t>
          </a:r>
          <a:r>
            <a:rPr lang="en-US" cap="none" sz="1600" b="0" i="0" u="none" baseline="0">
              <a:solidFill>
                <a:srgbClr val="FFFFFF"/>
              </a:solidFill>
              <a:latin typeface="Impact"/>
              <a:ea typeface="Impact"/>
              <a:cs typeface="Impact"/>
            </a:rPr>
            <a:t>19 - 25 October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118"/>
  <sheetViews>
    <sheetView showGridLines="0"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33" bestFit="1" customWidth="1"/>
    <col min="2" max="2" width="47.8515625" style="4" customWidth="1"/>
    <col min="3" max="3" width="9.8515625" style="12" bestFit="1" customWidth="1"/>
    <col min="4" max="4" width="13.7109375" style="16" bestFit="1" customWidth="1"/>
    <col min="5" max="5" width="14.7109375" style="16" bestFit="1" customWidth="1"/>
    <col min="6" max="6" width="10.28125" style="6" bestFit="1" customWidth="1"/>
    <col min="7" max="7" width="7.421875" style="6" bestFit="1" customWidth="1"/>
    <col min="8" max="8" width="9.7109375" style="6" customWidth="1"/>
    <col min="9" max="9" width="12.140625" style="175" bestFit="1" customWidth="1"/>
    <col min="10" max="10" width="7.8515625" style="189" bestFit="1" customWidth="1"/>
    <col min="11" max="11" width="8.7109375" style="195" customWidth="1"/>
    <col min="12" max="12" width="6.28125" style="29" bestFit="1" customWidth="1"/>
    <col min="13" max="13" width="12.00390625" style="182" bestFit="1" customWidth="1"/>
    <col min="14" max="14" width="8.8515625" style="195" bestFit="1" customWidth="1"/>
    <col min="15" max="15" width="6.28125" style="29" bestFit="1" customWidth="1"/>
    <col min="16" max="16" width="3.140625" style="76" bestFit="1" customWidth="1"/>
    <col min="17" max="16384" width="9.140625" style="4" customWidth="1"/>
  </cols>
  <sheetData>
    <row r="1" spans="1:16" s="2" customFormat="1" ht="90.75" customHeight="1">
      <c r="A1" s="32"/>
      <c r="B1" s="1"/>
      <c r="C1" s="10"/>
      <c r="D1" s="14"/>
      <c r="E1" s="14"/>
      <c r="F1" s="5"/>
      <c r="G1" s="5"/>
      <c r="H1" s="5"/>
      <c r="I1" s="169"/>
      <c r="J1" s="183"/>
      <c r="K1" s="191"/>
      <c r="L1" s="26"/>
      <c r="M1" s="177"/>
      <c r="N1" s="196"/>
      <c r="O1" s="26"/>
      <c r="P1" s="76"/>
    </row>
    <row r="2" spans="1:16" s="9" customFormat="1" ht="27.75" thickBot="1">
      <c r="A2" s="308" t="s">
        <v>224</v>
      </c>
      <c r="B2" s="309"/>
      <c r="C2" s="309"/>
      <c r="D2" s="309"/>
      <c r="E2" s="309"/>
      <c r="F2" s="309"/>
      <c r="G2" s="309"/>
      <c r="H2" s="309"/>
      <c r="I2" s="309"/>
      <c r="J2" s="309"/>
      <c r="K2" s="309"/>
      <c r="L2" s="309"/>
      <c r="M2" s="309"/>
      <c r="N2" s="309"/>
      <c r="O2" s="309"/>
      <c r="P2" s="76"/>
    </row>
    <row r="3" spans="1:16" s="25" customFormat="1" ht="16.5">
      <c r="A3" s="40"/>
      <c r="B3" s="314" t="s">
        <v>335</v>
      </c>
      <c r="C3" s="319" t="s">
        <v>336</v>
      </c>
      <c r="D3" s="315" t="s">
        <v>208</v>
      </c>
      <c r="E3" s="315" t="s">
        <v>207</v>
      </c>
      <c r="F3" s="312" t="s">
        <v>337</v>
      </c>
      <c r="G3" s="312" t="s">
        <v>344</v>
      </c>
      <c r="H3" s="316" t="s">
        <v>346</v>
      </c>
      <c r="I3" s="318" t="s">
        <v>338</v>
      </c>
      <c r="J3" s="318"/>
      <c r="K3" s="318"/>
      <c r="L3" s="318"/>
      <c r="M3" s="310" t="s">
        <v>339</v>
      </c>
      <c r="N3" s="310"/>
      <c r="O3" s="311"/>
      <c r="P3" s="121"/>
    </row>
    <row r="4" spans="1:16" s="25" customFormat="1" ht="43.5" thickBot="1">
      <c r="A4" s="41"/>
      <c r="B4" s="313"/>
      <c r="C4" s="320"/>
      <c r="D4" s="313"/>
      <c r="E4" s="313"/>
      <c r="F4" s="313"/>
      <c r="G4" s="313"/>
      <c r="H4" s="317"/>
      <c r="I4" s="198" t="s">
        <v>340</v>
      </c>
      <c r="J4" s="184" t="s">
        <v>341</v>
      </c>
      <c r="K4" s="184" t="s">
        <v>258</v>
      </c>
      <c r="L4" s="89" t="s">
        <v>342</v>
      </c>
      <c r="M4" s="170" t="s">
        <v>340</v>
      </c>
      <c r="N4" s="184" t="s">
        <v>341</v>
      </c>
      <c r="O4" s="90" t="s">
        <v>343</v>
      </c>
      <c r="P4" s="121"/>
    </row>
    <row r="5" spans="1:16" s="3" customFormat="1" ht="15">
      <c r="A5" s="248">
        <v>1</v>
      </c>
      <c r="B5" s="249" t="s">
        <v>43</v>
      </c>
      <c r="C5" s="250">
        <v>39374</v>
      </c>
      <c r="D5" s="251" t="s">
        <v>210</v>
      </c>
      <c r="E5" s="252" t="s">
        <v>345</v>
      </c>
      <c r="F5" s="253">
        <v>49</v>
      </c>
      <c r="G5" s="253">
        <v>49</v>
      </c>
      <c r="H5" s="253">
        <v>1</v>
      </c>
      <c r="I5" s="254">
        <v>361702</v>
      </c>
      <c r="J5" s="255">
        <v>36469</v>
      </c>
      <c r="K5" s="256">
        <v>744.265306122449</v>
      </c>
      <c r="L5" s="257">
        <v>9.91806739970934</v>
      </c>
      <c r="M5" s="258">
        <v>361702</v>
      </c>
      <c r="N5" s="259">
        <v>36469</v>
      </c>
      <c r="O5" s="91">
        <v>9.91806739970934</v>
      </c>
      <c r="P5" s="76"/>
    </row>
    <row r="6" spans="1:16" s="3" customFormat="1" ht="15">
      <c r="A6" s="248">
        <v>2</v>
      </c>
      <c r="B6" s="260" t="s">
        <v>110</v>
      </c>
      <c r="C6" s="238">
        <v>39367</v>
      </c>
      <c r="D6" s="237" t="s">
        <v>211</v>
      </c>
      <c r="E6" s="237" t="s">
        <v>216</v>
      </c>
      <c r="F6" s="239">
        <v>135</v>
      </c>
      <c r="G6" s="239">
        <v>136</v>
      </c>
      <c r="H6" s="239">
        <v>2</v>
      </c>
      <c r="I6" s="240">
        <v>354484</v>
      </c>
      <c r="J6" s="241">
        <v>39583</v>
      </c>
      <c r="K6" s="233">
        <v>291.05147058823525</v>
      </c>
      <c r="L6" s="234">
        <v>8.9554606775636</v>
      </c>
      <c r="M6" s="242">
        <v>1126448</v>
      </c>
      <c r="N6" s="233">
        <v>125079</v>
      </c>
      <c r="O6" s="68">
        <v>9.005892276081518</v>
      </c>
      <c r="P6" s="76"/>
    </row>
    <row r="7" spans="1:16" s="3" customFormat="1" ht="15">
      <c r="A7" s="282">
        <v>3</v>
      </c>
      <c r="B7" s="283" t="s">
        <v>44</v>
      </c>
      <c r="C7" s="284">
        <v>39374</v>
      </c>
      <c r="D7" s="285" t="s">
        <v>209</v>
      </c>
      <c r="E7" s="285" t="s">
        <v>209</v>
      </c>
      <c r="F7" s="286">
        <v>37</v>
      </c>
      <c r="G7" s="286">
        <v>38</v>
      </c>
      <c r="H7" s="286">
        <v>1</v>
      </c>
      <c r="I7" s="287">
        <v>345844</v>
      </c>
      <c r="J7" s="288">
        <v>36725</v>
      </c>
      <c r="K7" s="289">
        <v>966.4473684210525</v>
      </c>
      <c r="L7" s="290">
        <v>9.41712729748128</v>
      </c>
      <c r="M7" s="291">
        <v>345844</v>
      </c>
      <c r="N7" s="292">
        <v>36725</v>
      </c>
      <c r="O7" s="293">
        <v>9.41712729748128</v>
      </c>
      <c r="P7" s="76"/>
    </row>
    <row r="8" spans="1:16" s="3" customFormat="1" ht="15">
      <c r="A8" s="271">
        <v>4</v>
      </c>
      <c r="B8" s="272" t="s">
        <v>111</v>
      </c>
      <c r="C8" s="273">
        <v>39367</v>
      </c>
      <c r="D8" s="274" t="s">
        <v>18</v>
      </c>
      <c r="E8" s="274" t="s">
        <v>45</v>
      </c>
      <c r="F8" s="275">
        <v>148</v>
      </c>
      <c r="G8" s="275">
        <v>151</v>
      </c>
      <c r="H8" s="275">
        <v>2</v>
      </c>
      <c r="I8" s="276">
        <v>209763</v>
      </c>
      <c r="J8" s="277">
        <v>28426</v>
      </c>
      <c r="K8" s="278">
        <v>188.25165562913907</v>
      </c>
      <c r="L8" s="279">
        <v>7.3792654611974955</v>
      </c>
      <c r="M8" s="280">
        <v>868579.5</v>
      </c>
      <c r="N8" s="278">
        <v>114667</v>
      </c>
      <c r="O8" s="281">
        <v>7.574799201165113</v>
      </c>
      <c r="P8" s="76"/>
    </row>
    <row r="9" spans="1:16" s="7" customFormat="1" ht="15">
      <c r="A9" s="248">
        <v>5</v>
      </c>
      <c r="B9" s="260" t="s">
        <v>46</v>
      </c>
      <c r="C9" s="238">
        <v>39374</v>
      </c>
      <c r="D9" s="244" t="s">
        <v>212</v>
      </c>
      <c r="E9" s="237" t="s">
        <v>219</v>
      </c>
      <c r="F9" s="230">
        <v>39</v>
      </c>
      <c r="G9" s="239">
        <v>39</v>
      </c>
      <c r="H9" s="239">
        <v>1</v>
      </c>
      <c r="I9" s="240">
        <v>193896</v>
      </c>
      <c r="J9" s="241">
        <v>18661</v>
      </c>
      <c r="K9" s="233">
        <v>478.48717948717933</v>
      </c>
      <c r="L9" s="234">
        <v>10.390439954986345</v>
      </c>
      <c r="M9" s="242">
        <v>193896</v>
      </c>
      <c r="N9" s="233">
        <v>18661</v>
      </c>
      <c r="O9" s="68">
        <v>10.390439954986345</v>
      </c>
      <c r="P9" s="76"/>
    </row>
    <row r="10" spans="1:16" s="7" customFormat="1" ht="15">
      <c r="A10" s="248">
        <v>6</v>
      </c>
      <c r="B10" s="260" t="s">
        <v>104</v>
      </c>
      <c r="C10" s="238">
        <v>39360</v>
      </c>
      <c r="D10" s="237" t="s">
        <v>211</v>
      </c>
      <c r="E10" s="237" t="s">
        <v>218</v>
      </c>
      <c r="F10" s="239">
        <v>112</v>
      </c>
      <c r="G10" s="239">
        <v>110</v>
      </c>
      <c r="H10" s="239">
        <v>3</v>
      </c>
      <c r="I10" s="240">
        <v>187932</v>
      </c>
      <c r="J10" s="241">
        <v>21056</v>
      </c>
      <c r="K10" s="233">
        <v>191.4181818181818</v>
      </c>
      <c r="L10" s="234">
        <v>8.925341945288753</v>
      </c>
      <c r="M10" s="242">
        <v>952302</v>
      </c>
      <c r="N10" s="233">
        <v>104160</v>
      </c>
      <c r="O10" s="68">
        <v>9.142684331797236</v>
      </c>
      <c r="P10" s="76"/>
    </row>
    <row r="11" spans="1:16" s="7" customFormat="1" ht="15">
      <c r="A11" s="248">
        <v>7</v>
      </c>
      <c r="B11" s="262" t="s">
        <v>47</v>
      </c>
      <c r="C11" s="228">
        <v>39374</v>
      </c>
      <c r="D11" s="227" t="s">
        <v>48</v>
      </c>
      <c r="E11" s="227" t="s">
        <v>222</v>
      </c>
      <c r="F11" s="230">
        <v>86</v>
      </c>
      <c r="G11" s="230">
        <v>86</v>
      </c>
      <c r="H11" s="230">
        <v>1</v>
      </c>
      <c r="I11" s="240">
        <v>185051.5</v>
      </c>
      <c r="J11" s="241">
        <v>23718</v>
      </c>
      <c r="K11" s="233">
        <v>275.79069767441865</v>
      </c>
      <c r="L11" s="234">
        <v>7.802154481828147</v>
      </c>
      <c r="M11" s="242">
        <v>185051.5</v>
      </c>
      <c r="N11" s="233">
        <v>23718</v>
      </c>
      <c r="O11" s="68">
        <v>7.802154481828147</v>
      </c>
      <c r="P11" s="76"/>
    </row>
    <row r="12" spans="1:16" s="7" customFormat="1" ht="15">
      <c r="A12" s="248">
        <v>8</v>
      </c>
      <c r="B12" s="262" t="s">
        <v>105</v>
      </c>
      <c r="C12" s="228">
        <v>39360</v>
      </c>
      <c r="D12" s="227" t="s">
        <v>48</v>
      </c>
      <c r="E12" s="227" t="s">
        <v>153</v>
      </c>
      <c r="F12" s="230">
        <v>116</v>
      </c>
      <c r="G12" s="230">
        <v>114</v>
      </c>
      <c r="H12" s="230">
        <v>3</v>
      </c>
      <c r="I12" s="240">
        <v>125428</v>
      </c>
      <c r="J12" s="241">
        <v>16985</v>
      </c>
      <c r="K12" s="233">
        <v>148.99122807017554</v>
      </c>
      <c r="L12" s="234">
        <v>7.384633500147188</v>
      </c>
      <c r="M12" s="242">
        <v>1009573</v>
      </c>
      <c r="N12" s="233">
        <v>125655</v>
      </c>
      <c r="O12" s="68">
        <v>8.034483307468863</v>
      </c>
      <c r="P12" s="76"/>
    </row>
    <row r="13" spans="1:16" s="7" customFormat="1" ht="15">
      <c r="A13" s="248">
        <v>9</v>
      </c>
      <c r="B13" s="262" t="s">
        <v>112</v>
      </c>
      <c r="C13" s="228">
        <v>39367</v>
      </c>
      <c r="D13" s="229" t="s">
        <v>210</v>
      </c>
      <c r="E13" s="227" t="s">
        <v>223</v>
      </c>
      <c r="F13" s="230">
        <v>65</v>
      </c>
      <c r="G13" s="230">
        <v>64</v>
      </c>
      <c r="H13" s="230">
        <v>2</v>
      </c>
      <c r="I13" s="231">
        <v>117352</v>
      </c>
      <c r="J13" s="232">
        <v>12615</v>
      </c>
      <c r="K13" s="233">
        <v>197.109375</v>
      </c>
      <c r="L13" s="234">
        <v>9.302576298057872</v>
      </c>
      <c r="M13" s="235">
        <v>362716</v>
      </c>
      <c r="N13" s="236">
        <v>38103</v>
      </c>
      <c r="O13" s="68">
        <v>9.519355431330865</v>
      </c>
      <c r="P13" s="76"/>
    </row>
    <row r="14" spans="1:16" s="7" customFormat="1" ht="15">
      <c r="A14" s="248">
        <v>10</v>
      </c>
      <c r="B14" s="262" t="s">
        <v>101</v>
      </c>
      <c r="C14" s="228">
        <v>39360</v>
      </c>
      <c r="D14" s="229" t="s">
        <v>210</v>
      </c>
      <c r="E14" s="227" t="s">
        <v>345</v>
      </c>
      <c r="F14" s="230">
        <v>73</v>
      </c>
      <c r="G14" s="230">
        <v>68</v>
      </c>
      <c r="H14" s="230">
        <v>3</v>
      </c>
      <c r="I14" s="231">
        <v>116748</v>
      </c>
      <c r="J14" s="232">
        <v>12251</v>
      </c>
      <c r="K14" s="233">
        <v>180.16176470588226</v>
      </c>
      <c r="L14" s="234">
        <v>9.529671047261449</v>
      </c>
      <c r="M14" s="235">
        <v>844003</v>
      </c>
      <c r="N14" s="236">
        <v>87785</v>
      </c>
      <c r="O14" s="68">
        <v>9.614432989690721</v>
      </c>
      <c r="P14" s="76"/>
    </row>
    <row r="15" spans="1:16" s="7" customFormat="1" ht="15">
      <c r="A15" s="248">
        <v>11</v>
      </c>
      <c r="B15" s="262">
        <v>1408</v>
      </c>
      <c r="C15" s="228">
        <v>39353</v>
      </c>
      <c r="D15" s="229" t="s">
        <v>210</v>
      </c>
      <c r="E15" s="227" t="s">
        <v>149</v>
      </c>
      <c r="F15" s="230">
        <v>70</v>
      </c>
      <c r="G15" s="230">
        <v>52</v>
      </c>
      <c r="H15" s="230">
        <v>4</v>
      </c>
      <c r="I15" s="231">
        <v>90246</v>
      </c>
      <c r="J15" s="232">
        <v>11622</v>
      </c>
      <c r="K15" s="233">
        <v>223.5</v>
      </c>
      <c r="L15" s="234">
        <v>7.76510067114094</v>
      </c>
      <c r="M15" s="235">
        <v>1301882</v>
      </c>
      <c r="N15" s="236">
        <v>148446</v>
      </c>
      <c r="O15" s="68">
        <v>8.77007127170823</v>
      </c>
      <c r="P15" s="76"/>
    </row>
    <row r="16" spans="1:16" s="7" customFormat="1" ht="15">
      <c r="A16" s="248">
        <v>12</v>
      </c>
      <c r="B16" s="261" t="s">
        <v>49</v>
      </c>
      <c r="C16" s="228">
        <v>39374</v>
      </c>
      <c r="D16" s="243" t="s">
        <v>225</v>
      </c>
      <c r="E16" s="243" t="s">
        <v>146</v>
      </c>
      <c r="F16" s="245" t="s">
        <v>50</v>
      </c>
      <c r="G16" s="245" t="s">
        <v>50</v>
      </c>
      <c r="H16" s="245" t="s">
        <v>297</v>
      </c>
      <c r="I16" s="231">
        <v>63044</v>
      </c>
      <c r="J16" s="232">
        <v>6930</v>
      </c>
      <c r="K16" s="233">
        <v>182.3684210526316</v>
      </c>
      <c r="L16" s="234">
        <v>9.0972582972583</v>
      </c>
      <c r="M16" s="235">
        <v>63044</v>
      </c>
      <c r="N16" s="236">
        <v>6930</v>
      </c>
      <c r="O16" s="68">
        <v>9.0972582972583</v>
      </c>
      <c r="P16" s="76"/>
    </row>
    <row r="17" spans="1:16" s="7" customFormat="1" ht="15">
      <c r="A17" s="248">
        <v>13</v>
      </c>
      <c r="B17" s="260" t="s">
        <v>114</v>
      </c>
      <c r="C17" s="238">
        <v>39367</v>
      </c>
      <c r="D17" s="237" t="s">
        <v>298</v>
      </c>
      <c r="E17" s="237" t="s">
        <v>221</v>
      </c>
      <c r="F17" s="246">
        <v>21</v>
      </c>
      <c r="G17" s="246">
        <v>20</v>
      </c>
      <c r="H17" s="246">
        <v>2</v>
      </c>
      <c r="I17" s="231">
        <v>39997.5</v>
      </c>
      <c r="J17" s="232">
        <v>3878</v>
      </c>
      <c r="K17" s="233">
        <v>193.9</v>
      </c>
      <c r="L17" s="234">
        <v>10.31395048994327</v>
      </c>
      <c r="M17" s="235">
        <v>139687</v>
      </c>
      <c r="N17" s="236">
        <v>12732</v>
      </c>
      <c r="O17" s="68">
        <v>10.971332076657243</v>
      </c>
      <c r="P17" s="76"/>
    </row>
    <row r="18" spans="1:16" s="7" customFormat="1" ht="15">
      <c r="A18" s="248">
        <v>14</v>
      </c>
      <c r="B18" s="260" t="s">
        <v>107</v>
      </c>
      <c r="C18" s="238">
        <v>39360</v>
      </c>
      <c r="D18" s="237" t="s">
        <v>18</v>
      </c>
      <c r="E18" s="237" t="s">
        <v>45</v>
      </c>
      <c r="F18" s="230">
        <v>71</v>
      </c>
      <c r="G18" s="239">
        <v>70</v>
      </c>
      <c r="H18" s="239">
        <v>2</v>
      </c>
      <c r="I18" s="240">
        <v>33473.5</v>
      </c>
      <c r="J18" s="241">
        <v>5614</v>
      </c>
      <c r="K18" s="233">
        <v>80.2</v>
      </c>
      <c r="L18" s="234">
        <v>5.962504453152833</v>
      </c>
      <c r="M18" s="242">
        <v>258058.5</v>
      </c>
      <c r="N18" s="233">
        <v>37633</v>
      </c>
      <c r="O18" s="68">
        <v>6.857239656684292</v>
      </c>
      <c r="P18" s="76"/>
    </row>
    <row r="19" spans="1:16" s="7" customFormat="1" ht="15">
      <c r="A19" s="248">
        <v>15</v>
      </c>
      <c r="B19" s="260" t="s">
        <v>36</v>
      </c>
      <c r="C19" s="238">
        <v>39318</v>
      </c>
      <c r="D19" s="237" t="s">
        <v>211</v>
      </c>
      <c r="E19" s="237" t="s">
        <v>214</v>
      </c>
      <c r="F19" s="239">
        <v>116</v>
      </c>
      <c r="G19" s="239">
        <v>41</v>
      </c>
      <c r="H19" s="239">
        <v>9</v>
      </c>
      <c r="I19" s="240">
        <v>26298</v>
      </c>
      <c r="J19" s="241">
        <v>4876</v>
      </c>
      <c r="K19" s="233">
        <v>118.92682926829272</v>
      </c>
      <c r="L19" s="234">
        <v>5.393355209187858</v>
      </c>
      <c r="M19" s="242">
        <v>2509696</v>
      </c>
      <c r="N19" s="233">
        <v>308788</v>
      </c>
      <c r="O19" s="68">
        <v>8.12756972421208</v>
      </c>
      <c r="P19" s="76"/>
    </row>
    <row r="20" spans="1:16" s="7" customFormat="1" ht="15">
      <c r="A20" s="248">
        <v>16</v>
      </c>
      <c r="B20" s="260" t="s">
        <v>115</v>
      </c>
      <c r="C20" s="238">
        <v>39367</v>
      </c>
      <c r="D20" s="244" t="s">
        <v>212</v>
      </c>
      <c r="E20" s="237" t="s">
        <v>213</v>
      </c>
      <c r="F20" s="230">
        <v>45</v>
      </c>
      <c r="G20" s="239">
        <v>45</v>
      </c>
      <c r="H20" s="239">
        <v>2</v>
      </c>
      <c r="I20" s="240">
        <v>22763.5</v>
      </c>
      <c r="J20" s="241">
        <v>2965</v>
      </c>
      <c r="K20" s="233">
        <v>65.88888888888886</v>
      </c>
      <c r="L20" s="234">
        <v>7.677403035413153</v>
      </c>
      <c r="M20" s="242">
        <v>112300.5</v>
      </c>
      <c r="N20" s="233">
        <v>13638</v>
      </c>
      <c r="O20" s="68">
        <v>8.234381874175098</v>
      </c>
      <c r="P20" s="76"/>
    </row>
    <row r="21" spans="1:16" s="7" customFormat="1" ht="15">
      <c r="A21" s="248">
        <v>17</v>
      </c>
      <c r="B21" s="261" t="s">
        <v>113</v>
      </c>
      <c r="C21" s="228">
        <v>39367</v>
      </c>
      <c r="D21" s="243" t="s">
        <v>324</v>
      </c>
      <c r="E21" s="243" t="s">
        <v>51</v>
      </c>
      <c r="F21" s="245" t="s">
        <v>265</v>
      </c>
      <c r="G21" s="245" t="s">
        <v>182</v>
      </c>
      <c r="H21" s="245" t="s">
        <v>321</v>
      </c>
      <c r="I21" s="231">
        <v>21126.5</v>
      </c>
      <c r="J21" s="232">
        <v>2925</v>
      </c>
      <c r="K21" s="233">
        <v>94.35483870967741</v>
      </c>
      <c r="L21" s="234">
        <v>7.2227350427350405</v>
      </c>
      <c r="M21" s="235">
        <v>131592.5</v>
      </c>
      <c r="N21" s="236">
        <v>15977</v>
      </c>
      <c r="O21" s="68">
        <v>8.236371033360452</v>
      </c>
      <c r="P21" s="76"/>
    </row>
    <row r="22" spans="1:16" s="7" customFormat="1" ht="15">
      <c r="A22" s="248">
        <v>18</v>
      </c>
      <c r="B22" s="260" t="s">
        <v>172</v>
      </c>
      <c r="C22" s="238">
        <v>39339</v>
      </c>
      <c r="D22" s="237" t="s">
        <v>18</v>
      </c>
      <c r="E22" s="237" t="s">
        <v>173</v>
      </c>
      <c r="F22" s="239">
        <v>79</v>
      </c>
      <c r="G22" s="239">
        <v>51</v>
      </c>
      <c r="H22" s="239">
        <v>6</v>
      </c>
      <c r="I22" s="240">
        <v>16271.5</v>
      </c>
      <c r="J22" s="241">
        <v>3806</v>
      </c>
      <c r="K22" s="233">
        <v>74.62745098039217</v>
      </c>
      <c r="L22" s="234">
        <v>4.275223331581713</v>
      </c>
      <c r="M22" s="242">
        <v>223627.5</v>
      </c>
      <c r="N22" s="233">
        <v>31441</v>
      </c>
      <c r="O22" s="68">
        <v>7.11260774148405</v>
      </c>
      <c r="P22" s="76"/>
    </row>
    <row r="23" spans="1:16" s="7" customFormat="1" ht="15">
      <c r="A23" s="248">
        <v>19</v>
      </c>
      <c r="B23" s="260" t="s">
        <v>106</v>
      </c>
      <c r="C23" s="238">
        <v>39360</v>
      </c>
      <c r="D23" s="237" t="s">
        <v>217</v>
      </c>
      <c r="E23" s="237" t="s">
        <v>356</v>
      </c>
      <c r="F23" s="239">
        <v>27</v>
      </c>
      <c r="G23" s="239">
        <v>22</v>
      </c>
      <c r="H23" s="239">
        <v>3</v>
      </c>
      <c r="I23" s="240">
        <v>16014</v>
      </c>
      <c r="J23" s="241">
        <v>2674</v>
      </c>
      <c r="K23" s="233">
        <v>121.54545454545449</v>
      </c>
      <c r="L23" s="234">
        <v>5.988780852655197</v>
      </c>
      <c r="M23" s="242">
        <v>214209</v>
      </c>
      <c r="N23" s="233">
        <v>24297</v>
      </c>
      <c r="O23" s="68">
        <v>8.816273614026423</v>
      </c>
      <c r="P23" s="76"/>
    </row>
    <row r="24" spans="1:16" s="7" customFormat="1" ht="15">
      <c r="A24" s="248">
        <v>20</v>
      </c>
      <c r="B24" s="260" t="s">
        <v>187</v>
      </c>
      <c r="C24" s="238">
        <v>39339</v>
      </c>
      <c r="D24" s="237" t="s">
        <v>211</v>
      </c>
      <c r="E24" s="237" t="s">
        <v>216</v>
      </c>
      <c r="F24" s="239">
        <v>58</v>
      </c>
      <c r="G24" s="239">
        <v>30</v>
      </c>
      <c r="H24" s="239">
        <v>5</v>
      </c>
      <c r="I24" s="240">
        <v>14634</v>
      </c>
      <c r="J24" s="241">
        <v>2786</v>
      </c>
      <c r="K24" s="233">
        <v>92.86666666666666</v>
      </c>
      <c r="L24" s="234">
        <v>5.252692031586505</v>
      </c>
      <c r="M24" s="242">
        <v>537002</v>
      </c>
      <c r="N24" s="233">
        <v>60935</v>
      </c>
      <c r="O24" s="68">
        <v>8.812702059571677</v>
      </c>
      <c r="P24" s="76"/>
    </row>
    <row r="25" spans="1:16" s="7" customFormat="1" ht="15">
      <c r="A25" s="248">
        <v>21</v>
      </c>
      <c r="B25" s="262" t="s">
        <v>179</v>
      </c>
      <c r="C25" s="228">
        <v>39346</v>
      </c>
      <c r="D25" s="229" t="s">
        <v>210</v>
      </c>
      <c r="E25" s="227" t="s">
        <v>223</v>
      </c>
      <c r="F25" s="230">
        <v>66</v>
      </c>
      <c r="G25" s="230">
        <v>19</v>
      </c>
      <c r="H25" s="230">
        <v>5</v>
      </c>
      <c r="I25" s="231">
        <v>13354</v>
      </c>
      <c r="J25" s="232">
        <v>2380</v>
      </c>
      <c r="K25" s="233">
        <v>125.26315789473679</v>
      </c>
      <c r="L25" s="234">
        <v>5.610924369747897</v>
      </c>
      <c r="M25" s="235">
        <v>423708</v>
      </c>
      <c r="N25" s="236">
        <v>48883</v>
      </c>
      <c r="O25" s="68">
        <v>8.667798621197552</v>
      </c>
      <c r="P25" s="76"/>
    </row>
    <row r="26" spans="1:16" s="7" customFormat="1" ht="15">
      <c r="A26" s="248">
        <v>22</v>
      </c>
      <c r="B26" s="262" t="s">
        <v>157</v>
      </c>
      <c r="C26" s="228">
        <v>39325</v>
      </c>
      <c r="D26" s="229" t="s">
        <v>210</v>
      </c>
      <c r="E26" s="227" t="s">
        <v>223</v>
      </c>
      <c r="F26" s="230">
        <v>66</v>
      </c>
      <c r="G26" s="230">
        <v>20</v>
      </c>
      <c r="H26" s="230">
        <v>8</v>
      </c>
      <c r="I26" s="231">
        <v>10231</v>
      </c>
      <c r="J26" s="232">
        <v>2156</v>
      </c>
      <c r="K26" s="233">
        <v>107.8</v>
      </c>
      <c r="L26" s="234">
        <v>4.745361781076068</v>
      </c>
      <c r="M26" s="235">
        <v>1266274</v>
      </c>
      <c r="N26" s="236">
        <v>155538</v>
      </c>
      <c r="O26" s="68">
        <v>8.14125165554398</v>
      </c>
      <c r="P26" s="76"/>
    </row>
    <row r="27" spans="1:16" s="7" customFormat="1" ht="15">
      <c r="A27" s="248">
        <v>23</v>
      </c>
      <c r="B27" s="260" t="s">
        <v>97</v>
      </c>
      <c r="C27" s="238">
        <v>39353</v>
      </c>
      <c r="D27" s="244" t="s">
        <v>212</v>
      </c>
      <c r="E27" s="237" t="s">
        <v>322</v>
      </c>
      <c r="F27" s="230">
        <v>40</v>
      </c>
      <c r="G27" s="239">
        <v>26</v>
      </c>
      <c r="H27" s="239">
        <v>4</v>
      </c>
      <c r="I27" s="240">
        <v>8087.5</v>
      </c>
      <c r="J27" s="241">
        <v>1611</v>
      </c>
      <c r="K27" s="233">
        <v>61.96153846153845</v>
      </c>
      <c r="L27" s="234">
        <v>5.020173805090006</v>
      </c>
      <c r="M27" s="242">
        <v>124073.5</v>
      </c>
      <c r="N27" s="233">
        <v>15181</v>
      </c>
      <c r="O27" s="68">
        <v>8.172946446215665</v>
      </c>
      <c r="P27" s="76"/>
    </row>
    <row r="28" spans="1:16" s="7" customFormat="1" ht="15">
      <c r="A28" s="248">
        <v>24</v>
      </c>
      <c r="B28" s="262" t="s">
        <v>180</v>
      </c>
      <c r="C28" s="228">
        <v>39346</v>
      </c>
      <c r="D28" s="227" t="s">
        <v>48</v>
      </c>
      <c r="E28" s="227" t="s">
        <v>153</v>
      </c>
      <c r="F28" s="230">
        <v>43</v>
      </c>
      <c r="G28" s="230">
        <v>10</v>
      </c>
      <c r="H28" s="230">
        <v>5</v>
      </c>
      <c r="I28" s="240">
        <v>7721</v>
      </c>
      <c r="J28" s="241">
        <v>1314</v>
      </c>
      <c r="K28" s="233">
        <v>131.4</v>
      </c>
      <c r="L28" s="234">
        <v>5.875951293759512</v>
      </c>
      <c r="M28" s="242">
        <v>114262</v>
      </c>
      <c r="N28" s="233">
        <v>14652</v>
      </c>
      <c r="O28" s="68">
        <v>7.7983892983892975</v>
      </c>
      <c r="P28" s="76"/>
    </row>
    <row r="29" spans="1:16" s="7" customFormat="1" ht="15">
      <c r="A29" s="248">
        <v>25</v>
      </c>
      <c r="B29" s="261" t="s">
        <v>116</v>
      </c>
      <c r="C29" s="228">
        <v>39346</v>
      </c>
      <c r="D29" s="243" t="s">
        <v>324</v>
      </c>
      <c r="E29" s="243" t="s">
        <v>181</v>
      </c>
      <c r="F29" s="245" t="s">
        <v>265</v>
      </c>
      <c r="G29" s="245" t="s">
        <v>155</v>
      </c>
      <c r="H29" s="245" t="s">
        <v>311</v>
      </c>
      <c r="I29" s="231">
        <v>7214</v>
      </c>
      <c r="J29" s="232">
        <v>1581</v>
      </c>
      <c r="K29" s="233">
        <v>60.80769230769229</v>
      </c>
      <c r="L29" s="234">
        <v>4.562934851359896</v>
      </c>
      <c r="M29" s="235">
        <v>85224</v>
      </c>
      <c r="N29" s="236">
        <v>11509</v>
      </c>
      <c r="O29" s="68">
        <v>7.404987401164306</v>
      </c>
      <c r="P29" s="76"/>
    </row>
    <row r="30" spans="1:16" s="7" customFormat="1" ht="15">
      <c r="A30" s="248">
        <v>26</v>
      </c>
      <c r="B30" s="262" t="s">
        <v>163</v>
      </c>
      <c r="C30" s="228">
        <v>39318</v>
      </c>
      <c r="D30" s="229" t="s">
        <v>210</v>
      </c>
      <c r="E30" s="227" t="s">
        <v>215</v>
      </c>
      <c r="F30" s="230">
        <v>59</v>
      </c>
      <c r="G30" s="230">
        <v>13</v>
      </c>
      <c r="H30" s="230">
        <v>9</v>
      </c>
      <c r="I30" s="231">
        <v>6318</v>
      </c>
      <c r="J30" s="232">
        <v>1251</v>
      </c>
      <c r="K30" s="233">
        <v>96.23076923076923</v>
      </c>
      <c r="L30" s="234">
        <v>5.0503597122302155</v>
      </c>
      <c r="M30" s="235">
        <v>1029910</v>
      </c>
      <c r="N30" s="236">
        <v>128670</v>
      </c>
      <c r="O30" s="68">
        <v>8.004274500660605</v>
      </c>
      <c r="P30" s="76"/>
    </row>
    <row r="31" spans="1:16" s="7" customFormat="1" ht="15">
      <c r="A31" s="248">
        <v>27</v>
      </c>
      <c r="B31" s="262" t="s">
        <v>159</v>
      </c>
      <c r="C31" s="228">
        <v>39332</v>
      </c>
      <c r="D31" s="229" t="s">
        <v>210</v>
      </c>
      <c r="E31" s="227" t="s">
        <v>345</v>
      </c>
      <c r="F31" s="230">
        <v>61</v>
      </c>
      <c r="G31" s="230">
        <v>7</v>
      </c>
      <c r="H31" s="230">
        <v>7</v>
      </c>
      <c r="I31" s="231">
        <v>6315</v>
      </c>
      <c r="J31" s="232">
        <v>1468</v>
      </c>
      <c r="K31" s="233">
        <v>209.71428571428567</v>
      </c>
      <c r="L31" s="234">
        <v>4.301771117166211</v>
      </c>
      <c r="M31" s="235">
        <v>1114979</v>
      </c>
      <c r="N31" s="236">
        <v>115563</v>
      </c>
      <c r="O31" s="68">
        <v>9.648235161773231</v>
      </c>
      <c r="P31" s="76"/>
    </row>
    <row r="32" spans="1:16" s="7" customFormat="1" ht="15">
      <c r="A32" s="248">
        <v>28</v>
      </c>
      <c r="B32" s="261" t="s">
        <v>16</v>
      </c>
      <c r="C32" s="238">
        <v>39220</v>
      </c>
      <c r="D32" s="243" t="s">
        <v>298</v>
      </c>
      <c r="E32" s="243" t="s">
        <v>221</v>
      </c>
      <c r="F32" s="247">
        <v>88</v>
      </c>
      <c r="G32" s="246">
        <v>4</v>
      </c>
      <c r="H32" s="247">
        <v>22</v>
      </c>
      <c r="I32" s="231">
        <v>4988</v>
      </c>
      <c r="J32" s="232">
        <v>1247</v>
      </c>
      <c r="K32" s="233">
        <v>311.75</v>
      </c>
      <c r="L32" s="234">
        <v>4</v>
      </c>
      <c r="M32" s="235">
        <v>574927.5</v>
      </c>
      <c r="N32" s="236">
        <v>83779</v>
      </c>
      <c r="O32" s="68">
        <v>6.8624297258262805</v>
      </c>
      <c r="P32" s="76"/>
    </row>
    <row r="33" spans="1:16" s="7" customFormat="1" ht="15">
      <c r="A33" s="248">
        <v>29</v>
      </c>
      <c r="B33" s="260" t="s">
        <v>171</v>
      </c>
      <c r="C33" s="238">
        <v>39339</v>
      </c>
      <c r="D33" s="237" t="s">
        <v>217</v>
      </c>
      <c r="E33" s="237" t="s">
        <v>189</v>
      </c>
      <c r="F33" s="239">
        <v>25</v>
      </c>
      <c r="G33" s="239">
        <v>6</v>
      </c>
      <c r="H33" s="239">
        <v>6</v>
      </c>
      <c r="I33" s="240">
        <v>4746</v>
      </c>
      <c r="J33" s="241">
        <v>622</v>
      </c>
      <c r="K33" s="233">
        <v>103.6666666666667</v>
      </c>
      <c r="L33" s="234">
        <v>7.630225080385852</v>
      </c>
      <c r="M33" s="242">
        <v>270371</v>
      </c>
      <c r="N33" s="233">
        <v>27372</v>
      </c>
      <c r="O33" s="68">
        <v>9.87764869209411</v>
      </c>
      <c r="P33" s="76"/>
    </row>
    <row r="34" spans="1:16" s="7" customFormat="1" ht="15">
      <c r="A34" s="248">
        <v>30</v>
      </c>
      <c r="B34" s="260" t="s">
        <v>158</v>
      </c>
      <c r="C34" s="238">
        <v>39325</v>
      </c>
      <c r="D34" s="244" t="s">
        <v>212</v>
      </c>
      <c r="E34" s="237" t="s">
        <v>219</v>
      </c>
      <c r="F34" s="230">
        <v>41</v>
      </c>
      <c r="G34" s="239">
        <v>10</v>
      </c>
      <c r="H34" s="239">
        <v>8</v>
      </c>
      <c r="I34" s="240">
        <v>4712</v>
      </c>
      <c r="J34" s="241">
        <v>904</v>
      </c>
      <c r="K34" s="233">
        <v>90.4</v>
      </c>
      <c r="L34" s="234">
        <v>5.212389380530975</v>
      </c>
      <c r="M34" s="242">
        <v>421895.5</v>
      </c>
      <c r="N34" s="233">
        <v>57542</v>
      </c>
      <c r="O34" s="68">
        <v>7.331957526676167</v>
      </c>
      <c r="P34" s="76"/>
    </row>
    <row r="35" spans="1:16" s="7" customFormat="1" ht="15">
      <c r="A35" s="248">
        <v>31</v>
      </c>
      <c r="B35" s="260" t="s">
        <v>162</v>
      </c>
      <c r="C35" s="238">
        <v>39332</v>
      </c>
      <c r="D35" s="237" t="s">
        <v>211</v>
      </c>
      <c r="E35" s="237" t="s">
        <v>216</v>
      </c>
      <c r="F35" s="239">
        <v>112</v>
      </c>
      <c r="G35" s="239">
        <v>9</v>
      </c>
      <c r="H35" s="239">
        <v>7</v>
      </c>
      <c r="I35" s="240">
        <v>4072</v>
      </c>
      <c r="J35" s="241">
        <v>854</v>
      </c>
      <c r="K35" s="233">
        <v>94.88888888888886</v>
      </c>
      <c r="L35" s="234">
        <v>4.768149882903981</v>
      </c>
      <c r="M35" s="242">
        <v>1044231</v>
      </c>
      <c r="N35" s="233">
        <v>124273</v>
      </c>
      <c r="O35" s="68">
        <v>8.402718209104151</v>
      </c>
      <c r="P35" s="76"/>
    </row>
    <row r="36" spans="1:16" s="7" customFormat="1" ht="15">
      <c r="A36" s="248">
        <v>32</v>
      </c>
      <c r="B36" s="261" t="s">
        <v>165</v>
      </c>
      <c r="C36" s="238">
        <v>39332</v>
      </c>
      <c r="D36" s="243" t="s">
        <v>298</v>
      </c>
      <c r="E36" s="243" t="s">
        <v>221</v>
      </c>
      <c r="F36" s="247">
        <v>23</v>
      </c>
      <c r="G36" s="246">
        <v>8</v>
      </c>
      <c r="H36" s="247">
        <v>7</v>
      </c>
      <c r="I36" s="231">
        <v>4049</v>
      </c>
      <c r="J36" s="232">
        <v>827</v>
      </c>
      <c r="K36" s="233">
        <v>103.375</v>
      </c>
      <c r="L36" s="234">
        <v>4.8960096735187415</v>
      </c>
      <c r="M36" s="235">
        <v>227153</v>
      </c>
      <c r="N36" s="236">
        <v>24926</v>
      </c>
      <c r="O36" s="68">
        <v>9.113094760491052</v>
      </c>
      <c r="P36" s="76"/>
    </row>
    <row r="37" spans="1:16" s="7" customFormat="1" ht="15">
      <c r="A37" s="248">
        <v>33</v>
      </c>
      <c r="B37" s="262" t="s">
        <v>28</v>
      </c>
      <c r="C37" s="228">
        <v>39304</v>
      </c>
      <c r="D37" s="229" t="s">
        <v>210</v>
      </c>
      <c r="E37" s="227" t="s">
        <v>345</v>
      </c>
      <c r="F37" s="230">
        <v>165</v>
      </c>
      <c r="G37" s="230">
        <v>11</v>
      </c>
      <c r="H37" s="230">
        <v>11</v>
      </c>
      <c r="I37" s="231">
        <v>3567</v>
      </c>
      <c r="J37" s="232">
        <v>680</v>
      </c>
      <c r="K37" s="233">
        <v>61.81818181818183</v>
      </c>
      <c r="L37" s="234">
        <v>5.245588235294117</v>
      </c>
      <c r="M37" s="235">
        <v>5116270</v>
      </c>
      <c r="N37" s="236">
        <v>678894</v>
      </c>
      <c r="O37" s="68">
        <v>7.536183851971</v>
      </c>
      <c r="P37" s="76"/>
    </row>
    <row r="38" spans="1:16" s="7" customFormat="1" ht="15">
      <c r="A38" s="248">
        <v>34</v>
      </c>
      <c r="B38" s="262" t="s">
        <v>52</v>
      </c>
      <c r="C38" s="228">
        <v>39388</v>
      </c>
      <c r="D38" s="229" t="s">
        <v>210</v>
      </c>
      <c r="E38" s="227" t="s">
        <v>215</v>
      </c>
      <c r="F38" s="230">
        <v>4</v>
      </c>
      <c r="G38" s="230">
        <v>1</v>
      </c>
      <c r="H38" s="230">
        <v>0</v>
      </c>
      <c r="I38" s="231">
        <v>2870</v>
      </c>
      <c r="J38" s="232">
        <v>287</v>
      </c>
      <c r="K38" s="233">
        <v>287</v>
      </c>
      <c r="L38" s="234">
        <v>10</v>
      </c>
      <c r="M38" s="235">
        <v>2870</v>
      </c>
      <c r="N38" s="236">
        <v>287</v>
      </c>
      <c r="O38" s="68">
        <v>10</v>
      </c>
      <c r="P38" s="76"/>
    </row>
    <row r="39" spans="1:16" s="7" customFormat="1" ht="15">
      <c r="A39" s="248">
        <v>35</v>
      </c>
      <c r="B39" s="262" t="s">
        <v>169</v>
      </c>
      <c r="C39" s="228">
        <v>39339</v>
      </c>
      <c r="D39" s="229" t="s">
        <v>210</v>
      </c>
      <c r="E39" s="227" t="s">
        <v>345</v>
      </c>
      <c r="F39" s="230">
        <v>45</v>
      </c>
      <c r="G39" s="230">
        <v>7</v>
      </c>
      <c r="H39" s="230">
        <v>6</v>
      </c>
      <c r="I39" s="231">
        <v>2511</v>
      </c>
      <c r="J39" s="232">
        <v>513</v>
      </c>
      <c r="K39" s="233">
        <v>73.28571428571429</v>
      </c>
      <c r="L39" s="234">
        <v>4.894736842105261</v>
      </c>
      <c r="M39" s="235">
        <v>511662</v>
      </c>
      <c r="N39" s="236">
        <v>53690</v>
      </c>
      <c r="O39" s="68">
        <v>9.52993108586329</v>
      </c>
      <c r="P39" s="76"/>
    </row>
    <row r="40" spans="1:16" s="7" customFormat="1" ht="15">
      <c r="A40" s="248">
        <v>36</v>
      </c>
      <c r="B40" s="260" t="s">
        <v>357</v>
      </c>
      <c r="C40" s="238">
        <v>38982</v>
      </c>
      <c r="D40" s="244" t="s">
        <v>212</v>
      </c>
      <c r="E40" s="237" t="s">
        <v>358</v>
      </c>
      <c r="F40" s="230">
        <v>22</v>
      </c>
      <c r="G40" s="239">
        <v>1</v>
      </c>
      <c r="H40" s="239">
        <v>19</v>
      </c>
      <c r="I40" s="240">
        <v>2376</v>
      </c>
      <c r="J40" s="241">
        <v>594</v>
      </c>
      <c r="K40" s="233">
        <v>594</v>
      </c>
      <c r="L40" s="234">
        <v>4</v>
      </c>
      <c r="M40" s="242">
        <v>254510</v>
      </c>
      <c r="N40" s="233">
        <v>34617</v>
      </c>
      <c r="O40" s="68">
        <v>7.352168009937314</v>
      </c>
      <c r="P40" s="76"/>
    </row>
    <row r="41" spans="1:16" s="7" customFormat="1" ht="15">
      <c r="A41" s="248">
        <v>37</v>
      </c>
      <c r="B41" s="260" t="s">
        <v>5</v>
      </c>
      <c r="C41" s="238">
        <v>39206</v>
      </c>
      <c r="D41" s="237" t="s">
        <v>18</v>
      </c>
      <c r="E41" s="237" t="s">
        <v>53</v>
      </c>
      <c r="F41" s="230">
        <v>80</v>
      </c>
      <c r="G41" s="239">
        <v>1</v>
      </c>
      <c r="H41" s="239">
        <v>21</v>
      </c>
      <c r="I41" s="240">
        <v>2376</v>
      </c>
      <c r="J41" s="241">
        <v>338</v>
      </c>
      <c r="K41" s="233">
        <v>338</v>
      </c>
      <c r="L41" s="234">
        <v>7.0295857988165675</v>
      </c>
      <c r="M41" s="242">
        <v>305954.5</v>
      </c>
      <c r="N41" s="233">
        <v>49956</v>
      </c>
      <c r="O41" s="68">
        <v>6.124479541996956</v>
      </c>
      <c r="P41" s="76"/>
    </row>
    <row r="42" spans="1:16" s="7" customFormat="1" ht="15">
      <c r="A42" s="248">
        <v>38</v>
      </c>
      <c r="B42" s="261" t="s">
        <v>156</v>
      </c>
      <c r="C42" s="238">
        <v>39318</v>
      </c>
      <c r="D42" s="243" t="s">
        <v>298</v>
      </c>
      <c r="E42" s="243" t="s">
        <v>257</v>
      </c>
      <c r="F42" s="247">
        <v>8</v>
      </c>
      <c r="G42" s="246">
        <v>8</v>
      </c>
      <c r="H42" s="247">
        <v>9</v>
      </c>
      <c r="I42" s="231">
        <v>2292</v>
      </c>
      <c r="J42" s="232">
        <v>407</v>
      </c>
      <c r="K42" s="233">
        <v>50.875</v>
      </c>
      <c r="L42" s="234">
        <v>5.63144963144963</v>
      </c>
      <c r="M42" s="235">
        <v>127082</v>
      </c>
      <c r="N42" s="236">
        <v>12958</v>
      </c>
      <c r="O42" s="68">
        <v>9.807223336934712</v>
      </c>
      <c r="P42" s="76"/>
    </row>
    <row r="43" spans="1:16" s="7" customFormat="1" ht="15">
      <c r="A43" s="248">
        <v>39</v>
      </c>
      <c r="B43" s="261" t="s">
        <v>100</v>
      </c>
      <c r="C43" s="228">
        <v>39353</v>
      </c>
      <c r="D43" s="243" t="s">
        <v>209</v>
      </c>
      <c r="E43" s="243" t="s">
        <v>209</v>
      </c>
      <c r="F43" s="230">
        <v>1</v>
      </c>
      <c r="G43" s="230">
        <v>1</v>
      </c>
      <c r="H43" s="230">
        <v>4</v>
      </c>
      <c r="I43" s="231">
        <v>2094</v>
      </c>
      <c r="J43" s="232">
        <v>185</v>
      </c>
      <c r="K43" s="233">
        <v>185</v>
      </c>
      <c r="L43" s="234">
        <v>11.31891891891892</v>
      </c>
      <c r="M43" s="235">
        <v>19583</v>
      </c>
      <c r="N43" s="236">
        <v>1461</v>
      </c>
      <c r="O43" s="68">
        <v>13.403832991101993</v>
      </c>
      <c r="P43" s="76"/>
    </row>
    <row r="44" spans="1:16" s="7" customFormat="1" ht="15">
      <c r="A44" s="248">
        <v>40</v>
      </c>
      <c r="B44" s="261" t="s">
        <v>98</v>
      </c>
      <c r="C44" s="238">
        <v>39353</v>
      </c>
      <c r="D44" s="243" t="s">
        <v>298</v>
      </c>
      <c r="E44" s="243" t="s">
        <v>264</v>
      </c>
      <c r="F44" s="247">
        <v>11</v>
      </c>
      <c r="G44" s="246">
        <v>6</v>
      </c>
      <c r="H44" s="247">
        <v>4</v>
      </c>
      <c r="I44" s="231">
        <v>2027</v>
      </c>
      <c r="J44" s="232">
        <v>321</v>
      </c>
      <c r="K44" s="233">
        <v>53.5</v>
      </c>
      <c r="L44" s="234">
        <v>6.314641744548287</v>
      </c>
      <c r="M44" s="235">
        <v>77707.5</v>
      </c>
      <c r="N44" s="236">
        <v>6721</v>
      </c>
      <c r="O44" s="68">
        <v>11.561895551257251</v>
      </c>
      <c r="P44" s="76"/>
    </row>
    <row r="45" spans="1:16" s="7" customFormat="1" ht="15">
      <c r="A45" s="248">
        <v>41</v>
      </c>
      <c r="B45" s="260" t="s">
        <v>233</v>
      </c>
      <c r="C45" s="238">
        <v>39276</v>
      </c>
      <c r="D45" s="244" t="s">
        <v>212</v>
      </c>
      <c r="E45" s="237" t="s">
        <v>213</v>
      </c>
      <c r="F45" s="230">
        <v>40</v>
      </c>
      <c r="G45" s="239">
        <v>4</v>
      </c>
      <c r="H45" s="239">
        <v>15</v>
      </c>
      <c r="I45" s="240">
        <v>1901</v>
      </c>
      <c r="J45" s="241">
        <v>730</v>
      </c>
      <c r="K45" s="233">
        <v>182.5</v>
      </c>
      <c r="L45" s="234">
        <v>2.6041095890410966</v>
      </c>
      <c r="M45" s="242">
        <v>821717</v>
      </c>
      <c r="N45" s="233">
        <v>102979</v>
      </c>
      <c r="O45" s="68">
        <v>7.979461832024006</v>
      </c>
      <c r="P45" s="76"/>
    </row>
    <row r="46" spans="1:16" s="7" customFormat="1" ht="15">
      <c r="A46" s="248">
        <v>42</v>
      </c>
      <c r="B46" s="261" t="s">
        <v>54</v>
      </c>
      <c r="C46" s="228">
        <v>39269</v>
      </c>
      <c r="D46" s="243" t="s">
        <v>225</v>
      </c>
      <c r="E46" s="243" t="s">
        <v>225</v>
      </c>
      <c r="F46" s="245" t="s">
        <v>314</v>
      </c>
      <c r="G46" s="245" t="s">
        <v>311</v>
      </c>
      <c r="H46" s="245" t="s">
        <v>6</v>
      </c>
      <c r="I46" s="231">
        <v>1868</v>
      </c>
      <c r="J46" s="232">
        <v>342</v>
      </c>
      <c r="K46" s="233">
        <v>68.4</v>
      </c>
      <c r="L46" s="234">
        <v>5.461988304093568</v>
      </c>
      <c r="M46" s="235">
        <v>194947.19</v>
      </c>
      <c r="N46" s="236">
        <v>28869</v>
      </c>
      <c r="O46" s="68">
        <v>6.752821019086216</v>
      </c>
      <c r="P46" s="76"/>
    </row>
    <row r="47" spans="1:16" s="7" customFormat="1" ht="15">
      <c r="A47" s="248">
        <v>43</v>
      </c>
      <c r="B47" s="262" t="s">
        <v>325</v>
      </c>
      <c r="C47" s="228">
        <v>39297</v>
      </c>
      <c r="D47" s="229" t="s">
        <v>210</v>
      </c>
      <c r="E47" s="227" t="s">
        <v>215</v>
      </c>
      <c r="F47" s="230">
        <v>51</v>
      </c>
      <c r="G47" s="230">
        <v>7</v>
      </c>
      <c r="H47" s="230">
        <v>12</v>
      </c>
      <c r="I47" s="231">
        <v>1771</v>
      </c>
      <c r="J47" s="232">
        <v>309</v>
      </c>
      <c r="K47" s="233">
        <v>44.142857142857146</v>
      </c>
      <c r="L47" s="234">
        <v>5.731391585760519</v>
      </c>
      <c r="M47" s="235">
        <v>705097</v>
      </c>
      <c r="N47" s="236">
        <v>87914</v>
      </c>
      <c r="O47" s="68">
        <v>8.02030393338945</v>
      </c>
      <c r="P47" s="76"/>
    </row>
    <row r="48" spans="1:16" s="7" customFormat="1" ht="15">
      <c r="A48" s="248">
        <v>44</v>
      </c>
      <c r="B48" s="260" t="s">
        <v>39</v>
      </c>
      <c r="C48" s="238">
        <v>39248</v>
      </c>
      <c r="D48" s="237" t="s">
        <v>211</v>
      </c>
      <c r="E48" s="237" t="s">
        <v>55</v>
      </c>
      <c r="F48" s="239">
        <v>160</v>
      </c>
      <c r="G48" s="239">
        <v>5</v>
      </c>
      <c r="H48" s="239">
        <v>19</v>
      </c>
      <c r="I48" s="240">
        <v>1703</v>
      </c>
      <c r="J48" s="241">
        <v>434</v>
      </c>
      <c r="K48" s="233">
        <v>86.8</v>
      </c>
      <c r="L48" s="234">
        <v>3.923963133640553</v>
      </c>
      <c r="M48" s="242">
        <v>4872258</v>
      </c>
      <c r="N48" s="233">
        <v>660171</v>
      </c>
      <c r="O48" s="68">
        <v>7.380296923069932</v>
      </c>
      <c r="P48" s="76"/>
    </row>
    <row r="49" spans="1:16" s="7" customFormat="1" ht="15">
      <c r="A49" s="248">
        <v>45</v>
      </c>
      <c r="B49" s="262" t="s">
        <v>333</v>
      </c>
      <c r="C49" s="228">
        <v>39010</v>
      </c>
      <c r="D49" s="227" t="s">
        <v>220</v>
      </c>
      <c r="E49" s="227" t="s">
        <v>323</v>
      </c>
      <c r="F49" s="230">
        <v>1</v>
      </c>
      <c r="G49" s="230">
        <v>1</v>
      </c>
      <c r="H49" s="230">
        <v>12</v>
      </c>
      <c r="I49" s="231">
        <v>1699</v>
      </c>
      <c r="J49" s="232">
        <v>308</v>
      </c>
      <c r="K49" s="233">
        <v>308</v>
      </c>
      <c r="L49" s="234">
        <v>5.516233766233766</v>
      </c>
      <c r="M49" s="235">
        <v>32002</v>
      </c>
      <c r="N49" s="236">
        <v>5334</v>
      </c>
      <c r="O49" s="68">
        <v>5.999625046869141</v>
      </c>
      <c r="P49" s="76"/>
    </row>
    <row r="50" spans="1:16" s="7" customFormat="1" ht="15">
      <c r="A50" s="248">
        <v>46</v>
      </c>
      <c r="B50" s="260" t="s">
        <v>99</v>
      </c>
      <c r="C50" s="238">
        <v>39353</v>
      </c>
      <c r="D50" s="237" t="s">
        <v>217</v>
      </c>
      <c r="E50" s="237" t="s">
        <v>56</v>
      </c>
      <c r="F50" s="239">
        <v>10</v>
      </c>
      <c r="G50" s="239">
        <v>4</v>
      </c>
      <c r="H50" s="239">
        <v>4</v>
      </c>
      <c r="I50" s="240">
        <v>1662</v>
      </c>
      <c r="J50" s="241">
        <v>224</v>
      </c>
      <c r="K50" s="233">
        <v>56</v>
      </c>
      <c r="L50" s="234">
        <v>7.419642857142857</v>
      </c>
      <c r="M50" s="242">
        <v>51380</v>
      </c>
      <c r="N50" s="233">
        <v>4973</v>
      </c>
      <c r="O50" s="68">
        <v>10.331791675045242</v>
      </c>
      <c r="P50" s="76"/>
    </row>
    <row r="51" spans="1:16" s="7" customFormat="1" ht="15">
      <c r="A51" s="248">
        <v>47</v>
      </c>
      <c r="B51" s="260" t="s">
        <v>170</v>
      </c>
      <c r="C51" s="238">
        <v>39339</v>
      </c>
      <c r="D51" s="237" t="s">
        <v>211</v>
      </c>
      <c r="E51" s="237" t="s">
        <v>57</v>
      </c>
      <c r="F51" s="239">
        <v>71</v>
      </c>
      <c r="G51" s="239">
        <v>3</v>
      </c>
      <c r="H51" s="239">
        <v>6</v>
      </c>
      <c r="I51" s="240">
        <v>1348</v>
      </c>
      <c r="J51" s="241">
        <v>252</v>
      </c>
      <c r="K51" s="233">
        <v>84</v>
      </c>
      <c r="L51" s="234">
        <v>5.349206349206349</v>
      </c>
      <c r="M51" s="242">
        <v>503131</v>
      </c>
      <c r="N51" s="233">
        <v>54463</v>
      </c>
      <c r="O51" s="68">
        <v>9.238033160127056</v>
      </c>
      <c r="P51" s="76"/>
    </row>
    <row r="52" spans="1:16" s="7" customFormat="1" ht="15">
      <c r="A52" s="248">
        <v>48</v>
      </c>
      <c r="B52" s="260" t="s">
        <v>33</v>
      </c>
      <c r="C52" s="238">
        <v>39311</v>
      </c>
      <c r="D52" s="244" t="s">
        <v>212</v>
      </c>
      <c r="E52" s="237" t="s">
        <v>213</v>
      </c>
      <c r="F52" s="230">
        <v>51</v>
      </c>
      <c r="G52" s="239">
        <v>4</v>
      </c>
      <c r="H52" s="239">
        <v>10</v>
      </c>
      <c r="I52" s="240">
        <v>893</v>
      </c>
      <c r="J52" s="241">
        <v>199</v>
      </c>
      <c r="K52" s="233">
        <v>49.75</v>
      </c>
      <c r="L52" s="234">
        <v>4.487437185929649</v>
      </c>
      <c r="M52" s="242">
        <v>711387</v>
      </c>
      <c r="N52" s="233">
        <v>92829</v>
      </c>
      <c r="O52" s="68">
        <v>7.663413372976117</v>
      </c>
      <c r="P52" s="76"/>
    </row>
    <row r="53" spans="1:16" s="7" customFormat="1" ht="15">
      <c r="A53" s="248">
        <v>49</v>
      </c>
      <c r="B53" s="261" t="s">
        <v>166</v>
      </c>
      <c r="C53" s="238">
        <v>39332</v>
      </c>
      <c r="D53" s="243" t="s">
        <v>298</v>
      </c>
      <c r="E53" s="243" t="s">
        <v>264</v>
      </c>
      <c r="F53" s="247">
        <v>2</v>
      </c>
      <c r="G53" s="246">
        <v>1</v>
      </c>
      <c r="H53" s="247">
        <v>7</v>
      </c>
      <c r="I53" s="231">
        <v>892</v>
      </c>
      <c r="J53" s="232">
        <v>223</v>
      </c>
      <c r="K53" s="233">
        <v>223</v>
      </c>
      <c r="L53" s="234">
        <v>4</v>
      </c>
      <c r="M53" s="235">
        <v>17331</v>
      </c>
      <c r="N53" s="236">
        <v>2342</v>
      </c>
      <c r="O53" s="68">
        <v>7.400085397096498</v>
      </c>
      <c r="P53" s="76"/>
    </row>
    <row r="54" spans="1:16" s="7" customFormat="1" ht="15">
      <c r="A54" s="248">
        <v>50</v>
      </c>
      <c r="B54" s="260" t="s">
        <v>72</v>
      </c>
      <c r="C54" s="238">
        <v>39269</v>
      </c>
      <c r="D54" s="237" t="s">
        <v>211</v>
      </c>
      <c r="E54" s="237" t="s">
        <v>218</v>
      </c>
      <c r="F54" s="239">
        <v>156</v>
      </c>
      <c r="G54" s="239">
        <v>2</v>
      </c>
      <c r="H54" s="239">
        <v>16</v>
      </c>
      <c r="I54" s="240">
        <v>858</v>
      </c>
      <c r="J54" s="241">
        <v>185</v>
      </c>
      <c r="K54" s="233">
        <v>92.5</v>
      </c>
      <c r="L54" s="234">
        <v>4.637837837837836</v>
      </c>
      <c r="M54" s="242">
        <v>3227349</v>
      </c>
      <c r="N54" s="233">
        <v>409001</v>
      </c>
      <c r="O54" s="68">
        <v>7.89080955792284</v>
      </c>
      <c r="P54" s="76"/>
    </row>
    <row r="55" spans="1:16" s="7" customFormat="1" ht="15">
      <c r="A55" s="248">
        <v>51</v>
      </c>
      <c r="B55" s="261" t="s">
        <v>245</v>
      </c>
      <c r="C55" s="238">
        <v>39290</v>
      </c>
      <c r="D55" s="243" t="s">
        <v>298</v>
      </c>
      <c r="E55" s="243" t="s">
        <v>68</v>
      </c>
      <c r="F55" s="247">
        <v>10</v>
      </c>
      <c r="G55" s="246">
        <v>4</v>
      </c>
      <c r="H55" s="247">
        <v>13</v>
      </c>
      <c r="I55" s="231">
        <v>664</v>
      </c>
      <c r="J55" s="232">
        <v>155</v>
      </c>
      <c r="K55" s="233">
        <v>38.75</v>
      </c>
      <c r="L55" s="234">
        <v>4.283870967741936</v>
      </c>
      <c r="M55" s="235">
        <v>89387</v>
      </c>
      <c r="N55" s="236">
        <v>11715</v>
      </c>
      <c r="O55" s="68">
        <v>7.630132309005548</v>
      </c>
      <c r="P55" s="76"/>
    </row>
    <row r="56" spans="1:16" s="7" customFormat="1" ht="15">
      <c r="A56" s="248">
        <v>52</v>
      </c>
      <c r="B56" s="262" t="s">
        <v>17</v>
      </c>
      <c r="C56" s="228">
        <v>39220</v>
      </c>
      <c r="D56" s="229" t="s">
        <v>210</v>
      </c>
      <c r="E56" s="227" t="s">
        <v>345</v>
      </c>
      <c r="F56" s="230">
        <v>28</v>
      </c>
      <c r="G56" s="230">
        <v>1</v>
      </c>
      <c r="H56" s="230">
        <v>14</v>
      </c>
      <c r="I56" s="231">
        <v>595</v>
      </c>
      <c r="J56" s="232">
        <v>128</v>
      </c>
      <c r="K56" s="233">
        <v>128</v>
      </c>
      <c r="L56" s="234">
        <v>4.6484375</v>
      </c>
      <c r="M56" s="235">
        <v>434868</v>
      </c>
      <c r="N56" s="236">
        <v>47954</v>
      </c>
      <c r="O56" s="68">
        <v>9.068440588897696</v>
      </c>
      <c r="P56" s="76"/>
    </row>
    <row r="57" spans="1:16" s="7" customFormat="1" ht="15">
      <c r="A57" s="248">
        <v>53</v>
      </c>
      <c r="B57" s="261" t="s">
        <v>330</v>
      </c>
      <c r="C57" s="228">
        <v>39297</v>
      </c>
      <c r="D57" s="243" t="s">
        <v>225</v>
      </c>
      <c r="E57" s="243" t="s">
        <v>146</v>
      </c>
      <c r="F57" s="245" t="s">
        <v>311</v>
      </c>
      <c r="G57" s="245" t="s">
        <v>321</v>
      </c>
      <c r="H57" s="245" t="s">
        <v>168</v>
      </c>
      <c r="I57" s="231">
        <v>562.5</v>
      </c>
      <c r="J57" s="232">
        <v>183</v>
      </c>
      <c r="K57" s="233">
        <v>91.5</v>
      </c>
      <c r="L57" s="234">
        <v>3.0737704918032787</v>
      </c>
      <c r="M57" s="235">
        <v>162341.57</v>
      </c>
      <c r="N57" s="236">
        <v>16440</v>
      </c>
      <c r="O57" s="68">
        <v>9.874791362530415</v>
      </c>
      <c r="P57" s="76"/>
    </row>
    <row r="58" spans="1:16" s="7" customFormat="1" ht="15">
      <c r="A58" s="248">
        <v>54</v>
      </c>
      <c r="B58" s="260" t="s">
        <v>190</v>
      </c>
      <c r="C58" s="238">
        <v>38779</v>
      </c>
      <c r="D58" s="237" t="s">
        <v>211</v>
      </c>
      <c r="E58" s="237" t="s">
        <v>214</v>
      </c>
      <c r="F58" s="239">
        <v>72</v>
      </c>
      <c r="G58" s="239">
        <v>1</v>
      </c>
      <c r="H58" s="239">
        <v>86</v>
      </c>
      <c r="I58" s="240">
        <v>476</v>
      </c>
      <c r="J58" s="241">
        <v>68</v>
      </c>
      <c r="K58" s="233">
        <v>68</v>
      </c>
      <c r="L58" s="234">
        <v>7</v>
      </c>
      <c r="M58" s="242">
        <v>977671</v>
      </c>
      <c r="N58" s="233">
        <v>145903</v>
      </c>
      <c r="O58" s="68">
        <v>6.7008286327217395</v>
      </c>
      <c r="P58" s="76"/>
    </row>
    <row r="59" spans="1:16" s="7" customFormat="1" ht="15">
      <c r="A59" s="248">
        <v>55</v>
      </c>
      <c r="B59" s="261" t="s">
        <v>174</v>
      </c>
      <c r="C59" s="228">
        <v>39339</v>
      </c>
      <c r="D59" s="243" t="s">
        <v>225</v>
      </c>
      <c r="E59" s="243" t="s">
        <v>146</v>
      </c>
      <c r="F59" s="245" t="s">
        <v>268</v>
      </c>
      <c r="G59" s="245" t="s">
        <v>321</v>
      </c>
      <c r="H59" s="245" t="s">
        <v>185</v>
      </c>
      <c r="I59" s="231">
        <v>358</v>
      </c>
      <c r="J59" s="232">
        <v>73</v>
      </c>
      <c r="K59" s="233">
        <v>36.5</v>
      </c>
      <c r="L59" s="234">
        <v>4.904109589041096</v>
      </c>
      <c r="M59" s="235">
        <v>21617</v>
      </c>
      <c r="N59" s="236">
        <v>2354</v>
      </c>
      <c r="O59" s="68">
        <v>9.183092608326255</v>
      </c>
      <c r="P59" s="76"/>
    </row>
    <row r="60" spans="1:16" s="7" customFormat="1" ht="15">
      <c r="A60" s="248">
        <v>56</v>
      </c>
      <c r="B60" s="262" t="s">
        <v>164</v>
      </c>
      <c r="C60" s="228">
        <v>39332</v>
      </c>
      <c r="D60" s="229" t="s">
        <v>210</v>
      </c>
      <c r="E60" s="227" t="s">
        <v>223</v>
      </c>
      <c r="F60" s="230">
        <v>58</v>
      </c>
      <c r="G60" s="230">
        <v>1</v>
      </c>
      <c r="H60" s="230">
        <v>7</v>
      </c>
      <c r="I60" s="231">
        <v>353</v>
      </c>
      <c r="J60" s="232">
        <v>47</v>
      </c>
      <c r="K60" s="233">
        <v>47</v>
      </c>
      <c r="L60" s="234">
        <v>7.51063829787234</v>
      </c>
      <c r="M60" s="235">
        <v>252817</v>
      </c>
      <c r="N60" s="236">
        <v>31367</v>
      </c>
      <c r="O60" s="68">
        <v>8.059967481748334</v>
      </c>
      <c r="P60" s="76"/>
    </row>
    <row r="61" spans="1:16" s="7" customFormat="1" ht="15">
      <c r="A61" s="248">
        <v>57</v>
      </c>
      <c r="B61" s="260" t="s">
        <v>316</v>
      </c>
      <c r="C61" s="238">
        <v>39164</v>
      </c>
      <c r="D61" s="244" t="s">
        <v>212</v>
      </c>
      <c r="E61" s="237" t="s">
        <v>202</v>
      </c>
      <c r="F61" s="230">
        <v>40</v>
      </c>
      <c r="G61" s="239">
        <v>1</v>
      </c>
      <c r="H61" s="239">
        <v>21</v>
      </c>
      <c r="I61" s="240">
        <v>346</v>
      </c>
      <c r="J61" s="241">
        <v>86</v>
      </c>
      <c r="K61" s="233">
        <v>86</v>
      </c>
      <c r="L61" s="234">
        <v>4.0232558139534875</v>
      </c>
      <c r="M61" s="242">
        <v>1336993.5</v>
      </c>
      <c r="N61" s="233">
        <v>164845</v>
      </c>
      <c r="O61" s="68">
        <v>8.11060996693864</v>
      </c>
      <c r="P61" s="76"/>
    </row>
    <row r="62" spans="1:16" s="7" customFormat="1" ht="15">
      <c r="A62" s="248">
        <v>58</v>
      </c>
      <c r="B62" s="262" t="s">
        <v>37</v>
      </c>
      <c r="C62" s="228">
        <v>39318</v>
      </c>
      <c r="D62" s="227" t="s">
        <v>48</v>
      </c>
      <c r="E62" s="227" t="s">
        <v>38</v>
      </c>
      <c r="F62" s="230">
        <v>56</v>
      </c>
      <c r="G62" s="230">
        <v>1</v>
      </c>
      <c r="H62" s="230">
        <v>9</v>
      </c>
      <c r="I62" s="240">
        <v>258</v>
      </c>
      <c r="J62" s="241">
        <v>59</v>
      </c>
      <c r="K62" s="233">
        <v>59</v>
      </c>
      <c r="L62" s="234">
        <v>4.372881355932202</v>
      </c>
      <c r="M62" s="242">
        <v>309288.5</v>
      </c>
      <c r="N62" s="233">
        <v>38655</v>
      </c>
      <c r="O62" s="68">
        <v>8.001254688914758</v>
      </c>
      <c r="P62" s="76"/>
    </row>
    <row r="63" spans="1:16" s="7" customFormat="1" ht="15">
      <c r="A63" s="248">
        <v>59</v>
      </c>
      <c r="B63" s="261" t="s">
        <v>241</v>
      </c>
      <c r="C63" s="238">
        <v>39283</v>
      </c>
      <c r="D63" s="243" t="s">
        <v>298</v>
      </c>
      <c r="E63" s="243" t="s">
        <v>257</v>
      </c>
      <c r="F63" s="247">
        <v>30</v>
      </c>
      <c r="G63" s="246">
        <v>2</v>
      </c>
      <c r="H63" s="247">
        <v>13</v>
      </c>
      <c r="I63" s="231">
        <v>234</v>
      </c>
      <c r="J63" s="232">
        <v>36</v>
      </c>
      <c r="K63" s="233">
        <v>18</v>
      </c>
      <c r="L63" s="234">
        <v>6.5</v>
      </c>
      <c r="M63" s="235">
        <v>114922.5</v>
      </c>
      <c r="N63" s="236">
        <v>17323</v>
      </c>
      <c r="O63" s="68">
        <v>6.63409917450788</v>
      </c>
      <c r="P63" s="76"/>
    </row>
    <row r="64" spans="1:16" s="7" customFormat="1" ht="15">
      <c r="A64" s="248">
        <v>60</v>
      </c>
      <c r="B64" s="260" t="s">
        <v>0</v>
      </c>
      <c r="C64" s="238">
        <v>39297</v>
      </c>
      <c r="D64" s="237" t="s">
        <v>217</v>
      </c>
      <c r="E64" s="237" t="s">
        <v>1</v>
      </c>
      <c r="F64" s="239">
        <v>10</v>
      </c>
      <c r="G64" s="239">
        <v>1</v>
      </c>
      <c r="H64" s="239">
        <v>10</v>
      </c>
      <c r="I64" s="240">
        <v>211</v>
      </c>
      <c r="J64" s="241">
        <v>28</v>
      </c>
      <c r="K64" s="233">
        <v>28</v>
      </c>
      <c r="L64" s="234">
        <v>7.535714285714286</v>
      </c>
      <c r="M64" s="242">
        <v>67638</v>
      </c>
      <c r="N64" s="233">
        <v>6956</v>
      </c>
      <c r="O64" s="68">
        <v>9.723691776883266</v>
      </c>
      <c r="P64" s="76"/>
    </row>
    <row r="65" spans="1:16" s="7" customFormat="1" ht="15">
      <c r="A65" s="248">
        <v>61</v>
      </c>
      <c r="B65" s="261" t="s">
        <v>67</v>
      </c>
      <c r="C65" s="238">
        <v>39262</v>
      </c>
      <c r="D65" s="243" t="s">
        <v>298</v>
      </c>
      <c r="E65" s="243" t="s">
        <v>68</v>
      </c>
      <c r="F65" s="247">
        <v>21</v>
      </c>
      <c r="G65" s="246">
        <v>1</v>
      </c>
      <c r="H65" s="247">
        <v>16</v>
      </c>
      <c r="I65" s="240">
        <v>209.5</v>
      </c>
      <c r="J65" s="241">
        <v>52</v>
      </c>
      <c r="K65" s="233">
        <v>52</v>
      </c>
      <c r="L65" s="234">
        <v>4.028846153846154</v>
      </c>
      <c r="M65" s="235">
        <v>189703.9</v>
      </c>
      <c r="N65" s="236">
        <v>28428</v>
      </c>
      <c r="O65" s="68">
        <v>6.673135640917404</v>
      </c>
      <c r="P65" s="76"/>
    </row>
    <row r="66" spans="1:16" s="7" customFormat="1" ht="15">
      <c r="A66" s="248">
        <v>62</v>
      </c>
      <c r="B66" s="260" t="s">
        <v>283</v>
      </c>
      <c r="C66" s="238">
        <v>39185</v>
      </c>
      <c r="D66" s="244" t="s">
        <v>212</v>
      </c>
      <c r="E66" s="237" t="s">
        <v>219</v>
      </c>
      <c r="F66" s="230">
        <v>32</v>
      </c>
      <c r="G66" s="239">
        <v>1</v>
      </c>
      <c r="H66" s="239">
        <v>18</v>
      </c>
      <c r="I66" s="240">
        <v>201</v>
      </c>
      <c r="J66" s="241">
        <v>67</v>
      </c>
      <c r="K66" s="233">
        <v>67</v>
      </c>
      <c r="L66" s="234">
        <v>3</v>
      </c>
      <c r="M66" s="242">
        <v>214095</v>
      </c>
      <c r="N66" s="233">
        <v>26595</v>
      </c>
      <c r="O66" s="68">
        <v>8.050197405527355</v>
      </c>
      <c r="P66" s="76"/>
    </row>
    <row r="67" spans="1:16" s="7" customFormat="1" ht="15">
      <c r="A67" s="248">
        <v>63</v>
      </c>
      <c r="B67" s="260" t="s">
        <v>2</v>
      </c>
      <c r="C67" s="228">
        <v>38758</v>
      </c>
      <c r="D67" s="237" t="s">
        <v>220</v>
      </c>
      <c r="E67" s="237" t="s">
        <v>3</v>
      </c>
      <c r="F67" s="230">
        <v>4</v>
      </c>
      <c r="G67" s="230">
        <v>1</v>
      </c>
      <c r="H67" s="230">
        <v>11</v>
      </c>
      <c r="I67" s="240">
        <v>175</v>
      </c>
      <c r="J67" s="232">
        <v>32</v>
      </c>
      <c r="K67" s="233">
        <v>32</v>
      </c>
      <c r="L67" s="234">
        <v>5.46875</v>
      </c>
      <c r="M67" s="242">
        <v>6318</v>
      </c>
      <c r="N67" s="233">
        <v>1008</v>
      </c>
      <c r="O67" s="68">
        <v>6.267857142857142</v>
      </c>
      <c r="P67" s="76"/>
    </row>
    <row r="68" spans="1:16" s="7" customFormat="1" ht="15">
      <c r="A68" s="248">
        <v>64</v>
      </c>
      <c r="B68" s="260" t="s">
        <v>64</v>
      </c>
      <c r="C68" s="238">
        <v>39262</v>
      </c>
      <c r="D68" s="244" t="s">
        <v>212</v>
      </c>
      <c r="E68" s="237" t="s">
        <v>213</v>
      </c>
      <c r="F68" s="230">
        <v>78</v>
      </c>
      <c r="G68" s="239">
        <v>1</v>
      </c>
      <c r="H68" s="239">
        <v>17</v>
      </c>
      <c r="I68" s="240">
        <v>123</v>
      </c>
      <c r="J68" s="241">
        <v>30</v>
      </c>
      <c r="K68" s="233">
        <v>30</v>
      </c>
      <c r="L68" s="234">
        <v>4.1</v>
      </c>
      <c r="M68" s="242">
        <v>1779589</v>
      </c>
      <c r="N68" s="233">
        <v>227630</v>
      </c>
      <c r="O68" s="68">
        <v>7.817901858278784</v>
      </c>
      <c r="P68" s="76"/>
    </row>
    <row r="69" spans="1:16" s="7" customFormat="1" ht="15">
      <c r="A69" s="248">
        <v>65</v>
      </c>
      <c r="B69" s="262" t="s">
        <v>141</v>
      </c>
      <c r="C69" s="238">
        <v>39199</v>
      </c>
      <c r="D69" s="237" t="s">
        <v>217</v>
      </c>
      <c r="E69" s="237" t="s">
        <v>218</v>
      </c>
      <c r="F69" s="239">
        <v>82</v>
      </c>
      <c r="G69" s="239">
        <v>1</v>
      </c>
      <c r="H69" s="239">
        <v>23</v>
      </c>
      <c r="I69" s="240">
        <v>110</v>
      </c>
      <c r="J69" s="241">
        <v>17</v>
      </c>
      <c r="K69" s="233">
        <v>17</v>
      </c>
      <c r="L69" s="234">
        <v>6.470588235294118</v>
      </c>
      <c r="M69" s="242">
        <v>1340812</v>
      </c>
      <c r="N69" s="233">
        <v>163425</v>
      </c>
      <c r="O69" s="68">
        <v>8.20444852378767</v>
      </c>
      <c r="P69" s="76"/>
    </row>
    <row r="70" spans="1:16" s="7" customFormat="1" ht="15">
      <c r="A70" s="248">
        <v>66</v>
      </c>
      <c r="B70" s="261" t="s">
        <v>289</v>
      </c>
      <c r="C70" s="228">
        <v>39206</v>
      </c>
      <c r="D70" s="243" t="s">
        <v>225</v>
      </c>
      <c r="E70" s="243" t="s">
        <v>4</v>
      </c>
      <c r="F70" s="245" t="s">
        <v>311</v>
      </c>
      <c r="G70" s="245" t="s">
        <v>297</v>
      </c>
      <c r="H70" s="245" t="s">
        <v>63</v>
      </c>
      <c r="I70" s="231">
        <v>95</v>
      </c>
      <c r="J70" s="232">
        <v>38</v>
      </c>
      <c r="K70" s="233">
        <v>38</v>
      </c>
      <c r="L70" s="234">
        <v>2.5</v>
      </c>
      <c r="M70" s="235">
        <v>26045.11</v>
      </c>
      <c r="N70" s="236">
        <v>3462</v>
      </c>
      <c r="O70" s="68">
        <v>7.523139803581745</v>
      </c>
      <c r="P70" s="76"/>
    </row>
    <row r="71" spans="1:16" s="7" customFormat="1" ht="15">
      <c r="A71" s="248">
        <v>67</v>
      </c>
      <c r="B71" s="260" t="s">
        <v>237</v>
      </c>
      <c r="C71" s="238">
        <v>39283</v>
      </c>
      <c r="D71" s="237" t="s">
        <v>18</v>
      </c>
      <c r="E71" s="237" t="s">
        <v>317</v>
      </c>
      <c r="F71" s="239">
        <v>27</v>
      </c>
      <c r="G71" s="239">
        <v>1</v>
      </c>
      <c r="H71" s="239">
        <v>14</v>
      </c>
      <c r="I71" s="240">
        <v>80</v>
      </c>
      <c r="J71" s="241">
        <v>16</v>
      </c>
      <c r="K71" s="233">
        <v>16</v>
      </c>
      <c r="L71" s="234">
        <v>5</v>
      </c>
      <c r="M71" s="242">
        <v>195847</v>
      </c>
      <c r="N71" s="233">
        <v>27275</v>
      </c>
      <c r="O71" s="68">
        <v>7.1804582951420715</v>
      </c>
      <c r="P71" s="76"/>
    </row>
    <row r="72" spans="1:16" s="7" customFormat="1" ht="15">
      <c r="A72" s="248">
        <v>68</v>
      </c>
      <c r="B72" s="262" t="s">
        <v>291</v>
      </c>
      <c r="C72" s="228">
        <v>39241</v>
      </c>
      <c r="D72" s="229" t="s">
        <v>210</v>
      </c>
      <c r="E72" s="227" t="s">
        <v>345</v>
      </c>
      <c r="F72" s="230">
        <v>114</v>
      </c>
      <c r="G72" s="230">
        <v>1</v>
      </c>
      <c r="H72" s="230">
        <v>20</v>
      </c>
      <c r="I72" s="231">
        <v>63</v>
      </c>
      <c r="J72" s="232">
        <v>9</v>
      </c>
      <c r="K72" s="233">
        <v>9</v>
      </c>
      <c r="L72" s="234">
        <v>7</v>
      </c>
      <c r="M72" s="235">
        <v>2907275</v>
      </c>
      <c r="N72" s="236">
        <v>340425</v>
      </c>
      <c r="O72" s="68">
        <v>8.540133656458838</v>
      </c>
      <c r="P72" s="76"/>
    </row>
    <row r="73" spans="1:16" s="7" customFormat="1" ht="15">
      <c r="A73" s="248">
        <v>69</v>
      </c>
      <c r="B73" s="261" t="s">
        <v>183</v>
      </c>
      <c r="C73" s="228">
        <v>39346</v>
      </c>
      <c r="D73" s="243" t="s">
        <v>324</v>
      </c>
      <c r="E73" s="243" t="s">
        <v>184</v>
      </c>
      <c r="F73" s="245" t="s">
        <v>63</v>
      </c>
      <c r="G73" s="245" t="s">
        <v>297</v>
      </c>
      <c r="H73" s="245" t="s">
        <v>311</v>
      </c>
      <c r="I73" s="231">
        <v>45</v>
      </c>
      <c r="J73" s="232">
        <v>9</v>
      </c>
      <c r="K73" s="233">
        <v>9</v>
      </c>
      <c r="L73" s="234">
        <v>5</v>
      </c>
      <c r="M73" s="235">
        <v>9956</v>
      </c>
      <c r="N73" s="236">
        <v>1252</v>
      </c>
      <c r="O73" s="68">
        <v>7.952076677316293</v>
      </c>
      <c r="P73" s="76"/>
    </row>
    <row r="74" spans="1:16" s="7" customFormat="1" ht="15">
      <c r="A74" s="248">
        <v>70</v>
      </c>
      <c r="B74" s="260" t="s">
        <v>32</v>
      </c>
      <c r="C74" s="238">
        <v>39311</v>
      </c>
      <c r="D74" s="237" t="s">
        <v>211</v>
      </c>
      <c r="E74" s="237" t="s">
        <v>211</v>
      </c>
      <c r="F74" s="239">
        <v>84</v>
      </c>
      <c r="G74" s="239">
        <v>1</v>
      </c>
      <c r="H74" s="239">
        <v>10</v>
      </c>
      <c r="I74" s="240">
        <v>20</v>
      </c>
      <c r="J74" s="241">
        <v>4</v>
      </c>
      <c r="K74" s="233">
        <v>4</v>
      </c>
      <c r="L74" s="234">
        <v>5</v>
      </c>
      <c r="M74" s="242">
        <v>775354</v>
      </c>
      <c r="N74" s="233">
        <v>92830</v>
      </c>
      <c r="O74" s="68">
        <v>8.352407626844773</v>
      </c>
      <c r="P74" s="76"/>
    </row>
    <row r="75" spans="1:16" s="7" customFormat="1" ht="15.75" thickBot="1">
      <c r="A75" s="248">
        <v>71</v>
      </c>
      <c r="B75" s="263" t="s">
        <v>59</v>
      </c>
      <c r="C75" s="264">
        <v>39255</v>
      </c>
      <c r="D75" s="265" t="s">
        <v>211</v>
      </c>
      <c r="E75" s="265" t="s">
        <v>57</v>
      </c>
      <c r="F75" s="92">
        <v>66</v>
      </c>
      <c r="G75" s="92">
        <v>1</v>
      </c>
      <c r="H75" s="92">
        <v>18</v>
      </c>
      <c r="I75" s="266">
        <v>16</v>
      </c>
      <c r="J75" s="267">
        <v>6</v>
      </c>
      <c r="K75" s="268">
        <v>6</v>
      </c>
      <c r="L75" s="269">
        <v>2.666666666666666</v>
      </c>
      <c r="M75" s="270">
        <v>384427</v>
      </c>
      <c r="N75" s="268">
        <v>44288</v>
      </c>
      <c r="O75" s="93">
        <v>8.680161669075142</v>
      </c>
      <c r="P75" s="76"/>
    </row>
    <row r="76" spans="1:16" s="55" customFormat="1" ht="15">
      <c r="A76" s="324" t="s">
        <v>206</v>
      </c>
      <c r="B76" s="325"/>
      <c r="C76" s="50"/>
      <c r="D76" s="51" t="s">
        <v>103</v>
      </c>
      <c r="E76" s="52"/>
      <c r="F76" s="51"/>
      <c r="G76" s="53">
        <f>SUM(G5:G75)</f>
        <v>1406</v>
      </c>
      <c r="H76" s="51"/>
      <c r="I76" s="171">
        <f>SUM(I5:I75)</f>
        <v>2663779.5</v>
      </c>
      <c r="J76" s="185">
        <f>SUM(J5:J75)</f>
        <v>318454</v>
      </c>
      <c r="K76" s="192">
        <f>J76/G76</f>
        <v>226.49644381223328</v>
      </c>
      <c r="L76" s="119">
        <f>I76/J76</f>
        <v>8.364723005520421</v>
      </c>
      <c r="M76" s="178"/>
      <c r="N76" s="192"/>
      <c r="O76" s="54"/>
      <c r="P76" s="77"/>
    </row>
    <row r="77" spans="1:16" s="13" customFormat="1" ht="15">
      <c r="A77" s="326" t="s">
        <v>205</v>
      </c>
      <c r="B77" s="327"/>
      <c r="C77" s="22"/>
      <c r="D77" s="23" t="s">
        <v>109</v>
      </c>
      <c r="E77" s="21"/>
      <c r="F77" s="23"/>
      <c r="G77" s="24">
        <v>1346</v>
      </c>
      <c r="H77" s="23"/>
      <c r="I77" s="172">
        <v>4164454.11</v>
      </c>
      <c r="J77" s="186">
        <v>513916</v>
      </c>
      <c r="K77" s="192">
        <f>J77/G77</f>
        <v>381.80980683506687</v>
      </c>
      <c r="L77" s="120">
        <f>I77/J77</f>
        <v>8.103375084644183</v>
      </c>
      <c r="M77" s="179"/>
      <c r="N77" s="197"/>
      <c r="O77" s="27"/>
      <c r="P77" s="76"/>
    </row>
    <row r="78" spans="1:16" s="7" customFormat="1" ht="13.5">
      <c r="A78" s="33"/>
      <c r="C78" s="11"/>
      <c r="D78" s="15"/>
      <c r="E78" s="15"/>
      <c r="F78" s="8"/>
      <c r="G78" s="8"/>
      <c r="H78" s="8"/>
      <c r="I78" s="173"/>
      <c r="J78" s="187"/>
      <c r="K78" s="193"/>
      <c r="L78" s="28"/>
      <c r="M78" s="180"/>
      <c r="N78" s="193"/>
      <c r="O78" s="28"/>
      <c r="P78" s="76"/>
    </row>
    <row r="79" spans="1:16" s="7" customFormat="1" ht="13.5">
      <c r="A79" s="33"/>
      <c r="B79"/>
      <c r="C79"/>
      <c r="D79"/>
      <c r="E79"/>
      <c r="F79"/>
      <c r="G79" s="17"/>
      <c r="H79" s="8"/>
      <c r="I79" s="173"/>
      <c r="J79" s="187"/>
      <c r="K79" s="329" t="s">
        <v>203</v>
      </c>
      <c r="L79" s="330"/>
      <c r="M79" s="330"/>
      <c r="N79" s="330"/>
      <c r="O79" s="330"/>
      <c r="P79" s="76"/>
    </row>
    <row r="80" spans="1:16" s="7" customFormat="1" ht="14.25" thickBot="1">
      <c r="A80" s="33"/>
      <c r="B80"/>
      <c r="C80"/>
      <c r="D80"/>
      <c r="E80"/>
      <c r="F80"/>
      <c r="G80" s="8"/>
      <c r="H80" s="18"/>
      <c r="I80" s="173"/>
      <c r="J80" s="187"/>
      <c r="K80" s="330"/>
      <c r="L80" s="330"/>
      <c r="M80" s="330"/>
      <c r="N80" s="330"/>
      <c r="O80" s="330"/>
      <c r="P80" s="76"/>
    </row>
    <row r="81" spans="1:16" s="7" customFormat="1" ht="13.5">
      <c r="A81" s="34"/>
      <c r="B81"/>
      <c r="C81"/>
      <c r="D81"/>
      <c r="E81"/>
      <c r="F81"/>
      <c r="G81" s="8"/>
      <c r="H81" s="18"/>
      <c r="I81" s="173"/>
      <c r="J81" s="187"/>
      <c r="K81" s="330"/>
      <c r="L81" s="330"/>
      <c r="M81" s="330"/>
      <c r="N81" s="330"/>
      <c r="O81" s="330"/>
      <c r="P81" s="76"/>
    </row>
    <row r="82" spans="1:16" s="7" customFormat="1" ht="13.5">
      <c r="A82" s="38"/>
      <c r="B82"/>
      <c r="C82"/>
      <c r="D82"/>
      <c r="E82"/>
      <c r="F82"/>
      <c r="G82" s="8"/>
      <c r="H82" s="18"/>
      <c r="I82" s="173"/>
      <c r="J82" s="187"/>
      <c r="K82" s="328" t="s">
        <v>42</v>
      </c>
      <c r="L82" s="328"/>
      <c r="M82" s="328"/>
      <c r="N82" s="328"/>
      <c r="O82" s="328"/>
      <c r="P82" s="76"/>
    </row>
    <row r="83" spans="1:16" s="7" customFormat="1" ht="13.5">
      <c r="A83" s="37">
        <v>1</v>
      </c>
      <c r="B83"/>
      <c r="C83"/>
      <c r="D83"/>
      <c r="E83"/>
      <c r="F83"/>
      <c r="G83" s="8"/>
      <c r="H83" s="18"/>
      <c r="I83" s="173"/>
      <c r="J83" s="187"/>
      <c r="K83" s="328"/>
      <c r="L83" s="328"/>
      <c r="M83" s="328"/>
      <c r="N83" s="328"/>
      <c r="O83" s="328"/>
      <c r="P83" s="76"/>
    </row>
    <row r="84" spans="1:16" s="7" customFormat="1" ht="13.5">
      <c r="A84" s="35">
        <v>2</v>
      </c>
      <c r="B84"/>
      <c r="C84"/>
      <c r="D84"/>
      <c r="E84"/>
      <c r="F84"/>
      <c r="G84" s="8"/>
      <c r="H84" s="18"/>
      <c r="I84" s="173"/>
      <c r="J84" s="187"/>
      <c r="K84" s="328"/>
      <c r="L84" s="328"/>
      <c r="M84" s="328"/>
      <c r="N84" s="328"/>
      <c r="O84" s="328"/>
      <c r="P84" s="76"/>
    </row>
    <row r="85" spans="1:16" s="7" customFormat="1" ht="13.5">
      <c r="A85" s="35">
        <v>3</v>
      </c>
      <c r="B85"/>
      <c r="C85"/>
      <c r="D85"/>
      <c r="E85"/>
      <c r="F85"/>
      <c r="G85" s="8"/>
      <c r="H85" s="18"/>
      <c r="I85" s="173"/>
      <c r="J85" s="187"/>
      <c r="K85" s="328" t="s">
        <v>41</v>
      </c>
      <c r="L85" s="328"/>
      <c r="M85" s="328"/>
      <c r="N85" s="328"/>
      <c r="O85" s="328"/>
      <c r="P85" s="76"/>
    </row>
    <row r="86" spans="1:16" s="7" customFormat="1" ht="13.5">
      <c r="A86" s="35">
        <v>4</v>
      </c>
      <c r="B86"/>
      <c r="C86"/>
      <c r="D86"/>
      <c r="E86"/>
      <c r="F86"/>
      <c r="G86" s="8"/>
      <c r="H86" s="18"/>
      <c r="I86" s="173"/>
      <c r="J86" s="187"/>
      <c r="K86" s="328"/>
      <c r="L86" s="328"/>
      <c r="M86" s="328"/>
      <c r="N86" s="328"/>
      <c r="O86" s="328"/>
      <c r="P86" s="76"/>
    </row>
    <row r="87" spans="1:16" s="7" customFormat="1" ht="13.5">
      <c r="A87" s="35">
        <v>5</v>
      </c>
      <c r="B87"/>
      <c r="C87"/>
      <c r="D87"/>
      <c r="E87"/>
      <c r="F87"/>
      <c r="G87" s="8"/>
      <c r="H87" s="18"/>
      <c r="I87" s="173"/>
      <c r="J87" s="187"/>
      <c r="K87" s="328"/>
      <c r="L87" s="328"/>
      <c r="M87" s="328"/>
      <c r="N87" s="328"/>
      <c r="O87" s="328"/>
      <c r="P87" s="76"/>
    </row>
    <row r="88" spans="1:16" s="7" customFormat="1" ht="13.5">
      <c r="A88" s="35">
        <v>6</v>
      </c>
      <c r="B88"/>
      <c r="C88"/>
      <c r="D88"/>
      <c r="E88"/>
      <c r="F88"/>
      <c r="G88" s="8"/>
      <c r="H88" s="321" t="s">
        <v>256</v>
      </c>
      <c r="I88" s="322"/>
      <c r="J88" s="322"/>
      <c r="K88" s="322"/>
      <c r="L88" s="322"/>
      <c r="M88" s="322"/>
      <c r="N88" s="322"/>
      <c r="O88" s="322"/>
      <c r="P88" s="76"/>
    </row>
    <row r="89" spans="1:16" s="20" customFormat="1" ht="15">
      <c r="A89" s="35">
        <v>7</v>
      </c>
      <c r="B89"/>
      <c r="C89"/>
      <c r="D89"/>
      <c r="E89"/>
      <c r="F89"/>
      <c r="G89" s="30"/>
      <c r="H89" s="322"/>
      <c r="I89" s="322"/>
      <c r="J89" s="322"/>
      <c r="K89" s="322"/>
      <c r="L89" s="322"/>
      <c r="M89" s="322"/>
      <c r="N89" s="322"/>
      <c r="O89" s="322"/>
      <c r="P89" s="76"/>
    </row>
    <row r="90" spans="1:16" s="20" customFormat="1" ht="15">
      <c r="A90" s="35">
        <v>8</v>
      </c>
      <c r="B90"/>
      <c r="C90"/>
      <c r="D90"/>
      <c r="E90"/>
      <c r="F90"/>
      <c r="G90" s="19"/>
      <c r="H90" s="322"/>
      <c r="I90" s="322"/>
      <c r="J90" s="322"/>
      <c r="K90" s="322"/>
      <c r="L90" s="322"/>
      <c r="M90" s="322"/>
      <c r="N90" s="322"/>
      <c r="O90" s="322"/>
      <c r="P90" s="76"/>
    </row>
    <row r="91" spans="1:16" s="20" customFormat="1" ht="15">
      <c r="A91" s="35">
        <v>9</v>
      </c>
      <c r="B91"/>
      <c r="C91"/>
      <c r="D91"/>
      <c r="E91"/>
      <c r="F91"/>
      <c r="G91" s="19"/>
      <c r="H91" s="322"/>
      <c r="I91" s="322"/>
      <c r="J91" s="322"/>
      <c r="K91" s="322"/>
      <c r="L91" s="322"/>
      <c r="M91" s="322"/>
      <c r="N91" s="322"/>
      <c r="O91" s="322"/>
      <c r="P91" s="76"/>
    </row>
    <row r="92" spans="1:16" s="20" customFormat="1" ht="15">
      <c r="A92" s="35">
        <v>10</v>
      </c>
      <c r="B92"/>
      <c r="C92"/>
      <c r="D92"/>
      <c r="E92"/>
      <c r="F92"/>
      <c r="G92" s="19"/>
      <c r="H92" s="322"/>
      <c r="I92" s="322"/>
      <c r="J92" s="322"/>
      <c r="K92" s="322"/>
      <c r="L92" s="322"/>
      <c r="M92" s="322"/>
      <c r="N92" s="322"/>
      <c r="O92" s="322"/>
      <c r="P92" s="76"/>
    </row>
    <row r="93" spans="1:16" s="20" customFormat="1" ht="15">
      <c r="A93" s="35">
        <v>11</v>
      </c>
      <c r="B93"/>
      <c r="C93"/>
      <c r="D93"/>
      <c r="E93"/>
      <c r="F93"/>
      <c r="G93" s="19"/>
      <c r="H93" s="322"/>
      <c r="I93" s="322"/>
      <c r="J93" s="322"/>
      <c r="K93" s="322"/>
      <c r="L93" s="322"/>
      <c r="M93" s="322"/>
      <c r="N93" s="322"/>
      <c r="O93" s="322"/>
      <c r="P93" s="76"/>
    </row>
    <row r="94" spans="1:16" s="20" customFormat="1" ht="15">
      <c r="A94" s="35">
        <v>12</v>
      </c>
      <c r="B94"/>
      <c r="C94"/>
      <c r="D94"/>
      <c r="E94"/>
      <c r="F94"/>
      <c r="G94" s="19"/>
      <c r="H94" s="323" t="s">
        <v>296</v>
      </c>
      <c r="I94" s="322"/>
      <c r="J94" s="322"/>
      <c r="K94" s="322"/>
      <c r="L94" s="322"/>
      <c r="M94" s="322"/>
      <c r="N94" s="322"/>
      <c r="O94" s="322"/>
      <c r="P94" s="76"/>
    </row>
    <row r="95" spans="1:16" s="20" customFormat="1" ht="15">
      <c r="A95" s="35">
        <v>13</v>
      </c>
      <c r="B95"/>
      <c r="C95"/>
      <c r="D95"/>
      <c r="E95"/>
      <c r="F95"/>
      <c r="G95" s="19"/>
      <c r="H95" s="322"/>
      <c r="I95" s="322"/>
      <c r="J95" s="322"/>
      <c r="K95" s="322"/>
      <c r="L95" s="322"/>
      <c r="M95" s="322"/>
      <c r="N95" s="322"/>
      <c r="O95" s="322"/>
      <c r="P95" s="76"/>
    </row>
    <row r="96" spans="1:16" s="20" customFormat="1" ht="15.75" thickBot="1">
      <c r="A96" s="36">
        <v>14</v>
      </c>
      <c r="B96"/>
      <c r="C96"/>
      <c r="D96"/>
      <c r="E96"/>
      <c r="F96"/>
      <c r="G96" s="19"/>
      <c r="H96" s="322"/>
      <c r="I96" s="322"/>
      <c r="J96" s="322"/>
      <c r="K96" s="322"/>
      <c r="L96" s="322"/>
      <c r="M96" s="322"/>
      <c r="N96" s="322"/>
      <c r="O96" s="322"/>
      <c r="P96" s="76"/>
    </row>
    <row r="97" spans="1:16" s="20" customFormat="1" ht="15">
      <c r="A97" s="33"/>
      <c r="B97"/>
      <c r="C97"/>
      <c r="D97"/>
      <c r="E97"/>
      <c r="F97"/>
      <c r="G97" s="19"/>
      <c r="H97" s="322"/>
      <c r="I97" s="322"/>
      <c r="J97" s="322"/>
      <c r="K97" s="322"/>
      <c r="L97" s="322"/>
      <c r="M97" s="322"/>
      <c r="N97" s="322"/>
      <c r="O97" s="322"/>
      <c r="P97" s="76"/>
    </row>
    <row r="98" spans="1:16" s="20" customFormat="1" ht="15">
      <c r="A98" s="33"/>
      <c r="B98"/>
      <c r="C98"/>
      <c r="D98"/>
      <c r="E98"/>
      <c r="F98"/>
      <c r="G98" s="19"/>
      <c r="H98" s="322"/>
      <c r="I98" s="322"/>
      <c r="J98" s="322"/>
      <c r="K98" s="322"/>
      <c r="L98" s="322"/>
      <c r="M98" s="322"/>
      <c r="N98" s="322"/>
      <c r="O98" s="322"/>
      <c r="P98" s="76"/>
    </row>
    <row r="99" spans="1:16" s="20" customFormat="1" ht="15">
      <c r="A99" s="33"/>
      <c r="B99" s="39"/>
      <c r="C99" s="67"/>
      <c r="D99" s="39"/>
      <c r="E99" s="39"/>
      <c r="F99" s="117"/>
      <c r="G99" s="19"/>
      <c r="H99" s="322"/>
      <c r="I99" s="322"/>
      <c r="J99" s="322"/>
      <c r="K99" s="322"/>
      <c r="L99" s="322"/>
      <c r="M99" s="322"/>
      <c r="N99" s="322"/>
      <c r="O99" s="322"/>
      <c r="P99" s="76"/>
    </row>
    <row r="100" spans="1:16" s="20" customFormat="1" ht="15">
      <c r="A100" s="33"/>
      <c r="B100" s="39"/>
      <c r="C100" s="67"/>
      <c r="D100" s="39"/>
      <c r="E100" s="39"/>
      <c r="F100" s="117"/>
      <c r="G100" s="19"/>
      <c r="H100" s="322"/>
      <c r="I100" s="322"/>
      <c r="J100" s="322"/>
      <c r="K100" s="322"/>
      <c r="L100" s="322"/>
      <c r="M100" s="322"/>
      <c r="N100" s="322"/>
      <c r="O100" s="322"/>
      <c r="P100" s="76"/>
    </row>
    <row r="101" spans="1:16" s="20" customFormat="1" ht="15">
      <c r="A101" s="33"/>
      <c r="B101" s="39"/>
      <c r="C101" s="67"/>
      <c r="D101" s="39"/>
      <c r="E101" s="39"/>
      <c r="F101" s="117"/>
      <c r="G101" s="19"/>
      <c r="H101" s="117"/>
      <c r="I101" s="174"/>
      <c r="J101" s="188"/>
      <c r="K101" s="194"/>
      <c r="L101" s="118"/>
      <c r="M101" s="181"/>
      <c r="N101" s="194"/>
      <c r="O101" s="118"/>
      <c r="P101" s="76"/>
    </row>
    <row r="102" spans="1:16" s="20" customFormat="1" ht="15">
      <c r="A102" s="33"/>
      <c r="B102" s="39"/>
      <c r="C102" s="67"/>
      <c r="D102" s="39"/>
      <c r="E102" s="39"/>
      <c r="F102" s="117"/>
      <c r="G102" s="19"/>
      <c r="H102" s="117"/>
      <c r="I102" s="174"/>
      <c r="J102" s="188"/>
      <c r="K102" s="194"/>
      <c r="L102" s="118"/>
      <c r="M102" s="181"/>
      <c r="N102" s="194"/>
      <c r="O102" s="118"/>
      <c r="P102" s="76"/>
    </row>
    <row r="103" spans="2:6" ht="18">
      <c r="B103" s="39"/>
      <c r="C103" s="67"/>
      <c r="D103" s="39"/>
      <c r="E103" s="39"/>
      <c r="F103" s="117"/>
    </row>
    <row r="104" spans="2:6" ht="18">
      <c r="B104" s="39"/>
      <c r="C104" s="67"/>
      <c r="D104" s="39"/>
      <c r="E104" s="39"/>
      <c r="F104" s="117"/>
    </row>
    <row r="105" spans="2:15" ht="18">
      <c r="B105" s="39"/>
      <c r="C105" s="67"/>
      <c r="D105" s="39"/>
      <c r="E105" s="39"/>
      <c r="F105" s="117"/>
      <c r="G105" s="117"/>
      <c r="H105" s="117"/>
      <c r="I105" s="176"/>
      <c r="J105" s="190"/>
      <c r="K105" s="194"/>
      <c r="L105" s="118"/>
      <c r="M105" s="181"/>
      <c r="N105" s="194"/>
      <c r="O105" s="118"/>
    </row>
    <row r="106" spans="2:15" ht="18">
      <c r="B106" s="39"/>
      <c r="C106" s="67"/>
      <c r="D106" s="39"/>
      <c r="E106" s="39"/>
      <c r="F106" s="117"/>
      <c r="G106" s="117"/>
      <c r="H106" s="117"/>
      <c r="I106" s="176"/>
      <c r="J106" s="190"/>
      <c r="K106" s="194"/>
      <c r="L106" s="118"/>
      <c r="M106" s="181"/>
      <c r="N106" s="194"/>
      <c r="O106" s="118"/>
    </row>
    <row r="107" spans="2:15" ht="18">
      <c r="B107" s="39"/>
      <c r="C107" s="67"/>
      <c r="D107" s="39"/>
      <c r="E107" s="39"/>
      <c r="F107" s="117"/>
      <c r="G107" s="117"/>
      <c r="H107" s="117"/>
      <c r="I107" s="176"/>
      <c r="J107" s="190"/>
      <c r="K107" s="194"/>
      <c r="L107" s="118"/>
      <c r="M107" s="181"/>
      <c r="N107" s="194"/>
      <c r="O107" s="118"/>
    </row>
    <row r="108" spans="2:15" ht="18">
      <c r="B108" s="39"/>
      <c r="C108" s="67"/>
      <c r="D108" s="39"/>
      <c r="E108" s="39"/>
      <c r="F108" s="117"/>
      <c r="G108" s="117"/>
      <c r="H108" s="117"/>
      <c r="I108" s="176"/>
      <c r="J108" s="190"/>
      <c r="K108" s="194"/>
      <c r="L108" s="118"/>
      <c r="M108" s="181"/>
      <c r="N108" s="194"/>
      <c r="O108" s="118"/>
    </row>
    <row r="109" spans="2:15" ht="18">
      <c r="B109" s="39"/>
      <c r="C109" s="67"/>
      <c r="D109" s="39"/>
      <c r="E109" s="39"/>
      <c r="F109" s="117"/>
      <c r="G109" s="117"/>
      <c r="H109" s="117"/>
      <c r="I109" s="176"/>
      <c r="J109" s="190"/>
      <c r="K109" s="194"/>
      <c r="L109" s="118"/>
      <c r="M109" s="181"/>
      <c r="N109" s="194"/>
      <c r="O109" s="118"/>
    </row>
    <row r="110" spans="2:15" ht="18">
      <c r="B110" s="39"/>
      <c r="C110" s="67"/>
      <c r="D110" s="39"/>
      <c r="E110" s="39"/>
      <c r="F110" s="117"/>
      <c r="G110" s="117"/>
      <c r="H110" s="117"/>
      <c r="I110" s="176"/>
      <c r="J110" s="190"/>
      <c r="K110" s="194"/>
      <c r="L110" s="118"/>
      <c r="M110" s="181"/>
      <c r="N110" s="194"/>
      <c r="O110" s="118"/>
    </row>
    <row r="111" spans="2:15" ht="18">
      <c r="B111" s="39"/>
      <c r="C111" s="67"/>
      <c r="D111" s="39"/>
      <c r="E111" s="39"/>
      <c r="F111" s="117"/>
      <c r="G111" s="117"/>
      <c r="H111" s="117"/>
      <c r="I111" s="176"/>
      <c r="J111" s="190"/>
      <c r="K111" s="194"/>
      <c r="L111" s="118"/>
      <c r="M111" s="181"/>
      <c r="N111" s="194"/>
      <c r="O111" s="118"/>
    </row>
    <row r="112" spans="2:15" ht="18">
      <c r="B112" s="39"/>
      <c r="C112" s="67"/>
      <c r="D112" s="39"/>
      <c r="E112" s="39"/>
      <c r="F112" s="117"/>
      <c r="G112" s="117"/>
      <c r="H112" s="117"/>
      <c r="I112" s="176"/>
      <c r="J112" s="190"/>
      <c r="K112" s="194"/>
      <c r="L112" s="118"/>
      <c r="M112" s="181"/>
      <c r="N112" s="194"/>
      <c r="O112" s="118"/>
    </row>
    <row r="113" spans="7:15" ht="18">
      <c r="G113" s="117"/>
      <c r="H113" s="117"/>
      <c r="I113" s="176"/>
      <c r="J113" s="190"/>
      <c r="K113" s="194"/>
      <c r="L113" s="118"/>
      <c r="M113" s="181"/>
      <c r="N113" s="194"/>
      <c r="O113" s="118"/>
    </row>
    <row r="114" spans="7:15" ht="18">
      <c r="G114" s="117"/>
      <c r="H114" s="117"/>
      <c r="I114" s="176"/>
      <c r="J114" s="190"/>
      <c r="K114" s="194"/>
      <c r="L114" s="118"/>
      <c r="M114" s="181"/>
      <c r="N114" s="194"/>
      <c r="O114" s="118"/>
    </row>
    <row r="115" spans="7:15" ht="18">
      <c r="G115" s="117"/>
      <c r="H115" s="117"/>
      <c r="I115" s="176"/>
      <c r="J115" s="190"/>
      <c r="K115" s="194"/>
      <c r="L115" s="118"/>
      <c r="M115" s="181"/>
      <c r="N115" s="194"/>
      <c r="O115" s="118"/>
    </row>
    <row r="116" spans="7:15" ht="18">
      <c r="G116" s="117"/>
      <c r="H116" s="117"/>
      <c r="I116" s="176"/>
      <c r="J116" s="190"/>
      <c r="K116" s="194"/>
      <c r="L116" s="118"/>
      <c r="M116" s="181"/>
      <c r="N116" s="194"/>
      <c r="O116" s="118"/>
    </row>
    <row r="117" spans="7:15" ht="18">
      <c r="G117" s="117"/>
      <c r="H117" s="117"/>
      <c r="I117" s="176"/>
      <c r="J117" s="190"/>
      <c r="K117" s="194"/>
      <c r="L117" s="118"/>
      <c r="M117" s="181"/>
      <c r="N117" s="194"/>
      <c r="O117" s="118"/>
    </row>
    <row r="118" spans="7:15" ht="18">
      <c r="G118" s="117"/>
      <c r="H118" s="117"/>
      <c r="I118" s="176"/>
      <c r="J118" s="190"/>
      <c r="K118" s="194"/>
      <c r="L118" s="118"/>
      <c r="M118" s="181"/>
      <c r="N118" s="194"/>
      <c r="O118" s="118"/>
    </row>
  </sheetData>
  <sheetProtection insertRows="0" deleteRows="0" sort="0"/>
  <mergeCells count="17">
    <mergeCell ref="H88:O93"/>
    <mergeCell ref="H94:O100"/>
    <mergeCell ref="A76:B76"/>
    <mergeCell ref="A77:B77"/>
    <mergeCell ref="K82:O84"/>
    <mergeCell ref="K79:O81"/>
    <mergeCell ref="K85:O87"/>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F16:N73" numberStoredAsText="1"/>
    <ignoredError sqref="P56:P61 P19:P40 P11:P18" formula="1" unlockedFormula="1"/>
    <ignoredError sqref="P7 P8 P6 P9:P10" unlockedFormula="1"/>
  </ignoredErrors>
  <drawing r:id="rId1"/>
</worksheet>
</file>

<file path=xl/worksheets/sheet2.xml><?xml version="1.0" encoding="utf-8"?>
<worksheet xmlns="http://schemas.openxmlformats.org/spreadsheetml/2006/main" xmlns:r="http://schemas.openxmlformats.org/officeDocument/2006/relationships">
  <dimension ref="A1:N221"/>
  <sheetViews>
    <sheetView tabSelected="1" zoomScale="110" zoomScaleNormal="110" zoomScalePageLayoutView="0" workbookViewId="0" topLeftCell="A1">
      <selection activeCell="B2" sqref="B2:B3"/>
    </sheetView>
  </sheetViews>
  <sheetFormatPr defaultColWidth="13.28125" defaultRowHeight="12.75"/>
  <cols>
    <col min="1" max="1" width="4.421875" style="48" bestFit="1" customWidth="1"/>
    <col min="2" max="2" width="47.8515625" style="46" bestFit="1" customWidth="1"/>
    <col min="3" max="3" width="11.421875" style="31" customWidth="1"/>
    <col min="4" max="4" width="13.8515625" style="31" bestFit="1" customWidth="1"/>
    <col min="5" max="5" width="21.28125" style="31" bestFit="1" customWidth="1"/>
    <col min="6" max="6" width="6.140625" style="31" bestFit="1" customWidth="1"/>
    <col min="7" max="7" width="10.8515625" style="31" customWidth="1"/>
    <col min="8" max="8" width="17.8515625" style="131" bestFit="1" customWidth="1"/>
    <col min="9" max="9" width="12.7109375" style="132" bestFit="1" customWidth="1"/>
    <col min="10" max="10" width="9.421875" style="47" customWidth="1"/>
    <col min="11" max="11" width="16.28125" style="113" bestFit="1" customWidth="1"/>
    <col min="12" max="12" width="11.00390625" style="110" bestFit="1" customWidth="1"/>
    <col min="13" max="13" width="15.140625" style="113" bestFit="1" customWidth="1"/>
    <col min="14" max="14" width="11.00390625" style="110" bestFit="1" customWidth="1"/>
    <col min="15" max="16" width="8.8515625" style="0" customWidth="1"/>
    <col min="17" max="16384" width="13.28125" style="46" customWidth="1"/>
  </cols>
  <sheetData>
    <row r="1" spans="1:14" s="44" customFormat="1" ht="81.75" customHeight="1" thickBot="1">
      <c r="A1" s="336" t="s">
        <v>40</v>
      </c>
      <c r="B1" s="336"/>
      <c r="C1" s="336"/>
      <c r="D1" s="336"/>
      <c r="E1" s="336"/>
      <c r="F1" s="336"/>
      <c r="G1" s="336"/>
      <c r="H1" s="336"/>
      <c r="I1" s="336"/>
      <c r="J1" s="336"/>
      <c r="K1" s="114"/>
      <c r="L1" s="115"/>
      <c r="M1" s="114"/>
      <c r="N1" s="115"/>
    </row>
    <row r="2" spans="1:14" s="45" customFormat="1" ht="14.25">
      <c r="A2" s="49"/>
      <c r="B2" s="339" t="s">
        <v>335</v>
      </c>
      <c r="C2" s="339" t="s">
        <v>259</v>
      </c>
      <c r="D2" s="339" t="s">
        <v>208</v>
      </c>
      <c r="E2" s="339" t="s">
        <v>207</v>
      </c>
      <c r="F2" s="316" t="s">
        <v>337</v>
      </c>
      <c r="G2" s="316" t="s">
        <v>260</v>
      </c>
      <c r="H2" s="332" t="s">
        <v>339</v>
      </c>
      <c r="I2" s="333"/>
      <c r="J2" s="334" t="s">
        <v>261</v>
      </c>
      <c r="K2" s="111"/>
      <c r="L2" s="108"/>
      <c r="M2" s="111"/>
      <c r="N2" s="108"/>
    </row>
    <row r="3" spans="1:14" s="45" customFormat="1" ht="33" customHeight="1" thickBot="1">
      <c r="A3" s="70"/>
      <c r="B3" s="340"/>
      <c r="C3" s="340"/>
      <c r="D3" s="340"/>
      <c r="E3" s="340"/>
      <c r="F3" s="331"/>
      <c r="G3" s="331"/>
      <c r="H3" s="42" t="s">
        <v>262</v>
      </c>
      <c r="I3" s="43" t="s">
        <v>300</v>
      </c>
      <c r="J3" s="335"/>
      <c r="K3" s="111"/>
      <c r="L3" s="108"/>
      <c r="M3" s="111"/>
      <c r="N3" s="108"/>
    </row>
    <row r="4" spans="1:14" s="45" customFormat="1" ht="15">
      <c r="A4" s="166">
        <v>1</v>
      </c>
      <c r="B4" s="218" t="s">
        <v>269</v>
      </c>
      <c r="C4" s="69">
        <v>39094</v>
      </c>
      <c r="D4" s="220" t="s">
        <v>212</v>
      </c>
      <c r="E4" s="220" t="s">
        <v>30</v>
      </c>
      <c r="F4" s="219">
        <v>226</v>
      </c>
      <c r="G4" s="219">
        <v>32</v>
      </c>
      <c r="H4" s="201">
        <f>3142328+2138928+1454143+1085018.5-637+512497+119516+49072.5+21975.5+19023+9522+7521+6716.5+973+245+20+90+85+70+947+133+2189+149+3296.5+5376+1188+1551+2376+2376+1510.5+1510.5</f>
        <v>8589709.5</v>
      </c>
      <c r="I4" s="215">
        <f>453903+300559+202455+152725+101+73889+22414+10560+4196+3829+2908+1791+1716+233+42+4+18+17+14+309+15+538+24+819+1343+297+388+594+594+378+378</f>
        <v>1237051</v>
      </c>
      <c r="J4" s="225">
        <f>H4/I4</f>
        <v>6.9436987642384995</v>
      </c>
      <c r="K4" s="135"/>
      <c r="L4" s="136"/>
      <c r="M4" s="137"/>
      <c r="N4" s="138"/>
    </row>
    <row r="5" spans="1:14" s="45" customFormat="1" ht="15">
      <c r="A5" s="166">
        <v>2</v>
      </c>
      <c r="B5" s="79" t="s">
        <v>347</v>
      </c>
      <c r="C5" s="57">
        <v>39101</v>
      </c>
      <c r="D5" s="63" t="s">
        <v>212</v>
      </c>
      <c r="E5" s="63" t="s">
        <v>212</v>
      </c>
      <c r="F5" s="58">
        <v>160</v>
      </c>
      <c r="G5" s="58">
        <v>32</v>
      </c>
      <c r="H5" s="202">
        <f>3815016+1300103.5+871510+26.5+643328.5+285+427492+144808.5-4582.5+117687.5+159.5+78376+20328+17217+7297+945+2840.5+34810+328+1337+17151+158+30+3021+2014+152+6041+3614.5+6585+17296.5+42649.5+1188+6041+6041</f>
        <v>7591295.5</v>
      </c>
      <c r="I5" s="207">
        <f>302979+231870+176034+121748+3+91906+35+60830+21133-764+16236+14+11431-4+2924+3552+1459+120+1210+2+11600+81+437+5713+17+6+604+503+25+1510+904+1646+4326+10661+297+1511+1511</f>
        <v>1084070</v>
      </c>
      <c r="J5" s="226">
        <f>H5/I5</f>
        <v>7.002587932513583</v>
      </c>
      <c r="K5" s="135"/>
      <c r="L5" s="136"/>
      <c r="M5" s="137"/>
      <c r="N5" s="138"/>
    </row>
    <row r="6" spans="1:14" s="45" customFormat="1" ht="15">
      <c r="A6" s="168">
        <v>3</v>
      </c>
      <c r="B6" s="79" t="s">
        <v>20</v>
      </c>
      <c r="C6" s="57">
        <v>39227</v>
      </c>
      <c r="D6" s="87" t="s">
        <v>211</v>
      </c>
      <c r="E6" s="87" t="s">
        <v>214</v>
      </c>
      <c r="F6" s="58">
        <v>216</v>
      </c>
      <c r="G6" s="58">
        <v>19</v>
      </c>
      <c r="H6" s="202">
        <v>7399039</v>
      </c>
      <c r="I6" s="207">
        <v>969626</v>
      </c>
      <c r="J6" s="88">
        <f>+H6/I6</f>
        <v>7.6308174492020635</v>
      </c>
      <c r="K6" s="135"/>
      <c r="L6" s="136"/>
      <c r="M6" s="137"/>
      <c r="N6" s="138"/>
    </row>
    <row r="7" spans="1:14" s="45" customFormat="1" ht="15">
      <c r="A7" s="167">
        <v>4</v>
      </c>
      <c r="B7" s="100">
        <v>300</v>
      </c>
      <c r="C7" s="56">
        <v>39157</v>
      </c>
      <c r="D7" s="213" t="s">
        <v>210</v>
      </c>
      <c r="E7" s="213" t="s">
        <v>345</v>
      </c>
      <c r="F7" s="85">
        <v>112</v>
      </c>
      <c r="G7" s="85">
        <v>17</v>
      </c>
      <c r="H7" s="203">
        <f>3267435+1511269+807013+389417+224450+112364+52008+9245+3829+1321+540+40+97+1035+245+610+2142+1338</f>
        <v>6384398</v>
      </c>
      <c r="I7" s="206">
        <f>400017+186496+98693+49874+35249+20817+11882+2148+932+328+139+8+17+46+129+366+302</f>
        <v>807443</v>
      </c>
      <c r="J7" s="88">
        <f>+H7/I7</f>
        <v>7.906933368671225</v>
      </c>
      <c r="K7" s="139"/>
      <c r="L7" s="140"/>
      <c r="M7" s="141"/>
      <c r="N7" s="142"/>
    </row>
    <row r="8" spans="1:14" s="45" customFormat="1" ht="15">
      <c r="A8" s="166">
        <v>5</v>
      </c>
      <c r="B8" s="78" t="s">
        <v>255</v>
      </c>
      <c r="C8" s="56">
        <v>39206</v>
      </c>
      <c r="D8" s="62" t="s">
        <v>210</v>
      </c>
      <c r="E8" s="61" t="s">
        <v>215</v>
      </c>
      <c r="F8" s="105">
        <v>163</v>
      </c>
      <c r="G8" s="105">
        <v>23</v>
      </c>
      <c r="H8" s="203">
        <f>2739132+1415220+863921+292563+163748+73051+52236+22471+12322+7793+3792+3061+6867+1708+8702+2302+275+145+202+111+128+65+190</f>
        <v>5670005</v>
      </c>
      <c r="I8" s="206">
        <f>347281+180161+109405+38153+22549+13412+12422+3817+2194+1661+709+551+1810+183+2155+320+55+29+36+20+25+13+38</f>
        <v>736999</v>
      </c>
      <c r="J8" s="221">
        <f>+H8/I8</f>
        <v>7.693368647718653</v>
      </c>
      <c r="K8" s="139"/>
      <c r="L8" s="140"/>
      <c r="M8" s="141"/>
      <c r="N8" s="142"/>
    </row>
    <row r="9" spans="1:14" s="45" customFormat="1" ht="15">
      <c r="A9" s="166">
        <v>6</v>
      </c>
      <c r="B9" s="100" t="s">
        <v>199</v>
      </c>
      <c r="C9" s="56">
        <v>39108</v>
      </c>
      <c r="D9" s="213" t="s">
        <v>210</v>
      </c>
      <c r="E9" s="213" t="s">
        <v>82</v>
      </c>
      <c r="F9" s="85">
        <v>148</v>
      </c>
      <c r="G9" s="85">
        <v>28</v>
      </c>
      <c r="H9" s="203">
        <f>1992651+1728920+984064+346169+182382+106480+57466+19982+14948+10164+6290+4742+2342+225+140+1108+175+60+115+165+40+40+10+764+916+80+174+249</f>
        <v>5460861</v>
      </c>
      <c r="I9" s="206">
        <f>274655+238848+139396+51021+30073+21220+12561+3942+2123+3415+1857+1264+1187+706+45+28+267+35+12+23+33+8+8+2+167+186+16+58+43</f>
        <v>783199</v>
      </c>
      <c r="J9" s="88">
        <f>+H9/I9</f>
        <v>6.972507625775824</v>
      </c>
      <c r="K9" s="139"/>
      <c r="L9" s="140"/>
      <c r="M9" s="141"/>
      <c r="N9" s="142"/>
    </row>
    <row r="10" spans="1:14" s="45" customFormat="1" ht="15">
      <c r="A10" s="166">
        <v>7</v>
      </c>
      <c r="B10" s="78" t="s">
        <v>28</v>
      </c>
      <c r="C10" s="56">
        <v>39304</v>
      </c>
      <c r="D10" s="62" t="s">
        <v>210</v>
      </c>
      <c r="E10" s="61" t="s">
        <v>345</v>
      </c>
      <c r="F10" s="105">
        <v>165</v>
      </c>
      <c r="G10" s="105">
        <v>11</v>
      </c>
      <c r="H10" s="294">
        <f>2632960+1103806+622810+343330+175885+112509+60772+28410+15737+16484+3567</f>
        <v>5116270</v>
      </c>
      <c r="I10" s="295">
        <f>336483+141879+82533+45209+26903+20540+11529+5833+3987+3318+680</f>
        <v>678894</v>
      </c>
      <c r="J10" s="88">
        <f>+H10/I10</f>
        <v>7.536183851971</v>
      </c>
      <c r="K10" s="143"/>
      <c r="L10" s="140"/>
      <c r="M10" s="141"/>
      <c r="N10" s="142"/>
    </row>
    <row r="11" spans="1:14" s="45" customFormat="1" ht="15">
      <c r="A11" s="166">
        <v>8</v>
      </c>
      <c r="B11" s="79" t="s">
        <v>39</v>
      </c>
      <c r="C11" s="57">
        <v>39248</v>
      </c>
      <c r="D11" s="63" t="s">
        <v>211</v>
      </c>
      <c r="E11" s="63" t="s">
        <v>55</v>
      </c>
      <c r="F11" s="58">
        <v>160</v>
      </c>
      <c r="G11" s="58">
        <v>19</v>
      </c>
      <c r="H11" s="296">
        <v>4872258</v>
      </c>
      <c r="I11" s="60">
        <v>660171</v>
      </c>
      <c r="J11" s="226">
        <f>H11/I11</f>
        <v>7.380296923069932</v>
      </c>
      <c r="K11" s="144"/>
      <c r="L11" s="140"/>
      <c r="M11" s="141"/>
      <c r="N11" s="142"/>
    </row>
    <row r="12" spans="1:14" s="45" customFormat="1" ht="15">
      <c r="A12" s="166">
        <v>9</v>
      </c>
      <c r="B12" s="100" t="s">
        <v>301</v>
      </c>
      <c r="C12" s="56">
        <v>39157</v>
      </c>
      <c r="D12" s="213" t="s">
        <v>324</v>
      </c>
      <c r="E12" s="213" t="s">
        <v>302</v>
      </c>
      <c r="F12" s="85" t="s">
        <v>119</v>
      </c>
      <c r="G12" s="85" t="s">
        <v>186</v>
      </c>
      <c r="H12" s="203">
        <v>4180915</v>
      </c>
      <c r="I12" s="206">
        <v>544441</v>
      </c>
      <c r="J12" s="88">
        <f>+H12/I12</f>
        <v>7.679280215854427</v>
      </c>
      <c r="K12" s="139"/>
      <c r="L12" s="140"/>
      <c r="M12" s="141"/>
      <c r="N12" s="142"/>
    </row>
    <row r="13" spans="1:14" s="45" customFormat="1" ht="15">
      <c r="A13" s="166">
        <v>10</v>
      </c>
      <c r="B13" s="100" t="s">
        <v>353</v>
      </c>
      <c r="C13" s="56">
        <v>39108</v>
      </c>
      <c r="D13" s="213" t="s">
        <v>210</v>
      </c>
      <c r="E13" s="213" t="s">
        <v>345</v>
      </c>
      <c r="F13" s="85">
        <v>131</v>
      </c>
      <c r="G13" s="85">
        <v>24</v>
      </c>
      <c r="H13" s="203">
        <f>3063+1388108+1182918+556749+125580+97410+76666+37161+16470+15161+2005+10200+4397+3408+936+1970+7747+2376+294+1782+1782+1782+276+150+226</f>
        <v>3538617</v>
      </c>
      <c r="I13" s="206">
        <f>313+167433+145432+67053+17220+16427+14008+6979+4516+4288+371+2790+932+917+199+391+2126+594+81+356+356+509+38+30+36</f>
        <v>453395</v>
      </c>
      <c r="J13" s="88">
        <f>+H13/I13</f>
        <v>7.804711123854475</v>
      </c>
      <c r="K13" s="135"/>
      <c r="L13" s="136"/>
      <c r="M13" s="137"/>
      <c r="N13" s="138"/>
    </row>
    <row r="14" spans="1:14" s="45" customFormat="1" ht="15">
      <c r="A14" s="166">
        <v>11</v>
      </c>
      <c r="B14" s="79" t="s">
        <v>72</v>
      </c>
      <c r="C14" s="57">
        <v>39269</v>
      </c>
      <c r="D14" s="63" t="s">
        <v>211</v>
      </c>
      <c r="E14" s="63" t="s">
        <v>218</v>
      </c>
      <c r="F14" s="58">
        <v>156</v>
      </c>
      <c r="G14" s="58">
        <v>16</v>
      </c>
      <c r="H14" s="296">
        <v>3227349</v>
      </c>
      <c r="I14" s="60">
        <v>409001</v>
      </c>
      <c r="J14" s="226">
        <f>H14/I14</f>
        <v>7.890809557922841</v>
      </c>
      <c r="K14" s="143"/>
      <c r="L14" s="140"/>
      <c r="M14" s="141"/>
      <c r="N14" s="142"/>
    </row>
    <row r="15" spans="1:14" s="45" customFormat="1" ht="15">
      <c r="A15" s="166">
        <v>12</v>
      </c>
      <c r="B15" s="100" t="s">
        <v>194</v>
      </c>
      <c r="C15" s="56">
        <v>39115</v>
      </c>
      <c r="D15" s="213" t="s">
        <v>210</v>
      </c>
      <c r="E15" s="213" t="s">
        <v>345</v>
      </c>
      <c r="F15" s="85">
        <v>81</v>
      </c>
      <c r="G15" s="85">
        <v>19</v>
      </c>
      <c r="H15" s="203">
        <f>3091+1174032+810484+561094+347033+135358+88526+33166+9630+2505+2639+286+251+1782+152+910+672+1782+832+1782+1782-1</f>
        <v>3177788</v>
      </c>
      <c r="I15" s="206">
        <f>289+128246+92369+63358+42093+20318+16522+7468+2207+501+1112+39+34+509+36+158+509+83+594+178</f>
        <v>376623</v>
      </c>
      <c r="J15" s="88">
        <f>+H15/I15</f>
        <v>8.437583472066231</v>
      </c>
      <c r="K15" s="145"/>
      <c r="L15" s="136"/>
      <c r="M15" s="137"/>
      <c r="N15" s="138"/>
    </row>
    <row r="16" spans="1:14" s="45" customFormat="1" ht="15">
      <c r="A16" s="166">
        <v>13</v>
      </c>
      <c r="B16" s="80" t="s">
        <v>143</v>
      </c>
      <c r="C16" s="56">
        <v>39080</v>
      </c>
      <c r="D16" s="64" t="s">
        <v>324</v>
      </c>
      <c r="E16" s="64" t="s">
        <v>334</v>
      </c>
      <c r="F16" s="106" t="s">
        <v>144</v>
      </c>
      <c r="G16" s="106" t="s">
        <v>117</v>
      </c>
      <c r="H16" s="203">
        <v>3140586.5</v>
      </c>
      <c r="I16" s="206">
        <v>431300</v>
      </c>
      <c r="J16" s="226">
        <f>H16/I16</f>
        <v>7.281675168096452</v>
      </c>
      <c r="K16" s="146"/>
      <c r="L16" s="140"/>
      <c r="M16" s="141"/>
      <c r="N16" s="142"/>
    </row>
    <row r="17" spans="1:14" s="45" customFormat="1" ht="15">
      <c r="A17" s="166">
        <v>14</v>
      </c>
      <c r="B17" s="101" t="s">
        <v>147</v>
      </c>
      <c r="C17" s="57">
        <v>39087</v>
      </c>
      <c r="D17" s="212" t="s">
        <v>211</v>
      </c>
      <c r="E17" s="212" t="s">
        <v>214</v>
      </c>
      <c r="F17" s="97">
        <v>90</v>
      </c>
      <c r="G17" s="97">
        <v>12</v>
      </c>
      <c r="H17" s="202">
        <v>2957559</v>
      </c>
      <c r="I17" s="207">
        <v>345479</v>
      </c>
      <c r="J17" s="88">
        <f>+H17/I17</f>
        <v>8.56074898908472</v>
      </c>
      <c r="K17" s="135"/>
      <c r="L17" s="136"/>
      <c r="M17" s="137"/>
      <c r="N17" s="138"/>
    </row>
    <row r="18" spans="1:14" s="45" customFormat="1" ht="15">
      <c r="A18" s="166">
        <v>15</v>
      </c>
      <c r="B18" s="78" t="s">
        <v>291</v>
      </c>
      <c r="C18" s="56">
        <v>39241</v>
      </c>
      <c r="D18" s="62" t="s">
        <v>210</v>
      </c>
      <c r="E18" s="61" t="s">
        <v>345</v>
      </c>
      <c r="F18" s="105">
        <v>114</v>
      </c>
      <c r="G18" s="105">
        <v>20</v>
      </c>
      <c r="H18" s="294">
        <f>1424760+644906+381265+231148+102150+55281+27155+11304+8097+4112+6656+807+690+492+2712+2613+474+2506+84+63</f>
        <v>2907275</v>
      </c>
      <c r="I18" s="295">
        <f>161361+74014+43430+27827+13281+9202+4917+1839+1628+687+1137+107+96+76+241+273+80+208+12+9</f>
        <v>340425</v>
      </c>
      <c r="J18" s="88">
        <f>+H18/I18</f>
        <v>8.540133656458838</v>
      </c>
      <c r="K18" s="139"/>
      <c r="L18" s="140"/>
      <c r="M18" s="141"/>
      <c r="N18" s="142"/>
    </row>
    <row r="19" spans="1:14" s="45" customFormat="1" ht="15">
      <c r="A19" s="166">
        <v>16</v>
      </c>
      <c r="B19" s="100" t="s">
        <v>191</v>
      </c>
      <c r="C19" s="56">
        <v>39108</v>
      </c>
      <c r="D19" s="213" t="s">
        <v>324</v>
      </c>
      <c r="E19" s="213" t="s">
        <v>192</v>
      </c>
      <c r="F19" s="85" t="s">
        <v>193</v>
      </c>
      <c r="G19" s="85" t="s">
        <v>176</v>
      </c>
      <c r="H19" s="203">
        <v>2824914.5</v>
      </c>
      <c r="I19" s="206">
        <v>379744</v>
      </c>
      <c r="J19" s="88">
        <f>+H19/I19</f>
        <v>7.438997061178057</v>
      </c>
      <c r="K19" s="139"/>
      <c r="L19" s="140"/>
      <c r="M19" s="141"/>
      <c r="N19" s="142"/>
    </row>
    <row r="20" spans="1:14" s="45" customFormat="1" ht="15">
      <c r="A20" s="166">
        <v>17</v>
      </c>
      <c r="B20" s="101" t="s">
        <v>137</v>
      </c>
      <c r="C20" s="57">
        <v>39192</v>
      </c>
      <c r="D20" s="212" t="s">
        <v>211</v>
      </c>
      <c r="E20" s="212" t="s">
        <v>138</v>
      </c>
      <c r="F20" s="97">
        <v>173</v>
      </c>
      <c r="G20" s="97">
        <v>16</v>
      </c>
      <c r="H20" s="202">
        <v>2721328</v>
      </c>
      <c r="I20" s="207">
        <v>379818</v>
      </c>
      <c r="J20" s="88">
        <f>+H20/I20</f>
        <v>7.1648210458693375</v>
      </c>
      <c r="K20" s="135"/>
      <c r="L20" s="136"/>
      <c r="M20" s="137"/>
      <c r="N20" s="138"/>
    </row>
    <row r="21" spans="1:14" s="45" customFormat="1" ht="15">
      <c r="A21" s="166">
        <v>18</v>
      </c>
      <c r="B21" s="79" t="s">
        <v>36</v>
      </c>
      <c r="C21" s="57">
        <v>39318</v>
      </c>
      <c r="D21" s="63" t="s">
        <v>211</v>
      </c>
      <c r="E21" s="63" t="s">
        <v>214</v>
      </c>
      <c r="F21" s="58">
        <v>116</v>
      </c>
      <c r="G21" s="58">
        <v>9</v>
      </c>
      <c r="H21" s="296">
        <v>2509696</v>
      </c>
      <c r="I21" s="60">
        <v>308788</v>
      </c>
      <c r="J21" s="226">
        <f>H21/I21</f>
        <v>8.12756972421208</v>
      </c>
      <c r="K21" s="143"/>
      <c r="L21" s="136"/>
      <c r="M21" s="141"/>
      <c r="N21" s="142"/>
    </row>
    <row r="22" spans="1:14" s="45" customFormat="1" ht="15">
      <c r="A22" s="166">
        <v>19</v>
      </c>
      <c r="B22" s="100" t="s">
        <v>81</v>
      </c>
      <c r="C22" s="56">
        <v>39129</v>
      </c>
      <c r="D22" s="213" t="s">
        <v>210</v>
      </c>
      <c r="E22" s="213" t="s">
        <v>215</v>
      </c>
      <c r="F22" s="85">
        <v>72</v>
      </c>
      <c r="G22" s="85">
        <v>12</v>
      </c>
      <c r="H22" s="203">
        <f>1024988+679541+410193+207911+76405+45780+25921+20590+1599+1014+626+993+3564</f>
        <v>2499125</v>
      </c>
      <c r="I22" s="206">
        <f>121457+81309+49212+25967+12824+9651+5051+4320+382+310+180+1020</f>
        <v>311683</v>
      </c>
      <c r="J22" s="104">
        <f>H22/I22</f>
        <v>8.018162684522416</v>
      </c>
      <c r="K22" s="144"/>
      <c r="L22" s="140"/>
      <c r="M22" s="141"/>
      <c r="N22" s="142"/>
    </row>
    <row r="23" spans="1:14" s="45" customFormat="1" ht="15">
      <c r="A23" s="166">
        <v>20</v>
      </c>
      <c r="B23" s="79" t="s">
        <v>270</v>
      </c>
      <c r="C23" s="57">
        <v>39080</v>
      </c>
      <c r="D23" s="87" t="s">
        <v>211</v>
      </c>
      <c r="E23" s="87" t="s">
        <v>216</v>
      </c>
      <c r="F23" s="58">
        <v>56</v>
      </c>
      <c r="G23" s="58">
        <v>41</v>
      </c>
      <c r="H23" s="202">
        <v>2111897</v>
      </c>
      <c r="I23" s="207">
        <v>235382</v>
      </c>
      <c r="J23" s="104">
        <f>H23/I23</f>
        <v>8.972211129143265</v>
      </c>
      <c r="K23" s="139"/>
      <c r="L23" s="140"/>
      <c r="M23" s="141"/>
      <c r="N23" s="142"/>
    </row>
    <row r="24" spans="1:14" s="45" customFormat="1" ht="15">
      <c r="A24" s="166">
        <v>21</v>
      </c>
      <c r="B24" s="101" t="s">
        <v>198</v>
      </c>
      <c r="C24" s="57">
        <v>39122</v>
      </c>
      <c r="D24" s="212" t="s">
        <v>211</v>
      </c>
      <c r="E24" s="212" t="s">
        <v>218</v>
      </c>
      <c r="F24" s="97">
        <v>56</v>
      </c>
      <c r="G24" s="97">
        <v>23</v>
      </c>
      <c r="H24" s="202">
        <v>2102355</v>
      </c>
      <c r="I24" s="207">
        <v>232515</v>
      </c>
      <c r="J24" s="88">
        <f>+H24/I24</f>
        <v>9.041803754596478</v>
      </c>
      <c r="K24" s="143"/>
      <c r="L24" s="140"/>
      <c r="M24" s="141"/>
      <c r="N24" s="142"/>
    </row>
    <row r="25" spans="1:14" s="45" customFormat="1" ht="15">
      <c r="A25" s="166">
        <v>22</v>
      </c>
      <c r="B25" s="100" t="s">
        <v>226</v>
      </c>
      <c r="C25" s="56">
        <v>39157</v>
      </c>
      <c r="D25" s="213" t="s">
        <v>324</v>
      </c>
      <c r="E25" s="213" t="s">
        <v>318</v>
      </c>
      <c r="F25" s="85" t="s">
        <v>96</v>
      </c>
      <c r="G25" s="85" t="s">
        <v>155</v>
      </c>
      <c r="H25" s="203">
        <v>2059668</v>
      </c>
      <c r="I25" s="206">
        <v>276295</v>
      </c>
      <c r="J25" s="88">
        <f>+H25/I25</f>
        <v>7.45459744114081</v>
      </c>
      <c r="K25" s="139"/>
      <c r="L25" s="140"/>
      <c r="M25" s="141"/>
      <c r="N25" s="142"/>
    </row>
    <row r="26" spans="1:14" s="45" customFormat="1" ht="15">
      <c r="A26" s="166">
        <v>23</v>
      </c>
      <c r="B26" s="100" t="s">
        <v>227</v>
      </c>
      <c r="C26" s="56">
        <v>39143</v>
      </c>
      <c r="D26" s="213" t="s">
        <v>210</v>
      </c>
      <c r="E26" s="213" t="s">
        <v>223</v>
      </c>
      <c r="F26" s="85">
        <v>77</v>
      </c>
      <c r="G26" s="85">
        <v>14</v>
      </c>
      <c r="H26" s="203">
        <f>846616+621006+326134+78640+79015+27237+18411+3052+4329+471+1132+1440+324+287+1782</f>
        <v>2009876</v>
      </c>
      <c r="I26" s="206">
        <f>102037+74423+39219+11834+13028+5347+3640+1471+1553+157+248+240+54+510</f>
        <v>253761</v>
      </c>
      <c r="J26" s="88">
        <f>+H26/I26</f>
        <v>7.920350250826565</v>
      </c>
      <c r="K26" s="135"/>
      <c r="L26" s="136"/>
      <c r="M26" s="137"/>
      <c r="N26" s="138"/>
    </row>
    <row r="27" spans="1:14" s="45" customFormat="1" ht="15">
      <c r="A27" s="166">
        <v>24</v>
      </c>
      <c r="B27" s="79" t="s">
        <v>64</v>
      </c>
      <c r="C27" s="57">
        <v>39262</v>
      </c>
      <c r="D27" s="297" t="s">
        <v>212</v>
      </c>
      <c r="E27" s="63" t="s">
        <v>213</v>
      </c>
      <c r="F27" s="105">
        <v>78</v>
      </c>
      <c r="G27" s="58">
        <v>17</v>
      </c>
      <c r="H27" s="296">
        <f>739051+347868+263605+177344.5+97146+68797+30662+31663.5+3881.5+3316+4035+1380.5+2813.5+149+2357+5396.5+123</f>
        <v>1779589</v>
      </c>
      <c r="I27" s="60">
        <f>88667+41947+31866+21736+14597+11279+5210+7064+821+613+870+310+686+24+561+1349+30</f>
        <v>227630</v>
      </c>
      <c r="J27" s="88">
        <f>+H27/I27</f>
        <v>7.817901858278786</v>
      </c>
      <c r="K27" s="139"/>
      <c r="L27" s="140"/>
      <c r="M27" s="141"/>
      <c r="N27" s="142"/>
    </row>
    <row r="28" spans="1:14" s="45" customFormat="1" ht="15">
      <c r="A28" s="166">
        <v>25</v>
      </c>
      <c r="B28" s="100" t="s">
        <v>263</v>
      </c>
      <c r="C28" s="56">
        <v>39080</v>
      </c>
      <c r="D28" s="213" t="s">
        <v>210</v>
      </c>
      <c r="E28" s="213" t="s">
        <v>215</v>
      </c>
      <c r="F28" s="85">
        <v>80</v>
      </c>
      <c r="G28" s="85">
        <v>26</v>
      </c>
      <c r="H28" s="203">
        <f>1367+686114+384405+247619+146119+85619+63759-1+18934+11869+10791+11315+6907+8812+6730+2628+1465+749+1063+756+276+1198+612+510+45+1062+592+1782+205</f>
        <v>1703302</v>
      </c>
      <c r="I28" s="206">
        <f>80773+116+46317+29887+17891+10484+7685+2801+1917+1334+1333+755+1517+932+417+307+136+369+126+23+122+85+45+5+126+49+510+33</f>
        <v>206095</v>
      </c>
      <c r="J28" s="88">
        <f>+H28/I28</f>
        <v>8.26464494529222</v>
      </c>
      <c r="K28" s="139"/>
      <c r="L28" s="140"/>
      <c r="M28" s="141"/>
      <c r="N28" s="142"/>
    </row>
    <row r="29" spans="1:14" s="45" customFormat="1" ht="15">
      <c r="A29" s="166">
        <v>26</v>
      </c>
      <c r="B29" s="100" t="s">
        <v>309</v>
      </c>
      <c r="C29" s="56">
        <v>39164</v>
      </c>
      <c r="D29" s="213" t="s">
        <v>210</v>
      </c>
      <c r="E29" s="213" t="s">
        <v>345</v>
      </c>
      <c r="F29" s="85">
        <v>67</v>
      </c>
      <c r="G29" s="85">
        <v>18</v>
      </c>
      <c r="H29" s="203">
        <f>7213+744394+558705+271317+50816+12988+9955+3876+1748+6837+3019+2664+1805+1782+405+1466+3048+1197+2014+142</f>
        <v>1685391</v>
      </c>
      <c r="I29" s="206">
        <f>773+77628+58862+29936+6447+2076+1922+726+287+1913+534+636+361+297+81+288+527+268+200+28</f>
        <v>183790</v>
      </c>
      <c r="J29" s="104">
        <f>H29/I29</f>
        <v>9.170199684422439</v>
      </c>
      <c r="K29" s="143"/>
      <c r="L29" s="140"/>
      <c r="M29" s="141"/>
      <c r="N29" s="142"/>
    </row>
    <row r="30" spans="1:14" s="45" customFormat="1" ht="15">
      <c r="A30" s="166">
        <v>27</v>
      </c>
      <c r="B30" s="100" t="s">
        <v>195</v>
      </c>
      <c r="C30" s="56">
        <v>39115</v>
      </c>
      <c r="D30" s="213" t="s">
        <v>324</v>
      </c>
      <c r="E30" s="213" t="s">
        <v>196</v>
      </c>
      <c r="F30" s="85" t="s">
        <v>197</v>
      </c>
      <c r="G30" s="85" t="s">
        <v>295</v>
      </c>
      <c r="H30" s="203">
        <v>1681728</v>
      </c>
      <c r="I30" s="206">
        <v>236648</v>
      </c>
      <c r="J30" s="88">
        <f>+H30/I30</f>
        <v>7.106453466752307</v>
      </c>
      <c r="K30" s="145"/>
      <c r="L30" s="136"/>
      <c r="M30" s="141"/>
      <c r="N30" s="138"/>
    </row>
    <row r="31" spans="1:14" s="45" customFormat="1" ht="15">
      <c r="A31" s="166">
        <v>28</v>
      </c>
      <c r="B31" s="79" t="s">
        <v>161</v>
      </c>
      <c r="C31" s="57">
        <v>39129</v>
      </c>
      <c r="D31" s="87" t="s">
        <v>211</v>
      </c>
      <c r="E31" s="87" t="s">
        <v>102</v>
      </c>
      <c r="F31" s="58">
        <v>77</v>
      </c>
      <c r="G31" s="58">
        <v>33</v>
      </c>
      <c r="H31" s="202">
        <v>1557035</v>
      </c>
      <c r="I31" s="207">
        <v>199737</v>
      </c>
      <c r="J31" s="104">
        <f>H31/I31</f>
        <v>7.795425985170499</v>
      </c>
      <c r="K31" s="147"/>
      <c r="L31" s="148"/>
      <c r="M31" s="149"/>
      <c r="N31" s="150"/>
    </row>
    <row r="32" spans="1:14" s="45" customFormat="1" ht="15">
      <c r="A32" s="166">
        <v>29</v>
      </c>
      <c r="B32" s="100" t="s">
        <v>77</v>
      </c>
      <c r="C32" s="56">
        <v>39129</v>
      </c>
      <c r="D32" s="213" t="s">
        <v>204</v>
      </c>
      <c r="E32" s="213" t="s">
        <v>354</v>
      </c>
      <c r="F32" s="85">
        <v>113</v>
      </c>
      <c r="G32" s="85">
        <v>18</v>
      </c>
      <c r="H32" s="205">
        <v>1556995</v>
      </c>
      <c r="I32" s="207">
        <v>199297</v>
      </c>
      <c r="J32" s="81">
        <f>IF(H32&lt;&gt;0,H32/I32,"")</f>
        <v>7.812435711526014</v>
      </c>
      <c r="K32" s="139"/>
      <c r="L32" s="140"/>
      <c r="M32" s="141"/>
      <c r="N32" s="142"/>
    </row>
    <row r="33" spans="1:14" s="45" customFormat="1" ht="15">
      <c r="A33" s="166">
        <v>30</v>
      </c>
      <c r="B33" s="100" t="s">
        <v>312</v>
      </c>
      <c r="C33" s="56">
        <v>39164</v>
      </c>
      <c r="D33" s="213" t="s">
        <v>204</v>
      </c>
      <c r="E33" s="213" t="s">
        <v>222</v>
      </c>
      <c r="F33" s="85">
        <v>119</v>
      </c>
      <c r="G33" s="85">
        <v>26</v>
      </c>
      <c r="H33" s="205">
        <f>1463503.5+1774+208+20289+1136+123+3728+1281+565+311+129+80+136+123+1928+7469+133</f>
        <v>1502916.5</v>
      </c>
      <c r="I33" s="207">
        <f>193429+337+32+3321+216+18+619+252+110+56+19+12+21+18+377+1489+25</f>
        <v>200351</v>
      </c>
      <c r="J33" s="81">
        <f>IF(H33&lt;&gt;0,H33/I33,"")</f>
        <v>7.501417512265974</v>
      </c>
      <c r="K33" s="135"/>
      <c r="L33" s="136"/>
      <c r="M33" s="137"/>
      <c r="N33" s="138"/>
    </row>
    <row r="34" spans="1:14" s="45" customFormat="1" ht="15">
      <c r="A34" s="166">
        <v>31</v>
      </c>
      <c r="B34" s="100" t="s">
        <v>118</v>
      </c>
      <c r="C34" s="56">
        <v>39178</v>
      </c>
      <c r="D34" s="213" t="s">
        <v>209</v>
      </c>
      <c r="E34" s="213" t="s">
        <v>71</v>
      </c>
      <c r="F34" s="85">
        <v>55</v>
      </c>
      <c r="G34" s="85">
        <v>14</v>
      </c>
      <c r="H34" s="203">
        <v>1359102</v>
      </c>
      <c r="I34" s="206">
        <v>158968</v>
      </c>
      <c r="J34" s="88">
        <f>+H34/I34</f>
        <v>8.549531981279252</v>
      </c>
      <c r="K34" s="151"/>
      <c r="L34" s="140"/>
      <c r="M34" s="141"/>
      <c r="N34" s="142"/>
    </row>
    <row r="35" spans="1:14" s="45" customFormat="1" ht="15">
      <c r="A35" s="166">
        <v>32</v>
      </c>
      <c r="B35" s="100" t="s">
        <v>141</v>
      </c>
      <c r="C35" s="59">
        <v>39199</v>
      </c>
      <c r="D35" s="65" t="s">
        <v>217</v>
      </c>
      <c r="E35" s="65" t="s">
        <v>218</v>
      </c>
      <c r="F35" s="122">
        <v>82</v>
      </c>
      <c r="G35" s="122">
        <v>23</v>
      </c>
      <c r="H35" s="298">
        <v>1340812</v>
      </c>
      <c r="I35" s="60">
        <v>163425</v>
      </c>
      <c r="J35" s="88">
        <f>+H35/I35</f>
        <v>8.20444852378767</v>
      </c>
      <c r="K35" s="135"/>
      <c r="L35" s="136"/>
      <c r="M35" s="137"/>
      <c r="N35" s="138"/>
    </row>
    <row r="36" spans="1:14" s="45" customFormat="1" ht="15">
      <c r="A36" s="166">
        <v>33</v>
      </c>
      <c r="B36" s="79" t="s">
        <v>316</v>
      </c>
      <c r="C36" s="57">
        <v>39164</v>
      </c>
      <c r="D36" s="297" t="s">
        <v>212</v>
      </c>
      <c r="E36" s="63" t="s">
        <v>202</v>
      </c>
      <c r="F36" s="105">
        <v>40</v>
      </c>
      <c r="G36" s="58">
        <v>21</v>
      </c>
      <c r="H36" s="296">
        <f>452783.5+369193.5-156.5+194527+1+121223+68185+44103+34172+22942+14917.5+8850+442+640+288+669+1240+375+209+343+1510.5+190+346</f>
        <v>1336993.5</v>
      </c>
      <c r="I36" s="60">
        <f>49233+40219-14+22195+17046+12080+7513+6232+4202+2944+1792+103+141+59+129+216+75+59+110+378+47+86</f>
        <v>164845</v>
      </c>
      <c r="J36" s="88">
        <f>+H36/I36</f>
        <v>8.11060996693864</v>
      </c>
      <c r="K36" s="139"/>
      <c r="L36" s="140"/>
      <c r="M36" s="141"/>
      <c r="N36" s="142"/>
    </row>
    <row r="37" spans="1:14" s="45" customFormat="1" ht="15">
      <c r="A37" s="166">
        <v>34</v>
      </c>
      <c r="B37" s="100" t="s">
        <v>35</v>
      </c>
      <c r="C37" s="56">
        <v>39192</v>
      </c>
      <c r="D37" s="213" t="s">
        <v>210</v>
      </c>
      <c r="E37" s="213" t="s">
        <v>215</v>
      </c>
      <c r="F37" s="85">
        <v>71</v>
      </c>
      <c r="G37" s="85">
        <v>14</v>
      </c>
      <c r="H37" s="203">
        <f>650722+343253+182218+69965+35143+7805+4837+1724+2475+104+228+64+2609+1495+1782</f>
        <v>1304424</v>
      </c>
      <c r="I37" s="206">
        <f>69605+37920+20625+11182+6173+1433+1126+350+432+13+8+439+270+142</f>
        <v>149718</v>
      </c>
      <c r="J37" s="104">
        <f>H37/I37</f>
        <v>8.712539574399871</v>
      </c>
      <c r="K37" s="139"/>
      <c r="L37" s="140"/>
      <c r="M37" s="141"/>
      <c r="N37" s="142"/>
    </row>
    <row r="38" spans="1:14" s="45" customFormat="1" ht="15">
      <c r="A38" s="166">
        <v>35</v>
      </c>
      <c r="B38" s="78">
        <v>1408</v>
      </c>
      <c r="C38" s="56">
        <v>39353</v>
      </c>
      <c r="D38" s="62" t="s">
        <v>210</v>
      </c>
      <c r="E38" s="61" t="s">
        <v>149</v>
      </c>
      <c r="F38" s="105">
        <v>70</v>
      </c>
      <c r="G38" s="105">
        <v>4</v>
      </c>
      <c r="H38" s="294">
        <f>4996+501925+327556+377159+90246</f>
        <v>1301882</v>
      </c>
      <c r="I38" s="295">
        <f>474+55465+37494+43391+11622</f>
        <v>148446</v>
      </c>
      <c r="J38" s="88">
        <f>+H38/I38</f>
        <v>8.77007127170823</v>
      </c>
      <c r="K38" s="146"/>
      <c r="L38" s="140"/>
      <c r="M38" s="141"/>
      <c r="N38" s="142"/>
    </row>
    <row r="39" spans="1:14" s="45" customFormat="1" ht="15">
      <c r="A39" s="166">
        <v>36</v>
      </c>
      <c r="B39" s="78" t="s">
        <v>157</v>
      </c>
      <c r="C39" s="56">
        <v>39325</v>
      </c>
      <c r="D39" s="62" t="s">
        <v>210</v>
      </c>
      <c r="E39" s="61" t="s">
        <v>223</v>
      </c>
      <c r="F39" s="105">
        <v>66</v>
      </c>
      <c r="G39" s="105">
        <v>8</v>
      </c>
      <c r="H39" s="294">
        <f>525108+317924+194824+91268+68158+24888+33873+10231</f>
        <v>1266274</v>
      </c>
      <c r="I39" s="295">
        <f>59646+36998+22784+12130+10279+4690+6855+2156</f>
        <v>155538</v>
      </c>
      <c r="J39" s="88">
        <f>+H39/I39</f>
        <v>8.141251655543982</v>
      </c>
      <c r="K39" s="135"/>
      <c r="L39" s="136"/>
      <c r="M39" s="137"/>
      <c r="N39" s="138"/>
    </row>
    <row r="40" spans="1:14" s="45" customFormat="1" ht="15">
      <c r="A40" s="166">
        <v>37</v>
      </c>
      <c r="B40" s="79" t="s">
        <v>78</v>
      </c>
      <c r="C40" s="57">
        <v>39129</v>
      </c>
      <c r="D40" s="63" t="s">
        <v>29</v>
      </c>
      <c r="E40" s="63" t="s">
        <v>29</v>
      </c>
      <c r="F40" s="58">
        <v>43</v>
      </c>
      <c r="G40" s="58">
        <v>26</v>
      </c>
      <c r="H40" s="202">
        <f>384662.5+356262.5+212054+113636.5+58120+27335.5+24431+10836.5+5+6679.5+256+268+626+1136+6120+2414+331+435+2376+87+320+839+346+1074+5396+48+1510.5</f>
        <v>1217605.5</v>
      </c>
      <c r="I40" s="207">
        <f>44623+40340+24564+15320+9563+4723+4295+2247+1249+49+49+137+101+1023+439+51+87+594+18+64+173+62+179+1349+16+378</f>
        <v>151693</v>
      </c>
      <c r="J40" s="222">
        <f>H40/I40</f>
        <v>8.02677447212462</v>
      </c>
      <c r="K40" s="143"/>
      <c r="L40" s="140"/>
      <c r="M40" s="141"/>
      <c r="N40" s="142"/>
    </row>
    <row r="41" spans="1:14" s="45" customFormat="1" ht="15">
      <c r="A41" s="166">
        <v>38</v>
      </c>
      <c r="B41" s="100" t="s">
        <v>274</v>
      </c>
      <c r="C41" s="56">
        <v>39122</v>
      </c>
      <c r="D41" s="213" t="s">
        <v>210</v>
      </c>
      <c r="E41" s="213" t="s">
        <v>149</v>
      </c>
      <c r="F41" s="85">
        <v>60</v>
      </c>
      <c r="G41" s="85">
        <v>13</v>
      </c>
      <c r="H41" s="203">
        <f>532455+318401+212166+27739+39053+27412+18250+6211+1517+4378+709+213+341+272</f>
        <v>1189117</v>
      </c>
      <c r="I41" s="206">
        <f>62334+37213+25119+5045+7212+5675+4013+1372+298+882+145+45+46</f>
        <v>149399</v>
      </c>
      <c r="J41" s="88">
        <f>+H41/I41</f>
        <v>7.959337077222739</v>
      </c>
      <c r="K41" s="139"/>
      <c r="L41" s="140"/>
      <c r="M41" s="141"/>
      <c r="N41" s="142"/>
    </row>
    <row r="42" spans="1:14" s="45" customFormat="1" ht="15">
      <c r="A42" s="166">
        <v>39</v>
      </c>
      <c r="B42" s="79" t="s">
        <v>242</v>
      </c>
      <c r="C42" s="57">
        <v>39290</v>
      </c>
      <c r="D42" s="63" t="s">
        <v>212</v>
      </c>
      <c r="E42" s="63" t="s">
        <v>213</v>
      </c>
      <c r="F42" s="58">
        <v>80</v>
      </c>
      <c r="G42" s="58">
        <v>12</v>
      </c>
      <c r="H42" s="202">
        <f>506041+306658.5+167559.5+88992+42586+15088+11539.5+4969+1178+880+254+7562</f>
        <v>1153307.5</v>
      </c>
      <c r="I42" s="207">
        <f>62247+38008+20766+12756+6841+2734+2164+990+217+169+37+2270</f>
        <v>149199</v>
      </c>
      <c r="J42" s="226">
        <f>H42/I42</f>
        <v>7.7299948391075</v>
      </c>
      <c r="K42" s="143"/>
      <c r="L42" s="140"/>
      <c r="M42" s="141"/>
      <c r="N42" s="142"/>
    </row>
    <row r="43" spans="1:14" s="45" customFormat="1" ht="15">
      <c r="A43" s="166">
        <v>40</v>
      </c>
      <c r="B43" s="79" t="s">
        <v>110</v>
      </c>
      <c r="C43" s="57">
        <v>39367</v>
      </c>
      <c r="D43" s="63" t="s">
        <v>211</v>
      </c>
      <c r="E43" s="63" t="s">
        <v>216</v>
      </c>
      <c r="F43" s="58">
        <v>135</v>
      </c>
      <c r="G43" s="58">
        <v>2</v>
      </c>
      <c r="H43" s="296">
        <v>1126448</v>
      </c>
      <c r="I43" s="60">
        <v>125079</v>
      </c>
      <c r="J43" s="226">
        <f>H43/I43</f>
        <v>9.005892276081516</v>
      </c>
      <c r="K43" s="135"/>
      <c r="L43" s="136"/>
      <c r="M43" s="137"/>
      <c r="N43" s="138"/>
    </row>
    <row r="44" spans="1:14" s="45" customFormat="1" ht="15">
      <c r="A44" s="166">
        <v>41</v>
      </c>
      <c r="B44" s="78" t="s">
        <v>159</v>
      </c>
      <c r="C44" s="56">
        <v>39332</v>
      </c>
      <c r="D44" s="62" t="s">
        <v>210</v>
      </c>
      <c r="E44" s="61" t="s">
        <v>345</v>
      </c>
      <c r="F44" s="105">
        <v>61</v>
      </c>
      <c r="G44" s="105">
        <v>7</v>
      </c>
      <c r="H44" s="294">
        <f>4586+425313+281948+215272+108855+61192+11498+6315</f>
        <v>1114979</v>
      </c>
      <c r="I44" s="295">
        <f>231+41374+28212+21514+12293+8198+2273+1468</f>
        <v>115563</v>
      </c>
      <c r="J44" s="88">
        <f>+H44/I44</f>
        <v>9.648235161773233</v>
      </c>
      <c r="K44" s="145"/>
      <c r="L44" s="136"/>
      <c r="M44" s="137"/>
      <c r="N44" s="138"/>
    </row>
    <row r="45" spans="1:14" s="45" customFormat="1" ht="15">
      <c r="A45" s="166">
        <v>42</v>
      </c>
      <c r="B45" s="100" t="s">
        <v>251</v>
      </c>
      <c r="C45" s="56">
        <v>39185</v>
      </c>
      <c r="D45" s="213" t="s">
        <v>204</v>
      </c>
      <c r="E45" s="213" t="s">
        <v>128</v>
      </c>
      <c r="F45" s="85">
        <v>111</v>
      </c>
      <c r="G45" s="85">
        <v>21</v>
      </c>
      <c r="H45" s="205">
        <f>1098349+948+174</f>
        <v>1099471</v>
      </c>
      <c r="I45" s="207">
        <f>147474+174+34</f>
        <v>147682</v>
      </c>
      <c r="J45" s="81">
        <f>IF(H45&lt;&gt;0,H45/I45,"")</f>
        <v>7.444854484635907</v>
      </c>
      <c r="K45" s="143"/>
      <c r="L45" s="140"/>
      <c r="M45" s="141"/>
      <c r="N45" s="142"/>
    </row>
    <row r="46" spans="1:14" s="45" customFormat="1" ht="15">
      <c r="A46" s="166">
        <v>43</v>
      </c>
      <c r="B46" s="79" t="s">
        <v>315</v>
      </c>
      <c r="C46" s="57">
        <v>39171</v>
      </c>
      <c r="D46" s="87" t="s">
        <v>211</v>
      </c>
      <c r="E46" s="87" t="s">
        <v>214</v>
      </c>
      <c r="F46" s="58">
        <v>88</v>
      </c>
      <c r="G46" s="58">
        <v>27</v>
      </c>
      <c r="H46" s="202">
        <v>1096736</v>
      </c>
      <c r="I46" s="207">
        <v>143647</v>
      </c>
      <c r="J46" s="88">
        <f>+H46/I46</f>
        <v>7.634938425445711</v>
      </c>
      <c r="K46" s="135"/>
      <c r="L46" s="136"/>
      <c r="M46" s="137"/>
      <c r="N46" s="138"/>
    </row>
    <row r="47" spans="1:14" s="45" customFormat="1" ht="15">
      <c r="A47" s="166">
        <v>44</v>
      </c>
      <c r="B47" s="100" t="s">
        <v>275</v>
      </c>
      <c r="C47" s="56">
        <v>39199</v>
      </c>
      <c r="D47" s="213" t="s">
        <v>210</v>
      </c>
      <c r="E47" s="213" t="s">
        <v>345</v>
      </c>
      <c r="F47" s="85">
        <v>71</v>
      </c>
      <c r="G47" s="85">
        <v>14</v>
      </c>
      <c r="H47" s="203">
        <f>477094+269146+191489+78805+30168+28149+13445+2594+1355+1262+573+246+260+160</f>
        <v>1094746</v>
      </c>
      <c r="I47" s="206">
        <f>58610+34281+24961+13307+6081+5387+2553+553+253+256+102+44+45+27</f>
        <v>146460</v>
      </c>
      <c r="J47" s="88">
        <f>+H47/I47</f>
        <v>7.474709818380445</v>
      </c>
      <c r="K47" s="152"/>
      <c r="L47" s="136"/>
      <c r="M47" s="137"/>
      <c r="N47" s="138"/>
    </row>
    <row r="48" spans="1:14" s="45" customFormat="1" ht="15">
      <c r="A48" s="166">
        <v>45</v>
      </c>
      <c r="B48" s="100" t="s">
        <v>123</v>
      </c>
      <c r="C48" s="56">
        <v>39150</v>
      </c>
      <c r="D48" s="213" t="s">
        <v>209</v>
      </c>
      <c r="E48" s="213" t="s">
        <v>216</v>
      </c>
      <c r="F48" s="85" t="s">
        <v>273</v>
      </c>
      <c r="G48" s="85" t="s">
        <v>314</v>
      </c>
      <c r="H48" s="203">
        <v>1069644</v>
      </c>
      <c r="I48" s="206">
        <v>117582</v>
      </c>
      <c r="J48" s="81">
        <f>+H48/I48</f>
        <v>9.097004643567892</v>
      </c>
      <c r="K48" s="135"/>
      <c r="L48" s="136"/>
      <c r="M48" s="137"/>
      <c r="N48" s="138"/>
    </row>
    <row r="49" spans="1:14" s="45" customFormat="1" ht="15">
      <c r="A49" s="166">
        <v>46</v>
      </c>
      <c r="B49" s="79" t="s">
        <v>162</v>
      </c>
      <c r="C49" s="57">
        <v>39332</v>
      </c>
      <c r="D49" s="63" t="s">
        <v>211</v>
      </c>
      <c r="E49" s="63" t="s">
        <v>216</v>
      </c>
      <c r="F49" s="58">
        <v>112</v>
      </c>
      <c r="G49" s="58">
        <v>7</v>
      </c>
      <c r="H49" s="296">
        <v>1044231</v>
      </c>
      <c r="I49" s="60">
        <v>124273</v>
      </c>
      <c r="J49" s="226">
        <f>H49/I49</f>
        <v>8.40271820910415</v>
      </c>
      <c r="K49" s="143"/>
      <c r="L49" s="140"/>
      <c r="M49" s="141"/>
      <c r="N49" s="142"/>
    </row>
    <row r="50" spans="1:14" s="45" customFormat="1" ht="15">
      <c r="A50" s="166">
        <v>47</v>
      </c>
      <c r="B50" s="101" t="s">
        <v>348</v>
      </c>
      <c r="C50" s="57">
        <v>39101</v>
      </c>
      <c r="D50" s="212" t="s">
        <v>211</v>
      </c>
      <c r="E50" s="212" t="s">
        <v>349</v>
      </c>
      <c r="F50" s="97">
        <v>151</v>
      </c>
      <c r="G50" s="97">
        <v>19</v>
      </c>
      <c r="H50" s="202">
        <v>1037963</v>
      </c>
      <c r="I50" s="207">
        <v>149548</v>
      </c>
      <c r="J50" s="88">
        <f>+H50/I50</f>
        <v>6.940667879209351</v>
      </c>
      <c r="K50" s="143"/>
      <c r="L50" s="140"/>
      <c r="M50" s="141"/>
      <c r="N50" s="142"/>
    </row>
    <row r="51" spans="1:14" s="45" customFormat="1" ht="15">
      <c r="A51" s="166">
        <v>48</v>
      </c>
      <c r="B51" s="78" t="s">
        <v>163</v>
      </c>
      <c r="C51" s="56">
        <v>39318</v>
      </c>
      <c r="D51" s="62" t="s">
        <v>210</v>
      </c>
      <c r="E51" s="61" t="s">
        <v>215</v>
      </c>
      <c r="F51" s="105">
        <v>59</v>
      </c>
      <c r="G51" s="105">
        <v>9</v>
      </c>
      <c r="H51" s="294">
        <f>413233+229339+172851+79302+55415+41929+18796+12727+6318</f>
        <v>1029910</v>
      </c>
      <c r="I51" s="295">
        <f>46697+26429+20174+11471+9717+7475+3173+2283+1251</f>
        <v>128670</v>
      </c>
      <c r="J51" s="88">
        <f>+H51/I51</f>
        <v>8.004274500660605</v>
      </c>
      <c r="K51" s="143"/>
      <c r="L51" s="140"/>
      <c r="M51" s="141"/>
      <c r="N51" s="142"/>
    </row>
    <row r="52" spans="1:14" s="45" customFormat="1" ht="15">
      <c r="A52" s="166">
        <v>49</v>
      </c>
      <c r="B52" s="78" t="s">
        <v>105</v>
      </c>
      <c r="C52" s="56">
        <v>39360</v>
      </c>
      <c r="D52" s="61" t="s">
        <v>48</v>
      </c>
      <c r="E52" s="61" t="s">
        <v>153</v>
      </c>
      <c r="F52" s="105">
        <v>116</v>
      </c>
      <c r="G52" s="105">
        <v>3</v>
      </c>
      <c r="H52" s="299">
        <f>373787+510358+125428</f>
        <v>1009573</v>
      </c>
      <c r="I52" s="60">
        <f>44941+63729+16985</f>
        <v>125655</v>
      </c>
      <c r="J52" s="226">
        <f>H52/I52</f>
        <v>8.034483307468863</v>
      </c>
      <c r="K52" s="153"/>
      <c r="L52" s="136"/>
      <c r="M52" s="137"/>
      <c r="N52" s="138"/>
    </row>
    <row r="53" spans="1:14" s="45" customFormat="1" ht="15">
      <c r="A53" s="166">
        <v>50</v>
      </c>
      <c r="B53" s="100" t="s">
        <v>88</v>
      </c>
      <c r="C53" s="56">
        <v>39143</v>
      </c>
      <c r="D53" s="213" t="s">
        <v>324</v>
      </c>
      <c r="E53" s="213" t="s">
        <v>89</v>
      </c>
      <c r="F53" s="85" t="s">
        <v>90</v>
      </c>
      <c r="G53" s="85" t="s">
        <v>63</v>
      </c>
      <c r="H53" s="203">
        <v>993083</v>
      </c>
      <c r="I53" s="206">
        <v>162028</v>
      </c>
      <c r="J53" s="88">
        <f>+H53/I53</f>
        <v>6.129082627693979</v>
      </c>
      <c r="K53" s="143"/>
      <c r="L53" s="140"/>
      <c r="M53" s="141"/>
      <c r="N53" s="142"/>
    </row>
    <row r="54" spans="1:14" s="45" customFormat="1" ht="15">
      <c r="A54" s="166">
        <v>51</v>
      </c>
      <c r="B54" s="100" t="s">
        <v>124</v>
      </c>
      <c r="C54" s="56">
        <v>39143</v>
      </c>
      <c r="D54" s="213" t="s">
        <v>225</v>
      </c>
      <c r="E54" s="213" t="s">
        <v>146</v>
      </c>
      <c r="F54" s="85" t="s">
        <v>93</v>
      </c>
      <c r="G54" s="85" t="s">
        <v>167</v>
      </c>
      <c r="H54" s="203">
        <v>959675.5</v>
      </c>
      <c r="I54" s="206">
        <v>126388</v>
      </c>
      <c r="J54" s="88">
        <f>+H54/I54</f>
        <v>7.5930903250308575</v>
      </c>
      <c r="K54" s="135"/>
      <c r="L54" s="136"/>
      <c r="M54" s="137"/>
      <c r="N54" s="138"/>
    </row>
    <row r="55" spans="1:14" s="45" customFormat="1" ht="15">
      <c r="A55" s="166">
        <v>52</v>
      </c>
      <c r="B55" s="79" t="s">
        <v>104</v>
      </c>
      <c r="C55" s="57">
        <v>39360</v>
      </c>
      <c r="D55" s="63" t="s">
        <v>211</v>
      </c>
      <c r="E55" s="63" t="s">
        <v>218</v>
      </c>
      <c r="F55" s="58">
        <v>112</v>
      </c>
      <c r="G55" s="58">
        <v>3</v>
      </c>
      <c r="H55" s="296">
        <v>952302</v>
      </c>
      <c r="I55" s="60">
        <v>104160</v>
      </c>
      <c r="J55" s="226">
        <f>H55/I55</f>
        <v>9.142684331797234</v>
      </c>
      <c r="K55" s="135"/>
      <c r="L55" s="136"/>
      <c r="M55" s="137"/>
      <c r="N55" s="138"/>
    </row>
    <row r="56" spans="1:14" s="45" customFormat="1" ht="15">
      <c r="A56" s="166">
        <v>53</v>
      </c>
      <c r="B56" s="78" t="s">
        <v>276</v>
      </c>
      <c r="C56" s="56">
        <v>39143</v>
      </c>
      <c r="D56" s="82" t="s">
        <v>210</v>
      </c>
      <c r="E56" s="83" t="s">
        <v>215</v>
      </c>
      <c r="F56" s="105">
        <v>54</v>
      </c>
      <c r="G56" s="105">
        <v>16</v>
      </c>
      <c r="H56" s="203">
        <f>1045+424606+314397+136527+14322+9753+11781+12715+3934+5401+154+340+234+908+155+253+251+832</f>
        <v>937608</v>
      </c>
      <c r="I56" s="206">
        <f>101+45441+34072+15020+1890+1720+2914+2615+1258+764+31+68+177+31+43+44+70</f>
        <v>106259</v>
      </c>
      <c r="J56" s="88">
        <f>+H56/I56</f>
        <v>8.82379845471913</v>
      </c>
      <c r="K56" s="153"/>
      <c r="L56" s="136"/>
      <c r="M56" s="137"/>
      <c r="N56" s="138"/>
    </row>
    <row r="57" spans="1:14" s="45" customFormat="1" ht="15">
      <c r="A57" s="166">
        <v>54</v>
      </c>
      <c r="B57" s="101" t="s">
        <v>12</v>
      </c>
      <c r="C57" s="57">
        <v>39129</v>
      </c>
      <c r="D57" s="212" t="s">
        <v>211</v>
      </c>
      <c r="E57" s="212" t="s">
        <v>214</v>
      </c>
      <c r="F57" s="97">
        <v>39</v>
      </c>
      <c r="G57" s="97">
        <v>10</v>
      </c>
      <c r="H57" s="202">
        <v>906296</v>
      </c>
      <c r="I57" s="207">
        <v>96373</v>
      </c>
      <c r="J57" s="88">
        <f>+H57/I57</f>
        <v>9.404044701316758</v>
      </c>
      <c r="K57" s="135"/>
      <c r="L57" s="136"/>
      <c r="M57" s="137"/>
      <c r="N57" s="138"/>
    </row>
    <row r="58" spans="1:14" s="45" customFormat="1" ht="15">
      <c r="A58" s="166">
        <v>55</v>
      </c>
      <c r="B58" s="133" t="s">
        <v>111</v>
      </c>
      <c r="C58" s="98">
        <v>39367</v>
      </c>
      <c r="D58" s="208" t="s">
        <v>18</v>
      </c>
      <c r="E58" s="208" t="s">
        <v>45</v>
      </c>
      <c r="F58" s="199">
        <v>148</v>
      </c>
      <c r="G58" s="200">
        <v>2</v>
      </c>
      <c r="H58" s="300">
        <v>868579.5</v>
      </c>
      <c r="I58" s="301">
        <v>114667</v>
      </c>
      <c r="J58" s="226">
        <f>H58/I58</f>
        <v>7.574799201165113</v>
      </c>
      <c r="K58" s="135"/>
      <c r="L58" s="136"/>
      <c r="M58" s="137"/>
      <c r="N58" s="138"/>
    </row>
    <row r="59" spans="1:14" s="45" customFormat="1" ht="15">
      <c r="A59" s="166">
        <v>56</v>
      </c>
      <c r="B59" s="78" t="s">
        <v>101</v>
      </c>
      <c r="C59" s="56">
        <v>39360</v>
      </c>
      <c r="D59" s="62" t="s">
        <v>210</v>
      </c>
      <c r="E59" s="61" t="s">
        <v>345</v>
      </c>
      <c r="F59" s="105">
        <v>73</v>
      </c>
      <c r="G59" s="105">
        <v>3</v>
      </c>
      <c r="H59" s="294">
        <f>2527+398811+325917+116748</f>
        <v>844003</v>
      </c>
      <c r="I59" s="295">
        <f>228+40290+35016+12251</f>
        <v>87785</v>
      </c>
      <c r="J59" s="88">
        <f>+H59/I59</f>
        <v>9.614432989690721</v>
      </c>
      <c r="K59" s="135"/>
      <c r="L59" s="136"/>
      <c r="M59" s="137"/>
      <c r="N59" s="138"/>
    </row>
    <row r="60" spans="1:14" s="45" customFormat="1" ht="15">
      <c r="A60" s="166">
        <v>57</v>
      </c>
      <c r="B60" s="101" t="s">
        <v>278</v>
      </c>
      <c r="C60" s="57">
        <v>39178</v>
      </c>
      <c r="D60" s="213" t="s">
        <v>298</v>
      </c>
      <c r="E60" s="213" t="s">
        <v>299</v>
      </c>
      <c r="F60" s="85">
        <v>43</v>
      </c>
      <c r="G60" s="85" t="s">
        <v>176</v>
      </c>
      <c r="H60" s="202">
        <v>837114.1</v>
      </c>
      <c r="I60" s="207">
        <v>110304</v>
      </c>
      <c r="J60" s="88">
        <f>+H60/I60</f>
        <v>7.589154518421815</v>
      </c>
      <c r="K60" s="139"/>
      <c r="L60" s="140"/>
      <c r="M60" s="141"/>
      <c r="N60" s="142"/>
    </row>
    <row r="61" spans="1:14" s="45" customFormat="1" ht="15">
      <c r="A61" s="166">
        <v>58</v>
      </c>
      <c r="B61" s="79" t="s">
        <v>233</v>
      </c>
      <c r="C61" s="57">
        <v>39276</v>
      </c>
      <c r="D61" s="297" t="s">
        <v>212</v>
      </c>
      <c r="E61" s="63" t="s">
        <v>213</v>
      </c>
      <c r="F61" s="105">
        <v>40</v>
      </c>
      <c r="G61" s="58">
        <v>15</v>
      </c>
      <c r="H61" s="296">
        <f>242653.5+193762+151495+83180.5+49854.5+30897+20063.5+13929.5+13787.5+9568+4017.5+866+2197+3544.5+1901</f>
        <v>821717</v>
      </c>
      <c r="I61" s="60">
        <f>27897+22449+16491+10278+7875+5346+3281+2538+2373+1794+619+140+403+765+730</f>
        <v>102979</v>
      </c>
      <c r="J61" s="88">
        <f>+H61/I61</f>
        <v>7.979461832024005</v>
      </c>
      <c r="K61" s="152"/>
      <c r="L61" s="136"/>
      <c r="M61" s="137"/>
      <c r="N61" s="138"/>
    </row>
    <row r="62" spans="1:14" s="45" customFormat="1" ht="15">
      <c r="A62" s="166">
        <v>59</v>
      </c>
      <c r="B62" s="79" t="s">
        <v>32</v>
      </c>
      <c r="C62" s="57">
        <v>39311</v>
      </c>
      <c r="D62" s="63" t="s">
        <v>211</v>
      </c>
      <c r="E62" s="63" t="s">
        <v>211</v>
      </c>
      <c r="F62" s="58">
        <v>84</v>
      </c>
      <c r="G62" s="58">
        <v>10</v>
      </c>
      <c r="H62" s="296">
        <v>775354</v>
      </c>
      <c r="I62" s="60">
        <v>92830</v>
      </c>
      <c r="J62" s="226">
        <f>H62/I62</f>
        <v>8.35240762684477</v>
      </c>
      <c r="K62" s="144"/>
      <c r="L62" s="140"/>
      <c r="M62" s="141"/>
      <c r="N62" s="142"/>
    </row>
    <row r="63" spans="1:14" s="45" customFormat="1" ht="15">
      <c r="A63" s="166">
        <v>60</v>
      </c>
      <c r="B63" s="101" t="s">
        <v>145</v>
      </c>
      <c r="C63" s="57">
        <v>39080</v>
      </c>
      <c r="D63" s="212" t="s">
        <v>212</v>
      </c>
      <c r="E63" s="212" t="s">
        <v>213</v>
      </c>
      <c r="F63" s="97">
        <v>51</v>
      </c>
      <c r="G63" s="97">
        <v>21</v>
      </c>
      <c r="H63" s="202">
        <f>768444+275+609.5+79+702+40+1007</f>
        <v>771156.5</v>
      </c>
      <c r="I63" s="207">
        <f>94725+76+129+8+196+10+252</f>
        <v>95396</v>
      </c>
      <c r="J63" s="104">
        <f>H63/I63</f>
        <v>8.083740408402868</v>
      </c>
      <c r="K63" s="154"/>
      <c r="L63" s="136"/>
      <c r="M63" s="137"/>
      <c r="N63" s="138"/>
    </row>
    <row r="64" spans="1:14" s="45" customFormat="1" ht="15">
      <c r="A64" s="166">
        <v>61</v>
      </c>
      <c r="B64" s="101" t="s">
        <v>277</v>
      </c>
      <c r="C64" s="57">
        <v>39192</v>
      </c>
      <c r="D64" s="212" t="s">
        <v>29</v>
      </c>
      <c r="E64" s="212" t="s">
        <v>29</v>
      </c>
      <c r="F64" s="97">
        <v>79</v>
      </c>
      <c r="G64" s="97">
        <v>16</v>
      </c>
      <c r="H64" s="202">
        <f>407730+156171.5+87089+48964+29084+13173.5+8330+7579.5+805.5+1100+1464+3021+264+123+23</f>
        <v>764922</v>
      </c>
      <c r="I64" s="207">
        <f>48903+19527+11239+7709+5693+3389+1770+1751+250+248+325+755+88+19+3</f>
        <v>101669</v>
      </c>
      <c r="J64" s="81">
        <f>IF(H64&lt;&gt;0,H64/I64,"")</f>
        <v>7.523650276878891</v>
      </c>
      <c r="K64" s="139"/>
      <c r="L64" s="140"/>
      <c r="M64" s="141"/>
      <c r="N64" s="142"/>
    </row>
    <row r="65" spans="1:14" s="45" customFormat="1" ht="15">
      <c r="A65" s="166">
        <v>62</v>
      </c>
      <c r="B65" s="100" t="s">
        <v>313</v>
      </c>
      <c r="C65" s="56">
        <v>39094</v>
      </c>
      <c r="D65" s="213" t="s">
        <v>225</v>
      </c>
      <c r="E65" s="213" t="s">
        <v>146</v>
      </c>
      <c r="F65" s="85" t="s">
        <v>265</v>
      </c>
      <c r="G65" s="85" t="s">
        <v>63</v>
      </c>
      <c r="H65" s="203">
        <v>764699</v>
      </c>
      <c r="I65" s="206">
        <v>81868</v>
      </c>
      <c r="J65" s="88">
        <f>+H65/I65</f>
        <v>9.340633703034152</v>
      </c>
      <c r="K65" s="139"/>
      <c r="L65" s="140"/>
      <c r="M65" s="141"/>
      <c r="N65" s="142"/>
    </row>
    <row r="66" spans="1:14" s="45" customFormat="1" ht="15">
      <c r="A66" s="166">
        <v>63</v>
      </c>
      <c r="B66" s="101" t="s">
        <v>129</v>
      </c>
      <c r="C66" s="57">
        <v>39185</v>
      </c>
      <c r="D66" s="212" t="s">
        <v>211</v>
      </c>
      <c r="E66" s="212" t="s">
        <v>218</v>
      </c>
      <c r="F66" s="97">
        <v>55</v>
      </c>
      <c r="G66" s="97">
        <v>20</v>
      </c>
      <c r="H66" s="202">
        <v>712563</v>
      </c>
      <c r="I66" s="207">
        <v>85645</v>
      </c>
      <c r="J66" s="81">
        <f>IF(H66&lt;&gt;0,H66/I66,"")</f>
        <v>8.319960301243505</v>
      </c>
      <c r="K66" s="146"/>
      <c r="L66" s="140"/>
      <c r="M66" s="141"/>
      <c r="N66" s="142"/>
    </row>
    <row r="67" spans="1:14" s="45" customFormat="1" ht="15">
      <c r="A67" s="166">
        <v>64</v>
      </c>
      <c r="B67" s="79" t="s">
        <v>33</v>
      </c>
      <c r="C67" s="57">
        <v>39311</v>
      </c>
      <c r="D67" s="297" t="s">
        <v>212</v>
      </c>
      <c r="E67" s="63" t="s">
        <v>213</v>
      </c>
      <c r="F67" s="105">
        <v>51</v>
      </c>
      <c r="G67" s="58">
        <v>10</v>
      </c>
      <c r="H67" s="296">
        <f>307706+165406+101634+49698+32049.5+23376.5+11639-20+12239.5+6765.5+893</f>
        <v>711387</v>
      </c>
      <c r="I67" s="60">
        <f>37496+19653+12173+6929+5777+4291+2342-2+2292+1679+199</f>
        <v>92829</v>
      </c>
      <c r="J67" s="88">
        <f>+H67/I67</f>
        <v>7.663413372976118</v>
      </c>
      <c r="K67" s="147"/>
      <c r="L67" s="148"/>
      <c r="M67" s="149"/>
      <c r="N67" s="150"/>
    </row>
    <row r="68" spans="1:14" s="45" customFormat="1" ht="15">
      <c r="A68" s="166">
        <v>65</v>
      </c>
      <c r="B68" s="78" t="s">
        <v>325</v>
      </c>
      <c r="C68" s="56">
        <v>39297</v>
      </c>
      <c r="D68" s="62" t="s">
        <v>210</v>
      </c>
      <c r="E68" s="61" t="s">
        <v>215</v>
      </c>
      <c r="F68" s="105">
        <v>51</v>
      </c>
      <c r="G68" s="105">
        <v>12</v>
      </c>
      <c r="H68" s="294">
        <f>281080+182131+123214+30406+27098+21662+14107+7795+5519+3816+6498+1771</f>
        <v>705097</v>
      </c>
      <c r="I68" s="295">
        <f>31883+21094+14754+4546+4836+4070+2318+1360+917+566+1261+309</f>
        <v>87914</v>
      </c>
      <c r="J68" s="88">
        <f>+H68/I68</f>
        <v>8.02030393338945</v>
      </c>
      <c r="K68" s="139"/>
      <c r="L68" s="140"/>
      <c r="M68" s="141"/>
      <c r="N68" s="142"/>
    </row>
    <row r="69" spans="1:14" s="45" customFormat="1" ht="15">
      <c r="A69" s="166">
        <v>66</v>
      </c>
      <c r="B69" s="80" t="s">
        <v>13</v>
      </c>
      <c r="C69" s="56">
        <v>39220</v>
      </c>
      <c r="D69" s="84" t="s">
        <v>225</v>
      </c>
      <c r="E69" s="84" t="s">
        <v>146</v>
      </c>
      <c r="F69" s="106" t="s">
        <v>14</v>
      </c>
      <c r="G69" s="106" t="s">
        <v>10</v>
      </c>
      <c r="H69" s="203">
        <v>702126</v>
      </c>
      <c r="I69" s="206">
        <v>83574</v>
      </c>
      <c r="J69" s="88">
        <f>+H69/I69</f>
        <v>8.401249192332543</v>
      </c>
      <c r="K69" s="135"/>
      <c r="L69" s="136"/>
      <c r="M69" s="137"/>
      <c r="N69" s="138"/>
    </row>
    <row r="70" spans="1:14" s="45" customFormat="1" ht="15">
      <c r="A70" s="166">
        <v>67</v>
      </c>
      <c r="B70" s="100" t="s">
        <v>24</v>
      </c>
      <c r="C70" s="56">
        <v>39234</v>
      </c>
      <c r="D70" s="213" t="s">
        <v>209</v>
      </c>
      <c r="E70" s="213" t="s">
        <v>25</v>
      </c>
      <c r="F70" s="85">
        <v>77</v>
      </c>
      <c r="G70" s="85">
        <v>9</v>
      </c>
      <c r="H70" s="203">
        <v>675478</v>
      </c>
      <c r="I70" s="206">
        <v>76513</v>
      </c>
      <c r="J70" s="81">
        <f>+H70/I70</f>
        <v>8.82827754760629</v>
      </c>
      <c r="K70" s="143"/>
      <c r="L70" s="140"/>
      <c r="M70" s="141"/>
      <c r="N70" s="142"/>
    </row>
    <row r="71" spans="1:14" s="45" customFormat="1" ht="15">
      <c r="A71" s="166">
        <v>68</v>
      </c>
      <c r="B71" s="79" t="s">
        <v>326</v>
      </c>
      <c r="C71" s="57">
        <v>39297</v>
      </c>
      <c r="D71" s="63" t="s">
        <v>211</v>
      </c>
      <c r="E71" s="63" t="s">
        <v>218</v>
      </c>
      <c r="F71" s="58">
        <v>62</v>
      </c>
      <c r="G71" s="58">
        <v>11</v>
      </c>
      <c r="H71" s="202">
        <v>651249</v>
      </c>
      <c r="I71" s="207">
        <v>79883</v>
      </c>
      <c r="J71" s="226">
        <f>H71/I71</f>
        <v>8.152535583290563</v>
      </c>
      <c r="K71" s="135"/>
      <c r="L71" s="136"/>
      <c r="M71" s="137"/>
      <c r="N71" s="138"/>
    </row>
    <row r="72" spans="1:14" s="45" customFormat="1" ht="15">
      <c r="A72" s="166">
        <v>69</v>
      </c>
      <c r="B72" s="101" t="s">
        <v>228</v>
      </c>
      <c r="C72" s="57">
        <v>39150</v>
      </c>
      <c r="D72" s="212" t="s">
        <v>211</v>
      </c>
      <c r="E72" s="212" t="s">
        <v>223</v>
      </c>
      <c r="F72" s="97">
        <v>54</v>
      </c>
      <c r="G72" s="97">
        <v>20</v>
      </c>
      <c r="H72" s="202">
        <v>624311</v>
      </c>
      <c r="I72" s="207">
        <v>74378</v>
      </c>
      <c r="J72" s="88">
        <f>+H72/I72</f>
        <v>8.393758907203743</v>
      </c>
      <c r="K72" s="152"/>
      <c r="L72" s="155"/>
      <c r="M72" s="137"/>
      <c r="N72" s="138"/>
    </row>
    <row r="73" spans="1:14" s="45" customFormat="1" ht="15">
      <c r="A73" s="166">
        <v>70</v>
      </c>
      <c r="B73" s="100" t="s">
        <v>91</v>
      </c>
      <c r="C73" s="56">
        <v>39143</v>
      </c>
      <c r="D73" s="213" t="s">
        <v>324</v>
      </c>
      <c r="E73" s="213" t="s">
        <v>140</v>
      </c>
      <c r="F73" s="85" t="s">
        <v>92</v>
      </c>
      <c r="G73" s="85" t="s">
        <v>76</v>
      </c>
      <c r="H73" s="203">
        <v>592612.5</v>
      </c>
      <c r="I73" s="206">
        <v>81475</v>
      </c>
      <c r="J73" s="88">
        <f>+H73/I73</f>
        <v>7.273550168763425</v>
      </c>
      <c r="K73" s="135"/>
      <c r="L73" s="136"/>
      <c r="M73" s="137"/>
      <c r="N73" s="138"/>
    </row>
    <row r="74" spans="1:14" s="45" customFormat="1" ht="15">
      <c r="A74" s="166">
        <v>71</v>
      </c>
      <c r="B74" s="78" t="s">
        <v>58</v>
      </c>
      <c r="C74" s="56">
        <v>39255</v>
      </c>
      <c r="D74" s="62" t="s">
        <v>210</v>
      </c>
      <c r="E74" s="61" t="s">
        <v>215</v>
      </c>
      <c r="F74" s="105">
        <v>55</v>
      </c>
      <c r="G74" s="105">
        <v>16</v>
      </c>
      <c r="H74" s="203">
        <f>260034+143561+70552+30948+36753+23464+6132+1505+2257+3227+827+282+641+1076+703+300</f>
        <v>582262</v>
      </c>
      <c r="I74" s="206">
        <f>29412+16993+8626+5233+6470+4052+961+328+390+578+132+38+120+200+131+60</f>
        <v>73724</v>
      </c>
      <c r="J74" s="221">
        <f>+H74/I74</f>
        <v>7.897862297216646</v>
      </c>
      <c r="K74" s="156"/>
      <c r="L74" s="157"/>
      <c r="M74" s="158"/>
      <c r="N74" s="159"/>
    </row>
    <row r="75" spans="1:14" s="45" customFormat="1" ht="15">
      <c r="A75" s="166">
        <v>72</v>
      </c>
      <c r="B75" s="80" t="s">
        <v>16</v>
      </c>
      <c r="C75" s="57">
        <v>39220</v>
      </c>
      <c r="D75" s="64" t="s">
        <v>298</v>
      </c>
      <c r="E75" s="64" t="s">
        <v>221</v>
      </c>
      <c r="F75" s="302">
        <v>88</v>
      </c>
      <c r="G75" s="302">
        <v>22</v>
      </c>
      <c r="H75" s="294">
        <v>574927.5</v>
      </c>
      <c r="I75" s="295">
        <v>83779</v>
      </c>
      <c r="J75" s="226">
        <f>H75/I75</f>
        <v>6.862429725826281</v>
      </c>
      <c r="K75" s="139"/>
      <c r="L75" s="140"/>
      <c r="M75" s="141"/>
      <c r="N75" s="142"/>
    </row>
    <row r="76" spans="1:14" s="45" customFormat="1" ht="15">
      <c r="A76" s="166">
        <v>73</v>
      </c>
      <c r="B76" s="100" t="s">
        <v>80</v>
      </c>
      <c r="C76" s="57">
        <v>39136</v>
      </c>
      <c r="D76" s="213" t="s">
        <v>298</v>
      </c>
      <c r="E76" s="213" t="s">
        <v>221</v>
      </c>
      <c r="F76" s="85">
        <v>24</v>
      </c>
      <c r="G76" s="85" t="s">
        <v>295</v>
      </c>
      <c r="H76" s="203">
        <v>567673.5</v>
      </c>
      <c r="I76" s="206">
        <v>59009</v>
      </c>
      <c r="J76" s="88">
        <f>+H76/I76</f>
        <v>9.620117270246912</v>
      </c>
      <c r="K76" s="135"/>
      <c r="L76" s="136"/>
      <c r="M76" s="137"/>
      <c r="N76" s="138"/>
    </row>
    <row r="77" spans="1:14" s="45" customFormat="1" ht="15">
      <c r="A77" s="166">
        <v>74</v>
      </c>
      <c r="B77" s="101" t="s">
        <v>15</v>
      </c>
      <c r="C77" s="57">
        <v>39220</v>
      </c>
      <c r="D77" s="212" t="s">
        <v>211</v>
      </c>
      <c r="E77" s="212" t="s">
        <v>216</v>
      </c>
      <c r="F77" s="97">
        <v>55</v>
      </c>
      <c r="G77" s="97">
        <v>14</v>
      </c>
      <c r="H77" s="202">
        <v>565685</v>
      </c>
      <c r="I77" s="207">
        <v>68133</v>
      </c>
      <c r="J77" s="104">
        <f>H77/I77</f>
        <v>8.302658036487458</v>
      </c>
      <c r="K77" s="139"/>
      <c r="L77" s="140"/>
      <c r="M77" s="141"/>
      <c r="N77" s="142"/>
    </row>
    <row r="78" spans="1:14" s="45" customFormat="1" ht="15">
      <c r="A78" s="166">
        <v>75</v>
      </c>
      <c r="B78" s="80" t="s">
        <v>130</v>
      </c>
      <c r="C78" s="56">
        <v>39185</v>
      </c>
      <c r="D78" s="84" t="s">
        <v>324</v>
      </c>
      <c r="E78" s="84" t="s">
        <v>131</v>
      </c>
      <c r="F78" s="106" t="s">
        <v>132</v>
      </c>
      <c r="G78" s="106" t="s">
        <v>314</v>
      </c>
      <c r="H78" s="203">
        <v>558173.5</v>
      </c>
      <c r="I78" s="206">
        <v>75425</v>
      </c>
      <c r="J78" s="88">
        <f>+H78/I78</f>
        <v>7.400377858800133</v>
      </c>
      <c r="K78" s="153"/>
      <c r="L78" s="136"/>
      <c r="M78" s="137"/>
      <c r="N78" s="138"/>
    </row>
    <row r="79" spans="1:14" s="45" customFormat="1" ht="15">
      <c r="A79" s="166">
        <v>76</v>
      </c>
      <c r="B79" s="79" t="s">
        <v>188</v>
      </c>
      <c r="C79" s="57">
        <v>39157</v>
      </c>
      <c r="D79" s="87" t="s">
        <v>211</v>
      </c>
      <c r="E79" s="87" t="s">
        <v>223</v>
      </c>
      <c r="F79" s="58">
        <v>69</v>
      </c>
      <c r="G79" s="58">
        <v>29</v>
      </c>
      <c r="H79" s="202">
        <v>548756</v>
      </c>
      <c r="I79" s="207">
        <v>68267</v>
      </c>
      <c r="J79" s="104">
        <f>H79/I79</f>
        <v>8.038378718853911</v>
      </c>
      <c r="K79" s="135"/>
      <c r="L79" s="136"/>
      <c r="M79" s="137"/>
      <c r="N79" s="138"/>
    </row>
    <row r="80" spans="1:14" s="45" customFormat="1" ht="15">
      <c r="A80" s="166">
        <v>77</v>
      </c>
      <c r="B80" s="79" t="s">
        <v>187</v>
      </c>
      <c r="C80" s="57">
        <v>39339</v>
      </c>
      <c r="D80" s="63" t="s">
        <v>211</v>
      </c>
      <c r="E80" s="63" t="s">
        <v>216</v>
      </c>
      <c r="F80" s="58">
        <v>58</v>
      </c>
      <c r="G80" s="58">
        <v>5</v>
      </c>
      <c r="H80" s="296">
        <v>537002</v>
      </c>
      <c r="I80" s="60">
        <v>60935</v>
      </c>
      <c r="J80" s="226">
        <f>H80/I80</f>
        <v>8.812702059571675</v>
      </c>
      <c r="K80" s="135"/>
      <c r="L80" s="136"/>
      <c r="M80" s="137"/>
      <c r="N80" s="138"/>
    </row>
    <row r="81" spans="1:14" s="45" customFormat="1" ht="15">
      <c r="A81" s="166">
        <v>78</v>
      </c>
      <c r="B81" s="78" t="s">
        <v>169</v>
      </c>
      <c r="C81" s="56">
        <v>39339</v>
      </c>
      <c r="D81" s="62" t="s">
        <v>210</v>
      </c>
      <c r="E81" s="61" t="s">
        <v>345</v>
      </c>
      <c r="F81" s="105">
        <v>45</v>
      </c>
      <c r="G81" s="105">
        <v>6</v>
      </c>
      <c r="H81" s="294">
        <f>234558+153934+87159+20869+12631+2511</f>
        <v>511662</v>
      </c>
      <c r="I81" s="295">
        <f>23186+15470+9409+3005+2107+513</f>
        <v>53690</v>
      </c>
      <c r="J81" s="88">
        <f>+H81/I81</f>
        <v>9.52993108586329</v>
      </c>
      <c r="K81" s="145"/>
      <c r="L81" s="136"/>
      <c r="M81" s="137"/>
      <c r="N81" s="138"/>
    </row>
    <row r="82" spans="1:14" s="45" customFormat="1" ht="15">
      <c r="A82" s="166">
        <v>79</v>
      </c>
      <c r="B82" s="79" t="s">
        <v>170</v>
      </c>
      <c r="C82" s="57">
        <v>39339</v>
      </c>
      <c r="D82" s="63" t="s">
        <v>211</v>
      </c>
      <c r="E82" s="63" t="s">
        <v>57</v>
      </c>
      <c r="F82" s="58">
        <v>71</v>
      </c>
      <c r="G82" s="58">
        <v>6</v>
      </c>
      <c r="H82" s="296">
        <v>503131</v>
      </c>
      <c r="I82" s="60">
        <v>54463</v>
      </c>
      <c r="J82" s="226">
        <f>H82/I82</f>
        <v>9.238033160127058</v>
      </c>
      <c r="K82" s="145"/>
      <c r="L82" s="136"/>
      <c r="M82" s="137"/>
      <c r="N82" s="138"/>
    </row>
    <row r="83" spans="1:14" s="45" customFormat="1" ht="15">
      <c r="A83" s="166">
        <v>80</v>
      </c>
      <c r="B83" s="78" t="s">
        <v>292</v>
      </c>
      <c r="C83" s="56">
        <v>39248</v>
      </c>
      <c r="D83" s="62" t="s">
        <v>210</v>
      </c>
      <c r="E83" s="61" t="s">
        <v>149</v>
      </c>
      <c r="F83" s="105">
        <v>40</v>
      </c>
      <c r="G83" s="105">
        <v>14</v>
      </c>
      <c r="H83" s="203">
        <f>212978+130834+73437+13970+25870+15895+17337+3720+965+3332+1036+637+380+420</f>
        <v>500811</v>
      </c>
      <c r="I83" s="206">
        <f>23206+14008+7879+2315+4428+2673+2724+635+130+408+180+206+64+81</f>
        <v>58937</v>
      </c>
      <c r="J83" s="221">
        <f>+H83/I83</f>
        <v>8.497395524034138</v>
      </c>
      <c r="K83" s="160"/>
      <c r="L83" s="148"/>
      <c r="M83" s="149"/>
      <c r="N83" s="150"/>
    </row>
    <row r="84" spans="1:14" s="45" customFormat="1" ht="15">
      <c r="A84" s="166">
        <v>81</v>
      </c>
      <c r="B84" s="101" t="s">
        <v>247</v>
      </c>
      <c r="C84" s="57">
        <v>39220</v>
      </c>
      <c r="D84" s="212" t="s">
        <v>212</v>
      </c>
      <c r="E84" s="212" t="s">
        <v>213</v>
      </c>
      <c r="F84" s="97">
        <v>40</v>
      </c>
      <c r="G84" s="97">
        <v>19</v>
      </c>
      <c r="H84" s="202">
        <f>217267.5+100292+49077.5+44685+35150+18710.5+12899+5642+272+1169+980+531+744+567+230+347+317+427+755+527</f>
        <v>490589.5</v>
      </c>
      <c r="I84" s="207">
        <f>28138+13039+7060+8163+6959+3799+2408+1118+91+214+194+106+141+122+51+72+68+90+263+125</f>
        <v>72221</v>
      </c>
      <c r="J84" s="81">
        <f>IF(H84&lt;&gt;0,H84/I84,"")</f>
        <v>6.79289264895252</v>
      </c>
      <c r="K84" s="154"/>
      <c r="L84" s="136"/>
      <c r="M84" s="137"/>
      <c r="N84" s="138"/>
    </row>
    <row r="85" spans="1:14" s="45" customFormat="1" ht="15">
      <c r="A85" s="166">
        <v>82</v>
      </c>
      <c r="B85" s="80" t="s">
        <v>234</v>
      </c>
      <c r="C85" s="56">
        <v>39276</v>
      </c>
      <c r="D85" s="64" t="s">
        <v>225</v>
      </c>
      <c r="E85" s="64" t="s">
        <v>146</v>
      </c>
      <c r="F85" s="106" t="s">
        <v>14</v>
      </c>
      <c r="G85" s="106" t="s">
        <v>63</v>
      </c>
      <c r="H85" s="203">
        <v>485260</v>
      </c>
      <c r="I85" s="206">
        <v>60420</v>
      </c>
      <c r="J85" s="222">
        <f>H85/I85</f>
        <v>8.031446540880504</v>
      </c>
      <c r="K85" s="135"/>
      <c r="L85" s="136"/>
      <c r="M85" s="137"/>
      <c r="N85" s="138"/>
    </row>
    <row r="86" spans="1:14" s="45" customFormat="1" ht="15">
      <c r="A86" s="166">
        <v>83</v>
      </c>
      <c r="B86" s="101" t="s">
        <v>200</v>
      </c>
      <c r="C86" s="57">
        <v>39122</v>
      </c>
      <c r="D86" s="212" t="s">
        <v>212</v>
      </c>
      <c r="E86" s="212" t="s">
        <v>201</v>
      </c>
      <c r="F86" s="97">
        <v>62</v>
      </c>
      <c r="G86" s="97">
        <v>12</v>
      </c>
      <c r="H86" s="202">
        <f>248079.5+111544+46796.5+33721+12773.5+2847+2803.5+837+152+16+141+14</f>
        <v>459725</v>
      </c>
      <c r="I86" s="207">
        <f>36414+17429+7900+6638+2650+617+552+177+17+2+39+2</f>
        <v>72437</v>
      </c>
      <c r="J86" s="81">
        <f>+H86/I86</f>
        <v>6.346549415354032</v>
      </c>
      <c r="K86" s="143"/>
      <c r="L86" s="140"/>
      <c r="M86" s="141"/>
      <c r="N86" s="142"/>
    </row>
    <row r="87" spans="1:14" s="45" customFormat="1" ht="15">
      <c r="A87" s="166">
        <v>84</v>
      </c>
      <c r="B87" s="101" t="s">
        <v>7</v>
      </c>
      <c r="C87" s="57">
        <v>39213</v>
      </c>
      <c r="D87" s="212" t="s">
        <v>211</v>
      </c>
      <c r="E87" s="212" t="s">
        <v>218</v>
      </c>
      <c r="F87" s="97">
        <v>55</v>
      </c>
      <c r="G87" s="97">
        <v>13</v>
      </c>
      <c r="H87" s="202">
        <v>457684</v>
      </c>
      <c r="I87" s="207">
        <v>54367</v>
      </c>
      <c r="J87" s="88">
        <f>+H87/I87</f>
        <v>8.418415582982323</v>
      </c>
      <c r="K87" s="143"/>
      <c r="L87" s="140"/>
      <c r="M87" s="141"/>
      <c r="N87" s="142"/>
    </row>
    <row r="88" spans="1:14" s="45" customFormat="1" ht="15">
      <c r="A88" s="166">
        <v>85</v>
      </c>
      <c r="B88" s="100" t="s">
        <v>120</v>
      </c>
      <c r="C88" s="56">
        <v>39178</v>
      </c>
      <c r="D88" s="213" t="s">
        <v>210</v>
      </c>
      <c r="E88" s="213" t="s">
        <v>121</v>
      </c>
      <c r="F88" s="85">
        <v>34</v>
      </c>
      <c r="G88" s="85">
        <v>18</v>
      </c>
      <c r="H88" s="203">
        <f>223196+134862+40207+12529+4197+8039+12995+1857+190+734+546+105+305+290+1576+669+264+261</f>
        <v>442822</v>
      </c>
      <c r="I88" s="206">
        <f>21768+13324+4159+1744+536+1050+1869+290+19+151+118+21+57+45+375+107+37+34</f>
        <v>45704</v>
      </c>
      <c r="J88" s="88">
        <f>+H88/I88</f>
        <v>9.688911255032382</v>
      </c>
      <c r="K88" s="135"/>
      <c r="L88" s="136"/>
      <c r="M88" s="137"/>
      <c r="N88" s="138"/>
    </row>
    <row r="89" spans="1:14" s="45" customFormat="1" ht="15">
      <c r="A89" s="166">
        <v>86</v>
      </c>
      <c r="B89" s="101" t="s">
        <v>267</v>
      </c>
      <c r="C89" s="57">
        <v>39094</v>
      </c>
      <c r="D89" s="212" t="s">
        <v>298</v>
      </c>
      <c r="E89" s="212" t="s">
        <v>221</v>
      </c>
      <c r="F89" s="97">
        <v>42</v>
      </c>
      <c r="G89" s="97">
        <v>26</v>
      </c>
      <c r="H89" s="202">
        <f>116992.5+114120.5+59552+32990+22575.5+13689.5+13072.5+9182.5+12776+9530.5+3684.5+1508.5+3567.5+3012.5+8292+499.5+1292.5+1740.5+650.5+1541+1419+3053+2578+90+1218+2148</f>
        <v>440776.5</v>
      </c>
      <c r="I89" s="207">
        <f>13983+14934+8576+5091+3923+2713+2832+1841+2655+2061+838+293+873+585+1915+133+388+451+159+378+505+759+525+15+302+525</f>
        <v>67253</v>
      </c>
      <c r="J89" s="216">
        <f>H89/I89</f>
        <v>6.554005025798106</v>
      </c>
      <c r="K89" s="135"/>
      <c r="L89" s="136"/>
      <c r="M89" s="137"/>
      <c r="N89" s="138"/>
    </row>
    <row r="90" spans="1:14" s="45" customFormat="1" ht="15">
      <c r="A90" s="166">
        <v>87</v>
      </c>
      <c r="B90" s="78" t="s">
        <v>17</v>
      </c>
      <c r="C90" s="56">
        <v>39220</v>
      </c>
      <c r="D90" s="62" t="s">
        <v>210</v>
      </c>
      <c r="E90" s="61" t="s">
        <v>345</v>
      </c>
      <c r="F90" s="105">
        <v>28</v>
      </c>
      <c r="G90" s="105">
        <v>14</v>
      </c>
      <c r="H90" s="294">
        <f>224258+97645+43916+21186+15004+5922+10170+4031+2014+5747+1976+1917+487+595</f>
        <v>434868</v>
      </c>
      <c r="I90" s="295">
        <f>21977+9749+4484+3258+2503+1123+1870+694+469+1035+310+256+98+128</f>
        <v>47954</v>
      </c>
      <c r="J90" s="88">
        <f>+H90/I90</f>
        <v>9.068440588897694</v>
      </c>
      <c r="K90" s="139"/>
      <c r="L90" s="140"/>
      <c r="M90" s="141"/>
      <c r="N90" s="142"/>
    </row>
    <row r="91" spans="1:14" s="45" customFormat="1" ht="15">
      <c r="A91" s="166">
        <v>88</v>
      </c>
      <c r="B91" s="78" t="s">
        <v>179</v>
      </c>
      <c r="C91" s="56">
        <v>39346</v>
      </c>
      <c r="D91" s="62" t="s">
        <v>210</v>
      </c>
      <c r="E91" s="61" t="s">
        <v>223</v>
      </c>
      <c r="F91" s="105">
        <v>66</v>
      </c>
      <c r="G91" s="105">
        <v>5</v>
      </c>
      <c r="H91" s="294">
        <f>232782+118124+45227+14221+13354</f>
        <v>423708</v>
      </c>
      <c r="I91" s="295">
        <f>25367+13380+5415+2341+2380</f>
        <v>48883</v>
      </c>
      <c r="J91" s="88">
        <f>+H91/I91</f>
        <v>8.667798621197553</v>
      </c>
      <c r="K91" s="139"/>
      <c r="L91" s="140"/>
      <c r="M91" s="141"/>
      <c r="N91" s="142"/>
    </row>
    <row r="92" spans="1:14" s="45" customFormat="1" ht="15">
      <c r="A92" s="166">
        <v>89</v>
      </c>
      <c r="B92" s="79" t="s">
        <v>158</v>
      </c>
      <c r="C92" s="57">
        <v>39325</v>
      </c>
      <c r="D92" s="297" t="s">
        <v>212</v>
      </c>
      <c r="E92" s="63" t="s">
        <v>219</v>
      </c>
      <c r="F92" s="105">
        <v>41</v>
      </c>
      <c r="G92" s="58">
        <v>8</v>
      </c>
      <c r="H92" s="296">
        <f>134878+121098+57423.5+36002.5+21899.5+24766+21116+4712</f>
        <v>421895.5</v>
      </c>
      <c r="I92" s="60">
        <f>16294+14776+7255+5972+3786+4702+3853+904</f>
        <v>57542</v>
      </c>
      <c r="J92" s="88">
        <f>+H92/I92</f>
        <v>7.331957526676167</v>
      </c>
      <c r="K92" s="143"/>
      <c r="L92" s="140"/>
      <c r="M92" s="141"/>
      <c r="N92" s="142"/>
    </row>
    <row r="93" spans="1:14" s="45" customFormat="1" ht="15">
      <c r="A93" s="166">
        <v>90</v>
      </c>
      <c r="B93" s="100" t="s">
        <v>279</v>
      </c>
      <c r="C93" s="56">
        <v>39171</v>
      </c>
      <c r="D93" s="213" t="s">
        <v>210</v>
      </c>
      <c r="E93" s="213" t="s">
        <v>317</v>
      </c>
      <c r="F93" s="85">
        <v>68</v>
      </c>
      <c r="G93" s="85">
        <v>14</v>
      </c>
      <c r="H93" s="203">
        <f>270988+95442+28855+5671+6953+2961+2297+922+5539+45+60+55+479+219</f>
        <v>420486</v>
      </c>
      <c r="I93" s="206">
        <f>33356+12721+4525+974+2138+1073+527+197+1579+9+12+11+93+43</f>
        <v>57258</v>
      </c>
      <c r="J93" s="88">
        <f>+H93/I93</f>
        <v>7.343707429529498</v>
      </c>
      <c r="K93" s="135"/>
      <c r="L93" s="136"/>
      <c r="M93" s="137"/>
      <c r="N93" s="138"/>
    </row>
    <row r="94" spans="1:14" s="45" customFormat="1" ht="15">
      <c r="A94" s="166">
        <v>91</v>
      </c>
      <c r="B94" s="101" t="s">
        <v>85</v>
      </c>
      <c r="C94" s="57">
        <v>39136</v>
      </c>
      <c r="D94" s="212" t="s">
        <v>212</v>
      </c>
      <c r="E94" s="212" t="s">
        <v>303</v>
      </c>
      <c r="F94" s="97">
        <v>50</v>
      </c>
      <c r="G94" s="97">
        <v>17</v>
      </c>
      <c r="H94" s="202">
        <f>176703.5+117666.5+55649.5-153+26033.5+13075.5+7867.5+4158.5+2675.5+853+2376+1975+1335+1510.5+822+87</f>
        <v>412635.5</v>
      </c>
      <c r="I94" s="207">
        <f>23632+15507+7944-13+4855+2498+1683+890+562+202+475+395+267+302+90+13</f>
        <v>59302</v>
      </c>
      <c r="J94" s="81">
        <f>+H94/I94</f>
        <v>6.958205456814273</v>
      </c>
      <c r="K94" s="146"/>
      <c r="L94" s="140"/>
      <c r="M94" s="141"/>
      <c r="N94" s="142"/>
    </row>
    <row r="95" spans="1:14" s="45" customFormat="1" ht="15">
      <c r="A95" s="166">
        <v>92</v>
      </c>
      <c r="B95" s="100" t="s">
        <v>280</v>
      </c>
      <c r="C95" s="59">
        <v>39234</v>
      </c>
      <c r="D95" s="65" t="s">
        <v>217</v>
      </c>
      <c r="E95" s="65" t="s">
        <v>87</v>
      </c>
      <c r="F95" s="122">
        <v>50</v>
      </c>
      <c r="G95" s="122">
        <v>16</v>
      </c>
      <c r="H95" s="204">
        <v>409347</v>
      </c>
      <c r="I95" s="207">
        <v>54349</v>
      </c>
      <c r="J95" s="226">
        <f>H95/I95</f>
        <v>7.531822112642367</v>
      </c>
      <c r="K95" s="143"/>
      <c r="L95" s="140"/>
      <c r="M95" s="141"/>
      <c r="N95" s="142"/>
    </row>
    <row r="96" spans="1:14" s="45" customFormat="1" ht="15">
      <c r="A96" s="166">
        <v>93</v>
      </c>
      <c r="B96" s="100" t="s">
        <v>79</v>
      </c>
      <c r="C96" s="56">
        <v>39129</v>
      </c>
      <c r="D96" s="213" t="s">
        <v>210</v>
      </c>
      <c r="E96" s="213" t="s">
        <v>223</v>
      </c>
      <c r="F96" s="85">
        <v>22</v>
      </c>
      <c r="G96" s="85">
        <v>14</v>
      </c>
      <c r="H96" s="203">
        <f>3941+185955+159407+21968+1379+3205+2474+5929+6445+9026+4774+160+346+2791+350</f>
        <v>408150</v>
      </c>
      <c r="I96" s="206">
        <f>412+17684+15175+2098+198+760+464+1876+1042+1568+843+16+48+375+117</f>
        <v>42676</v>
      </c>
      <c r="J96" s="88">
        <f>+H96/I96</f>
        <v>9.563923516730716</v>
      </c>
      <c r="K96" s="161"/>
      <c r="L96" s="162"/>
      <c r="M96" s="163"/>
      <c r="N96" s="164"/>
    </row>
    <row r="97" spans="1:14" s="45" customFormat="1" ht="15">
      <c r="A97" s="166">
        <v>94</v>
      </c>
      <c r="B97" s="78" t="s">
        <v>327</v>
      </c>
      <c r="C97" s="56">
        <v>39297</v>
      </c>
      <c r="D97" s="61" t="s">
        <v>204</v>
      </c>
      <c r="E97" s="61" t="s">
        <v>328</v>
      </c>
      <c r="F97" s="105">
        <v>40</v>
      </c>
      <c r="G97" s="105">
        <v>11</v>
      </c>
      <c r="H97" s="205">
        <f>157880+96709+57038.5+25312+25384.5+16027+5836.5+1144+690+950+1149</f>
        <v>388120.5</v>
      </c>
      <c r="I97" s="207">
        <f>18304+11544+7841+4081+4291+2725+881+225+137+134+233</f>
        <v>50396</v>
      </c>
      <c r="J97" s="226">
        <f>H97/I97</f>
        <v>7.701414794824986</v>
      </c>
      <c r="K97" s="153"/>
      <c r="L97" s="136"/>
      <c r="M97" s="137"/>
      <c r="N97" s="138"/>
    </row>
    <row r="98" spans="1:14" s="45" customFormat="1" ht="15">
      <c r="A98" s="166">
        <v>95</v>
      </c>
      <c r="B98" s="79" t="s">
        <v>59</v>
      </c>
      <c r="C98" s="57">
        <v>39255</v>
      </c>
      <c r="D98" s="63" t="s">
        <v>211</v>
      </c>
      <c r="E98" s="63" t="s">
        <v>57</v>
      </c>
      <c r="F98" s="58">
        <v>66</v>
      </c>
      <c r="G98" s="58">
        <v>18</v>
      </c>
      <c r="H98" s="296">
        <v>384427</v>
      </c>
      <c r="I98" s="60">
        <v>44288</v>
      </c>
      <c r="J98" s="226">
        <f>H98/I98</f>
        <v>8.680161669075144</v>
      </c>
      <c r="K98" s="135"/>
      <c r="L98" s="136"/>
      <c r="M98" s="137"/>
      <c r="N98" s="138"/>
    </row>
    <row r="99" spans="1:14" s="45" customFormat="1" ht="15">
      <c r="A99" s="166">
        <v>96</v>
      </c>
      <c r="B99" s="79" t="s">
        <v>133</v>
      </c>
      <c r="C99" s="57">
        <v>39185</v>
      </c>
      <c r="D99" s="84" t="s">
        <v>225</v>
      </c>
      <c r="E99" s="87" t="s">
        <v>146</v>
      </c>
      <c r="F99" s="58">
        <v>42</v>
      </c>
      <c r="G99" s="58">
        <v>15</v>
      </c>
      <c r="H99" s="202">
        <v>383134</v>
      </c>
      <c r="I99" s="207">
        <v>40897</v>
      </c>
      <c r="J99" s="81">
        <f aca="true" t="shared" si="0" ref="J99:J105">+H99/I99</f>
        <v>9.368266621023547</v>
      </c>
      <c r="K99" s="165"/>
      <c r="L99" s="148"/>
      <c r="M99" s="149"/>
      <c r="N99" s="150"/>
    </row>
    <row r="100" spans="1:14" s="45" customFormat="1" ht="15">
      <c r="A100" s="166">
        <v>97</v>
      </c>
      <c r="B100" s="78" t="s">
        <v>112</v>
      </c>
      <c r="C100" s="56">
        <v>39367</v>
      </c>
      <c r="D100" s="62" t="s">
        <v>210</v>
      </c>
      <c r="E100" s="61" t="s">
        <v>223</v>
      </c>
      <c r="F100" s="105">
        <v>65</v>
      </c>
      <c r="G100" s="105">
        <v>2</v>
      </c>
      <c r="H100" s="294">
        <f>245364+117352</f>
        <v>362716</v>
      </c>
      <c r="I100" s="295">
        <f>25488+12615</f>
        <v>38103</v>
      </c>
      <c r="J100" s="88">
        <f t="shared" si="0"/>
        <v>9.519355431330867</v>
      </c>
      <c r="K100" s="135"/>
      <c r="L100" s="136"/>
      <c r="M100" s="137"/>
      <c r="N100" s="138"/>
    </row>
    <row r="101" spans="1:14" s="45" customFormat="1" ht="15">
      <c r="A101" s="166">
        <v>98</v>
      </c>
      <c r="B101" s="78" t="s">
        <v>43</v>
      </c>
      <c r="C101" s="56">
        <v>39374</v>
      </c>
      <c r="D101" s="62" t="s">
        <v>210</v>
      </c>
      <c r="E101" s="61" t="s">
        <v>345</v>
      </c>
      <c r="F101" s="105">
        <v>49</v>
      </c>
      <c r="G101" s="105">
        <v>1</v>
      </c>
      <c r="H101" s="294">
        <v>361702</v>
      </c>
      <c r="I101" s="295">
        <v>36469</v>
      </c>
      <c r="J101" s="88">
        <f t="shared" si="0"/>
        <v>9.918067399709342</v>
      </c>
      <c r="K101" s="153"/>
      <c r="L101" s="136"/>
      <c r="M101" s="137"/>
      <c r="N101" s="138"/>
    </row>
    <row r="102" spans="1:14" s="45" customFormat="1" ht="15">
      <c r="A102" s="166">
        <v>99</v>
      </c>
      <c r="B102" s="80" t="s">
        <v>44</v>
      </c>
      <c r="C102" s="56">
        <v>39374</v>
      </c>
      <c r="D102" s="64" t="s">
        <v>209</v>
      </c>
      <c r="E102" s="64" t="s">
        <v>209</v>
      </c>
      <c r="F102" s="85">
        <v>37</v>
      </c>
      <c r="G102" s="85">
        <v>1</v>
      </c>
      <c r="H102" s="294">
        <v>345844</v>
      </c>
      <c r="I102" s="295">
        <v>36725</v>
      </c>
      <c r="J102" s="88">
        <f t="shared" si="0"/>
        <v>9.41712729748128</v>
      </c>
      <c r="K102" s="145"/>
      <c r="L102" s="136"/>
      <c r="M102" s="141"/>
      <c r="N102" s="138"/>
    </row>
    <row r="103" spans="1:14" s="45" customFormat="1" ht="15">
      <c r="A103" s="166">
        <v>100</v>
      </c>
      <c r="B103" s="101" t="s">
        <v>84</v>
      </c>
      <c r="C103" s="57">
        <v>39136</v>
      </c>
      <c r="D103" s="212" t="s">
        <v>211</v>
      </c>
      <c r="E103" s="212" t="s">
        <v>218</v>
      </c>
      <c r="F103" s="97">
        <v>34</v>
      </c>
      <c r="G103" s="97">
        <v>9</v>
      </c>
      <c r="H103" s="202">
        <v>335033</v>
      </c>
      <c r="I103" s="207">
        <v>35936</v>
      </c>
      <c r="J103" s="88">
        <f t="shared" si="0"/>
        <v>9.323046527159395</v>
      </c>
      <c r="K103" s="154"/>
      <c r="L103" s="136"/>
      <c r="M103" s="137"/>
      <c r="N103" s="138"/>
    </row>
    <row r="104" spans="1:14" s="45" customFormat="1" ht="15">
      <c r="A104" s="166">
        <v>101</v>
      </c>
      <c r="B104" s="78" t="s">
        <v>73</v>
      </c>
      <c r="C104" s="56">
        <v>39269</v>
      </c>
      <c r="D104" s="61" t="s">
        <v>210</v>
      </c>
      <c r="E104" s="61" t="s">
        <v>223</v>
      </c>
      <c r="F104" s="105">
        <v>56</v>
      </c>
      <c r="G104" s="105">
        <v>13</v>
      </c>
      <c r="H104" s="203">
        <f>134837+97635+42479+18441+18948+8209+5664+1393+2802+163+1014+316+2374</f>
        <v>334275</v>
      </c>
      <c r="I104" s="206">
        <f>16076+11892+5691+3289+3420+1591+1143+287+530+33+175+54+384</f>
        <v>44565</v>
      </c>
      <c r="J104" s="88">
        <f t="shared" si="0"/>
        <v>7.500841467519353</v>
      </c>
      <c r="K104" s="160"/>
      <c r="L104" s="148"/>
      <c r="M104" s="149"/>
      <c r="N104" s="150"/>
    </row>
    <row r="105" spans="1:14" s="45" customFormat="1" ht="15">
      <c r="A105" s="166">
        <v>102</v>
      </c>
      <c r="B105" s="100" t="s">
        <v>83</v>
      </c>
      <c r="C105" s="56">
        <v>39136</v>
      </c>
      <c r="D105" s="213" t="s">
        <v>324</v>
      </c>
      <c r="E105" s="213" t="s">
        <v>192</v>
      </c>
      <c r="F105" s="85" t="s">
        <v>197</v>
      </c>
      <c r="G105" s="85" t="s">
        <v>268</v>
      </c>
      <c r="H105" s="203">
        <v>325906.5</v>
      </c>
      <c r="I105" s="206">
        <v>46768</v>
      </c>
      <c r="J105" s="88">
        <f t="shared" si="0"/>
        <v>6.968578942866918</v>
      </c>
      <c r="K105" s="160"/>
      <c r="L105" s="148"/>
      <c r="M105" s="149"/>
      <c r="N105" s="150"/>
    </row>
    <row r="106" spans="1:14" s="45" customFormat="1" ht="15">
      <c r="A106" s="166">
        <v>103</v>
      </c>
      <c r="B106" s="100" t="s">
        <v>160</v>
      </c>
      <c r="C106" s="59">
        <v>39276</v>
      </c>
      <c r="D106" s="86" t="s">
        <v>217</v>
      </c>
      <c r="E106" s="86" t="s">
        <v>299</v>
      </c>
      <c r="F106" s="122">
        <v>26</v>
      </c>
      <c r="G106" s="122">
        <v>12</v>
      </c>
      <c r="H106" s="204">
        <v>318234</v>
      </c>
      <c r="I106" s="207">
        <v>32392</v>
      </c>
      <c r="J106" s="104">
        <f>H106/I106</f>
        <v>9.824462830328477</v>
      </c>
      <c r="K106" s="152"/>
      <c r="L106" s="136"/>
      <c r="M106" s="137"/>
      <c r="N106" s="138"/>
    </row>
    <row r="107" spans="1:14" s="45" customFormat="1" ht="15">
      <c r="A107" s="166">
        <v>104</v>
      </c>
      <c r="B107" s="101" t="s">
        <v>142</v>
      </c>
      <c r="C107" s="57">
        <v>39199</v>
      </c>
      <c r="D107" s="212" t="s">
        <v>211</v>
      </c>
      <c r="E107" s="212" t="s">
        <v>214</v>
      </c>
      <c r="F107" s="97">
        <v>46</v>
      </c>
      <c r="G107" s="97">
        <v>14</v>
      </c>
      <c r="H107" s="202">
        <v>310674</v>
      </c>
      <c r="I107" s="207">
        <v>36988</v>
      </c>
      <c r="J107" s="81">
        <f>+H107/I107</f>
        <v>8.399318697956094</v>
      </c>
      <c r="K107" s="139"/>
      <c r="L107" s="140"/>
      <c r="M107" s="141"/>
      <c r="N107" s="142"/>
    </row>
    <row r="108" spans="1:14" s="45" customFormat="1" ht="15">
      <c r="A108" s="166">
        <v>105</v>
      </c>
      <c r="B108" s="78" t="s">
        <v>37</v>
      </c>
      <c r="C108" s="56">
        <v>39318</v>
      </c>
      <c r="D108" s="61" t="s">
        <v>48</v>
      </c>
      <c r="E108" s="61" t="s">
        <v>38</v>
      </c>
      <c r="F108" s="105">
        <v>56</v>
      </c>
      <c r="G108" s="105">
        <v>9</v>
      </c>
      <c r="H108" s="299">
        <f>157146+94670+28857.5+9502+10585.5+5724+2476.5+69+258</f>
        <v>309288.5</v>
      </c>
      <c r="I108" s="60">
        <f>18176+11311+4047+1765+1787+1048+452+10+59</f>
        <v>38655</v>
      </c>
      <c r="J108" s="226">
        <f>H108/I108</f>
        <v>8.00125468891476</v>
      </c>
      <c r="K108" s="139"/>
      <c r="L108" s="140"/>
      <c r="M108" s="141"/>
      <c r="N108" s="142"/>
    </row>
    <row r="109" spans="1:14" s="45" customFormat="1" ht="15">
      <c r="A109" s="166">
        <v>106</v>
      </c>
      <c r="B109" s="101" t="s">
        <v>304</v>
      </c>
      <c r="C109" s="57">
        <v>39157</v>
      </c>
      <c r="D109" s="212" t="s">
        <v>212</v>
      </c>
      <c r="E109" s="212" t="s">
        <v>213</v>
      </c>
      <c r="F109" s="97">
        <v>40</v>
      </c>
      <c r="G109" s="97">
        <v>16</v>
      </c>
      <c r="H109" s="202">
        <f>145121+79532.5+31459-84.5+26093+10059+2699+4061.5+425+625+303+43+10+400.5+3564+2376</f>
        <v>306687</v>
      </c>
      <c r="I109" s="207">
        <f>16974+9206+3759-9+4636+1902+531+800+88+129+84+6+1+74+891+594</f>
        <v>39666</v>
      </c>
      <c r="J109" s="104">
        <f>H109/I109</f>
        <v>7.731734987142641</v>
      </c>
      <c r="K109" s="135"/>
      <c r="L109" s="136"/>
      <c r="M109" s="137"/>
      <c r="N109" s="138"/>
    </row>
    <row r="110" spans="1:14" s="45" customFormat="1" ht="15">
      <c r="A110" s="166">
        <v>107</v>
      </c>
      <c r="B110" s="99" t="s">
        <v>5</v>
      </c>
      <c r="C110" s="95">
        <v>39206</v>
      </c>
      <c r="D110" s="94" t="s">
        <v>18</v>
      </c>
      <c r="E110" s="94" t="s">
        <v>53</v>
      </c>
      <c r="F110" s="116">
        <v>80</v>
      </c>
      <c r="G110" s="96">
        <v>21</v>
      </c>
      <c r="H110" s="300">
        <v>305954.5</v>
      </c>
      <c r="I110" s="303">
        <v>49956</v>
      </c>
      <c r="J110" s="226">
        <f>H110/I110</f>
        <v>6.1244795419969575</v>
      </c>
      <c r="K110" s="153"/>
      <c r="L110" s="136"/>
      <c r="M110" s="137"/>
      <c r="N110" s="138"/>
    </row>
    <row r="111" spans="1:14" s="45" customFormat="1" ht="15">
      <c r="A111" s="166">
        <v>108</v>
      </c>
      <c r="B111" s="101" t="s">
        <v>229</v>
      </c>
      <c r="C111" s="57">
        <v>39150</v>
      </c>
      <c r="D111" s="212" t="s">
        <v>298</v>
      </c>
      <c r="E111" s="212" t="s">
        <v>230</v>
      </c>
      <c r="F111" s="97">
        <v>100</v>
      </c>
      <c r="G111" s="97">
        <v>8</v>
      </c>
      <c r="H111" s="202">
        <f>221689.5+60473+12914+3842.4+1749+1296+224+229</f>
        <v>302416.9</v>
      </c>
      <c r="I111" s="207">
        <f>30032+8139+2146+874+367+232+56+48</f>
        <v>41894</v>
      </c>
      <c r="J111" s="216">
        <f>H111/I111</f>
        <v>7.218620804888529</v>
      </c>
      <c r="K111" s="139"/>
      <c r="L111" s="140"/>
      <c r="M111" s="141"/>
      <c r="N111" s="142"/>
    </row>
    <row r="112" spans="1:14" s="45" customFormat="1" ht="15">
      <c r="A112" s="166">
        <v>109</v>
      </c>
      <c r="B112" s="101" t="s">
        <v>271</v>
      </c>
      <c r="C112" s="57">
        <v>39241</v>
      </c>
      <c r="D112" s="212" t="s">
        <v>29</v>
      </c>
      <c r="E112" s="212" t="s">
        <v>29</v>
      </c>
      <c r="F112" s="97">
        <v>50</v>
      </c>
      <c r="G112" s="97">
        <v>13</v>
      </c>
      <c r="H112" s="202">
        <f>129364.5+92376+23571+24305+14210+3366+2760.5+1254+392+236+672+370+59</f>
        <v>292936</v>
      </c>
      <c r="I112" s="207">
        <f>16515+11732+3415+4308+2607+643+742+197+68+51+112+74+9</f>
        <v>40473</v>
      </c>
      <c r="J112" s="81">
        <f>IF(H112&lt;&gt;0,H112/I112,"")</f>
        <v>7.237812862896252</v>
      </c>
      <c r="K112" s="143"/>
      <c r="L112" s="140"/>
      <c r="M112" s="141"/>
      <c r="N112" s="142"/>
    </row>
    <row r="113" spans="1:14" s="45" customFormat="1" ht="15">
      <c r="A113" s="166">
        <v>110</v>
      </c>
      <c r="B113" s="100" t="s">
        <v>26</v>
      </c>
      <c r="C113" s="56">
        <v>39234</v>
      </c>
      <c r="D113" s="213" t="s">
        <v>210</v>
      </c>
      <c r="E113" s="213" t="s">
        <v>223</v>
      </c>
      <c r="F113" s="85">
        <v>86</v>
      </c>
      <c r="G113" s="85">
        <v>10</v>
      </c>
      <c r="H113" s="203">
        <f>152831+86024+27725+9491+9432+2744+2079+1010+180+279</f>
        <v>291795</v>
      </c>
      <c r="I113" s="206">
        <f>19661+11888+4225+1693+1759+500+435+247+44+93</f>
        <v>40545</v>
      </c>
      <c r="J113" s="88">
        <f>+H113/I113</f>
        <v>7.196818349981502</v>
      </c>
      <c r="K113" s="135"/>
      <c r="L113" s="136"/>
      <c r="M113" s="137"/>
      <c r="N113" s="138"/>
    </row>
    <row r="114" spans="1:14" s="45" customFormat="1" ht="15">
      <c r="A114" s="166">
        <v>111</v>
      </c>
      <c r="B114" s="79" t="s">
        <v>171</v>
      </c>
      <c r="C114" s="59">
        <v>39339</v>
      </c>
      <c r="D114" s="65" t="s">
        <v>217</v>
      </c>
      <c r="E114" s="65" t="s">
        <v>189</v>
      </c>
      <c r="F114" s="122">
        <v>25</v>
      </c>
      <c r="G114" s="122">
        <v>6</v>
      </c>
      <c r="H114" s="298">
        <v>270371</v>
      </c>
      <c r="I114" s="304">
        <v>27372</v>
      </c>
      <c r="J114" s="88">
        <f>+H114/I114</f>
        <v>9.87764869209411</v>
      </c>
      <c r="K114" s="153"/>
      <c r="L114" s="136"/>
      <c r="M114" s="137"/>
      <c r="N114" s="138"/>
    </row>
    <row r="115" spans="1:14" s="45" customFormat="1" ht="15">
      <c r="A115" s="166">
        <v>112</v>
      </c>
      <c r="B115" s="99" t="s">
        <v>107</v>
      </c>
      <c r="C115" s="95">
        <v>39360</v>
      </c>
      <c r="D115" s="94" t="s">
        <v>18</v>
      </c>
      <c r="E115" s="94" t="s">
        <v>45</v>
      </c>
      <c r="F115" s="116">
        <v>71</v>
      </c>
      <c r="G115" s="96">
        <v>2</v>
      </c>
      <c r="H115" s="300">
        <v>258058.5</v>
      </c>
      <c r="I115" s="301">
        <v>37633</v>
      </c>
      <c r="J115" s="226">
        <f>H115/I115</f>
        <v>6.8572396566842935</v>
      </c>
      <c r="K115" s="135"/>
      <c r="L115" s="136"/>
      <c r="M115" s="137"/>
      <c r="N115" s="138"/>
    </row>
    <row r="116" spans="1:14" s="45" customFormat="1" ht="15">
      <c r="A116" s="166">
        <v>113</v>
      </c>
      <c r="B116" s="101" t="s">
        <v>281</v>
      </c>
      <c r="C116" s="57">
        <v>39164</v>
      </c>
      <c r="D116" s="213" t="s">
        <v>298</v>
      </c>
      <c r="E116" s="213" t="s">
        <v>221</v>
      </c>
      <c r="F116" s="85" t="s">
        <v>178</v>
      </c>
      <c r="G116" s="85" t="s">
        <v>295</v>
      </c>
      <c r="H116" s="202">
        <v>257660.9</v>
      </c>
      <c r="I116" s="207">
        <v>32272</v>
      </c>
      <c r="J116" s="88">
        <f aca="true" t="shared" si="1" ref="J116:J122">+H116/I116</f>
        <v>7.984038795240456</v>
      </c>
      <c r="K116" s="146"/>
      <c r="L116" s="140"/>
      <c r="M116" s="141"/>
      <c r="N116" s="142"/>
    </row>
    <row r="117" spans="1:14" s="45" customFormat="1" ht="15">
      <c r="A117" s="166">
        <v>114</v>
      </c>
      <c r="B117" s="80" t="s">
        <v>329</v>
      </c>
      <c r="C117" s="56">
        <v>39297</v>
      </c>
      <c r="D117" s="84" t="s">
        <v>209</v>
      </c>
      <c r="E117" s="84" t="s">
        <v>216</v>
      </c>
      <c r="F117" s="85">
        <v>25</v>
      </c>
      <c r="G117" s="85">
        <v>9</v>
      </c>
      <c r="H117" s="203">
        <v>254720</v>
      </c>
      <c r="I117" s="206">
        <v>25774</v>
      </c>
      <c r="J117" s="81">
        <f t="shared" si="1"/>
        <v>9.88282765577714</v>
      </c>
      <c r="K117" s="153"/>
      <c r="L117" s="136"/>
      <c r="M117" s="137"/>
      <c r="N117" s="138"/>
    </row>
    <row r="118" spans="1:14" s="45" customFormat="1" ht="15">
      <c r="A118" s="166">
        <v>115</v>
      </c>
      <c r="B118" s="101" t="s">
        <v>94</v>
      </c>
      <c r="C118" s="57">
        <v>39143</v>
      </c>
      <c r="D118" s="212" t="s">
        <v>212</v>
      </c>
      <c r="E118" s="212" t="s">
        <v>213</v>
      </c>
      <c r="F118" s="97">
        <v>20</v>
      </c>
      <c r="G118" s="97">
        <v>19</v>
      </c>
      <c r="H118" s="202">
        <f>252588.5+836+48+33+46+77</f>
        <v>253628.5</v>
      </c>
      <c r="I118" s="207">
        <f>27342+138+6+4+6+9</f>
        <v>27505</v>
      </c>
      <c r="J118" s="81">
        <f t="shared" si="1"/>
        <v>9.221177967642246</v>
      </c>
      <c r="K118" s="153"/>
      <c r="L118" s="136"/>
      <c r="M118" s="137"/>
      <c r="N118" s="138"/>
    </row>
    <row r="119" spans="1:14" s="45" customFormat="1" ht="15">
      <c r="A119" s="166">
        <v>116</v>
      </c>
      <c r="B119" s="78" t="s">
        <v>164</v>
      </c>
      <c r="C119" s="56">
        <v>39332</v>
      </c>
      <c r="D119" s="62" t="s">
        <v>210</v>
      </c>
      <c r="E119" s="61" t="s">
        <v>223</v>
      </c>
      <c r="F119" s="105">
        <v>58</v>
      </c>
      <c r="G119" s="105">
        <v>7</v>
      </c>
      <c r="H119" s="294">
        <f>138246+66778+24442+12673+5659+4666+353</f>
        <v>252817</v>
      </c>
      <c r="I119" s="295">
        <f>16417+7727+3209+2052+1044+871+47</f>
        <v>31367</v>
      </c>
      <c r="J119" s="88">
        <f t="shared" si="1"/>
        <v>8.059967481748334</v>
      </c>
      <c r="K119" s="153"/>
      <c r="L119" s="136"/>
      <c r="M119" s="137"/>
      <c r="N119" s="138"/>
    </row>
    <row r="120" spans="1:14" s="45" customFormat="1" ht="15">
      <c r="A120" s="166">
        <v>117</v>
      </c>
      <c r="B120" s="100" t="s">
        <v>319</v>
      </c>
      <c r="C120" s="56">
        <v>39171</v>
      </c>
      <c r="D120" s="213" t="s">
        <v>350</v>
      </c>
      <c r="E120" s="213" t="s">
        <v>350</v>
      </c>
      <c r="F120" s="85">
        <v>20</v>
      </c>
      <c r="G120" s="85">
        <v>18</v>
      </c>
      <c r="H120" s="202">
        <v>251003</v>
      </c>
      <c r="I120" s="207">
        <v>27159</v>
      </c>
      <c r="J120" s="88">
        <f t="shared" si="1"/>
        <v>9.241982399941088</v>
      </c>
      <c r="K120" s="153"/>
      <c r="L120" s="136"/>
      <c r="M120" s="137"/>
      <c r="N120" s="138"/>
    </row>
    <row r="121" spans="1:14" s="45" customFormat="1" ht="15">
      <c r="A121" s="166">
        <v>118</v>
      </c>
      <c r="B121" s="78" t="s">
        <v>243</v>
      </c>
      <c r="C121" s="56">
        <v>39260</v>
      </c>
      <c r="D121" s="62" t="s">
        <v>210</v>
      </c>
      <c r="E121" s="61" t="s">
        <v>149</v>
      </c>
      <c r="F121" s="105">
        <v>40</v>
      </c>
      <c r="G121" s="105">
        <v>11</v>
      </c>
      <c r="H121" s="203">
        <f>117385+70420+26501+7709+13222+7894+1313+587+91+557+587</f>
        <v>246266</v>
      </c>
      <c r="I121" s="206">
        <f>12724+7654+2879+1337+2217+1357+199+99+13+101+141</f>
        <v>28721</v>
      </c>
      <c r="J121" s="221">
        <f t="shared" si="1"/>
        <v>8.574422896138714</v>
      </c>
      <c r="K121" s="153"/>
      <c r="L121" s="136"/>
      <c r="M121" s="137"/>
      <c r="N121" s="138"/>
    </row>
    <row r="122" spans="1:14" s="45" customFormat="1" ht="15">
      <c r="A122" s="166">
        <v>119</v>
      </c>
      <c r="B122" s="101" t="s">
        <v>266</v>
      </c>
      <c r="C122" s="57">
        <v>39094</v>
      </c>
      <c r="D122" s="212" t="s">
        <v>209</v>
      </c>
      <c r="E122" s="212" t="s">
        <v>216</v>
      </c>
      <c r="F122" s="97">
        <v>30</v>
      </c>
      <c r="G122" s="97">
        <v>9</v>
      </c>
      <c r="H122" s="202">
        <v>243592</v>
      </c>
      <c r="I122" s="207">
        <v>24190</v>
      </c>
      <c r="J122" s="81">
        <f t="shared" si="1"/>
        <v>10.069946258784622</v>
      </c>
      <c r="K122" s="153"/>
      <c r="L122" s="136"/>
      <c r="M122" s="137"/>
      <c r="N122" s="138"/>
    </row>
    <row r="123" spans="1:14" s="45" customFormat="1" ht="15">
      <c r="A123" s="166">
        <v>120</v>
      </c>
      <c r="B123" s="80" t="s">
        <v>165</v>
      </c>
      <c r="C123" s="57">
        <v>39332</v>
      </c>
      <c r="D123" s="64" t="s">
        <v>298</v>
      </c>
      <c r="E123" s="64" t="s">
        <v>221</v>
      </c>
      <c r="F123" s="302">
        <v>23</v>
      </c>
      <c r="G123" s="302">
        <v>7</v>
      </c>
      <c r="H123" s="294">
        <v>227153</v>
      </c>
      <c r="I123" s="295">
        <v>24926</v>
      </c>
      <c r="J123" s="226">
        <f>H123/I123</f>
        <v>9.113094760491053</v>
      </c>
      <c r="K123" s="153"/>
      <c r="L123" s="136"/>
      <c r="M123" s="137"/>
      <c r="N123" s="138"/>
    </row>
    <row r="124" spans="1:14" s="45" customFormat="1" ht="15">
      <c r="A124" s="166">
        <v>121</v>
      </c>
      <c r="B124" s="101" t="s">
        <v>240</v>
      </c>
      <c r="C124" s="57">
        <v>39122</v>
      </c>
      <c r="D124" s="212" t="s">
        <v>219</v>
      </c>
      <c r="E124" s="212" t="s">
        <v>219</v>
      </c>
      <c r="F124" s="97">
        <v>27</v>
      </c>
      <c r="G124" s="97">
        <v>10</v>
      </c>
      <c r="H124" s="202">
        <f>119870.5+70279+18401+10562+5558+801+365+35+139+467</f>
        <v>226477.5</v>
      </c>
      <c r="I124" s="207">
        <f>12204+6994+1908+1977+1125+173+73+5+21+82</f>
        <v>24562</v>
      </c>
      <c r="J124" s="104">
        <f>H124/I124</f>
        <v>9.22064571288983</v>
      </c>
      <c r="K124" s="153"/>
      <c r="L124" s="136"/>
      <c r="M124" s="137"/>
      <c r="N124" s="138"/>
    </row>
    <row r="125" spans="1:14" s="45" customFormat="1" ht="15">
      <c r="A125" s="166">
        <v>122</v>
      </c>
      <c r="B125" s="133" t="s">
        <v>172</v>
      </c>
      <c r="C125" s="98">
        <v>39339</v>
      </c>
      <c r="D125" s="208" t="s">
        <v>18</v>
      </c>
      <c r="E125" s="208" t="s">
        <v>173</v>
      </c>
      <c r="F125" s="199">
        <v>79</v>
      </c>
      <c r="G125" s="200">
        <v>6</v>
      </c>
      <c r="H125" s="305">
        <v>223627.5</v>
      </c>
      <c r="I125" s="306">
        <v>31441</v>
      </c>
      <c r="J125" s="226">
        <f>H125/I125</f>
        <v>7.11260774148405</v>
      </c>
      <c r="K125" s="153"/>
      <c r="L125" s="136"/>
      <c r="M125" s="137"/>
      <c r="N125" s="138"/>
    </row>
    <row r="126" spans="1:14" s="45" customFormat="1" ht="15">
      <c r="A126" s="166">
        <v>123</v>
      </c>
      <c r="B126" s="103" t="s">
        <v>282</v>
      </c>
      <c r="C126" s="59">
        <v>39150</v>
      </c>
      <c r="D126" s="214" t="s">
        <v>217</v>
      </c>
      <c r="E126" s="214" t="s">
        <v>308</v>
      </c>
      <c r="F126" s="102">
        <v>10</v>
      </c>
      <c r="G126" s="102">
        <v>20</v>
      </c>
      <c r="H126" s="203">
        <v>221370</v>
      </c>
      <c r="I126" s="206">
        <v>24649</v>
      </c>
      <c r="J126" s="104">
        <f>H126/I126</f>
        <v>8.980891719745223</v>
      </c>
      <c r="K126" s="153"/>
      <c r="L126" s="136"/>
      <c r="M126" s="137"/>
      <c r="N126" s="138"/>
    </row>
    <row r="127" spans="1:14" s="45" customFormat="1" ht="15">
      <c r="A127" s="166">
        <v>124</v>
      </c>
      <c r="B127" s="79" t="s">
        <v>106</v>
      </c>
      <c r="C127" s="59">
        <v>39360</v>
      </c>
      <c r="D127" s="65" t="s">
        <v>217</v>
      </c>
      <c r="E127" s="65" t="s">
        <v>356</v>
      </c>
      <c r="F127" s="122">
        <v>27</v>
      </c>
      <c r="G127" s="122">
        <v>3</v>
      </c>
      <c r="H127" s="298">
        <v>214209</v>
      </c>
      <c r="I127" s="304">
        <v>24297</v>
      </c>
      <c r="J127" s="88">
        <f>+H127/I127</f>
        <v>8.816273614026423</v>
      </c>
      <c r="K127" s="153"/>
      <c r="L127" s="136"/>
      <c r="M127" s="137"/>
      <c r="N127" s="138"/>
    </row>
    <row r="128" spans="1:14" s="45" customFormat="1" ht="15">
      <c r="A128" s="166">
        <v>125</v>
      </c>
      <c r="B128" s="79" t="s">
        <v>283</v>
      </c>
      <c r="C128" s="57">
        <v>39185</v>
      </c>
      <c r="D128" s="297" t="s">
        <v>212</v>
      </c>
      <c r="E128" s="63" t="s">
        <v>219</v>
      </c>
      <c r="F128" s="105">
        <v>32</v>
      </c>
      <c r="G128" s="58">
        <v>18</v>
      </c>
      <c r="H128" s="296">
        <f>108639+53175.5+20297+10110.5+6588.5+4718.5+25+932+2938+1916+223+2532+318+210+570+501+200+201</f>
        <v>214095</v>
      </c>
      <c r="I128" s="60">
        <f>11660+5688+2612+1694+1121+867+5+284+987+479+44+624+64+70+95+167+67+67</f>
        <v>26595</v>
      </c>
      <c r="J128" s="88">
        <f>+H128/I128</f>
        <v>8.050197405527355</v>
      </c>
      <c r="K128" s="153"/>
      <c r="L128" s="136"/>
      <c r="M128" s="137"/>
      <c r="N128" s="138"/>
    </row>
    <row r="129" spans="1:14" s="45" customFormat="1" ht="15">
      <c r="A129" s="166">
        <v>126</v>
      </c>
      <c r="B129" s="101" t="s">
        <v>60</v>
      </c>
      <c r="C129" s="57">
        <v>39255</v>
      </c>
      <c r="D129" s="212" t="s">
        <v>29</v>
      </c>
      <c r="E129" s="212" t="s">
        <v>29</v>
      </c>
      <c r="F129" s="97">
        <v>39</v>
      </c>
      <c r="G129" s="97">
        <v>9</v>
      </c>
      <c r="H129" s="202">
        <f>81018+54551+29525+20071+15869-16+6710.5+1673+594+200</f>
        <v>210195.5</v>
      </c>
      <c r="I129" s="207">
        <f>9778+6732+4213+3680+2882-4+1171+280+91+67</f>
        <v>28890</v>
      </c>
      <c r="J129" s="216">
        <f>H129/I129</f>
        <v>7.275718241606092</v>
      </c>
      <c r="K129" s="153"/>
      <c r="L129" s="136"/>
      <c r="M129" s="137"/>
      <c r="N129" s="138"/>
    </row>
    <row r="130" spans="1:14" s="45" customFormat="1" ht="15">
      <c r="A130" s="166">
        <v>127</v>
      </c>
      <c r="B130" s="133" t="s">
        <v>237</v>
      </c>
      <c r="C130" s="98">
        <v>39283</v>
      </c>
      <c r="D130" s="208" t="s">
        <v>18</v>
      </c>
      <c r="E130" s="208" t="s">
        <v>317</v>
      </c>
      <c r="F130" s="199">
        <v>27</v>
      </c>
      <c r="G130" s="200">
        <v>14</v>
      </c>
      <c r="H130" s="305">
        <v>195847</v>
      </c>
      <c r="I130" s="306">
        <v>27275</v>
      </c>
      <c r="J130" s="226">
        <f>H130/I130</f>
        <v>7.1804582951420715</v>
      </c>
      <c r="K130" s="153"/>
      <c r="L130" s="136"/>
      <c r="M130" s="137"/>
      <c r="N130" s="138"/>
    </row>
    <row r="131" spans="1:14" s="45" customFormat="1" ht="15">
      <c r="A131" s="166">
        <v>128</v>
      </c>
      <c r="B131" s="80" t="s">
        <v>74</v>
      </c>
      <c r="C131" s="56">
        <v>39269</v>
      </c>
      <c r="D131" s="64" t="s">
        <v>225</v>
      </c>
      <c r="E131" s="64" t="s">
        <v>225</v>
      </c>
      <c r="F131" s="106" t="s">
        <v>314</v>
      </c>
      <c r="G131" s="106" t="s">
        <v>6</v>
      </c>
      <c r="H131" s="294">
        <v>194947.19</v>
      </c>
      <c r="I131" s="295">
        <v>28869</v>
      </c>
      <c r="J131" s="88">
        <f>+H131/I131</f>
        <v>6.752821019086217</v>
      </c>
      <c r="K131" s="153"/>
      <c r="L131" s="136"/>
      <c r="M131" s="137"/>
      <c r="N131" s="138"/>
    </row>
    <row r="132" spans="1:14" s="45" customFormat="1" ht="15">
      <c r="A132" s="166">
        <v>129</v>
      </c>
      <c r="B132" s="79" t="s">
        <v>46</v>
      </c>
      <c r="C132" s="57">
        <v>39374</v>
      </c>
      <c r="D132" s="297" t="s">
        <v>212</v>
      </c>
      <c r="E132" s="63" t="s">
        <v>219</v>
      </c>
      <c r="F132" s="105">
        <v>39</v>
      </c>
      <c r="G132" s="58">
        <v>1</v>
      </c>
      <c r="H132" s="296">
        <f>193896</f>
        <v>193896</v>
      </c>
      <c r="I132" s="60">
        <f>18661</f>
        <v>18661</v>
      </c>
      <c r="J132" s="88">
        <f>+H132/I132</f>
        <v>10.390439954986336</v>
      </c>
      <c r="K132" s="153"/>
      <c r="L132" s="136"/>
      <c r="M132" s="137"/>
      <c r="N132" s="138"/>
    </row>
    <row r="133" spans="1:14" s="45" customFormat="1" ht="15">
      <c r="A133" s="166">
        <v>130</v>
      </c>
      <c r="B133" s="80" t="s">
        <v>67</v>
      </c>
      <c r="C133" s="57">
        <v>39262</v>
      </c>
      <c r="D133" s="64" t="s">
        <v>298</v>
      </c>
      <c r="E133" s="64" t="s">
        <v>68</v>
      </c>
      <c r="F133" s="302">
        <v>21</v>
      </c>
      <c r="G133" s="302">
        <v>16</v>
      </c>
      <c r="H133" s="294">
        <v>189703.9</v>
      </c>
      <c r="I133" s="295">
        <v>28428</v>
      </c>
      <c r="J133" s="226">
        <f>H133/I133</f>
        <v>6.673135640917405</v>
      </c>
      <c r="K133" s="153"/>
      <c r="L133" s="136"/>
      <c r="M133" s="137"/>
      <c r="N133" s="138"/>
    </row>
    <row r="134" spans="1:14" s="45" customFormat="1" ht="15">
      <c r="A134" s="166">
        <v>131</v>
      </c>
      <c r="B134" s="80" t="s">
        <v>65</v>
      </c>
      <c r="C134" s="57">
        <v>39262</v>
      </c>
      <c r="D134" s="84" t="s">
        <v>298</v>
      </c>
      <c r="E134" s="84" t="s">
        <v>66</v>
      </c>
      <c r="F134" s="106">
        <v>15</v>
      </c>
      <c r="G134" s="106" t="s">
        <v>76</v>
      </c>
      <c r="H134" s="203">
        <v>188112</v>
      </c>
      <c r="I134" s="206">
        <v>21357</v>
      </c>
      <c r="J134" s="88">
        <f>+H134/I134</f>
        <v>8.807978648686614</v>
      </c>
      <c r="K134" s="153"/>
      <c r="L134" s="136"/>
      <c r="M134" s="137"/>
      <c r="N134" s="138"/>
    </row>
    <row r="135" spans="1:14" s="45" customFormat="1" ht="15">
      <c r="A135" s="166">
        <v>132</v>
      </c>
      <c r="B135" s="78" t="s">
        <v>47</v>
      </c>
      <c r="C135" s="56">
        <v>39374</v>
      </c>
      <c r="D135" s="61" t="s">
        <v>48</v>
      </c>
      <c r="E135" s="61" t="s">
        <v>222</v>
      </c>
      <c r="F135" s="105">
        <v>86</v>
      </c>
      <c r="G135" s="105">
        <v>1</v>
      </c>
      <c r="H135" s="299">
        <f>185051.5+0</f>
        <v>185051.5</v>
      </c>
      <c r="I135" s="60">
        <f>23718+0</f>
        <v>23718</v>
      </c>
      <c r="J135" s="226">
        <f>H135/I135</f>
        <v>7.802154481828147</v>
      </c>
      <c r="K135" s="153"/>
      <c r="L135" s="136"/>
      <c r="M135" s="137"/>
      <c r="N135" s="138"/>
    </row>
    <row r="136" spans="1:14" s="45" customFormat="1" ht="15">
      <c r="A136" s="166">
        <v>133</v>
      </c>
      <c r="B136" s="100" t="s">
        <v>305</v>
      </c>
      <c r="C136" s="56">
        <v>39157</v>
      </c>
      <c r="D136" s="213" t="s">
        <v>225</v>
      </c>
      <c r="E136" s="213" t="s">
        <v>146</v>
      </c>
      <c r="F136" s="85" t="s">
        <v>265</v>
      </c>
      <c r="G136" s="85" t="s">
        <v>10</v>
      </c>
      <c r="H136" s="203">
        <v>173994.5</v>
      </c>
      <c r="I136" s="206">
        <v>25945</v>
      </c>
      <c r="J136" s="216">
        <f>H136/I136</f>
        <v>6.7062825207169015</v>
      </c>
      <c r="K136" s="153"/>
      <c r="L136" s="136"/>
      <c r="M136" s="137"/>
      <c r="N136" s="138"/>
    </row>
    <row r="137" spans="1:14" s="45" customFormat="1" ht="15">
      <c r="A137" s="166">
        <v>134</v>
      </c>
      <c r="B137" s="80" t="s">
        <v>253</v>
      </c>
      <c r="C137" s="56">
        <v>39199</v>
      </c>
      <c r="D137" s="84" t="s">
        <v>225</v>
      </c>
      <c r="E137" s="84" t="s">
        <v>146</v>
      </c>
      <c r="F137" s="106" t="s">
        <v>311</v>
      </c>
      <c r="G137" s="106" t="s">
        <v>154</v>
      </c>
      <c r="H137" s="203">
        <v>173006.5</v>
      </c>
      <c r="I137" s="206">
        <v>17533</v>
      </c>
      <c r="J137" s="88">
        <f aca="true" t="shared" si="2" ref="J137:J143">+H137/I137</f>
        <v>9.867478469172418</v>
      </c>
      <c r="K137" s="153"/>
      <c r="L137" s="136"/>
      <c r="M137" s="137"/>
      <c r="N137" s="138"/>
    </row>
    <row r="138" spans="1:14" s="45" customFormat="1" ht="15">
      <c r="A138" s="166">
        <v>135</v>
      </c>
      <c r="B138" s="101" t="s">
        <v>252</v>
      </c>
      <c r="C138" s="57">
        <v>39199</v>
      </c>
      <c r="D138" s="212" t="s">
        <v>212</v>
      </c>
      <c r="E138" s="212" t="s">
        <v>213</v>
      </c>
      <c r="F138" s="97">
        <v>12</v>
      </c>
      <c r="G138" s="97">
        <v>16</v>
      </c>
      <c r="H138" s="202">
        <f>65278+43624+18025+11913.5+8482+5984+2783+1516+591+802+176+51+185+155+1007+3021+2376</f>
        <v>165969.5</v>
      </c>
      <c r="I138" s="207">
        <f>6781+4516+2043+1620+1413+932+527+294+132+80+21+9+37+31+252+755+594</f>
        <v>20037</v>
      </c>
      <c r="J138" s="88">
        <f t="shared" si="2"/>
        <v>8.28315117033488</v>
      </c>
      <c r="K138" s="153"/>
      <c r="L138" s="136"/>
      <c r="M138" s="137"/>
      <c r="N138" s="138"/>
    </row>
    <row r="139" spans="1:14" s="45" customFormat="1" ht="15">
      <c r="A139" s="166">
        <v>136</v>
      </c>
      <c r="B139" s="80" t="s">
        <v>330</v>
      </c>
      <c r="C139" s="56">
        <v>39297</v>
      </c>
      <c r="D139" s="64" t="s">
        <v>225</v>
      </c>
      <c r="E139" s="64" t="s">
        <v>146</v>
      </c>
      <c r="F139" s="106" t="s">
        <v>311</v>
      </c>
      <c r="G139" s="106" t="s">
        <v>168</v>
      </c>
      <c r="H139" s="294">
        <v>162341.57</v>
      </c>
      <c r="I139" s="295">
        <v>16440</v>
      </c>
      <c r="J139" s="88">
        <f t="shared" si="2"/>
        <v>9.874791362530415</v>
      </c>
      <c r="K139" s="153"/>
      <c r="L139" s="136"/>
      <c r="M139" s="137"/>
      <c r="N139" s="138"/>
    </row>
    <row r="140" spans="1:14" s="45" customFormat="1" ht="15">
      <c r="A140" s="166">
        <v>137</v>
      </c>
      <c r="B140" s="100" t="s">
        <v>238</v>
      </c>
      <c r="C140" s="56">
        <v>39283</v>
      </c>
      <c r="D140" s="213" t="s">
        <v>209</v>
      </c>
      <c r="E140" s="213" t="s">
        <v>146</v>
      </c>
      <c r="F140" s="85">
        <v>20</v>
      </c>
      <c r="G140" s="85">
        <v>7</v>
      </c>
      <c r="H140" s="203">
        <v>152030</v>
      </c>
      <c r="I140" s="206">
        <v>15846</v>
      </c>
      <c r="J140" s="81">
        <f t="shared" si="2"/>
        <v>9.594219361353023</v>
      </c>
      <c r="K140" s="153"/>
      <c r="L140" s="136"/>
      <c r="M140" s="137"/>
      <c r="N140" s="138"/>
    </row>
    <row r="141" spans="1:14" s="45" customFormat="1" ht="15">
      <c r="A141" s="166">
        <v>138</v>
      </c>
      <c r="B141" s="101" t="s">
        <v>139</v>
      </c>
      <c r="C141" s="57">
        <v>39192</v>
      </c>
      <c r="D141" s="212" t="s">
        <v>212</v>
      </c>
      <c r="E141" s="212" t="s">
        <v>127</v>
      </c>
      <c r="F141" s="97" t="s">
        <v>265</v>
      </c>
      <c r="G141" s="97">
        <v>15</v>
      </c>
      <c r="H141" s="202">
        <f>71030+32901.5+17721.5+14872+9513+2979+1242+198+150+198+140+162+204+122+93</f>
        <v>151526</v>
      </c>
      <c r="I141" s="207">
        <f>8415+4258+2684+2483+1579+589+251+33+25+33+23+27+34+17+12</f>
        <v>20463</v>
      </c>
      <c r="J141" s="81">
        <f t="shared" si="2"/>
        <v>7.404877095245077</v>
      </c>
      <c r="K141" s="153"/>
      <c r="L141" s="136"/>
      <c r="M141" s="137"/>
      <c r="N141" s="138"/>
    </row>
    <row r="142" spans="1:14" s="45" customFormat="1" ht="15">
      <c r="A142" s="166">
        <v>139</v>
      </c>
      <c r="B142" s="100" t="s">
        <v>86</v>
      </c>
      <c r="C142" s="56">
        <v>39136</v>
      </c>
      <c r="D142" s="213" t="s">
        <v>210</v>
      </c>
      <c r="E142" s="213" t="s">
        <v>345</v>
      </c>
      <c r="F142" s="85">
        <v>9</v>
      </c>
      <c r="G142" s="85">
        <v>12</v>
      </c>
      <c r="H142" s="203">
        <f>84092+44359+5685+3842+1159+3888+3317+785+1412+150+1090+269+1188</f>
        <v>151236</v>
      </c>
      <c r="I142" s="206">
        <f>8135+4281+660+612+195+1157+638+80+217+18+215+198</f>
        <v>16406</v>
      </c>
      <c r="J142" s="88">
        <f t="shared" si="2"/>
        <v>9.218334755577228</v>
      </c>
      <c r="K142" s="153"/>
      <c r="L142" s="136"/>
      <c r="M142" s="137"/>
      <c r="N142" s="138"/>
    </row>
    <row r="143" spans="1:14" s="45" customFormat="1" ht="15">
      <c r="A143" s="166">
        <v>140</v>
      </c>
      <c r="B143" s="100" t="s">
        <v>148</v>
      </c>
      <c r="C143" s="56">
        <v>39087</v>
      </c>
      <c r="D143" s="213" t="s">
        <v>210</v>
      </c>
      <c r="E143" s="213" t="s">
        <v>149</v>
      </c>
      <c r="F143" s="85">
        <v>42</v>
      </c>
      <c r="G143" s="85">
        <v>12</v>
      </c>
      <c r="H143" s="203">
        <f>108159+32855+2558+200+742+210+540+754+527+677+829+139</f>
        <v>148190</v>
      </c>
      <c r="I143" s="206">
        <f>12118+3977+379+20+153+40+103+182+108+118+146+22</f>
        <v>17366</v>
      </c>
      <c r="J143" s="88">
        <f t="shared" si="2"/>
        <v>8.533341011171254</v>
      </c>
      <c r="K143" s="153"/>
      <c r="L143" s="136"/>
      <c r="M143" s="137"/>
      <c r="N143" s="138"/>
    </row>
    <row r="144" spans="1:14" s="45" customFormat="1" ht="15">
      <c r="A144" s="166">
        <v>141</v>
      </c>
      <c r="B144" s="79" t="s">
        <v>114</v>
      </c>
      <c r="C144" s="57">
        <v>39367</v>
      </c>
      <c r="D144" s="63" t="s">
        <v>298</v>
      </c>
      <c r="E144" s="63" t="s">
        <v>221</v>
      </c>
      <c r="F144" s="307">
        <v>21</v>
      </c>
      <c r="G144" s="307">
        <v>2</v>
      </c>
      <c r="H144" s="294">
        <v>139687</v>
      </c>
      <c r="I144" s="295">
        <v>12732</v>
      </c>
      <c r="J144" s="226">
        <f>H144/I144</f>
        <v>10.97133207665724</v>
      </c>
      <c r="K144" s="153"/>
      <c r="L144" s="136"/>
      <c r="M144" s="137"/>
      <c r="N144" s="138"/>
    </row>
    <row r="145" spans="1:14" s="45" customFormat="1" ht="15">
      <c r="A145" s="166">
        <v>142</v>
      </c>
      <c r="B145" s="100" t="s">
        <v>8</v>
      </c>
      <c r="C145" s="56">
        <v>39213</v>
      </c>
      <c r="D145" s="213" t="s">
        <v>209</v>
      </c>
      <c r="E145" s="213" t="s">
        <v>216</v>
      </c>
      <c r="F145" s="85">
        <v>36</v>
      </c>
      <c r="G145" s="85">
        <v>9</v>
      </c>
      <c r="H145" s="203">
        <v>137061</v>
      </c>
      <c r="I145" s="206">
        <v>16400</v>
      </c>
      <c r="J145" s="81">
        <f>+H145/I145</f>
        <v>8.357378048780488</v>
      </c>
      <c r="K145" s="153"/>
      <c r="L145" s="136"/>
      <c r="M145" s="137"/>
      <c r="N145" s="138"/>
    </row>
    <row r="146" spans="1:14" s="45" customFormat="1" ht="15">
      <c r="A146" s="166">
        <v>143</v>
      </c>
      <c r="B146" s="80" t="s">
        <v>113</v>
      </c>
      <c r="C146" s="56">
        <v>39367</v>
      </c>
      <c r="D146" s="64" t="s">
        <v>324</v>
      </c>
      <c r="E146" s="64" t="s">
        <v>51</v>
      </c>
      <c r="F146" s="106" t="s">
        <v>265</v>
      </c>
      <c r="G146" s="106" t="s">
        <v>321</v>
      </c>
      <c r="H146" s="294">
        <v>131592.5</v>
      </c>
      <c r="I146" s="295">
        <v>15977</v>
      </c>
      <c r="J146" s="88">
        <f>+H146/I146</f>
        <v>8.236371033360456</v>
      </c>
      <c r="K146" s="153"/>
      <c r="L146" s="136"/>
      <c r="M146" s="137"/>
      <c r="N146" s="138"/>
    </row>
    <row r="147" spans="1:14" s="45" customFormat="1" ht="15">
      <c r="A147" s="166">
        <v>144</v>
      </c>
      <c r="B147" s="80" t="s">
        <v>156</v>
      </c>
      <c r="C147" s="57">
        <v>39318</v>
      </c>
      <c r="D147" s="64" t="s">
        <v>298</v>
      </c>
      <c r="E147" s="64" t="s">
        <v>257</v>
      </c>
      <c r="F147" s="302">
        <v>8</v>
      </c>
      <c r="G147" s="302">
        <v>9</v>
      </c>
      <c r="H147" s="294">
        <v>127082</v>
      </c>
      <c r="I147" s="295">
        <v>12958</v>
      </c>
      <c r="J147" s="226">
        <f>H147/I147</f>
        <v>9.807223336934712</v>
      </c>
      <c r="K147" s="153"/>
      <c r="L147" s="136"/>
      <c r="M147" s="137"/>
      <c r="N147" s="138"/>
    </row>
    <row r="148" spans="1:14" s="45" customFormat="1" ht="15">
      <c r="A148" s="166">
        <v>145</v>
      </c>
      <c r="B148" s="80" t="s">
        <v>272</v>
      </c>
      <c r="C148" s="57">
        <v>39241</v>
      </c>
      <c r="D148" s="84" t="s">
        <v>298</v>
      </c>
      <c r="E148" s="84" t="s">
        <v>152</v>
      </c>
      <c r="F148" s="106">
        <v>20</v>
      </c>
      <c r="G148" s="106" t="s">
        <v>6</v>
      </c>
      <c r="H148" s="203">
        <v>126243.7</v>
      </c>
      <c r="I148" s="206">
        <v>17221</v>
      </c>
      <c r="J148" s="88">
        <f>+H148/I148</f>
        <v>7.330799605133268</v>
      </c>
      <c r="K148" s="153"/>
      <c r="L148" s="136"/>
      <c r="M148" s="137"/>
      <c r="N148" s="138"/>
    </row>
    <row r="149" spans="1:14" s="45" customFormat="1" ht="15">
      <c r="A149" s="166">
        <v>146</v>
      </c>
      <c r="B149" s="100" t="s">
        <v>284</v>
      </c>
      <c r="C149" s="56">
        <v>39213</v>
      </c>
      <c r="D149" s="64" t="s">
        <v>225</v>
      </c>
      <c r="E149" s="64" t="s">
        <v>225</v>
      </c>
      <c r="F149" s="106" t="s">
        <v>6</v>
      </c>
      <c r="G149" s="106" t="s">
        <v>154</v>
      </c>
      <c r="H149" s="203">
        <v>124681.5</v>
      </c>
      <c r="I149" s="206">
        <v>18278</v>
      </c>
      <c r="J149" s="226">
        <f>H149/I149</f>
        <v>6.821397308239414</v>
      </c>
      <c r="K149" s="153"/>
      <c r="L149" s="136"/>
      <c r="M149" s="137"/>
      <c r="N149" s="138"/>
    </row>
    <row r="150" spans="1:14" s="45" customFormat="1" ht="15">
      <c r="A150" s="166">
        <v>147</v>
      </c>
      <c r="B150" s="79" t="s">
        <v>97</v>
      </c>
      <c r="C150" s="57">
        <v>39353</v>
      </c>
      <c r="D150" s="297" t="s">
        <v>212</v>
      </c>
      <c r="E150" s="63" t="s">
        <v>322</v>
      </c>
      <c r="F150" s="105">
        <v>40</v>
      </c>
      <c r="G150" s="58">
        <v>4</v>
      </c>
      <c r="H150" s="296">
        <f>66699.5+31713+17573.5+8087.5</f>
        <v>124073.5</v>
      </c>
      <c r="I150" s="60">
        <f>7382+3538+2650+1611</f>
        <v>15181</v>
      </c>
      <c r="J150" s="88">
        <f>+H150/I150</f>
        <v>8.172946446215665</v>
      </c>
      <c r="K150" s="153"/>
      <c r="L150" s="136"/>
      <c r="M150" s="137"/>
      <c r="N150" s="138"/>
    </row>
    <row r="151" spans="1:14" s="45" customFormat="1" ht="15">
      <c r="A151" s="166">
        <v>148</v>
      </c>
      <c r="B151" s="101" t="s">
        <v>306</v>
      </c>
      <c r="C151" s="57">
        <v>39157</v>
      </c>
      <c r="D151" s="212" t="s">
        <v>212</v>
      </c>
      <c r="E151" s="212" t="s">
        <v>307</v>
      </c>
      <c r="F151" s="97">
        <v>56</v>
      </c>
      <c r="G151" s="97">
        <v>13</v>
      </c>
      <c r="H151" s="202">
        <f>58610+26460.5+16261.5+6759+4608+1822+1190+451+98+184+371+221</f>
        <v>117036</v>
      </c>
      <c r="I151" s="207">
        <f>8805+4170+2948+1373+809+330+236+64+14+44+84+50</f>
        <v>18927</v>
      </c>
      <c r="J151" s="104">
        <f>H151/I151</f>
        <v>6.183547313361864</v>
      </c>
      <c r="K151" s="153"/>
      <c r="L151" s="136"/>
      <c r="M151" s="137"/>
      <c r="N151" s="138"/>
    </row>
    <row r="152" spans="1:14" s="45" customFormat="1" ht="15">
      <c r="A152" s="166">
        <v>149</v>
      </c>
      <c r="B152" s="80" t="s">
        <v>241</v>
      </c>
      <c r="C152" s="57">
        <v>39283</v>
      </c>
      <c r="D152" s="64" t="s">
        <v>298</v>
      </c>
      <c r="E152" s="64" t="s">
        <v>257</v>
      </c>
      <c r="F152" s="302">
        <v>30</v>
      </c>
      <c r="G152" s="302">
        <v>13</v>
      </c>
      <c r="H152" s="294">
        <v>114922.5</v>
      </c>
      <c r="I152" s="295">
        <v>17323</v>
      </c>
      <c r="J152" s="226">
        <f>H152/I152</f>
        <v>6.63409917450788</v>
      </c>
      <c r="K152" s="153"/>
      <c r="L152" s="136"/>
      <c r="M152" s="137"/>
      <c r="N152" s="138"/>
    </row>
    <row r="153" spans="1:14" s="45" customFormat="1" ht="15">
      <c r="A153" s="166">
        <v>150</v>
      </c>
      <c r="B153" s="78" t="s">
        <v>180</v>
      </c>
      <c r="C153" s="56">
        <v>39346</v>
      </c>
      <c r="D153" s="61" t="s">
        <v>48</v>
      </c>
      <c r="E153" s="61" t="s">
        <v>153</v>
      </c>
      <c r="F153" s="105">
        <v>43</v>
      </c>
      <c r="G153" s="105">
        <v>5</v>
      </c>
      <c r="H153" s="299">
        <f>71530.5+23470.5+7486+4054+7721</f>
        <v>114262</v>
      </c>
      <c r="I153" s="60">
        <f>8297+2978+1360+703+1314</f>
        <v>14652</v>
      </c>
      <c r="J153" s="226">
        <f>H153/I153</f>
        <v>7.798389298389298</v>
      </c>
      <c r="K153" s="153"/>
      <c r="L153" s="136"/>
      <c r="M153" s="137"/>
      <c r="N153" s="138"/>
    </row>
    <row r="154" spans="1:14" s="45" customFormat="1" ht="15">
      <c r="A154" s="166">
        <v>151</v>
      </c>
      <c r="B154" s="79" t="s">
        <v>115</v>
      </c>
      <c r="C154" s="57">
        <v>39367</v>
      </c>
      <c r="D154" s="297" t="s">
        <v>212</v>
      </c>
      <c r="E154" s="63" t="s">
        <v>213</v>
      </c>
      <c r="F154" s="105">
        <v>45</v>
      </c>
      <c r="G154" s="58">
        <v>2</v>
      </c>
      <c r="H154" s="296">
        <f>89537+22763.5</f>
        <v>112300.5</v>
      </c>
      <c r="I154" s="60">
        <f>10673+2965</f>
        <v>13638</v>
      </c>
      <c r="J154" s="88">
        <f>+H154/I154</f>
        <v>8.2343818741751</v>
      </c>
      <c r="K154" s="153"/>
      <c r="L154" s="136"/>
      <c r="M154" s="137"/>
      <c r="N154" s="138"/>
    </row>
    <row r="155" spans="1:14" s="45" customFormat="1" ht="15">
      <c r="A155" s="166">
        <v>152</v>
      </c>
      <c r="B155" s="100" t="s">
        <v>150</v>
      </c>
      <c r="C155" s="56">
        <v>39087</v>
      </c>
      <c r="D155" s="213" t="s">
        <v>350</v>
      </c>
      <c r="E155" s="213" t="s">
        <v>350</v>
      </c>
      <c r="F155" s="85">
        <v>11</v>
      </c>
      <c r="G155" s="97">
        <v>13</v>
      </c>
      <c r="H155" s="202">
        <v>108797.79</v>
      </c>
      <c r="I155" s="207">
        <v>11442</v>
      </c>
      <c r="J155" s="104">
        <f>H155/I155</f>
        <v>9.508633980073412</v>
      </c>
      <c r="K155" s="153"/>
      <c r="L155" s="136"/>
      <c r="M155" s="137"/>
      <c r="N155" s="138"/>
    </row>
    <row r="156" spans="1:14" s="45" customFormat="1" ht="15">
      <c r="A156" s="166">
        <v>153</v>
      </c>
      <c r="B156" s="101" t="s">
        <v>235</v>
      </c>
      <c r="C156" s="57">
        <v>39276</v>
      </c>
      <c r="D156" s="212" t="s">
        <v>211</v>
      </c>
      <c r="E156" s="212" t="s">
        <v>216</v>
      </c>
      <c r="F156" s="97">
        <v>20</v>
      </c>
      <c r="G156" s="97">
        <v>10</v>
      </c>
      <c r="H156" s="202">
        <v>106179</v>
      </c>
      <c r="I156" s="207">
        <v>13198</v>
      </c>
      <c r="J156" s="88">
        <f>+H156/I156</f>
        <v>8.045082588270951</v>
      </c>
      <c r="K156" s="153"/>
      <c r="L156" s="136"/>
      <c r="M156" s="137"/>
      <c r="N156" s="138"/>
    </row>
    <row r="157" spans="1:14" s="45" customFormat="1" ht="15">
      <c r="A157" s="166">
        <v>154</v>
      </c>
      <c r="B157" s="79" t="s">
        <v>244</v>
      </c>
      <c r="C157" s="57">
        <v>39290</v>
      </c>
      <c r="D157" s="63" t="s">
        <v>211</v>
      </c>
      <c r="E157" s="63" t="s">
        <v>218</v>
      </c>
      <c r="F157" s="58">
        <v>20</v>
      </c>
      <c r="G157" s="58">
        <v>12</v>
      </c>
      <c r="H157" s="202">
        <v>104766</v>
      </c>
      <c r="I157" s="207">
        <v>12627</v>
      </c>
      <c r="J157" s="226">
        <f>H157/I157</f>
        <v>8.296982656212878</v>
      </c>
      <c r="K157" s="153"/>
      <c r="L157" s="136"/>
      <c r="M157" s="137"/>
      <c r="N157" s="138"/>
    </row>
    <row r="158" spans="1:14" s="45" customFormat="1" ht="15">
      <c r="A158" s="166">
        <v>155</v>
      </c>
      <c r="B158" s="80" t="s">
        <v>245</v>
      </c>
      <c r="C158" s="57">
        <v>39290</v>
      </c>
      <c r="D158" s="64" t="s">
        <v>298</v>
      </c>
      <c r="E158" s="64" t="s">
        <v>68</v>
      </c>
      <c r="F158" s="302">
        <v>10</v>
      </c>
      <c r="G158" s="302">
        <v>13</v>
      </c>
      <c r="H158" s="294">
        <v>89387</v>
      </c>
      <c r="I158" s="295">
        <v>11715</v>
      </c>
      <c r="J158" s="226">
        <f>H158/I158</f>
        <v>7.630132309005549</v>
      </c>
      <c r="K158" s="153"/>
      <c r="L158" s="136"/>
      <c r="M158" s="137"/>
      <c r="N158" s="138"/>
    </row>
    <row r="159" spans="1:14" s="45" customFormat="1" ht="15">
      <c r="A159" s="166">
        <v>156</v>
      </c>
      <c r="B159" s="80" t="s">
        <v>116</v>
      </c>
      <c r="C159" s="56">
        <v>39346</v>
      </c>
      <c r="D159" s="64" t="s">
        <v>324</v>
      </c>
      <c r="E159" s="64" t="s">
        <v>181</v>
      </c>
      <c r="F159" s="106" t="s">
        <v>265</v>
      </c>
      <c r="G159" s="106" t="s">
        <v>311</v>
      </c>
      <c r="H159" s="294">
        <v>85224</v>
      </c>
      <c r="I159" s="295">
        <v>11509</v>
      </c>
      <c r="J159" s="88">
        <f>+H159/I159</f>
        <v>7.404987401164306</v>
      </c>
      <c r="K159" s="153"/>
      <c r="L159" s="136"/>
      <c r="M159" s="137"/>
      <c r="N159" s="138"/>
    </row>
    <row r="160" spans="1:14" s="45" customFormat="1" ht="15">
      <c r="A160" s="166">
        <v>157</v>
      </c>
      <c r="B160" s="80" t="s">
        <v>98</v>
      </c>
      <c r="C160" s="57">
        <v>39353</v>
      </c>
      <c r="D160" s="64" t="s">
        <v>298</v>
      </c>
      <c r="E160" s="64" t="s">
        <v>264</v>
      </c>
      <c r="F160" s="302">
        <v>11</v>
      </c>
      <c r="G160" s="302">
        <v>4</v>
      </c>
      <c r="H160" s="294">
        <v>77707.5</v>
      </c>
      <c r="I160" s="295">
        <v>6721</v>
      </c>
      <c r="J160" s="226">
        <f>H160/I160</f>
        <v>11.561895551257253</v>
      </c>
      <c r="K160" s="153"/>
      <c r="L160" s="136"/>
      <c r="M160" s="137"/>
      <c r="N160" s="138"/>
    </row>
    <row r="161" spans="1:14" s="45" customFormat="1" ht="15">
      <c r="A161" s="166">
        <v>158</v>
      </c>
      <c r="B161" s="103" t="s">
        <v>351</v>
      </c>
      <c r="C161" s="59">
        <v>39101</v>
      </c>
      <c r="D161" s="214" t="s">
        <v>217</v>
      </c>
      <c r="E161" s="214" t="s">
        <v>352</v>
      </c>
      <c r="F161" s="102">
        <v>14</v>
      </c>
      <c r="G161" s="102">
        <v>9</v>
      </c>
      <c r="H161" s="204">
        <v>75233</v>
      </c>
      <c r="I161" s="209">
        <v>7816</v>
      </c>
      <c r="J161" s="104">
        <f>H161/I161</f>
        <v>9.625511770726714</v>
      </c>
      <c r="K161" s="153"/>
      <c r="L161" s="136"/>
      <c r="M161" s="137"/>
      <c r="N161" s="138"/>
    </row>
    <row r="162" spans="1:14" s="45" customFormat="1" ht="15">
      <c r="A162" s="166">
        <v>159</v>
      </c>
      <c r="B162" s="101" t="s">
        <v>286</v>
      </c>
      <c r="C162" s="57">
        <v>39115</v>
      </c>
      <c r="D162" s="213" t="s">
        <v>298</v>
      </c>
      <c r="E162" s="213" t="s">
        <v>320</v>
      </c>
      <c r="F162" s="85" t="s">
        <v>246</v>
      </c>
      <c r="G162" s="85" t="s">
        <v>155</v>
      </c>
      <c r="H162" s="203">
        <v>74553.5</v>
      </c>
      <c r="I162" s="206">
        <v>11561</v>
      </c>
      <c r="J162" s="88">
        <f>+H162/I162</f>
        <v>6.4487068592682295</v>
      </c>
      <c r="K162" s="153"/>
      <c r="L162" s="136"/>
      <c r="M162" s="137"/>
      <c r="N162" s="138"/>
    </row>
    <row r="163" spans="1:14" s="45" customFormat="1" ht="15">
      <c r="A163" s="166">
        <v>160</v>
      </c>
      <c r="B163" s="101" t="s">
        <v>231</v>
      </c>
      <c r="C163" s="57">
        <v>39150</v>
      </c>
      <c r="D163" s="212" t="s">
        <v>212</v>
      </c>
      <c r="E163" s="212" t="s">
        <v>19</v>
      </c>
      <c r="F163" s="97">
        <v>36</v>
      </c>
      <c r="G163" s="97">
        <v>9</v>
      </c>
      <c r="H163" s="202">
        <f>36532.5+12598.5+9503.5+3866+3675.5+2036.5+2184+698+213</f>
        <v>71307.5</v>
      </c>
      <c r="I163" s="207">
        <f>5376+1964+1865+741+753+478+609+121+41</f>
        <v>11948</v>
      </c>
      <c r="J163" s="88">
        <f>+H163/I163</f>
        <v>5.968153665885504</v>
      </c>
      <c r="K163" s="153"/>
      <c r="L163" s="136"/>
      <c r="M163" s="137"/>
      <c r="N163" s="138"/>
    </row>
    <row r="164" spans="1:14" s="45" customFormat="1" ht="15">
      <c r="A164" s="166">
        <v>161</v>
      </c>
      <c r="B164" s="100" t="s">
        <v>293</v>
      </c>
      <c r="C164" s="56">
        <v>39248</v>
      </c>
      <c r="D164" s="213" t="s">
        <v>210</v>
      </c>
      <c r="E164" s="213" t="s">
        <v>223</v>
      </c>
      <c r="F164" s="85">
        <v>43</v>
      </c>
      <c r="G164" s="85">
        <v>11</v>
      </c>
      <c r="H164" s="203">
        <f>42123+14013+3348+3474+2860+1453+1145+277+347+298+641</f>
        <v>69979</v>
      </c>
      <c r="I164" s="206">
        <f>5045+1702+479+644+570+297+204+89+71+65+110</f>
        <v>9276</v>
      </c>
      <c r="J164" s="81">
        <f>IF(H164&lt;&gt;0,H164/I164,"")</f>
        <v>7.54409228115567</v>
      </c>
      <c r="K164" s="153"/>
      <c r="L164" s="136"/>
      <c r="M164" s="137"/>
      <c r="N164" s="138"/>
    </row>
    <row r="165" spans="1:14" s="45" customFormat="1" ht="15">
      <c r="A165" s="166">
        <v>162</v>
      </c>
      <c r="B165" s="100" t="s">
        <v>21</v>
      </c>
      <c r="C165" s="57">
        <v>39227</v>
      </c>
      <c r="D165" s="213" t="s">
        <v>298</v>
      </c>
      <c r="E165" s="213" t="s">
        <v>175</v>
      </c>
      <c r="F165" s="85" t="s">
        <v>311</v>
      </c>
      <c r="G165" s="85" t="s">
        <v>154</v>
      </c>
      <c r="H165" s="203">
        <v>67643.5</v>
      </c>
      <c r="I165" s="206">
        <v>8935</v>
      </c>
      <c r="J165" s="88">
        <f>+H165/I165</f>
        <v>7.570621152770006</v>
      </c>
      <c r="K165" s="153"/>
      <c r="L165" s="136"/>
      <c r="M165" s="137"/>
      <c r="N165" s="138"/>
    </row>
    <row r="166" spans="1:14" s="45" customFormat="1" ht="15">
      <c r="A166" s="166">
        <v>163</v>
      </c>
      <c r="B166" s="79" t="s">
        <v>331</v>
      </c>
      <c r="C166" s="59">
        <v>39297</v>
      </c>
      <c r="D166" s="65" t="s">
        <v>217</v>
      </c>
      <c r="E166" s="65" t="s">
        <v>1</v>
      </c>
      <c r="F166" s="122">
        <v>10</v>
      </c>
      <c r="G166" s="122">
        <v>10</v>
      </c>
      <c r="H166" s="298">
        <v>67638</v>
      </c>
      <c r="I166" s="60">
        <v>6956</v>
      </c>
      <c r="J166" s="88">
        <f>+H166/I166</f>
        <v>9.723691776883266</v>
      </c>
      <c r="K166" s="153"/>
      <c r="L166" s="136"/>
      <c r="M166" s="137"/>
      <c r="N166" s="138"/>
    </row>
    <row r="167" spans="1:14" s="45" customFormat="1" ht="15">
      <c r="A167" s="166">
        <v>164</v>
      </c>
      <c r="B167" s="101" t="s">
        <v>151</v>
      </c>
      <c r="C167" s="57">
        <v>39087</v>
      </c>
      <c r="D167" s="212" t="s">
        <v>298</v>
      </c>
      <c r="E167" s="212" t="s">
        <v>152</v>
      </c>
      <c r="F167" s="97">
        <v>1</v>
      </c>
      <c r="G167" s="97">
        <v>18</v>
      </c>
      <c r="H167" s="202">
        <f>22095+9204+7326+5702+4828+3872.5+1230+1085+707+2852+110.5+1780+1780+1900+49+952+1900+102+49</f>
        <v>67524</v>
      </c>
      <c r="I167" s="207">
        <f>2920+1031+821+648+551+476+146+128+89+713+43+445+445+475+7+238+475+11+6</f>
        <v>9668</v>
      </c>
      <c r="J167" s="88">
        <f>+H167/I167</f>
        <v>6.9842780306164665</v>
      </c>
      <c r="K167" s="153"/>
      <c r="L167" s="136"/>
      <c r="M167" s="137"/>
      <c r="N167" s="138"/>
    </row>
    <row r="168" spans="1:14" s="45" customFormat="1" ht="15">
      <c r="A168" s="166">
        <v>165</v>
      </c>
      <c r="B168" s="100" t="s">
        <v>31</v>
      </c>
      <c r="C168" s="56">
        <v>39234</v>
      </c>
      <c r="D168" s="213" t="s">
        <v>204</v>
      </c>
      <c r="E168" s="213" t="s">
        <v>153</v>
      </c>
      <c r="F168" s="85">
        <v>27</v>
      </c>
      <c r="G168" s="85">
        <v>16</v>
      </c>
      <c r="H168" s="205">
        <f>65950.5+92+15+200</f>
        <v>66257.5</v>
      </c>
      <c r="I168" s="207">
        <f>8813+30+5+34</f>
        <v>8882</v>
      </c>
      <c r="J168" s="81">
        <f>IF(H168&lt;&gt;0,H168/I168,"")</f>
        <v>7.459750056293627</v>
      </c>
      <c r="K168" s="153"/>
      <c r="L168" s="136"/>
      <c r="M168" s="137"/>
      <c r="N168" s="138"/>
    </row>
    <row r="169" spans="1:14" s="45" customFormat="1" ht="15">
      <c r="A169" s="166">
        <v>166</v>
      </c>
      <c r="B169" s="101" t="s">
        <v>95</v>
      </c>
      <c r="C169" s="57">
        <v>39136</v>
      </c>
      <c r="D169" s="212" t="s">
        <v>212</v>
      </c>
      <c r="E169" s="212" t="s">
        <v>213</v>
      </c>
      <c r="F169" s="85">
        <v>7</v>
      </c>
      <c r="G169" s="97">
        <v>10</v>
      </c>
      <c r="H169" s="202">
        <f>23106.5+15905+4970.5+4958+2337+5206+2114+6120.5+60+855</f>
        <v>65632.5</v>
      </c>
      <c r="I169" s="207">
        <f>2469+1725+813+546+379+1021+442+1372+6+109</f>
        <v>8882</v>
      </c>
      <c r="J169" s="88">
        <f>+H169/I169</f>
        <v>7.389383021841928</v>
      </c>
      <c r="K169" s="153"/>
      <c r="L169" s="136"/>
      <c r="M169" s="137"/>
      <c r="N169" s="138"/>
    </row>
    <row r="170" spans="1:14" s="45" customFormat="1" ht="15">
      <c r="A170" s="166">
        <v>167</v>
      </c>
      <c r="B170" s="101" t="s">
        <v>9</v>
      </c>
      <c r="C170" s="57">
        <v>39213</v>
      </c>
      <c r="D170" s="212" t="s">
        <v>212</v>
      </c>
      <c r="E170" s="212" t="s">
        <v>213</v>
      </c>
      <c r="F170" s="97">
        <v>5</v>
      </c>
      <c r="G170" s="97">
        <v>16</v>
      </c>
      <c r="H170" s="202">
        <f>25052+11949.5+3201+4494+4686.5+1784.5+1964.5+1245.5+867+2745+1517+779+696+2285.5+108+1918.5</f>
        <v>65293.5</v>
      </c>
      <c r="I170" s="207">
        <f>2528+1205+383+567+687+312+364+233+144+405+270+163+148+551+19+514</f>
        <v>8493</v>
      </c>
      <c r="J170" s="216">
        <f>H170/I170</f>
        <v>7.6879194630872485</v>
      </c>
      <c r="K170" s="153"/>
      <c r="L170" s="136"/>
      <c r="M170" s="137"/>
      <c r="N170" s="138"/>
    </row>
    <row r="171" spans="1:14" s="45" customFormat="1" ht="15">
      <c r="A171" s="166">
        <v>168</v>
      </c>
      <c r="B171" s="80" t="s">
        <v>49</v>
      </c>
      <c r="C171" s="56">
        <v>39374</v>
      </c>
      <c r="D171" s="64" t="s">
        <v>225</v>
      </c>
      <c r="E171" s="64" t="s">
        <v>146</v>
      </c>
      <c r="F171" s="106" t="s">
        <v>50</v>
      </c>
      <c r="G171" s="106" t="s">
        <v>297</v>
      </c>
      <c r="H171" s="294">
        <v>63044</v>
      </c>
      <c r="I171" s="295">
        <v>6930</v>
      </c>
      <c r="J171" s="88">
        <f>+H171/I171</f>
        <v>9.097258297258298</v>
      </c>
      <c r="K171" s="153"/>
      <c r="L171" s="136"/>
      <c r="M171" s="137"/>
      <c r="N171" s="138"/>
    </row>
    <row r="172" spans="1:14" s="45" customFormat="1" ht="15">
      <c r="A172" s="166">
        <v>169</v>
      </c>
      <c r="B172" s="103" t="s">
        <v>285</v>
      </c>
      <c r="C172" s="59">
        <v>39178</v>
      </c>
      <c r="D172" s="214" t="s">
        <v>217</v>
      </c>
      <c r="E172" s="214" t="s">
        <v>87</v>
      </c>
      <c r="F172" s="102">
        <v>20</v>
      </c>
      <c r="G172" s="102">
        <v>16</v>
      </c>
      <c r="H172" s="203">
        <v>61736</v>
      </c>
      <c r="I172" s="206">
        <v>7906</v>
      </c>
      <c r="J172" s="104">
        <f>H172/I172</f>
        <v>7.808752845939792</v>
      </c>
      <c r="K172" s="153"/>
      <c r="L172" s="136"/>
      <c r="M172" s="137"/>
      <c r="N172" s="138"/>
    </row>
    <row r="173" spans="1:14" s="45" customFormat="1" ht="15">
      <c r="A173" s="166">
        <v>170</v>
      </c>
      <c r="B173" s="101" t="s">
        <v>122</v>
      </c>
      <c r="C173" s="57">
        <v>39178</v>
      </c>
      <c r="D173" s="212" t="s">
        <v>212</v>
      </c>
      <c r="E173" s="212" t="s">
        <v>254</v>
      </c>
      <c r="F173" s="97">
        <v>32</v>
      </c>
      <c r="G173" s="97">
        <v>10</v>
      </c>
      <c r="H173" s="202">
        <f>36030.5+15107+2947+2226.5+1741.5+368+21+178.5+160+10</f>
        <v>58790</v>
      </c>
      <c r="I173" s="207">
        <f>5756+2532+606+524+412+75+6+23+51+2</f>
        <v>9987</v>
      </c>
      <c r="J173" s="104">
        <f>H173/I173</f>
        <v>5.8866526484429755</v>
      </c>
      <c r="K173" s="153"/>
      <c r="L173" s="136"/>
      <c r="M173" s="137"/>
      <c r="N173" s="138"/>
    </row>
    <row r="174" spans="1:14" s="45" customFormat="1" ht="15">
      <c r="A174" s="166">
        <v>171</v>
      </c>
      <c r="B174" s="80" t="s">
        <v>34</v>
      </c>
      <c r="C174" s="57">
        <v>39311</v>
      </c>
      <c r="D174" s="64" t="s">
        <v>298</v>
      </c>
      <c r="E174" s="64" t="s">
        <v>221</v>
      </c>
      <c r="F174" s="106" t="s">
        <v>314</v>
      </c>
      <c r="G174" s="106" t="s">
        <v>108</v>
      </c>
      <c r="H174" s="203">
        <v>53113</v>
      </c>
      <c r="I174" s="206">
        <v>6404</v>
      </c>
      <c r="J174" s="226">
        <f>H174/I174</f>
        <v>8.29372267332917</v>
      </c>
      <c r="K174" s="153"/>
      <c r="L174" s="136"/>
      <c r="M174" s="137"/>
      <c r="N174" s="138"/>
    </row>
    <row r="175" spans="1:14" s="45" customFormat="1" ht="15">
      <c r="A175" s="166">
        <v>172</v>
      </c>
      <c r="B175" s="79" t="s">
        <v>99</v>
      </c>
      <c r="C175" s="59">
        <v>39353</v>
      </c>
      <c r="D175" s="65" t="s">
        <v>217</v>
      </c>
      <c r="E175" s="65" t="s">
        <v>56</v>
      </c>
      <c r="F175" s="122">
        <v>10</v>
      </c>
      <c r="G175" s="122">
        <v>4</v>
      </c>
      <c r="H175" s="298">
        <v>51380</v>
      </c>
      <c r="I175" s="304">
        <v>4973</v>
      </c>
      <c r="J175" s="88">
        <f>+H175/I175</f>
        <v>10.331791675045244</v>
      </c>
      <c r="K175" s="153"/>
      <c r="L175" s="136"/>
      <c r="M175" s="137"/>
      <c r="N175" s="138"/>
    </row>
    <row r="176" spans="1:14" s="45" customFormat="1" ht="15">
      <c r="A176" s="166">
        <v>173</v>
      </c>
      <c r="B176" s="100" t="s">
        <v>294</v>
      </c>
      <c r="C176" s="56">
        <v>39248</v>
      </c>
      <c r="D176" s="213" t="s">
        <v>225</v>
      </c>
      <c r="E176" s="213" t="s">
        <v>146</v>
      </c>
      <c r="F176" s="85" t="s">
        <v>295</v>
      </c>
      <c r="G176" s="85" t="s">
        <v>268</v>
      </c>
      <c r="H176" s="203">
        <v>50308</v>
      </c>
      <c r="I176" s="206">
        <v>6490</v>
      </c>
      <c r="J176" s="88">
        <f>+H176/I176</f>
        <v>7.751617873651772</v>
      </c>
      <c r="K176" s="153"/>
      <c r="L176" s="136"/>
      <c r="M176" s="137"/>
      <c r="N176" s="138"/>
    </row>
    <row r="177" spans="1:14" s="45" customFormat="1" ht="15">
      <c r="A177" s="166">
        <v>174</v>
      </c>
      <c r="B177" s="100" t="s">
        <v>134</v>
      </c>
      <c r="C177" s="56">
        <v>39185</v>
      </c>
      <c r="D177" s="213" t="s">
        <v>210</v>
      </c>
      <c r="E177" s="213" t="s">
        <v>332</v>
      </c>
      <c r="F177" s="85">
        <v>18</v>
      </c>
      <c r="G177" s="85">
        <v>13</v>
      </c>
      <c r="H177" s="203">
        <f>30174+1530+1183+615+267+1789+987+401+549+1013+1120+376+867</f>
        <v>40871</v>
      </c>
      <c r="I177" s="206">
        <f>3096+224+261+123+52+470+182+51+89+211+227+77+161</f>
        <v>5224</v>
      </c>
      <c r="J177" s="104">
        <f>H177/I177</f>
        <v>7.823698315467075</v>
      </c>
      <c r="K177" s="153"/>
      <c r="L177" s="136"/>
      <c r="M177" s="137"/>
      <c r="N177" s="138"/>
    </row>
    <row r="178" spans="1:14" s="45" customFormat="1" ht="15">
      <c r="A178" s="166">
        <v>175</v>
      </c>
      <c r="B178" s="101" t="s">
        <v>61</v>
      </c>
      <c r="C178" s="57">
        <v>39255</v>
      </c>
      <c r="D178" s="212" t="s">
        <v>298</v>
      </c>
      <c r="E178" s="212" t="s">
        <v>299</v>
      </c>
      <c r="F178" s="97">
        <v>1</v>
      </c>
      <c r="G178" s="97">
        <v>12</v>
      </c>
      <c r="H178" s="202">
        <f>21521.25+5392+4888+3600+742+672+588+813+661+50+331+63+30</f>
        <v>39351.25</v>
      </c>
      <c r="I178" s="207">
        <f>2941+612+556+404+77+78+68+113+91+10+50+12+6</f>
        <v>5018</v>
      </c>
      <c r="J178" s="216">
        <f>H178/I178</f>
        <v>7.842018732562774</v>
      </c>
      <c r="K178" s="153"/>
      <c r="L178" s="136"/>
      <c r="M178" s="137"/>
      <c r="N178" s="138"/>
    </row>
    <row r="179" spans="1:14" s="45" customFormat="1" ht="15">
      <c r="A179" s="166">
        <v>176</v>
      </c>
      <c r="B179" s="79" t="s">
        <v>249</v>
      </c>
      <c r="C179" s="57">
        <v>39213</v>
      </c>
      <c r="D179" s="63" t="s">
        <v>212</v>
      </c>
      <c r="E179" s="63" t="s">
        <v>213</v>
      </c>
      <c r="F179" s="58">
        <v>1</v>
      </c>
      <c r="G179" s="58">
        <v>21</v>
      </c>
      <c r="H179" s="202">
        <f>23022+3295+935+946+734+524+260+264+324+228+783+301+702+1006+917+325+206+139+122+85+140</f>
        <v>35258</v>
      </c>
      <c r="I179" s="207">
        <f>3601+659+187+99+75+55+28+30+35+44+117+60+110+134+121+74+48+21+18+15+20</f>
        <v>5551</v>
      </c>
      <c r="J179" s="226">
        <f>H179/I179</f>
        <v>6.351648351648351</v>
      </c>
      <c r="K179" s="153"/>
      <c r="L179" s="136"/>
      <c r="M179" s="137"/>
      <c r="N179" s="138"/>
    </row>
    <row r="180" spans="1:14" s="45" customFormat="1" ht="15">
      <c r="A180" s="166">
        <v>177</v>
      </c>
      <c r="B180" s="80" t="s">
        <v>289</v>
      </c>
      <c r="C180" s="56">
        <v>39206</v>
      </c>
      <c r="D180" s="64" t="s">
        <v>225</v>
      </c>
      <c r="E180" s="64" t="s">
        <v>4</v>
      </c>
      <c r="F180" s="106" t="s">
        <v>311</v>
      </c>
      <c r="G180" s="106" t="s">
        <v>63</v>
      </c>
      <c r="H180" s="294">
        <v>26045.11</v>
      </c>
      <c r="I180" s="295">
        <v>3462</v>
      </c>
      <c r="J180" s="88">
        <f>+H180/I180</f>
        <v>7.523139803581745</v>
      </c>
      <c r="K180" s="153"/>
      <c r="L180" s="136"/>
      <c r="M180" s="137"/>
      <c r="N180" s="138"/>
    </row>
    <row r="181" spans="1:14" s="45" customFormat="1" ht="15">
      <c r="A181" s="166">
        <v>178</v>
      </c>
      <c r="B181" s="101" t="s">
        <v>11</v>
      </c>
      <c r="C181" s="57">
        <v>39213</v>
      </c>
      <c r="D181" s="212" t="s">
        <v>298</v>
      </c>
      <c r="E181" s="212" t="s">
        <v>355</v>
      </c>
      <c r="F181" s="97">
        <v>4</v>
      </c>
      <c r="G181" s="97">
        <v>16</v>
      </c>
      <c r="H181" s="202">
        <f>4023.5+5558+2672.5+449+52+4724+1387+416+126+1449+1998.5+1277.5+555+22+158+638+386.5</f>
        <v>25892.5</v>
      </c>
      <c r="I181" s="207">
        <f>664+522+392+59+6+830+205+77+22+258+402+232+86+4+30+74+60</f>
        <v>3923</v>
      </c>
      <c r="J181" s="216">
        <f>H181/I181</f>
        <v>6.600178434871272</v>
      </c>
      <c r="K181" s="153"/>
      <c r="L181" s="136"/>
      <c r="M181" s="137"/>
      <c r="N181" s="138"/>
    </row>
    <row r="182" spans="1:14" s="45" customFormat="1" ht="15">
      <c r="A182" s="166">
        <v>179</v>
      </c>
      <c r="B182" s="101" t="s">
        <v>288</v>
      </c>
      <c r="C182" s="57">
        <v>39094</v>
      </c>
      <c r="D182" s="212" t="s">
        <v>298</v>
      </c>
      <c r="E182" s="212" t="s">
        <v>236</v>
      </c>
      <c r="F182" s="97">
        <v>2</v>
      </c>
      <c r="G182" s="97">
        <v>11</v>
      </c>
      <c r="H182" s="202">
        <f>1685+7070+4182+870+1068+308+1896+1402+2852+77.5+1294+2966</f>
        <v>25670.5</v>
      </c>
      <c r="I182" s="207">
        <f>480+951+563+174+267+31+416+162+713+29+337+681</f>
        <v>4804</v>
      </c>
      <c r="J182" s="216">
        <f>H182/I182</f>
        <v>5.343567860116569</v>
      </c>
      <c r="K182" s="153"/>
      <c r="L182" s="136"/>
      <c r="M182" s="137"/>
      <c r="N182" s="138"/>
    </row>
    <row r="183" spans="1:14" s="45" customFormat="1" ht="15">
      <c r="A183" s="166">
        <v>180</v>
      </c>
      <c r="B183" s="80" t="s">
        <v>75</v>
      </c>
      <c r="C183" s="56">
        <v>39269</v>
      </c>
      <c r="D183" s="84" t="s">
        <v>225</v>
      </c>
      <c r="E183" s="84" t="s">
        <v>146</v>
      </c>
      <c r="F183" s="106" t="s">
        <v>297</v>
      </c>
      <c r="G183" s="106" t="s">
        <v>168</v>
      </c>
      <c r="H183" s="203">
        <v>25567.88</v>
      </c>
      <c r="I183" s="206">
        <v>4075</v>
      </c>
      <c r="J183" s="88">
        <f>+H183/I183</f>
        <v>6.274326380368098</v>
      </c>
      <c r="K183" s="153"/>
      <c r="L183" s="136"/>
      <c r="M183" s="137"/>
      <c r="N183" s="138"/>
    </row>
    <row r="184" spans="1:14" s="45" customFormat="1" ht="15">
      <c r="A184" s="166">
        <v>181</v>
      </c>
      <c r="B184" s="101" t="s">
        <v>287</v>
      </c>
      <c r="C184" s="57">
        <v>39115</v>
      </c>
      <c r="D184" s="212" t="s">
        <v>212</v>
      </c>
      <c r="E184" s="212" t="s">
        <v>322</v>
      </c>
      <c r="F184" s="97">
        <v>10</v>
      </c>
      <c r="G184" s="97">
        <v>9</v>
      </c>
      <c r="H184" s="202">
        <f>17496+3884+1469+240+311+404+472+286+106-100</f>
        <v>24568</v>
      </c>
      <c r="I184" s="207">
        <f>1763+417+239+30+72+92+105+29+22</f>
        <v>2769</v>
      </c>
      <c r="J184" s="104">
        <f>H184/I184</f>
        <v>8.872517154207294</v>
      </c>
      <c r="K184" s="153"/>
      <c r="L184" s="136"/>
      <c r="M184" s="137"/>
      <c r="N184" s="138"/>
    </row>
    <row r="185" spans="1:14" s="45" customFormat="1" ht="15">
      <c r="A185" s="166">
        <v>182</v>
      </c>
      <c r="B185" s="100" t="s">
        <v>27</v>
      </c>
      <c r="C185" s="56">
        <v>39234</v>
      </c>
      <c r="D185" s="213" t="s">
        <v>298</v>
      </c>
      <c r="E185" s="213" t="s">
        <v>359</v>
      </c>
      <c r="F185" s="85">
        <v>15</v>
      </c>
      <c r="G185" s="85">
        <v>11</v>
      </c>
      <c r="H185" s="203">
        <v>23608</v>
      </c>
      <c r="I185" s="206">
        <v>2794</v>
      </c>
      <c r="J185" s="88">
        <f>+H185/I185</f>
        <v>8.449534717251252</v>
      </c>
      <c r="K185" s="153"/>
      <c r="L185" s="136"/>
      <c r="M185" s="137"/>
      <c r="N185" s="138"/>
    </row>
    <row r="186" spans="1:14" s="45" customFormat="1" ht="15">
      <c r="A186" s="166">
        <v>183</v>
      </c>
      <c r="B186" s="100" t="s">
        <v>126</v>
      </c>
      <c r="C186" s="57">
        <v>39178</v>
      </c>
      <c r="D186" s="213" t="s">
        <v>298</v>
      </c>
      <c r="E186" s="213" t="s">
        <v>127</v>
      </c>
      <c r="F186" s="85" t="s">
        <v>321</v>
      </c>
      <c r="G186" s="85" t="s">
        <v>177</v>
      </c>
      <c r="H186" s="203">
        <v>22980</v>
      </c>
      <c r="I186" s="206">
        <v>3633</v>
      </c>
      <c r="J186" s="88">
        <f>+H186/I186</f>
        <v>6.325350949628406</v>
      </c>
      <c r="K186" s="153"/>
      <c r="L186" s="136"/>
      <c r="M186" s="137"/>
      <c r="N186" s="138"/>
    </row>
    <row r="187" spans="1:14" s="45" customFormat="1" ht="15">
      <c r="A187" s="166">
        <v>184</v>
      </c>
      <c r="B187" s="80" t="s">
        <v>174</v>
      </c>
      <c r="C187" s="56">
        <v>39339</v>
      </c>
      <c r="D187" s="64" t="s">
        <v>225</v>
      </c>
      <c r="E187" s="64" t="s">
        <v>146</v>
      </c>
      <c r="F187" s="106" t="s">
        <v>268</v>
      </c>
      <c r="G187" s="106" t="s">
        <v>185</v>
      </c>
      <c r="H187" s="294">
        <v>21617</v>
      </c>
      <c r="I187" s="295">
        <v>2354</v>
      </c>
      <c r="J187" s="88">
        <f>+H187/I187</f>
        <v>9.183092608326254</v>
      </c>
      <c r="K187" s="153"/>
      <c r="L187" s="136"/>
      <c r="M187" s="137"/>
      <c r="N187" s="138"/>
    </row>
    <row r="188" spans="1:14" s="45" customFormat="1" ht="15">
      <c r="A188" s="166">
        <v>185</v>
      </c>
      <c r="B188" s="80" t="s">
        <v>100</v>
      </c>
      <c r="C188" s="56">
        <v>39353</v>
      </c>
      <c r="D188" s="64" t="s">
        <v>209</v>
      </c>
      <c r="E188" s="64" t="s">
        <v>209</v>
      </c>
      <c r="F188" s="85">
        <v>1</v>
      </c>
      <c r="G188" s="85">
        <v>4</v>
      </c>
      <c r="H188" s="294">
        <v>19583</v>
      </c>
      <c r="I188" s="295">
        <v>1461</v>
      </c>
      <c r="J188" s="88">
        <f>+H188/I188</f>
        <v>13.403832991101986</v>
      </c>
      <c r="K188" s="153"/>
      <c r="L188" s="136"/>
      <c r="M188" s="137"/>
      <c r="N188" s="138"/>
    </row>
    <row r="189" spans="1:14" s="45" customFormat="1" ht="15">
      <c r="A189" s="166">
        <v>186</v>
      </c>
      <c r="B189" s="101" t="s">
        <v>135</v>
      </c>
      <c r="C189" s="57">
        <v>39185</v>
      </c>
      <c r="D189" s="212" t="s">
        <v>298</v>
      </c>
      <c r="E189" s="212" t="s">
        <v>221</v>
      </c>
      <c r="F189" s="97">
        <v>4</v>
      </c>
      <c r="G189" s="97">
        <v>11</v>
      </c>
      <c r="H189" s="202">
        <f>6769.5+3919+2476+254+2374+807+1360+78+65+30+198</f>
        <v>18330.5</v>
      </c>
      <c r="I189" s="207">
        <f>846+548+607+46+549+101+306+10+13+6+31</f>
        <v>3063</v>
      </c>
      <c r="J189" s="216">
        <f>H189/I189</f>
        <v>5.984492327783219</v>
      </c>
      <c r="K189" s="153"/>
      <c r="L189" s="136"/>
      <c r="M189" s="137"/>
      <c r="N189" s="138"/>
    </row>
    <row r="190" spans="1:14" s="45" customFormat="1" ht="15">
      <c r="A190" s="166">
        <v>187</v>
      </c>
      <c r="B190" s="80" t="s">
        <v>125</v>
      </c>
      <c r="C190" s="57">
        <v>39178</v>
      </c>
      <c r="D190" s="64" t="s">
        <v>298</v>
      </c>
      <c r="E190" s="64" t="s">
        <v>175</v>
      </c>
      <c r="F190" s="106" t="s">
        <v>311</v>
      </c>
      <c r="G190" s="106" t="s">
        <v>168</v>
      </c>
      <c r="H190" s="203">
        <v>17447</v>
      </c>
      <c r="I190" s="206">
        <v>2873</v>
      </c>
      <c r="J190" s="221">
        <f>+H190/I190</f>
        <v>6.07274625826662</v>
      </c>
      <c r="K190" s="153"/>
      <c r="L190" s="136"/>
      <c r="M190" s="137"/>
      <c r="N190" s="138"/>
    </row>
    <row r="191" spans="1:14" s="45" customFormat="1" ht="15">
      <c r="A191" s="166">
        <v>188</v>
      </c>
      <c r="B191" s="80" t="s">
        <v>166</v>
      </c>
      <c r="C191" s="57">
        <v>39332</v>
      </c>
      <c r="D191" s="64" t="s">
        <v>298</v>
      </c>
      <c r="E191" s="64" t="s">
        <v>264</v>
      </c>
      <c r="F191" s="302">
        <v>2</v>
      </c>
      <c r="G191" s="302">
        <v>7</v>
      </c>
      <c r="H191" s="294">
        <v>17331</v>
      </c>
      <c r="I191" s="295">
        <v>2342</v>
      </c>
      <c r="J191" s="226">
        <f>H191/I191</f>
        <v>7.400085397096499</v>
      </c>
      <c r="K191" s="153"/>
      <c r="L191" s="136"/>
      <c r="M191" s="137"/>
      <c r="N191" s="138"/>
    </row>
    <row r="192" spans="1:14" s="45" customFormat="1" ht="15">
      <c r="A192" s="166">
        <v>189</v>
      </c>
      <c r="B192" s="100" t="s">
        <v>310</v>
      </c>
      <c r="C192" s="57">
        <v>39157</v>
      </c>
      <c r="D192" s="213" t="s">
        <v>298</v>
      </c>
      <c r="E192" s="213" t="s">
        <v>264</v>
      </c>
      <c r="F192" s="85">
        <v>1</v>
      </c>
      <c r="G192" s="85" t="s">
        <v>154</v>
      </c>
      <c r="H192" s="203">
        <v>16461</v>
      </c>
      <c r="I192" s="206">
        <v>2786</v>
      </c>
      <c r="J192" s="88">
        <f>+H192/I192</f>
        <v>5.9084709260588655</v>
      </c>
      <c r="K192" s="153"/>
      <c r="L192" s="136"/>
      <c r="M192" s="137"/>
      <c r="N192" s="138"/>
    </row>
    <row r="193" spans="1:14" s="45" customFormat="1" ht="15">
      <c r="A193" s="166">
        <v>190</v>
      </c>
      <c r="B193" s="101" t="s">
        <v>250</v>
      </c>
      <c r="C193" s="57">
        <v>39187</v>
      </c>
      <c r="D193" s="212" t="s">
        <v>212</v>
      </c>
      <c r="E193" s="212" t="s">
        <v>213</v>
      </c>
      <c r="F193" s="97">
        <v>1</v>
      </c>
      <c r="G193" s="97">
        <v>15</v>
      </c>
      <c r="H193" s="202">
        <f>11158+1340+625+166+94+174+151+140+120+76+150+37+129+165+102+1510.5</f>
        <v>16137.5</v>
      </c>
      <c r="I193" s="207">
        <f>1408+268+125+19+11+20+28+15+13+9+30+7+22+32+23+378</f>
        <v>2408</v>
      </c>
      <c r="J193" s="88">
        <f>+H193/I193</f>
        <v>6.701619601328904</v>
      </c>
      <c r="K193" s="153"/>
      <c r="L193" s="136"/>
      <c r="M193" s="137"/>
      <c r="N193" s="138"/>
    </row>
    <row r="194" spans="1:14" s="45" customFormat="1" ht="15">
      <c r="A194" s="166">
        <v>191</v>
      </c>
      <c r="B194" s="100" t="s">
        <v>290</v>
      </c>
      <c r="C194" s="56">
        <v>39178</v>
      </c>
      <c r="D194" s="213" t="s">
        <v>225</v>
      </c>
      <c r="E194" s="213" t="s">
        <v>136</v>
      </c>
      <c r="F194" s="85" t="s">
        <v>314</v>
      </c>
      <c r="G194" s="85" t="s">
        <v>321</v>
      </c>
      <c r="H194" s="203">
        <v>13081</v>
      </c>
      <c r="I194" s="206">
        <v>1608</v>
      </c>
      <c r="J194" s="88">
        <f>+H194/I194</f>
        <v>8.134950248756219</v>
      </c>
      <c r="K194" s="153"/>
      <c r="L194" s="136"/>
      <c r="M194" s="137"/>
      <c r="N194" s="138"/>
    </row>
    <row r="195" spans="1:14" s="45" customFormat="1" ht="15">
      <c r="A195" s="166">
        <v>192</v>
      </c>
      <c r="B195" s="101" t="s">
        <v>248</v>
      </c>
      <c r="C195" s="57">
        <v>39199</v>
      </c>
      <c r="D195" s="212" t="s">
        <v>212</v>
      </c>
      <c r="E195" s="212" t="s">
        <v>213</v>
      </c>
      <c r="F195" s="97">
        <v>1</v>
      </c>
      <c r="G195" s="97">
        <v>11</v>
      </c>
      <c r="H195" s="202">
        <f>7483+988+550+332+134+125+150+50+71+420+500+145</f>
        <v>10948</v>
      </c>
      <c r="I195" s="207">
        <f>956+111+62+33+15+31+22+10+11+54+68+32</f>
        <v>1405</v>
      </c>
      <c r="J195" s="216">
        <f>H195/I195</f>
        <v>7.792170818505338</v>
      </c>
      <c r="K195" s="153"/>
      <c r="L195" s="136"/>
      <c r="M195" s="137"/>
      <c r="N195" s="138"/>
    </row>
    <row r="196" spans="1:14" s="45" customFormat="1" ht="15">
      <c r="A196" s="166">
        <v>193</v>
      </c>
      <c r="B196" s="100" t="s">
        <v>69</v>
      </c>
      <c r="C196" s="56">
        <v>39262</v>
      </c>
      <c r="D196" s="213" t="s">
        <v>232</v>
      </c>
      <c r="E196" s="213" t="s">
        <v>70</v>
      </c>
      <c r="F196" s="85" t="s">
        <v>321</v>
      </c>
      <c r="G196" s="85" t="s">
        <v>168</v>
      </c>
      <c r="H196" s="203">
        <v>10345</v>
      </c>
      <c r="I196" s="206">
        <v>1417</v>
      </c>
      <c r="J196" s="88">
        <f aca="true" t="shared" si="3" ref="J196:J201">+H196/I196</f>
        <v>7.300635144671842</v>
      </c>
      <c r="K196" s="153"/>
      <c r="L196" s="136"/>
      <c r="M196" s="137"/>
      <c r="N196" s="138"/>
    </row>
    <row r="197" spans="1:14" s="45" customFormat="1" ht="15">
      <c r="A197" s="166">
        <v>194</v>
      </c>
      <c r="B197" s="80" t="s">
        <v>183</v>
      </c>
      <c r="C197" s="56">
        <v>39346</v>
      </c>
      <c r="D197" s="64" t="s">
        <v>324</v>
      </c>
      <c r="E197" s="64" t="s">
        <v>184</v>
      </c>
      <c r="F197" s="106" t="s">
        <v>63</v>
      </c>
      <c r="G197" s="106" t="s">
        <v>311</v>
      </c>
      <c r="H197" s="294">
        <v>9956</v>
      </c>
      <c r="I197" s="295">
        <v>1252</v>
      </c>
      <c r="J197" s="88">
        <f t="shared" si="3"/>
        <v>7.952076677316294</v>
      </c>
      <c r="K197" s="153"/>
      <c r="L197" s="136"/>
      <c r="M197" s="137"/>
      <c r="N197" s="138"/>
    </row>
    <row r="198" spans="1:14" s="45" customFormat="1" ht="15">
      <c r="A198" s="166">
        <v>195</v>
      </c>
      <c r="B198" s="79" t="s">
        <v>239</v>
      </c>
      <c r="C198" s="57">
        <v>39283</v>
      </c>
      <c r="D198" s="84" t="s">
        <v>225</v>
      </c>
      <c r="E198" s="87" t="s">
        <v>146</v>
      </c>
      <c r="F198" s="58">
        <v>1</v>
      </c>
      <c r="G198" s="58">
        <v>6</v>
      </c>
      <c r="H198" s="202">
        <v>7584.25</v>
      </c>
      <c r="I198" s="207">
        <v>1329</v>
      </c>
      <c r="J198" s="81">
        <f t="shared" si="3"/>
        <v>5.70673438675696</v>
      </c>
      <c r="K198" s="135"/>
      <c r="L198" s="136"/>
      <c r="M198" s="137"/>
      <c r="N198" s="138"/>
    </row>
    <row r="199" spans="1:14" s="45" customFormat="1" ht="15">
      <c r="A199" s="166">
        <v>196</v>
      </c>
      <c r="B199" s="100" t="s">
        <v>22</v>
      </c>
      <c r="C199" s="56">
        <v>39227</v>
      </c>
      <c r="D199" s="213" t="s">
        <v>232</v>
      </c>
      <c r="E199" s="213" t="s">
        <v>23</v>
      </c>
      <c r="F199" s="85" t="s">
        <v>321</v>
      </c>
      <c r="G199" s="85" t="s">
        <v>62</v>
      </c>
      <c r="H199" s="203">
        <v>6945</v>
      </c>
      <c r="I199" s="206">
        <v>940</v>
      </c>
      <c r="J199" s="88">
        <f t="shared" si="3"/>
        <v>7.388297872340425</v>
      </c>
      <c r="K199" s="151"/>
      <c r="L199" s="140"/>
      <c r="M199" s="141"/>
      <c r="N199" s="142"/>
    </row>
    <row r="200" spans="1:14" s="45" customFormat="1" ht="15">
      <c r="A200" s="166">
        <v>197</v>
      </c>
      <c r="B200" s="78" t="s">
        <v>52</v>
      </c>
      <c r="C200" s="56">
        <v>39388</v>
      </c>
      <c r="D200" s="62" t="s">
        <v>210</v>
      </c>
      <c r="E200" s="61" t="s">
        <v>215</v>
      </c>
      <c r="F200" s="105">
        <v>4</v>
      </c>
      <c r="G200" s="105">
        <v>0</v>
      </c>
      <c r="H200" s="294">
        <v>2870</v>
      </c>
      <c r="I200" s="295">
        <v>287</v>
      </c>
      <c r="J200" s="88">
        <f t="shared" si="3"/>
        <v>10</v>
      </c>
      <c r="K200" s="135"/>
      <c r="L200" s="136"/>
      <c r="M200" s="137"/>
      <c r="N200" s="138"/>
    </row>
    <row r="201" spans="1:14" s="45" customFormat="1" ht="15.75" thickBot="1">
      <c r="A201" s="166">
        <v>198</v>
      </c>
      <c r="B201" s="223" t="s">
        <v>22</v>
      </c>
      <c r="C201" s="107">
        <v>39227</v>
      </c>
      <c r="D201" s="224" t="s">
        <v>232</v>
      </c>
      <c r="E201" s="224" t="s">
        <v>23</v>
      </c>
      <c r="F201" s="134" t="s">
        <v>321</v>
      </c>
      <c r="G201" s="134" t="s">
        <v>62</v>
      </c>
      <c r="H201" s="210">
        <v>6945</v>
      </c>
      <c r="I201" s="211">
        <v>940</v>
      </c>
      <c r="J201" s="217">
        <f t="shared" si="3"/>
        <v>7.388297872340425</v>
      </c>
      <c r="K201" s="143"/>
      <c r="L201" s="140"/>
      <c r="M201" s="141"/>
      <c r="N201" s="142"/>
    </row>
    <row r="202" spans="1:14" s="66" customFormat="1" ht="15">
      <c r="A202" s="337" t="s">
        <v>206</v>
      </c>
      <c r="B202" s="338"/>
      <c r="C202" s="71"/>
      <c r="D202" s="71"/>
      <c r="E202" s="71"/>
      <c r="F202" s="72"/>
      <c r="G202" s="71"/>
      <c r="H202" s="73">
        <f>SUM(H4:H201)</f>
        <v>169808393.54</v>
      </c>
      <c r="I202" s="74">
        <f>SUM(I4:I201)</f>
        <v>21730423</v>
      </c>
      <c r="J202" s="75">
        <f>H202/I202</f>
        <v>7.814316064625157</v>
      </c>
      <c r="K202" s="112"/>
      <c r="L202" s="109"/>
      <c r="M202" s="112"/>
      <c r="N202" s="109"/>
    </row>
    <row r="203" spans="8:9" ht="12.75">
      <c r="H203" s="123"/>
      <c r="I203" s="124"/>
    </row>
    <row r="204" spans="8:9" ht="12.75">
      <c r="H204" s="123"/>
      <c r="I204" s="124"/>
    </row>
    <row r="205" spans="8:9" ht="12.75">
      <c r="H205" s="125"/>
      <c r="I205" s="126"/>
    </row>
    <row r="206" spans="8:9" ht="12.75">
      <c r="H206" s="125"/>
      <c r="I206" s="126"/>
    </row>
    <row r="207" spans="8:9" ht="12.75">
      <c r="H207" s="127"/>
      <c r="I207" s="128"/>
    </row>
    <row r="208" spans="8:9" ht="12.75">
      <c r="H208" s="127"/>
      <c r="I208" s="128"/>
    </row>
    <row r="209" spans="8:9" ht="12.75">
      <c r="H209" s="129"/>
      <c r="I209" s="130"/>
    </row>
    <row r="210" spans="8:9" ht="12.75">
      <c r="H210" s="129"/>
      <c r="I210" s="130"/>
    </row>
    <row r="211" spans="8:9" ht="12.75">
      <c r="H211" s="129"/>
      <c r="I211" s="130"/>
    </row>
    <row r="212" spans="8:9" ht="12.75">
      <c r="H212" s="129"/>
      <c r="I212" s="130"/>
    </row>
    <row r="213" spans="8:9" ht="12.75">
      <c r="H213" s="129"/>
      <c r="I213" s="130"/>
    </row>
    <row r="214" spans="8:9" ht="12.75">
      <c r="H214" s="129"/>
      <c r="I214" s="130"/>
    </row>
    <row r="215" spans="8:9" ht="12.75">
      <c r="H215" s="129"/>
      <c r="I215" s="130"/>
    </row>
    <row r="216" spans="8:9" ht="12.75">
      <c r="H216" s="129"/>
      <c r="I216" s="130"/>
    </row>
    <row r="217" spans="8:9" ht="12.75">
      <c r="H217" s="129"/>
      <c r="I217" s="130"/>
    </row>
    <row r="218" spans="8:9" ht="12.75">
      <c r="H218" s="129"/>
      <c r="I218" s="130"/>
    </row>
    <row r="219" spans="8:9" ht="12.75">
      <c r="H219" s="129"/>
      <c r="I219" s="130"/>
    </row>
    <row r="220" spans="8:9" ht="12.75">
      <c r="H220" s="129"/>
      <c r="I220" s="130"/>
    </row>
    <row r="221" spans="8:9" ht="12.75">
      <c r="H221" s="129"/>
      <c r="I221" s="130"/>
    </row>
  </sheetData>
  <sheetProtection/>
  <mergeCells count="10">
    <mergeCell ref="G2:G3"/>
    <mergeCell ref="H2:I2"/>
    <mergeCell ref="J2:J3"/>
    <mergeCell ref="A1:J1"/>
    <mergeCell ref="A202:B202"/>
    <mergeCell ref="B2:B3"/>
    <mergeCell ref="C2:C3"/>
    <mergeCell ref="D2:D3"/>
    <mergeCell ref="E2:E3"/>
    <mergeCell ref="F2:F3"/>
  </mergeCells>
  <printOptions/>
  <pageMargins left="0.87" right="0.58" top="0.63" bottom="0.76" header="0.11811023622047245" footer="0.5"/>
  <pageSetup orientation="portrait" paperSize="9" scale="50"/>
  <ignoredErrors>
    <ignoredError sqref="K11:K42 K95:K104 K106:K117 K7:K10 K90 K43:K89 K91:K92 J11:J90 K93 J91:J92 K94 J95:J104 K125:K130 K131:K137 K176 H12:I86 H105:I180 K183:K184 L183:L184 K118:K122 K123:K124 J105:J180 J183:J198" formula="1" unlockedFormula="1"/>
    <ignoredError sqref="K148:K149 K138 K150:K154 K139:K147 F12:G86 F105:G180 K185:K202 F183:I202 J199:J202 L185:L202" numberStoredAsText="1"/>
    <ignoredError sqref="K6 J181:J182" formula="1"/>
    <ignoredError sqref="K105 K177:K180 K172:K175 L172:L180 H87:I90 H7:I11 J7:J10 K181:K182 J93:J94 H91:I104 L181:L182" unlockedFormula="1"/>
    <ignoredError sqref="K125:K130 K131:K137 K176 H12:I86 H105:I180 K183:K184 L183:L184" numberStoredAsText="1" unlockedFormula="1"/>
    <ignoredError sqref="K118:K122 K123:K124 J105:J180" numberStoredAsText="1" formula="1" unlockedFormula="1"/>
    <ignoredError sqref="J183:J198" numberStoredAsText="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2007-10-26T20:55:48Z</dcterms:modified>
  <cp:category/>
  <cp:version/>
  <cp:contentType/>
  <cp:contentStatus/>
</cp:coreProperties>
</file>