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55" yWindow="64696" windowWidth="15480" windowHeight="11640" tabRatio="931" activeTab="0"/>
  </bookViews>
  <sheets>
    <sheet name="28 Dec' '07-03 Jan' '08 (WK 53)" sheetId="1" r:id="rId1"/>
    <sheet name="29 Dec'-03 Jan'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0">'28 Dec' '07-03 Jan' '08 (WK 53)'!$A$1:$O$87</definedName>
    <definedName name="_xlnm.Print_Area" localSheetId="1">'29 Dec'-03 Jan' (Annual)'!$B$4:$J$255</definedName>
  </definedNames>
  <calcPr fullCalcOnLoad="1"/>
</workbook>
</file>

<file path=xl/sharedStrings.xml><?xml version="1.0" encoding="utf-8"?>
<sst xmlns="http://schemas.openxmlformats.org/spreadsheetml/2006/main" count="3698" uniqueCount="721">
  <si>
    <t>Messengers, The</t>
  </si>
  <si>
    <t>20-26</t>
  </si>
  <si>
    <t>Pars: Kiraz Operasyonu</t>
  </si>
  <si>
    <t>27-03</t>
  </si>
  <si>
    <t>May</t>
  </si>
  <si>
    <t>04-10</t>
  </si>
  <si>
    <t>Örümcek Adam 3</t>
  </si>
  <si>
    <t>11-17</t>
  </si>
  <si>
    <t>18-24</t>
  </si>
  <si>
    <t>25-31</t>
  </si>
  <si>
    <t>Karayip Korsanları: Dünyanın Sonu</t>
  </si>
  <si>
    <t>01-07</t>
  </si>
  <si>
    <t>Jun</t>
  </si>
  <si>
    <t>08-14</t>
  </si>
  <si>
    <t>Ocean's 13</t>
  </si>
  <si>
    <t>15-21</t>
  </si>
  <si>
    <t>Shrek Üç</t>
  </si>
  <si>
    <t>22-28</t>
  </si>
  <si>
    <t>29-05</t>
  </si>
  <si>
    <t>Jul</t>
  </si>
  <si>
    <t>Zor Ölüm 4</t>
  </si>
  <si>
    <t>Transformers</t>
  </si>
  <si>
    <t>27-02</t>
  </si>
  <si>
    <t>Aug</t>
  </si>
  <si>
    <t>Simpsonlar Sinema Filmi</t>
  </si>
  <si>
    <t>03-09</t>
  </si>
  <si>
    <t>10-16</t>
  </si>
  <si>
    <t>Harry Potter ve Zümrüdüanka Yoldaşlığı</t>
  </si>
  <si>
    <t>17-23</t>
  </si>
  <si>
    <t>24-30</t>
  </si>
  <si>
    <t>Ratatouille</t>
  </si>
  <si>
    <t>31-06</t>
  </si>
  <si>
    <t>Sep</t>
  </si>
  <si>
    <t>07-13</t>
  </si>
  <si>
    <t>Damadı Öpebilirsin</t>
  </si>
  <si>
    <t>14-20</t>
  </si>
  <si>
    <t>21-27</t>
  </si>
  <si>
    <t>Katilimi Biliyorum</t>
  </si>
  <si>
    <t>28-04</t>
  </si>
  <si>
    <t>Oct</t>
  </si>
  <si>
    <t>Yıldız Tozu</t>
  </si>
  <si>
    <t>Son Ültimatom</t>
  </si>
  <si>
    <t>SAME PERIOD IN 2006</t>
  </si>
  <si>
    <t>Nov</t>
  </si>
  <si>
    <t>Testere 4</t>
  </si>
  <si>
    <t>İstila</t>
  </si>
  <si>
    <t>3:10 TO YUMA</t>
  </si>
  <si>
    <t>SIFIR DEDİĞİMDE</t>
  </si>
  <si>
    <t>SEKANS</t>
  </si>
  <si>
    <t>RESIDENT EVIL: EXTINCTION</t>
  </si>
  <si>
    <t>LUST; CAUTION</t>
  </si>
  <si>
    <t>IRINA PALM</t>
  </si>
  <si>
    <t>DENK AJANS</t>
  </si>
  <si>
    <t>MICHOU D'AMBER</t>
  </si>
  <si>
    <t>CUMHURBAŞKANI ÖTELİ TÜRKİYE'DE</t>
  </si>
  <si>
    <t>SUPERBAD</t>
  </si>
  <si>
    <t>QUAND J'ETAIS CHANTEUR</t>
  </si>
  <si>
    <t>PEUPLE MIGRATEUR, LE</t>
  </si>
  <si>
    <t>PRESIDENT FILMS</t>
  </si>
  <si>
    <t>YAŞAMIN KIYISINDA</t>
  </si>
  <si>
    <t>YUMURTA</t>
  </si>
  <si>
    <t>KAPLAN</t>
  </si>
  <si>
    <t>20</t>
  </si>
  <si>
    <t>ANKA KUŞU: BANA SIRRINI AÇ</t>
  </si>
  <si>
    <t>ASSASSINATION OF JESSE JAMES</t>
  </si>
  <si>
    <t>FİKRET BEY</t>
  </si>
  <si>
    <t>OYUNCULAR</t>
  </si>
  <si>
    <t>A.E. FILM</t>
  </si>
  <si>
    <t>BEYAZ MELEK</t>
  </si>
  <si>
    <t>BOYUT FILM</t>
  </si>
  <si>
    <t>GARFIELD GETS REAL</t>
  </si>
  <si>
    <t>MUSALLAT</t>
  </si>
  <si>
    <t>UMUT</t>
  </si>
  <si>
    <t>LORD OF THE RINGS 1, THE</t>
  </si>
  <si>
    <t>LORD OF THE RINGS 2, THE</t>
  </si>
  <si>
    <t>LORD OF THE RINGS 3, THE</t>
  </si>
  <si>
    <t>MADAGASCAR</t>
  </si>
  <si>
    <t>MANDERLAY</t>
  </si>
  <si>
    <t>MILLIONS</t>
  </si>
  <si>
    <t>PATHE</t>
  </si>
  <si>
    <t>MINDHUNTERS</t>
  </si>
  <si>
    <t>INTERMEDIA</t>
  </si>
  <si>
    <t>MISSION: IMPOSSIBLE 3</t>
  </si>
  <si>
    <t>MOTORCYCLE DIARIES, THE</t>
  </si>
  <si>
    <t>MY SUPER EX GIRLFRIEND</t>
  </si>
  <si>
    <t>NEW FRANCE</t>
  </si>
  <si>
    <t>NIGHT LISTENER, THE</t>
  </si>
  <si>
    <t>OVER THE HEDGE</t>
  </si>
  <si>
    <t>OYUN</t>
  </si>
  <si>
    <t xml:space="preserve">UMUT SANAT  </t>
  </si>
  <si>
    <t>SINEFILM</t>
  </si>
  <si>
    <t>YAKA FILM</t>
  </si>
  <si>
    <t>STONE COUNCIL, THE</t>
  </si>
  <si>
    <t>STRANGER THAN FICTION</t>
  </si>
  <si>
    <t>STRAY DOGS</t>
  </si>
  <si>
    <t>SUPERMAN</t>
  </si>
  <si>
    <t>ŞAŞKIN</t>
  </si>
  <si>
    <t>TAKESHIS</t>
  </si>
  <si>
    <t>TAKVA</t>
  </si>
  <si>
    <t>YENI SINEMACILAR</t>
  </si>
  <si>
    <t>TAPAS</t>
  </si>
  <si>
    <t>ASKD</t>
  </si>
  <si>
    <t>TEXAS CHAINSAW MASSACRE: THE BEGINNING</t>
  </si>
  <si>
    <t>THUMBSUCKER</t>
  </si>
  <si>
    <t>TIGRE E LA NEVE, LA</t>
  </si>
  <si>
    <t>TOMB RAIDER 2</t>
  </si>
  <si>
    <t>MUTUAL</t>
  </si>
  <si>
    <t>TRAMVAY</t>
  </si>
  <si>
    <t>OLGUN ARUN</t>
  </si>
  <si>
    <t>UNUTULMAYANLAR</t>
  </si>
  <si>
    <t>AKADEMI</t>
  </si>
  <si>
    <t>VA, VIE &amp; DEVIENS</t>
  </si>
  <si>
    <t>VANITY FAIR</t>
  </si>
  <si>
    <t>VOLVER</t>
  </si>
  <si>
    <t>WILD, THE</t>
  </si>
  <si>
    <t>WIND THAT SHAKES THE BARLEY, THE</t>
  </si>
  <si>
    <t>WOLF CREEK</t>
  </si>
  <si>
    <t>YOU, ME AND DUPREE</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</si>
  <si>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</si>
  <si>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29-04</t>
  </si>
  <si>
    <t>January</t>
  </si>
  <si>
    <t>Küçük Kıyamet</t>
  </si>
  <si>
    <t>05-11</t>
  </si>
  <si>
    <t>Deja Vu</t>
  </si>
  <si>
    <t>12-18</t>
  </si>
  <si>
    <t>Maskeli Beşler I.R.A.K</t>
  </si>
  <si>
    <t>ARRIVEDERCI AMORE CIAO</t>
  </si>
  <si>
    <t>ARTHUR ET LES MINIMOYS</t>
  </si>
  <si>
    <t>AUDITION</t>
  </si>
  <si>
    <t>BABAM VE OĞLUM</t>
  </si>
  <si>
    <t>BABEL</t>
  </si>
  <si>
    <t>BARNYARD</t>
  </si>
  <si>
    <t>BEŞ VAKİT</t>
  </si>
  <si>
    <t>ATLANTIK</t>
  </si>
  <si>
    <t>BITTERSWEET LIFE, A</t>
  </si>
  <si>
    <t>BORAT</t>
  </si>
  <si>
    <t>BOSS OF IT ALL, THE</t>
  </si>
  <si>
    <t>TRUST</t>
  </si>
  <si>
    <t>BOY EATS GIRL</t>
  </si>
  <si>
    <t>ODYSSE</t>
  </si>
  <si>
    <t>BRIDES</t>
  </si>
  <si>
    <t>UMUT-OZEN</t>
  </si>
  <si>
    <t>C.R.A.Z.Y.</t>
  </si>
  <si>
    <t>FILMS DIST.</t>
  </si>
  <si>
    <t>CARS</t>
  </si>
  <si>
    <t>CASINO ROYALE</t>
  </si>
  <si>
    <t>CENNETİ BEKLERKEN</t>
  </si>
  <si>
    <t>30 DAYS OF NIGHT</t>
  </si>
  <si>
    <t>Beyaz Melek</t>
  </si>
  <si>
    <t>19-25</t>
  </si>
  <si>
    <t>Son Osmanlı "Yandım Ali"</t>
  </si>
  <si>
    <t>26-01</t>
  </si>
  <si>
    <t>February</t>
  </si>
  <si>
    <t>Çılgın Dersane</t>
  </si>
  <si>
    <t>02-08</t>
  </si>
  <si>
    <t>09-15</t>
  </si>
  <si>
    <t>16-22</t>
  </si>
  <si>
    <t>Hayalet Sürücü</t>
  </si>
  <si>
    <t>23-01</t>
  </si>
  <si>
    <t>March</t>
  </si>
  <si>
    <t>23 Numara</t>
  </si>
  <si>
    <t>Mavi Gözlü Dev</t>
  </si>
  <si>
    <t>300 Spartalı</t>
  </si>
  <si>
    <t>23-29</t>
  </si>
  <si>
    <t>30-05</t>
  </si>
  <si>
    <t>April</t>
  </si>
  <si>
    <t>Mutluluk</t>
  </si>
  <si>
    <t>06-12</t>
  </si>
  <si>
    <t>Sıra Dışı</t>
  </si>
  <si>
    <t>13-19</t>
  </si>
  <si>
    <t>ALLEGRO</t>
  </si>
  <si>
    <t>ANT BULLY</t>
  </si>
  <si>
    <t>ARAF</t>
  </si>
  <si>
    <t>MARATHON</t>
  </si>
  <si>
    <t>CERTI BAMBINI</t>
  </si>
  <si>
    <t>BELGE FILM</t>
  </si>
  <si>
    <t>CHILDREN OF MEN</t>
  </si>
  <si>
    <t>CLICK</t>
  </si>
  <si>
    <t>COMBIEN TU M'AIMES</t>
  </si>
  <si>
    <t>COMME T'Y ES BELLE</t>
  </si>
  <si>
    <t>COMPANY, THE</t>
  </si>
  <si>
    <t>CRANK</t>
  </si>
  <si>
    <t>TOHO</t>
  </si>
  <si>
    <t>ÇİNLİLER GELİYOR</t>
  </si>
  <si>
    <t>PERA</t>
  </si>
  <si>
    <t>DARK, THE</t>
  </si>
  <si>
    <t>DEPARTED, THE</t>
  </si>
  <si>
    <t>DESCENT, THE</t>
  </si>
  <si>
    <t>DEVIL WEARS PRADA, THE</t>
  </si>
  <si>
    <t>DOLLS</t>
  </si>
  <si>
    <t>DONDURMAM GAYMAK</t>
  </si>
  <si>
    <t>HERMES</t>
  </si>
  <si>
    <t>DONNIE DARKO</t>
  </si>
  <si>
    <t>PANDORA</t>
  </si>
  <si>
    <t>DOWNFALL</t>
  </si>
  <si>
    <t>DREAMERS, THE</t>
  </si>
  <si>
    <t xml:space="preserve">UMUT SANAT </t>
  </si>
  <si>
    <t>DÜNYAYI KURTARAN ADAM'IN OĞLU</t>
  </si>
  <si>
    <t>DüNYAYI KURTARAN ADAM'IN OĞLU</t>
  </si>
  <si>
    <t>ERAGON</t>
  </si>
  <si>
    <t>ETERNAL SUNSHINE OF THE SPOTLESS MIND</t>
  </si>
  <si>
    <t>CINEMEDYA</t>
  </si>
  <si>
    <t>EVE DÖNÜŞ</t>
  </si>
  <si>
    <t>EVE GİDEN YOL 1914</t>
  </si>
  <si>
    <t>FATELESS</t>
  </si>
  <si>
    <t>H20</t>
  </si>
  <si>
    <t>FEARLESS</t>
  </si>
  <si>
    <t>FOCUS</t>
  </si>
  <si>
    <t>FLAGS OF OUR FATHERS</t>
  </si>
  <si>
    <t>FLUSHED AWAY</t>
  </si>
  <si>
    <t>FROSTBITE</t>
  </si>
  <si>
    <t>GARFIELD 2</t>
  </si>
  <si>
    <t>GARFIELD: A TAIL OF TWO KITTIES</t>
  </si>
  <si>
    <t>EKIP</t>
  </si>
  <si>
    <t>GELİBOLU</t>
  </si>
  <si>
    <t>GENESIS</t>
  </si>
  <si>
    <t>UMUT SANAT</t>
  </si>
  <si>
    <t>STUDIO CANAL</t>
  </si>
  <si>
    <t>GOOD YEAR, A</t>
  </si>
  <si>
    <t>GRUDGE 2</t>
  </si>
  <si>
    <t>HABABAM SINIFI ÜÇ BUÇUK</t>
  </si>
  <si>
    <t>HARSH TIMES</t>
  </si>
  <si>
    <t>HAYATIMIN KADINISIN</t>
  </si>
  <si>
    <t>TMC</t>
  </si>
  <si>
    <t>HOKKABAZ</t>
  </si>
  <si>
    <t>HOODWINKED</t>
  </si>
  <si>
    <t>HOTEL RWANDA</t>
  </si>
  <si>
    <t>HOWL'S MOVING CASTLE</t>
  </si>
  <si>
    <t>ICE AGE 2: THE MELTDOWN</t>
  </si>
  <si>
    <t>İLK AŞK</t>
  </si>
  <si>
    <t>TIM'S</t>
  </si>
  <si>
    <t>ILLUSIONIST</t>
  </si>
  <si>
    <t>IRREVERSIBLE</t>
  </si>
  <si>
    <t>EXCEPTION</t>
  </si>
  <si>
    <t>JE NE SUIS PAS LA POUR ETRE AIME</t>
  </si>
  <si>
    <t>REZO</t>
  </si>
  <si>
    <t>JOYEUX NOEL</t>
  </si>
  <si>
    <t>KADER</t>
  </si>
  <si>
    <t>MAVI</t>
  </si>
  <si>
    <t>KARDAN ADAMLAR</t>
  </si>
  <si>
    <t>PROJE</t>
  </si>
  <si>
    <t>KINGDOM OF HEAVEN</t>
  </si>
  <si>
    <t>KNALLHART</t>
  </si>
  <si>
    <t>KÜÇÜK KIYAMET</t>
  </si>
  <si>
    <t>LA SCIENCE DES REVES</t>
  </si>
  <si>
    <t>LADIES IN LAVENDER</t>
  </si>
  <si>
    <t>LAKESHORE</t>
  </si>
  <si>
    <t>LAKE HOUSE</t>
  </si>
  <si>
    <t>LE GRAND VOYAGE</t>
  </si>
  <si>
    <t>LE TEMPS QUI RESTE</t>
  </si>
  <si>
    <t>LES TEXTILES</t>
  </si>
  <si>
    <t>LIFE IS A MIRACLE</t>
  </si>
  <si>
    <t>PARADISE NOW</t>
  </si>
  <si>
    <t>PINK PANTHER</t>
  </si>
  <si>
    <t>PRESTIGE, THE</t>
  </si>
  <si>
    <t>PULSE</t>
  </si>
  <si>
    <t>QUINCEANERA</t>
  </si>
  <si>
    <t>REEKER, THE</t>
  </si>
  <si>
    <t>CMG</t>
  </si>
  <si>
    <t>RETURN, THE</t>
  </si>
  <si>
    <t>ROBOTS</t>
  </si>
  <si>
    <t>SAW 3</t>
  </si>
  <si>
    <t>SCANNER DARKLY, A</t>
  </si>
  <si>
    <t>SCIENCE OF SLEEP, THE</t>
  </si>
  <si>
    <t>SECRET THINGS</t>
  </si>
  <si>
    <t>SEPTEMBER 11</t>
  </si>
  <si>
    <t>SEX &amp; PHILOSOPHY</t>
  </si>
  <si>
    <t>SILENT HILL</t>
  </si>
  <si>
    <t>SINAV</t>
  </si>
  <si>
    <t>STOLEN EYES</t>
  </si>
  <si>
    <t>NATIVITY STORY, THE</t>
  </si>
  <si>
    <t>PLATO</t>
  </si>
  <si>
    <t>YANLIŞ ZAMAN YOLCULARI</t>
  </si>
  <si>
    <t>MEDSER</t>
  </si>
  <si>
    <t>KNOCKED UP</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</si>
  <si>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</si>
  <si>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1</t>
  </si>
  <si>
    <t>BIR FILM</t>
  </si>
  <si>
    <t>WILD BUNCH</t>
  </si>
  <si>
    <t>Admission</t>
  </si>
  <si>
    <t>MUTLULUK</t>
  </si>
  <si>
    <t>ANS</t>
  </si>
  <si>
    <t>KARA</t>
  </si>
  <si>
    <t>ROCKY BALBOA</t>
  </si>
  <si>
    <t>HITCHER, THE</t>
  </si>
  <si>
    <t>UMUT ADASI</t>
  </si>
  <si>
    <t>KARIZMA</t>
  </si>
  <si>
    <t>MUSIC AND LYRICS</t>
  </si>
  <si>
    <t>SHERRYBABY</t>
  </si>
  <si>
    <t>5</t>
  </si>
  <si>
    <t>TMNT</t>
  </si>
  <si>
    <t>LITTLE CHILDREN, THE</t>
  </si>
  <si>
    <t>10</t>
  </si>
  <si>
    <t>MEET THE ROBINSONS</t>
  </si>
  <si>
    <t>APOCALYPTO</t>
  </si>
  <si>
    <t>NEW FILMS</t>
  </si>
  <si>
    <t>ENERGY - SINEVIZYON</t>
  </si>
  <si>
    <t>PARIS, JE T'AIME</t>
  </si>
  <si>
    <t>LIMON</t>
  </si>
  <si>
    <t>2</t>
  </si>
  <si>
    <t>SPOT</t>
  </si>
  <si>
    <t>PRINCES</t>
  </si>
  <si>
    <t>KENDA</t>
  </si>
  <si>
    <t>SURF'S UP</t>
  </si>
  <si>
    <t>DISTURBIA</t>
  </si>
  <si>
    <t>IT'S A BOY GIRL THING</t>
  </si>
  <si>
    <t>ICON</t>
  </si>
  <si>
    <t>GEORGIA RULE</t>
  </si>
  <si>
    <t>LA VIE EN ROSE</t>
  </si>
  <si>
    <t>AMENIS</t>
  </si>
  <si>
    <t>TRANSYLVANIA</t>
  </si>
  <si>
    <t>BKM</t>
  </si>
  <si>
    <t>Title</t>
  </si>
  <si>
    <t>Release
Date</t>
  </si>
  <si>
    <t># of
Prints</t>
  </si>
  <si>
    <t>Week</t>
  </si>
  <si>
    <t>Cumulative</t>
  </si>
  <si>
    <t>G.B.O.</t>
  </si>
  <si>
    <t>Adm.</t>
  </si>
  <si>
    <t>Avg.
Ticket</t>
  </si>
  <si>
    <t xml:space="preserve">Avg.
Ticket </t>
  </si>
  <si>
    <t># of
Screen</t>
  </si>
  <si>
    <t>WARNER BROS.</t>
  </si>
  <si>
    <t>Weeks in Release</t>
  </si>
  <si>
    <t>SON OSMANLI "YANDIM ALİ"</t>
  </si>
  <si>
    <t>EMRET KOMUTANIM ŞAH MAT</t>
  </si>
  <si>
    <t>ALTIOKLAR</t>
  </si>
  <si>
    <t>UMUT - OZEN</t>
  </si>
  <si>
    <t>GUIDE TO RECOGNIZING YOUR SAINTS, A</t>
  </si>
  <si>
    <t>FIRST LOOK</t>
  </si>
  <si>
    <t>HAPPY FEET</t>
  </si>
  <si>
    <t>EFLATUN</t>
  </si>
  <si>
    <t>PYRAMIDE</t>
  </si>
  <si>
    <t>LIONS GATE</t>
  </si>
  <si>
    <t>İKLİMLER</t>
  </si>
  <si>
    <t>CO PRODUCTION</t>
  </si>
  <si>
    <t>PI-YALAN DUNYA</t>
  </si>
  <si>
    <t>SAW IV</t>
  </si>
  <si>
    <t>ANKA FILM</t>
  </si>
  <si>
    <t>ATONEMENT</t>
  </si>
  <si>
    <t>PERSEPOLIS</t>
  </si>
  <si>
    <t>CELLULOID</t>
  </si>
  <si>
    <t>ENERGY-M POOL</t>
  </si>
  <si>
    <t>AD LIB NIGHT</t>
  </si>
  <si>
    <t>MK2</t>
  </si>
  <si>
    <t>16 BLOCKS</t>
  </si>
  <si>
    <t>VIZYON</t>
  </si>
  <si>
    <t>SUGARWORKZ</t>
  </si>
  <si>
    <t>20 NIGHTS &amp; A RAINY DAY</t>
  </si>
  <si>
    <t>AE FOND KISS</t>
  </si>
  <si>
    <t>I COULD NEVER BE YOUR WOMAN</t>
  </si>
  <si>
    <t>HALLOWEEN</t>
  </si>
  <si>
    <t>SUBURBAN GIRL</t>
  </si>
  <si>
    <t>38</t>
  </si>
  <si>
    <t>ACROSS THE UNIVERSE</t>
  </si>
  <si>
    <t>FIDA FILM</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</si>
  <si>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</si>
  <si>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GAUMONT</t>
  </si>
  <si>
    <t>Screen Avg. (Adm.)</t>
  </si>
  <si>
    <t>Release Date</t>
  </si>
  <si>
    <t>Week in Release</t>
  </si>
  <si>
    <t>Avg. Ticket Price</t>
  </si>
  <si>
    <t>G.B.O. YTL</t>
  </si>
  <si>
    <t>OPEN SEASON</t>
  </si>
  <si>
    <t>MARS</t>
  </si>
  <si>
    <t>30</t>
  </si>
  <si>
    <t>MAN OF THE YEAR</t>
  </si>
  <si>
    <t>EVERYONE'S HERO</t>
  </si>
  <si>
    <t>8</t>
  </si>
  <si>
    <t>MASKELİ BEŞLER I.R.A.K</t>
  </si>
  <si>
    <t>HOLIDAY,THE</t>
  </si>
  <si>
    <t>BLOOD AND CHOCOLATE</t>
  </si>
  <si>
    <t>HOST, THE</t>
  </si>
  <si>
    <t>57</t>
  </si>
  <si>
    <t>HANNIBAL RISING</t>
  </si>
  <si>
    <t>REAPING, THE</t>
  </si>
  <si>
    <t>ASTERIX ET LES VIKINGS</t>
  </si>
  <si>
    <t>LABERINTO DEL FAUNO, EL</t>
  </si>
  <si>
    <t>LIVING &amp; DYING</t>
  </si>
  <si>
    <t>TAXI 4</t>
  </si>
  <si>
    <t>MAN CHENG JIN DAI HUANG JIN JIA</t>
  </si>
  <si>
    <t>LEBEN DER ANDEREN, DAS</t>
  </si>
  <si>
    <t>ZWARTBOEK</t>
  </si>
  <si>
    <t>CHAKUSHIN ARI FINAL</t>
  </si>
  <si>
    <t>NE LE DIS A PERSONNE</t>
  </si>
  <si>
    <t>MISTRESS OF SPICES, THE</t>
  </si>
  <si>
    <t>PASSIONE DI GIOSUE L'EBREO, LA</t>
  </si>
  <si>
    <t>A FOST SAU N-A FOST?</t>
  </si>
  <si>
    <t>ELEMENTARTEILCHEN</t>
  </si>
  <si>
    <t>ABONDONMENT, THE</t>
  </si>
  <si>
    <t>OCEAN'S THIRTEEN</t>
  </si>
  <si>
    <t>DEATH PROOF</t>
  </si>
  <si>
    <t>DELTA FARCE</t>
  </si>
  <si>
    <t>TRUANDS</t>
  </si>
  <si>
    <t>18</t>
  </si>
  <si>
    <t>BEYNELMİLEL</t>
  </si>
  <si>
    <t>97</t>
  </si>
  <si>
    <t>NIGHT AT THE MUSEUM</t>
  </si>
  <si>
    <t>D PRODUCTIONS</t>
  </si>
  <si>
    <t>DEJA VU</t>
  </si>
  <si>
    <t>SCHOOL FOR SCOUNDRELS</t>
  </si>
  <si>
    <t>FILMPOP</t>
  </si>
  <si>
    <t>IBERIA</t>
  </si>
  <si>
    <t>SHI GAN</t>
  </si>
  <si>
    <t>CINECLICK</t>
  </si>
  <si>
    <t>NEW LINE</t>
  </si>
  <si>
    <t>17</t>
  </si>
  <si>
    <t>26</t>
  </si>
  <si>
    <t>STAY</t>
  </si>
  <si>
    <t>WAR</t>
  </si>
  <si>
    <t>MARSH, THE</t>
  </si>
  <si>
    <t>NO RESERVATIONS</t>
  </si>
  <si>
    <t>HORS DE PRIX</t>
  </si>
  <si>
    <t>SHARK BAIT</t>
  </si>
  <si>
    <t>I NOW PRONOUNCE CHUCK AND LARRY</t>
  </si>
  <si>
    <t>HOSTEL: PART II</t>
  </si>
  <si>
    <t>BRATZ</t>
  </si>
  <si>
    <t>BECOMING JANE</t>
  </si>
  <si>
    <t>FREE ZONE</t>
  </si>
  <si>
    <t>12</t>
  </si>
  <si>
    <t>LICENSE TO WED</t>
  </si>
  <si>
    <t>HUNTING PARTY</t>
  </si>
  <si>
    <t>GOYA'S GHOSTS</t>
  </si>
  <si>
    <t>WELCOME BACK PINOCCHIO</t>
  </si>
  <si>
    <t>HORIZON</t>
  </si>
  <si>
    <t>WINTER SOLSTICE</t>
  </si>
  <si>
    <t>A.E. FİLM</t>
  </si>
  <si>
    <t>23</t>
  </si>
  <si>
    <t>I KNOW WHO KILLED ME</t>
  </si>
  <si>
    <t>30-06</t>
  </si>
  <si>
    <t>Dec</t>
  </si>
  <si>
    <t>BRIDGE TO TERABETHIA</t>
  </si>
  <si>
    <t>HANWAY</t>
  </si>
  <si>
    <t>BAMBI 2</t>
  </si>
  <si>
    <t>AMERİKALILAR KARADENİZ'DE 2</t>
  </si>
  <si>
    <t>ENERGY</t>
  </si>
  <si>
    <t>163</t>
  </si>
  <si>
    <t>BLOOD DIAMOND</t>
  </si>
  <si>
    <t>BARDA</t>
  </si>
  <si>
    <t>FILMAKAR</t>
  </si>
  <si>
    <t>55</t>
  </si>
  <si>
    <t>INCONVENIENT TRUTH, AN</t>
  </si>
  <si>
    <t>ÇILGIN DERSANE</t>
  </si>
  <si>
    <t>NEŞELİ GENÇLİK</t>
  </si>
  <si>
    <t>DEREN</t>
  </si>
  <si>
    <t>AVSAR</t>
  </si>
  <si>
    <t>*Sorted according to Week Total G.B.O. - Haftalık toplam hasılat sütununa göre sıralanmıştır.</t>
  </si>
  <si>
    <t>MEDYAVIZYON</t>
  </si>
  <si>
    <t>LAST WEEK</t>
  </si>
  <si>
    <t>TOTAL</t>
  </si>
  <si>
    <t>Company</t>
  </si>
  <si>
    <t>Distributor</t>
  </si>
  <si>
    <t>UNP</t>
  </si>
  <si>
    <t>WB</t>
  </si>
  <si>
    <t>UIP</t>
  </si>
  <si>
    <t>OZEN</t>
  </si>
  <si>
    <t>FOX</t>
  </si>
  <si>
    <t>BUENA VISTA</t>
  </si>
  <si>
    <t>COLUMBIA</t>
  </si>
  <si>
    <t>UNIVERSAL</t>
  </si>
  <si>
    <t>CHANTIER</t>
  </si>
  <si>
    <t>PARAMOUNT</t>
  </si>
  <si>
    <t>OZEN - UMUT</t>
  </si>
  <si>
    <t>R FILM</t>
  </si>
  <si>
    <t>TIGLON</t>
  </si>
  <si>
    <t>WEINSTEIN CO.</t>
  </si>
  <si>
    <t>FIDA</t>
  </si>
  <si>
    <t>Weekly Movie Magazine Antrakt Presents - Haftalık Antrakt Sinema Gazetesi Sunar</t>
  </si>
  <si>
    <t>35 MILIM</t>
  </si>
  <si>
    <t>MAVİ GÖZLÜ DEV</t>
  </si>
  <si>
    <t>NUMBER 23, THE</t>
  </si>
  <si>
    <t>ALPHA DOG</t>
  </si>
  <si>
    <t>BİR İHTİMAL DAHA VAR</t>
  </si>
  <si>
    <t>CINEMEDYA - ESEK</t>
  </si>
  <si>
    <t>18'LER TAKIMI</t>
  </si>
  <si>
    <t>AVSAR FILM</t>
  </si>
  <si>
    <t>28 WEEKS LATER</t>
  </si>
  <si>
    <t>WHISPER</t>
  </si>
  <si>
    <t>HOT FUZZ</t>
  </si>
  <si>
    <t>FALL DOWN DEAD</t>
  </si>
  <si>
    <t>FACTORY GIRL</t>
  </si>
  <si>
    <t>INVISIBLE WAVES</t>
  </si>
  <si>
    <t xml:space="preserve">BLACK DAHLIA, THE </t>
  </si>
  <si>
    <t>SEEDS OF DEATH</t>
  </si>
  <si>
    <t>SIMPSONS MOVIE, THE</t>
  </si>
  <si>
    <t>GRINDHOUSE</t>
  </si>
  <si>
    <t>BLACK SNAKE MOAN</t>
  </si>
  <si>
    <t>GOODBYE BAFANA</t>
  </si>
  <si>
    <t>7</t>
  </si>
  <si>
    <t xml:space="preserve">HILLS HAVE EYES 2 </t>
  </si>
  <si>
    <t>NAMESAKE, THE</t>
  </si>
  <si>
    <t>FOUNTAIN, THE</t>
  </si>
  <si>
    <t>HISTORY BOYS, THE</t>
  </si>
  <si>
    <t>MESSENGERS, THE</t>
  </si>
  <si>
    <t>LITTLE MISS SUNSHINE</t>
  </si>
  <si>
    <t>COPYING BEETHOVEN</t>
  </si>
  <si>
    <t>7. SANAT</t>
  </si>
  <si>
    <t>SPIDER-MAN 3</t>
  </si>
  <si>
    <t>ENEL MUNDO E CADA RATO</t>
  </si>
  <si>
    <t>UNICEF</t>
  </si>
  <si>
    <t>ERMAN FILMS</t>
  </si>
  <si>
    <t>SÖZÜN BİTTİĞİ YER</t>
  </si>
  <si>
    <t>16</t>
  </si>
  <si>
    <t>SHOOTER</t>
  </si>
  <si>
    <t>BREACH</t>
  </si>
  <si>
    <t>SUNSHINE</t>
  </si>
  <si>
    <t>15</t>
  </si>
  <si>
    <t>JE M'APPELLE ELISABETH</t>
  </si>
  <si>
    <t>BREAKING AND ENTERING</t>
  </si>
  <si>
    <t>FRACTURE</t>
  </si>
  <si>
    <t>49</t>
  </si>
  <si>
    <t>MR BEAN'S HOLIDAY</t>
  </si>
  <si>
    <t>IMPY'S ISLAND</t>
  </si>
  <si>
    <t>ZODIAC</t>
  </si>
  <si>
    <t>BESTLINE</t>
  </si>
  <si>
    <t>DEREN MEDYA</t>
  </si>
  <si>
    <t>PIRATES OF THE CARIBBEAN: AT WORLD'S END</t>
  </si>
  <si>
    <t>CASHBACK</t>
  </si>
  <si>
    <t>FIND ME GUILTY</t>
  </si>
  <si>
    <t>SYNDICATE</t>
  </si>
  <si>
    <t>MR. BROOKS</t>
  </si>
  <si>
    <t>ELEMENT</t>
  </si>
  <si>
    <t>BUG</t>
  </si>
  <si>
    <t>PLANETE BLANCHE, LA</t>
  </si>
  <si>
    <t>HARRY POTTER AND THE ORDER OF THE PHOENIX</t>
  </si>
  <si>
    <t>OZEN-UMUT</t>
  </si>
  <si>
    <t>ARZU-FIDA</t>
  </si>
  <si>
    <t>LAST MIMZY, THE</t>
  </si>
  <si>
    <t>EVAN ALMIGHTY!</t>
  </si>
  <si>
    <t>4: RISE OF THE SILVER SURFER</t>
  </si>
  <si>
    <t>OUTLAW</t>
  </si>
  <si>
    <t>PERFECT STRANGER, THE</t>
  </si>
  <si>
    <t>RATATOUILLE</t>
  </si>
  <si>
    <t>I WANT CANDY</t>
  </si>
  <si>
    <t>EALING STUDIOS</t>
  </si>
  <si>
    <t>SHREK THE THIRD</t>
  </si>
  <si>
    <t>INVASION</t>
  </si>
  <si>
    <t xml:space="preserve">ELIZABETH: GOLDEN AGE                    </t>
  </si>
  <si>
    <t>EASTERN PROMISES</t>
  </si>
  <si>
    <t>36</t>
  </si>
  <si>
    <t>ISLAND OF LOST SOULS</t>
  </si>
  <si>
    <t>MY BROTHER IS ONLY CHILD</t>
  </si>
  <si>
    <t>MARADONA THE HAND OF GOD</t>
  </si>
  <si>
    <t>40</t>
  </si>
  <si>
    <t>UNE VIEILLE MAITRESSE</t>
  </si>
  <si>
    <t>SOOM</t>
  </si>
  <si>
    <t>MUHTESEM</t>
  </si>
  <si>
    <t>VACANCY</t>
  </si>
  <si>
    <t>HOAX</t>
  </si>
  <si>
    <t>FRAGILE, A GHOST STORY</t>
  </si>
  <si>
    <t>GEDO SENKI</t>
  </si>
  <si>
    <t>11</t>
  </si>
  <si>
    <t>13</t>
  </si>
  <si>
    <t>DIE HARD 4.0</t>
  </si>
  <si>
    <t>SCENES OF A SEXUAL NATURE</t>
  </si>
  <si>
    <t>THE WORKS</t>
  </si>
  <si>
    <t>DEAD IN 3 DAYS</t>
  </si>
  <si>
    <t>DREAMACHINE</t>
  </si>
  <si>
    <t>GREAT RAID, THE</t>
  </si>
  <si>
    <t>MIRAMAX</t>
  </si>
  <si>
    <t>HYDE PARK</t>
  </si>
  <si>
    <t>TRANSFORMERS</t>
  </si>
  <si>
    <t>RISE: BLOOD HUNTER</t>
  </si>
  <si>
    <t>FRITT WILT</t>
  </si>
  <si>
    <t>CANDY</t>
  </si>
  <si>
    <t>14</t>
  </si>
  <si>
    <t>POLİS</t>
  </si>
  <si>
    <t>PERFUME: THE STORY OF A MURDERER</t>
  </si>
  <si>
    <t>PAINTED VEIL, THE</t>
  </si>
  <si>
    <t>QUEEN, THE</t>
  </si>
  <si>
    <t>GHOST RIDER</t>
  </si>
  <si>
    <t>AKSOY</t>
  </si>
  <si>
    <t>GOMEDA</t>
  </si>
  <si>
    <t>DREAMGIRLS</t>
  </si>
  <si>
    <t>SİS VE GECE</t>
  </si>
  <si>
    <t>LETTERS FROM IWO JIMA</t>
  </si>
  <si>
    <t>EUROPA</t>
  </si>
  <si>
    <t>ROMANTİK</t>
  </si>
  <si>
    <t xml:space="preserve">PLATO </t>
  </si>
  <si>
    <t>98</t>
  </si>
  <si>
    <t>ADEM'İN TRENLERİ</t>
  </si>
  <si>
    <t>91</t>
  </si>
  <si>
    <t>74</t>
  </si>
  <si>
    <t>NOTES ON A SCANDAL</t>
  </si>
  <si>
    <t>LAST KING OF SCOTLAND, THE</t>
  </si>
  <si>
    <t>62</t>
  </si>
  <si>
    <t>CORSICAN FILE, THE</t>
  </si>
  <si>
    <t>INTERVIEW</t>
  </si>
  <si>
    <t>BORDERTOWN</t>
  </si>
  <si>
    <t>BRAVE ONE</t>
  </si>
  <si>
    <t>PRA</t>
  </si>
  <si>
    <t>STARDUST</t>
  </si>
  <si>
    <t>RUSH HOUR 3</t>
  </si>
  <si>
    <t>CAPTIVITY</t>
  </si>
  <si>
    <t>BANA ŞANS DİLE</t>
  </si>
  <si>
    <t>BOURNE ULTIMATUM</t>
  </si>
  <si>
    <t>AVRUPALI</t>
  </si>
  <si>
    <t>SHOOT'EM UP</t>
  </si>
  <si>
    <t>JANJAN</t>
  </si>
  <si>
    <t>EVENING</t>
  </si>
  <si>
    <t>DAYWATCH</t>
  </si>
  <si>
    <t>PREMONITION</t>
  </si>
  <si>
    <t>90</t>
  </si>
  <si>
    <t>SATURNO CONTRO</t>
  </si>
  <si>
    <t>AFS</t>
  </si>
  <si>
    <t>AURA</t>
  </si>
  <si>
    <t>GOOD SHEPERD, THE</t>
  </si>
  <si>
    <t>UGLY DUCKLING AND ME, THE</t>
  </si>
  <si>
    <t>DEATH OF A PRESIDENT</t>
  </si>
  <si>
    <t>GRBAVICA</t>
  </si>
  <si>
    <t>IRFAN</t>
  </si>
  <si>
    <t>MANDATE</t>
  </si>
  <si>
    <t>NORBIT</t>
  </si>
  <si>
    <t>ZİNCİRBOZAN</t>
  </si>
  <si>
    <t>TURKMAX</t>
  </si>
  <si>
    <t>99</t>
  </si>
  <si>
    <t>BECAUSE I SAID SO</t>
  </si>
  <si>
    <t>SEVGİLİM İSTANBUL</t>
  </si>
  <si>
    <t>RENAISSANCE</t>
  </si>
  <si>
    <t>BELGE</t>
  </si>
  <si>
    <t>PARS: KİRAZ OPERASYONU</t>
  </si>
  <si>
    <t>SINEGRAF</t>
  </si>
  <si>
    <t>SUMMER RAIN</t>
  </si>
  <si>
    <t>IFR - PROMETE</t>
  </si>
  <si>
    <t>NEXT</t>
  </si>
  <si>
    <t>WILD HOGS</t>
  </si>
  <si>
    <t>MICHAEL CLAYTON</t>
  </si>
  <si>
    <t>BEOWULF</t>
  </si>
  <si>
    <t>ANGEL</t>
  </si>
  <si>
    <t>SAKLI YÜZLER</t>
  </si>
  <si>
    <t>SUNA</t>
  </si>
  <si>
    <t>VIOLIN, EL</t>
  </si>
  <si>
    <t>OZEN-CO PRODUCTION</t>
  </si>
  <si>
    <t>PURSUIT OF HAPPYNESS</t>
  </si>
  <si>
    <t>BROTHER BEAR</t>
  </si>
  <si>
    <t>HITMAN</t>
  </si>
  <si>
    <t>MIA-DADA</t>
  </si>
  <si>
    <t>PINEMA</t>
  </si>
  <si>
    <t>GOLDEN COMPASS, THE</t>
  </si>
  <si>
    <t>BOW, THE</t>
  </si>
  <si>
    <t>KABADAYI</t>
  </si>
  <si>
    <t xml:space="preserve">FIDA </t>
  </si>
  <si>
    <t>BEE MOVIE</t>
  </si>
  <si>
    <t>O KADIN</t>
  </si>
  <si>
    <t>80</t>
  </si>
  <si>
    <t>ALVIN AND THE CHIPMUNKS</t>
  </si>
  <si>
    <t>HİCRAN SOKAĞI</t>
  </si>
  <si>
    <t>MAG FILM</t>
  </si>
  <si>
    <t>3</t>
  </si>
  <si>
    <t xml:space="preserve">HEART BREAK KID, THE </t>
  </si>
  <si>
    <t>4</t>
  </si>
  <si>
    <t xml:space="preserve">KINGDOM, THE </t>
  </si>
  <si>
    <t>FILMSAN</t>
  </si>
  <si>
    <t>BETA FILM</t>
  </si>
  <si>
    <t>35</t>
  </si>
  <si>
    <t>Kabadayı</t>
  </si>
  <si>
    <t>28-03</t>
  </si>
  <si>
    <r>
      <t>2007 Türkiye Ex Years Releases Annual Box Office Report</t>
    </r>
    <r>
      <rPr>
        <sz val="26"/>
        <color indexed="9"/>
        <rFont val="Impact"/>
        <family val="2"/>
      </rPr>
      <t xml:space="preserve">  </t>
    </r>
    <r>
      <rPr>
        <sz val="16"/>
        <color indexed="9"/>
        <rFont val="Impact"/>
        <family val="2"/>
      </rPr>
      <t>29 Dec' 06 - 27 Dec' '07</t>
    </r>
  </si>
  <si>
    <t>KUTSAL DAMACANA</t>
  </si>
  <si>
    <t>ZERO FILM</t>
  </si>
  <si>
    <t>ENCHANTED</t>
  </si>
  <si>
    <t>NANNY DIARIES</t>
  </si>
  <si>
    <t>CASSANDRA'S DREAM</t>
  </si>
  <si>
    <t>MARTIAN CHILD</t>
  </si>
  <si>
    <t>25</t>
  </si>
  <si>
    <t>STUDIO 2.0</t>
  </si>
  <si>
    <t>TUYA'S MARRIAGE</t>
  </si>
  <si>
    <t>22</t>
  </si>
  <si>
    <t>24</t>
  </si>
  <si>
    <t>ISTANBUL GUNESI</t>
  </si>
  <si>
    <t>CAPITOL</t>
  </si>
  <si>
    <t>RELATIVITY</t>
  </si>
  <si>
    <t>9</t>
  </si>
  <si>
    <t>LAST BREATH, THE</t>
  </si>
  <si>
    <t>33</t>
  </si>
  <si>
    <t>54</t>
  </si>
  <si>
    <t>INTACTO</t>
  </si>
  <si>
    <t>CRYING OUT LOVE IN THE CENTER OF THE WORLD</t>
  </si>
  <si>
    <t>BIR F.-ERMAN F.</t>
  </si>
  <si>
    <t>GRAND VOYAGE, LE</t>
  </si>
  <si>
    <t>ASKD-PYRAMIDE</t>
  </si>
  <si>
    <t>43</t>
  </si>
  <si>
    <t>PI-CELLULOID</t>
  </si>
  <si>
    <t>PI</t>
  </si>
  <si>
    <t>TEXAS CHAINSAW MASSACRE, THE</t>
  </si>
  <si>
    <t>BIR F.-CINEMEDYA</t>
  </si>
  <si>
    <t>AVSAR FILM-TMC</t>
  </si>
  <si>
    <t>2 SÜPER FİLM BİRDEN</t>
  </si>
  <si>
    <t>13 (TZAMETI)</t>
  </si>
  <si>
    <t>BIR F.-DFGS</t>
  </si>
  <si>
    <t>225</t>
  </si>
  <si>
    <t>21</t>
  </si>
  <si>
    <t>19</t>
  </si>
  <si>
    <t>249</t>
  </si>
  <si>
    <t>45</t>
  </si>
  <si>
    <t>59</t>
  </si>
  <si>
    <t>STONE COUNCIL ,THE</t>
  </si>
  <si>
    <t>6</t>
  </si>
  <si>
    <t>50</t>
  </si>
  <si>
    <t>27</t>
  </si>
  <si>
    <t>MR. WOODCOCK</t>
  </si>
  <si>
    <t>TWO DAYS IN PARIS</t>
  </si>
  <si>
    <t>DEATH SENTENCE</t>
  </si>
  <si>
    <t>VIDEOTEK</t>
  </si>
  <si>
    <t>İYİ SENELER LONDRA</t>
  </si>
  <si>
    <t>KREK FILM</t>
  </si>
  <si>
    <t>CHURCHIL; THE HOLLYWOOD YEARS</t>
  </si>
  <si>
    <t>PATE</t>
  </si>
  <si>
    <t>LIONS FOR LAMBS…</t>
  </si>
  <si>
    <t>ZEYNEP'İN SEKİZ GÜNÜ</t>
  </si>
  <si>
    <t>SINEMA AJANS</t>
  </si>
  <si>
    <t>YENI YAPIM-BIR F.</t>
  </si>
  <si>
    <t>56 FILMS SHOWN</t>
  </si>
  <si>
    <t>*Dağıtımcı firmalardan Umut Sanat, Avşar Film, R Film, UNP ve Barbar Film bu hafta film dağıtmamıştır.</t>
  </si>
  <si>
    <t>Elimize ulaşan en son rapor zamanı: 19.09</t>
  </si>
  <si>
    <t>DEATH AT A FUNERAL</t>
  </si>
  <si>
    <t>SYDNEY</t>
  </si>
  <si>
    <t>60 FILMS SHOWN</t>
  </si>
  <si>
    <t>42 ADET TÜRK FİLMİ</t>
  </si>
  <si>
    <t>33 ADET TÜRK FİLMİ</t>
  </si>
  <si>
    <r>
      <t xml:space="preserve">2007 Türkiye Annual Box Office Report  </t>
    </r>
    <r>
      <rPr>
        <sz val="16"/>
        <color indexed="9"/>
        <rFont val="Impact"/>
        <family val="2"/>
      </rPr>
      <t>29 Dec' '06-03 Jan' '08</t>
    </r>
  </si>
</sst>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86">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sz val="26"/>
      <color indexed="9"/>
      <name val="Impact"/>
      <family val="2"/>
    </font>
    <font>
      <sz val="16"/>
      <color indexed="9"/>
      <name val="Impact"/>
      <family val="2"/>
    </font>
    <font>
      <b/>
      <sz val="8"/>
      <name val="Trebuchet MS"/>
      <family val="0"/>
    </font>
    <font>
      <sz val="8"/>
      <name val="Trebuchet MS"/>
      <family val="2"/>
    </font>
    <font>
      <b/>
      <sz val="10"/>
      <name val="Arial"/>
      <family val="2"/>
    </font>
    <font>
      <sz val="20"/>
      <name val="Impact"/>
      <family val="2"/>
    </font>
    <font>
      <sz val="10"/>
      <name val="Trebuchet MS"/>
      <family val="2"/>
    </font>
    <font>
      <i/>
      <sz val="9"/>
      <name val="Arial"/>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b/>
      <sz val="11"/>
      <name val="Arial"/>
      <family val="0"/>
    </font>
    <font>
      <sz val="9"/>
      <name val="Trebuchet MS"/>
      <family val="2"/>
    </font>
    <font>
      <b/>
      <sz val="9"/>
      <name val="Arial Narrow"/>
      <family val="2"/>
    </font>
    <font>
      <i/>
      <sz val="10"/>
      <name val="Arial"/>
      <family val="2"/>
    </font>
    <font>
      <sz val="10"/>
      <color indexed="9"/>
      <name val="Arial"/>
      <family val="0"/>
    </font>
    <font>
      <b/>
      <sz val="8"/>
      <color indexed="9"/>
      <name val="Trebuchet MS"/>
      <family val="0"/>
    </font>
    <font>
      <b/>
      <sz val="10"/>
      <name val="Trebuchet MS"/>
      <family val="2"/>
    </font>
    <font>
      <sz val="20"/>
      <color indexed="42"/>
      <name val="GoudyLight"/>
      <family val="0"/>
    </font>
    <font>
      <sz val="7"/>
      <name val="Impact"/>
      <family val="2"/>
    </font>
    <font>
      <sz val="7"/>
      <color indexed="9"/>
      <name val="Impact"/>
      <family val="2"/>
    </font>
    <font>
      <sz val="26"/>
      <name val="Arial"/>
      <family val="0"/>
    </font>
    <font>
      <b/>
      <sz val="9"/>
      <color indexed="12"/>
      <name val="Arial Narrow"/>
      <family val="2"/>
    </font>
    <font>
      <b/>
      <sz val="9"/>
      <color indexed="10"/>
      <name val="Arial Narrow"/>
      <family val="2"/>
    </font>
    <font>
      <sz val="10"/>
      <color indexed="10"/>
      <name val="Arial"/>
      <family val="0"/>
    </font>
    <font>
      <b/>
      <sz val="10"/>
      <color indexed="8"/>
      <name val="Trebuchet MS"/>
      <family val="2"/>
    </font>
    <font>
      <sz val="11"/>
      <name val="Century Gothic"/>
      <family val="2"/>
    </font>
    <font>
      <sz val="10"/>
      <color indexed="8"/>
      <name val="Trebuchet MS"/>
      <family val="2"/>
    </font>
    <font>
      <b/>
      <sz val="9"/>
      <name val="Trebuchet MS"/>
      <family val="2"/>
    </font>
    <font>
      <b/>
      <sz val="10"/>
      <color indexed="9"/>
      <name val="Arial"/>
      <family val="2"/>
    </font>
    <font>
      <sz val="11"/>
      <color indexed="8"/>
      <name val="Calibri"/>
      <family val="2"/>
    </font>
    <font>
      <sz val="11"/>
      <color indexed="22"/>
      <name val="Calibri"/>
      <family val="2"/>
    </font>
    <font>
      <sz val="11"/>
      <color indexed="14"/>
      <name val="Calibri"/>
      <family val="2"/>
    </font>
    <font>
      <b/>
      <sz val="11"/>
      <color indexed="52"/>
      <name val="Calibri"/>
      <family val="2"/>
    </font>
    <font>
      <b/>
      <sz val="11"/>
      <color indexed="2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40"/>
      <color indexed="9"/>
      <name val="Impact"/>
      <family val="0"/>
    </font>
    <font>
      <sz val="40"/>
      <color indexed="9"/>
      <name val="Arial"/>
      <family val="0"/>
    </font>
    <font>
      <sz val="20"/>
      <color indexed="9"/>
      <name val="Impact"/>
      <family val="0"/>
    </font>
    <font>
      <b/>
      <u val="single"/>
      <sz val="10"/>
      <color indexed="8"/>
      <name val="Arial"/>
      <family val="0"/>
    </font>
    <font>
      <sz val="10"/>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4"/>
        <bgColor indexed="64"/>
      </patternFill>
    </fill>
    <fill>
      <patternFill patternType="solid">
        <fgColor indexed="42"/>
        <bgColor indexed="64"/>
      </patternFill>
    </fill>
    <fill>
      <patternFill patternType="solid">
        <fgColor indexed="17"/>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medium"/>
      <top style="hair"/>
      <bottom style="hair"/>
    </border>
    <border>
      <left style="medium"/>
      <right>
        <color indexed="63"/>
      </right>
      <top style="medium"/>
      <bottom>
        <color indexed="63"/>
      </bottom>
    </border>
    <border>
      <left style="thin"/>
      <right style="thin"/>
      <top style="thin"/>
      <bottom>
        <color indexed="63"/>
      </bottom>
    </border>
    <border>
      <left style="hair"/>
      <right style="hair"/>
      <top>
        <color indexed="63"/>
      </top>
      <bottom style="hair"/>
    </border>
    <border>
      <left style="hair"/>
      <right style="medium"/>
      <top>
        <color indexed="63"/>
      </top>
      <bottom style="hair"/>
    </border>
    <border>
      <left style="hair"/>
      <right style="hair"/>
      <top style="medium"/>
      <bottom style="hair"/>
    </border>
    <border>
      <left style="medium"/>
      <right>
        <color indexed="63"/>
      </right>
      <top>
        <color indexed="63"/>
      </top>
      <bottom>
        <color indexed="63"/>
      </bottom>
    </border>
    <border>
      <left style="medium"/>
      <right style="hair"/>
      <top style="hair"/>
      <bottom style="hair"/>
    </border>
    <border>
      <left style="thin"/>
      <right style="medium"/>
      <top style="thin"/>
      <bottom>
        <color indexed="63"/>
      </bottom>
    </border>
    <border>
      <left style="hair"/>
      <right>
        <color indexed="63"/>
      </right>
      <top style="hair"/>
      <bottom style="hair"/>
    </border>
    <border>
      <left style="hair"/>
      <right>
        <color indexed="63"/>
      </right>
      <top>
        <color indexed="63"/>
      </top>
      <bottom style="hair"/>
    </border>
    <border>
      <left style="hair"/>
      <right>
        <color indexed="63"/>
      </right>
      <top style="hair"/>
      <bottom style="thin"/>
    </border>
    <border>
      <left style="medium"/>
      <right style="hair"/>
      <top style="medium"/>
      <bottom style="hair"/>
    </border>
    <border>
      <left style="medium"/>
      <right style="hair"/>
      <top style="hair"/>
      <bottom style="thin"/>
    </border>
    <border>
      <left style="hair"/>
      <right style="hair"/>
      <top style="hair"/>
      <bottom style="thin"/>
    </border>
    <border>
      <left style="medium"/>
      <right>
        <color indexed="63"/>
      </right>
      <top style="medium"/>
      <bottom style="hair"/>
    </border>
    <border>
      <left style="medium"/>
      <right>
        <color indexed="63"/>
      </right>
      <top>
        <color indexed="63"/>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style="hair"/>
      <top style="hair"/>
      <bottom style="medium"/>
    </border>
    <border>
      <left style="hair"/>
      <right style="hair"/>
      <top style="hair"/>
      <bottom style="medium"/>
    </border>
    <border>
      <left style="medium"/>
      <right style="hair"/>
      <top>
        <color indexed="63"/>
      </top>
      <bottom style="hair"/>
    </border>
    <border>
      <left style="medium"/>
      <right>
        <color indexed="63"/>
      </right>
      <top style="hair"/>
      <bottom style="hair"/>
    </border>
    <border>
      <left style="medium"/>
      <right>
        <color indexed="63"/>
      </right>
      <top style="hair"/>
      <bottom style="thin"/>
    </border>
    <border>
      <left style="hair"/>
      <right style="medium"/>
      <top style="hair"/>
      <bottom style="thin"/>
    </border>
    <border>
      <left style="hair"/>
      <right style="medium"/>
      <top style="hair"/>
      <bottom style="medium"/>
    </border>
    <border>
      <left style="hair"/>
      <right style="medium"/>
      <top style="medium"/>
      <bottom style="hair"/>
    </border>
    <border>
      <left>
        <color indexed="63"/>
      </left>
      <right style="hair"/>
      <top>
        <color indexed="63"/>
      </top>
      <bottom style="hair"/>
    </border>
    <border>
      <left>
        <color indexed="63"/>
      </left>
      <right style="hair"/>
      <top style="hair"/>
      <bottom style="hair"/>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color indexed="63"/>
      </right>
      <top style="medium"/>
      <bottom style="thin"/>
    </border>
    <border>
      <left>
        <color indexed="63"/>
      </left>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4" fillId="0" borderId="0" applyNumberFormat="0" applyFill="0" applyBorder="0" applyAlignment="0" applyProtection="0"/>
    <xf numFmtId="0" fontId="1"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2"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0" fillId="0" borderId="0">
      <alignment/>
      <protection/>
    </xf>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534">
    <xf numFmtId="0" fontId="0" fillId="0" borderId="0" xfId="0" applyAlignment="1">
      <alignment/>
    </xf>
    <xf numFmtId="171" fontId="3" fillId="0" borderId="0" xfId="42"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0" fontId="10"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10"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11" fillId="0" borderId="0" xfId="0" applyFont="1" applyBorder="1" applyAlignment="1">
      <alignment horizontal="center" vertical="center"/>
    </xf>
    <xf numFmtId="187" fontId="9" fillId="0" borderId="0" xfId="0" applyNumberFormat="1" applyFont="1" applyFill="1" applyBorder="1" applyAlignment="1" applyProtection="1">
      <alignment horizontal="center" vertical="center"/>
      <protection locked="0"/>
    </xf>
    <xf numFmtId="0" fontId="13" fillId="0" borderId="0"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protection locked="0"/>
    </xf>
    <xf numFmtId="0" fontId="16" fillId="33" borderId="10" xfId="0" applyFont="1" applyFill="1" applyBorder="1" applyAlignment="1">
      <alignment vertical="center"/>
    </xf>
    <xf numFmtId="184" fontId="16" fillId="33" borderId="10" xfId="0" applyNumberFormat="1" applyFont="1" applyFill="1" applyBorder="1" applyAlignment="1">
      <alignment horizontal="center" vertical="center"/>
    </xf>
    <xf numFmtId="0" fontId="16" fillId="33" borderId="10" xfId="0" applyFont="1" applyFill="1" applyBorder="1" applyAlignment="1">
      <alignment horizontal="center" vertical="center"/>
    </xf>
    <xf numFmtId="3" fontId="16" fillId="33" borderId="10" xfId="0" applyNumberFormat="1" applyFont="1" applyFill="1" applyBorder="1" applyAlignment="1">
      <alignment horizontal="center" vertical="center"/>
    </xf>
    <xf numFmtId="0" fontId="5" fillId="0" borderId="0" xfId="0" applyFont="1" applyFill="1" applyBorder="1" applyAlignment="1" applyProtection="1">
      <alignment horizontal="center" vertical="center" wrapText="1"/>
      <protection locked="0"/>
    </xf>
    <xf numFmtId="192" fontId="3" fillId="0" borderId="0" xfId="0" applyNumberFormat="1" applyFont="1" applyFill="1" applyBorder="1" applyAlignment="1" applyProtection="1">
      <alignment horizontal="right" vertical="center"/>
      <protection/>
    </xf>
    <xf numFmtId="192" fontId="16" fillId="33" borderId="11" xfId="0" applyNumberFormat="1" applyFont="1" applyFill="1" applyBorder="1" applyAlignment="1">
      <alignment horizontal="right" vertical="center"/>
    </xf>
    <xf numFmtId="192" fontId="10"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22" fillId="0" borderId="0" xfId="0" applyNumberFormat="1" applyFont="1" applyFill="1" applyBorder="1" applyAlignment="1" applyProtection="1">
      <alignment horizontal="right" vertical="center"/>
      <protection/>
    </xf>
    <xf numFmtId="1" fontId="22" fillId="0" borderId="0" xfId="0" applyNumberFormat="1" applyFont="1" applyFill="1" applyBorder="1" applyAlignment="1" applyProtection="1">
      <alignment horizontal="right" vertical="center"/>
      <protection locked="0"/>
    </xf>
    <xf numFmtId="0" fontId="0" fillId="0" borderId="0" xfId="0" applyAlignment="1">
      <alignment vertical="center" readingOrder="1"/>
    </xf>
    <xf numFmtId="1" fontId="24" fillId="0" borderId="12" xfId="0" applyNumberFormat="1" applyFont="1" applyFill="1" applyBorder="1" applyAlignment="1" applyProtection="1">
      <alignment horizontal="center" vertical="center" wrapText="1"/>
      <protection/>
    </xf>
    <xf numFmtId="193" fontId="25" fillId="0" borderId="13" xfId="0" applyNumberFormat="1" applyFont="1" applyFill="1" applyBorder="1" applyAlignment="1" applyProtection="1">
      <alignment horizontal="center" vertical="center" wrapText="1"/>
      <protection/>
    </xf>
    <xf numFmtId="0" fontId="17" fillId="0" borderId="0" xfId="0" applyFont="1" applyBorder="1" applyAlignment="1">
      <alignment vertical="center"/>
    </xf>
    <xf numFmtId="0" fontId="25" fillId="0" borderId="0" xfId="0" applyFont="1" applyFill="1" applyBorder="1" applyAlignment="1">
      <alignment horizontal="center" vertical="center"/>
    </xf>
    <xf numFmtId="0" fontId="0" fillId="0" borderId="0" xfId="0" applyBorder="1" applyAlignment="1">
      <alignment vertical="center"/>
    </xf>
    <xf numFmtId="192" fontId="0" fillId="0" borderId="0" xfId="0" applyNumberFormat="1" applyBorder="1" applyAlignment="1">
      <alignment horizontal="right" vertical="center" indent="1"/>
    </xf>
    <xf numFmtId="0" fontId="22" fillId="0" borderId="0" xfId="0" applyFont="1" applyBorder="1" applyAlignment="1">
      <alignment horizontal="right" vertical="center"/>
    </xf>
    <xf numFmtId="0" fontId="22" fillId="0" borderId="12" xfId="0" applyFont="1" applyFill="1" applyBorder="1" applyAlignment="1">
      <alignment horizontal="center" vertical="center"/>
    </xf>
    <xf numFmtId="184" fontId="16" fillId="33" borderId="14" xfId="0" applyNumberFormat="1" applyFont="1" applyFill="1" applyBorder="1" applyAlignment="1">
      <alignment horizontal="center" vertical="center"/>
    </xf>
    <xf numFmtId="0" fontId="16" fillId="33" borderId="14" xfId="0" applyFont="1" applyFill="1" applyBorder="1" applyAlignment="1">
      <alignment horizontal="center" vertical="center"/>
    </xf>
    <xf numFmtId="0" fontId="16" fillId="33" borderId="14" xfId="0" applyFont="1" applyFill="1" applyBorder="1" applyAlignment="1">
      <alignment vertical="center"/>
    </xf>
    <xf numFmtId="3" fontId="16" fillId="33" borderId="14" xfId="0" applyNumberFormat="1" applyFont="1" applyFill="1" applyBorder="1" applyAlignment="1">
      <alignment horizontal="center" vertical="center"/>
    </xf>
    <xf numFmtId="192" fontId="16" fillId="33" borderId="15" xfId="0" applyNumberFormat="1" applyFont="1" applyFill="1" applyBorder="1" applyAlignment="1">
      <alignment horizontal="right" vertical="center"/>
    </xf>
    <xf numFmtId="0" fontId="32" fillId="0" borderId="0" xfId="0" applyFont="1" applyFill="1" applyBorder="1" applyAlignment="1" applyProtection="1">
      <alignment vertical="center"/>
      <protection locked="0"/>
    </xf>
    <xf numFmtId="184" fontId="13" fillId="0" borderId="10" xfId="0" applyNumberFormat="1" applyFont="1" applyFill="1" applyBorder="1" applyAlignment="1" applyProtection="1">
      <alignment horizontal="center" vertical="center"/>
      <protection locked="0"/>
    </xf>
    <xf numFmtId="184"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184" fontId="13" fillId="0" borderId="10" xfId="0" applyNumberFormat="1" applyFont="1" applyFill="1" applyBorder="1" applyAlignment="1" applyProtection="1">
      <alignment horizontal="center" vertical="center"/>
      <protection/>
    </xf>
    <xf numFmtId="0" fontId="13" fillId="0" borderId="10" xfId="0" applyFont="1" applyFill="1" applyBorder="1" applyAlignment="1" applyProtection="1">
      <alignment horizontal="left" vertical="center"/>
      <protection locked="0"/>
    </xf>
    <xf numFmtId="184" fontId="13" fillId="0" borderId="10" xfId="0" applyNumberFormat="1" applyFont="1" applyFill="1" applyBorder="1" applyAlignment="1" applyProtection="1">
      <alignment horizontal="left" vertical="center"/>
      <protection locked="0"/>
    </xf>
    <xf numFmtId="0" fontId="13" fillId="0" borderId="10" xfId="0" applyFont="1" applyFill="1" applyBorder="1" applyAlignment="1">
      <alignment horizontal="left" vertical="center"/>
    </xf>
    <xf numFmtId="49" fontId="13" fillId="0" borderId="10" xfId="0" applyNumberFormat="1" applyFont="1" applyFill="1" applyBorder="1" applyAlignment="1" applyProtection="1">
      <alignment horizontal="left" vertical="center"/>
      <protection locked="0"/>
    </xf>
    <xf numFmtId="0" fontId="13" fillId="0" borderId="10" xfId="0" applyFont="1" applyFill="1" applyBorder="1" applyAlignment="1" applyProtection="1">
      <alignment horizontal="left" vertical="center"/>
      <protection/>
    </xf>
    <xf numFmtId="0" fontId="31" fillId="0" borderId="0" xfId="0" applyFont="1" applyFill="1" applyBorder="1" applyAlignment="1">
      <alignment horizontal="center" vertical="center"/>
    </xf>
    <xf numFmtId="184" fontId="0" fillId="0" borderId="0" xfId="0" applyNumberFormat="1" applyAlignment="1">
      <alignment horizontal="center" vertical="center"/>
    </xf>
    <xf numFmtId="184" fontId="13" fillId="0" borderId="16" xfId="0" applyNumberFormat="1" applyFont="1" applyFill="1" applyBorder="1" applyAlignment="1">
      <alignment horizontal="center" vertical="center"/>
    </xf>
    <xf numFmtId="0" fontId="23" fillId="0" borderId="17" xfId="0" applyFont="1" applyFill="1" applyBorder="1" applyAlignment="1">
      <alignment horizontal="center" vertical="center"/>
    </xf>
    <xf numFmtId="0" fontId="15" fillId="33" borderId="14" xfId="0" applyFont="1" applyFill="1" applyBorder="1" applyAlignment="1">
      <alignment horizontal="center" vertical="center"/>
    </xf>
    <xf numFmtId="3" fontId="15" fillId="33" borderId="14" xfId="0" applyNumberFormat="1" applyFont="1" applyFill="1" applyBorder="1" applyAlignment="1">
      <alignment horizontal="center" vertical="center"/>
    </xf>
    <xf numFmtId="192" fontId="15" fillId="33" borderId="15" xfId="0" applyNumberFormat="1" applyFont="1" applyFill="1" applyBorder="1" applyAlignment="1">
      <alignment horizontal="center" vertical="center"/>
    </xf>
    <xf numFmtId="0" fontId="35" fillId="0"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13" fillId="0" borderId="18" xfId="0" applyFont="1" applyFill="1" applyBorder="1" applyAlignment="1" applyProtection="1">
      <alignment horizontal="left" vertical="center"/>
      <protection locked="0"/>
    </xf>
    <xf numFmtId="0" fontId="13" fillId="0" borderId="18" xfId="0" applyFont="1" applyFill="1" applyBorder="1" applyAlignment="1">
      <alignment horizontal="left" vertical="center"/>
    </xf>
    <xf numFmtId="49" fontId="13" fillId="0" borderId="18" xfId="0" applyNumberFormat="1" applyFont="1" applyFill="1" applyBorder="1" applyAlignment="1" applyProtection="1">
      <alignment horizontal="left" vertical="center"/>
      <protection locked="0"/>
    </xf>
    <xf numFmtId="192" fontId="13" fillId="0" borderId="11" xfId="60" applyNumberFormat="1" applyFont="1" applyFill="1" applyBorder="1" applyAlignment="1" applyProtection="1">
      <alignment vertical="center"/>
      <protection/>
    </xf>
    <xf numFmtId="49" fontId="13" fillId="0" borderId="10" xfId="0" applyNumberFormat="1" applyFont="1" applyFill="1" applyBorder="1" applyAlignment="1" applyProtection="1">
      <alignment vertical="center"/>
      <protection locked="0"/>
    </xf>
    <xf numFmtId="0" fontId="13" fillId="0" borderId="10" xfId="0" applyNumberFormat="1" applyFont="1" applyFill="1" applyBorder="1" applyAlignment="1" applyProtection="1">
      <alignment horizontal="center" vertical="center"/>
      <protection locked="0"/>
    </xf>
    <xf numFmtId="0" fontId="13" fillId="0" borderId="10" xfId="0" applyFont="1" applyFill="1" applyBorder="1" applyAlignment="1">
      <alignment vertical="center"/>
    </xf>
    <xf numFmtId="192" fontId="13" fillId="0" borderId="11" xfId="42" applyNumberFormat="1" applyFont="1" applyFill="1" applyBorder="1" applyAlignment="1" applyProtection="1">
      <alignment vertical="center"/>
      <protection/>
    </xf>
    <xf numFmtId="192" fontId="25" fillId="0" borderId="13" xfId="0" applyNumberFormat="1" applyFont="1" applyFill="1" applyBorder="1" applyAlignment="1" applyProtection="1">
      <alignment horizontal="center" wrapText="1"/>
      <protection/>
    </xf>
    <xf numFmtId="192" fontId="25" fillId="0" borderId="19" xfId="0" applyNumberFormat="1" applyFont="1" applyFill="1" applyBorder="1" applyAlignment="1" applyProtection="1">
      <alignment horizontal="center" wrapText="1"/>
      <protection/>
    </xf>
    <xf numFmtId="0" fontId="13" fillId="0" borderId="10" xfId="57" applyNumberFormat="1" applyFont="1" applyFill="1" applyBorder="1" applyAlignment="1">
      <alignment horizontal="left" vertical="center"/>
      <protection/>
    </xf>
    <xf numFmtId="184" fontId="13" fillId="0" borderId="10" xfId="57" applyNumberFormat="1" applyFont="1" applyFill="1" applyBorder="1" applyAlignment="1">
      <alignment horizontal="center" vertical="center"/>
      <protection/>
    </xf>
    <xf numFmtId="0" fontId="13" fillId="0" borderId="10" xfId="0" applyNumberFormat="1" applyFont="1" applyFill="1" applyBorder="1" applyAlignment="1">
      <alignment horizontal="center" vertical="center"/>
    </xf>
    <xf numFmtId="184" fontId="13" fillId="0" borderId="10" xfId="57" applyNumberFormat="1" applyFont="1" applyFill="1" applyBorder="1" applyAlignment="1" applyProtection="1">
      <alignment horizontal="center" vertical="center"/>
      <protection/>
    </xf>
    <xf numFmtId="0" fontId="13" fillId="0" borderId="18" xfId="57" applyNumberFormat="1" applyFont="1" applyFill="1" applyBorder="1" applyAlignment="1">
      <alignment horizontal="left" vertical="center"/>
      <protection/>
    </xf>
    <xf numFmtId="0" fontId="13" fillId="0" borderId="18" xfId="0" applyNumberFormat="1" applyFont="1" applyFill="1" applyBorder="1" applyAlignment="1" applyProtection="1">
      <alignment horizontal="left" vertical="center"/>
      <protection locked="0"/>
    </xf>
    <xf numFmtId="0" fontId="13" fillId="0" borderId="18" xfId="0" applyNumberFormat="1" applyFont="1" applyFill="1" applyBorder="1" applyAlignment="1">
      <alignment horizontal="left" vertical="center"/>
    </xf>
    <xf numFmtId="0" fontId="13" fillId="0" borderId="10" xfId="0" applyNumberFormat="1" applyFont="1" applyFill="1" applyBorder="1" applyAlignment="1" applyProtection="1">
      <alignment horizontal="center" vertical="center"/>
      <protection/>
    </xf>
    <xf numFmtId="0" fontId="13" fillId="0" borderId="18" xfId="0" applyNumberFormat="1" applyFont="1" applyFill="1" applyBorder="1" applyAlignment="1" applyProtection="1">
      <alignment horizontal="left" vertical="center"/>
      <protection/>
    </xf>
    <xf numFmtId="192" fontId="13" fillId="0" borderId="11" xfId="0" applyNumberFormat="1" applyFont="1" applyFill="1" applyBorder="1" applyAlignment="1" applyProtection="1">
      <alignment vertical="center"/>
      <protection/>
    </xf>
    <xf numFmtId="0" fontId="13" fillId="0" borderId="10" xfId="0" applyFont="1" applyFill="1" applyBorder="1" applyAlignment="1" applyProtection="1">
      <alignment horizontal="center" vertical="center"/>
      <protection locked="0"/>
    </xf>
    <xf numFmtId="49" fontId="13" fillId="0" borderId="10" xfId="0" applyNumberFormat="1" applyFont="1" applyFill="1" applyBorder="1" applyAlignment="1" applyProtection="1">
      <alignment horizontal="center" vertical="center"/>
      <protection locked="0"/>
    </xf>
    <xf numFmtId="3" fontId="25" fillId="0" borderId="0" xfId="0" applyNumberFormat="1" applyFont="1" applyFill="1" applyBorder="1" applyAlignment="1">
      <alignment horizontal="center" vertical="center"/>
    </xf>
    <xf numFmtId="3" fontId="31" fillId="0" borderId="0" xfId="0" applyNumberFormat="1" applyFont="1" applyFill="1" applyBorder="1" applyAlignment="1">
      <alignment horizontal="center" vertical="center"/>
    </xf>
    <xf numFmtId="3" fontId="0" fillId="0" borderId="0" xfId="0" applyNumberFormat="1" applyBorder="1" applyAlignment="1">
      <alignment vertical="center"/>
    </xf>
    <xf numFmtId="4" fontId="25" fillId="0" borderId="0" xfId="0" applyNumberFormat="1" applyFont="1" applyFill="1" applyBorder="1" applyAlignment="1">
      <alignment horizontal="center" vertical="center"/>
    </xf>
    <xf numFmtId="4" fontId="31" fillId="0" borderId="0" xfId="0" applyNumberFormat="1" applyFont="1" applyFill="1" applyBorder="1" applyAlignment="1">
      <alignment horizontal="center" vertical="center"/>
    </xf>
    <xf numFmtId="4" fontId="0" fillId="0" borderId="0" xfId="0" applyNumberFormat="1" applyBorder="1" applyAlignment="1">
      <alignment vertical="center"/>
    </xf>
    <xf numFmtId="4" fontId="17" fillId="0" borderId="0" xfId="0" applyNumberFormat="1" applyFont="1" applyFill="1" applyBorder="1" applyAlignment="1">
      <alignment vertical="center"/>
    </xf>
    <xf numFmtId="3" fontId="17" fillId="0" borderId="0" xfId="0" applyNumberFormat="1" applyFont="1" applyFill="1" applyBorder="1" applyAlignment="1">
      <alignment vertical="center"/>
    </xf>
    <xf numFmtId="0" fontId="0" fillId="0" borderId="0" xfId="0" applyAlignment="1">
      <alignment horizontal="center" vertical="center"/>
    </xf>
    <xf numFmtId="192" fontId="0" fillId="0" borderId="0" xfId="0" applyNumberFormat="1" applyAlignment="1">
      <alignment horizontal="right" vertical="center"/>
    </xf>
    <xf numFmtId="192" fontId="16" fillId="33" borderId="14" xfId="0" applyNumberFormat="1" applyFont="1" applyFill="1" applyBorder="1" applyAlignment="1">
      <alignment horizontal="right" vertical="center"/>
    </xf>
    <xf numFmtId="192" fontId="16" fillId="33" borderId="10" xfId="0" applyNumberFormat="1" applyFont="1" applyFill="1" applyBorder="1" applyAlignment="1">
      <alignment horizontal="right" vertical="center"/>
    </xf>
    <xf numFmtId="0" fontId="35" fillId="0" borderId="0"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protection/>
    </xf>
    <xf numFmtId="193" fontId="11" fillId="0" borderId="0" xfId="0" applyNumberFormat="1" applyFont="1" applyBorder="1" applyAlignment="1">
      <alignment horizontal="right" vertical="center" indent="1"/>
    </xf>
    <xf numFmtId="0" fontId="13" fillId="0" borderId="18" xfId="57" applyFont="1" applyFill="1" applyBorder="1" applyAlignment="1" applyProtection="1">
      <alignment horizontal="left" vertical="center"/>
      <protection/>
    </xf>
    <xf numFmtId="0" fontId="28" fillId="0" borderId="0" xfId="0" applyFont="1" applyFill="1" applyBorder="1" applyAlignment="1">
      <alignment horizontal="left" vertical="center"/>
    </xf>
    <xf numFmtId="184" fontId="28" fillId="0" borderId="0" xfId="0" applyNumberFormat="1" applyFont="1" applyFill="1" applyBorder="1" applyAlignment="1">
      <alignment horizontal="center" vertical="center"/>
    </xf>
    <xf numFmtId="4" fontId="28" fillId="0" borderId="0" xfId="0" applyNumberFormat="1" applyFont="1" applyFill="1" applyBorder="1" applyAlignment="1">
      <alignment horizontal="center" vertical="center"/>
    </xf>
    <xf numFmtId="3" fontId="28" fillId="0" borderId="0" xfId="0" applyNumberFormat="1" applyFont="1" applyFill="1" applyBorder="1" applyAlignment="1">
      <alignment horizontal="center" vertical="center"/>
    </xf>
    <xf numFmtId="0" fontId="28" fillId="0" borderId="0" xfId="0" applyFont="1" applyFill="1" applyBorder="1" applyAlignment="1" applyProtection="1">
      <alignment horizontal="left" vertical="center"/>
      <protection locked="0"/>
    </xf>
    <xf numFmtId="184" fontId="28" fillId="0" borderId="0" xfId="0" applyNumberFormat="1" applyFont="1" applyFill="1" applyBorder="1" applyAlignment="1" applyProtection="1">
      <alignment horizontal="center" vertical="center"/>
      <protection locked="0"/>
    </xf>
    <xf numFmtId="4" fontId="28" fillId="0" borderId="0" xfId="0" applyNumberFormat="1" applyFont="1" applyFill="1" applyBorder="1" applyAlignment="1" applyProtection="1">
      <alignment horizontal="center" vertical="center"/>
      <protection locked="0"/>
    </xf>
    <xf numFmtId="3" fontId="28" fillId="0" borderId="0" xfId="0" applyNumberFormat="1" applyFont="1" applyFill="1" applyBorder="1" applyAlignment="1" applyProtection="1">
      <alignment horizontal="center" vertical="center"/>
      <protection locked="0"/>
    </xf>
    <xf numFmtId="49" fontId="28" fillId="0" borderId="0" xfId="0" applyNumberFormat="1" applyFont="1" applyFill="1" applyBorder="1" applyAlignment="1" applyProtection="1">
      <alignment horizontal="left" vertical="center"/>
      <protection locked="0"/>
    </xf>
    <xf numFmtId="0" fontId="28" fillId="0" borderId="0" xfId="0" applyFont="1" applyFill="1" applyBorder="1" applyAlignment="1" applyProtection="1">
      <alignment vertical="center"/>
      <protection locked="0"/>
    </xf>
    <xf numFmtId="0" fontId="28" fillId="0" borderId="0" xfId="0" applyNumberFormat="1" applyFont="1" applyFill="1" applyBorder="1" applyAlignment="1">
      <alignment horizontal="left" vertical="center"/>
    </xf>
    <xf numFmtId="49" fontId="28" fillId="0" borderId="0" xfId="0" applyNumberFormat="1" applyFont="1" applyFill="1" applyBorder="1" applyAlignment="1" applyProtection="1">
      <alignment vertical="center"/>
      <protection locked="0"/>
    </xf>
    <xf numFmtId="0" fontId="28" fillId="0" borderId="0" xfId="0" applyFont="1" applyFill="1" applyBorder="1" applyAlignment="1" applyProtection="1">
      <alignment horizontal="left" vertical="center"/>
      <protection/>
    </xf>
    <xf numFmtId="184" fontId="28" fillId="0" borderId="0" xfId="0" applyNumberFormat="1" applyFont="1" applyFill="1" applyBorder="1" applyAlignment="1" applyProtection="1">
      <alignment horizontal="center" vertical="center"/>
      <protection/>
    </xf>
    <xf numFmtId="4" fontId="28" fillId="0" borderId="0" xfId="0" applyNumberFormat="1" applyFont="1" applyFill="1" applyBorder="1" applyAlignment="1" applyProtection="1">
      <alignment horizontal="center" vertical="center"/>
      <protection/>
    </xf>
    <xf numFmtId="3" fontId="28"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protection locked="0"/>
    </xf>
    <xf numFmtId="49" fontId="28" fillId="0" borderId="0" xfId="0" applyNumberFormat="1" applyFont="1" applyFill="1" applyBorder="1" applyAlignment="1">
      <alignment vertical="center"/>
    </xf>
    <xf numFmtId="49" fontId="28" fillId="0" borderId="0" xfId="0" applyNumberFormat="1" applyFont="1" applyFill="1" applyBorder="1" applyAlignment="1">
      <alignment horizontal="left" vertical="center"/>
    </xf>
    <xf numFmtId="0" fontId="28" fillId="0" borderId="0" xfId="0" applyFont="1" applyFill="1" applyBorder="1" applyAlignment="1">
      <alignment vertical="center"/>
    </xf>
    <xf numFmtId="197" fontId="28" fillId="0" borderId="0" xfId="0" applyNumberFormat="1" applyFont="1" applyFill="1" applyBorder="1" applyAlignment="1">
      <alignment horizontal="center" vertical="center"/>
    </xf>
    <xf numFmtId="0" fontId="28" fillId="0" borderId="0" xfId="57" applyNumberFormat="1" applyFont="1" applyFill="1" applyBorder="1" applyAlignment="1">
      <alignment horizontal="left" vertical="center"/>
      <protection/>
    </xf>
    <xf numFmtId="184" fontId="28" fillId="0" borderId="0" xfId="57" applyNumberFormat="1" applyFont="1" applyFill="1" applyBorder="1" applyAlignment="1">
      <alignment horizontal="center" vertical="center"/>
      <protection/>
    </xf>
    <xf numFmtId="4" fontId="28" fillId="0" borderId="0" xfId="57" applyNumberFormat="1" applyFont="1" applyFill="1" applyBorder="1" applyAlignment="1">
      <alignment horizontal="center" vertical="center"/>
      <protection/>
    </xf>
    <xf numFmtId="3" fontId="28" fillId="0" borderId="0" xfId="57" applyNumberFormat="1" applyFont="1" applyFill="1" applyBorder="1" applyAlignment="1">
      <alignment horizontal="center" vertical="center"/>
      <protection/>
    </xf>
    <xf numFmtId="0" fontId="28" fillId="0" borderId="0" xfId="0" applyFont="1" applyFill="1" applyBorder="1" applyAlignment="1" applyProtection="1">
      <alignment vertical="center"/>
      <protection/>
    </xf>
    <xf numFmtId="0" fontId="28" fillId="0" borderId="0" xfId="0" applyFont="1" applyFill="1" applyBorder="1" applyAlignment="1">
      <alignment horizontal="left"/>
    </xf>
    <xf numFmtId="184" fontId="28" fillId="0" borderId="0" xfId="0" applyNumberFormat="1" applyFont="1" applyFill="1" applyBorder="1" applyAlignment="1">
      <alignment horizontal="center"/>
    </xf>
    <xf numFmtId="4" fontId="28" fillId="0" borderId="0" xfId="0" applyNumberFormat="1" applyFont="1" applyFill="1" applyBorder="1" applyAlignment="1">
      <alignment horizontal="center"/>
    </xf>
    <xf numFmtId="3" fontId="28" fillId="0" borderId="0" xfId="0" applyNumberFormat="1" applyFont="1" applyFill="1" applyBorder="1" applyAlignment="1">
      <alignment horizontal="center"/>
    </xf>
    <xf numFmtId="0" fontId="28" fillId="0" borderId="0" xfId="0" applyNumberFormat="1" applyFont="1" applyFill="1" applyBorder="1" applyAlignment="1" applyProtection="1">
      <alignment horizontal="left" vertical="center"/>
      <protection/>
    </xf>
    <xf numFmtId="3" fontId="25" fillId="0" borderId="13" xfId="0" applyNumberFormat="1" applyFont="1" applyFill="1" applyBorder="1" applyAlignment="1" applyProtection="1">
      <alignment horizontal="center" wrapText="1"/>
      <protection/>
    </xf>
    <xf numFmtId="3" fontId="3" fillId="0" borderId="0" xfId="0" applyNumberFormat="1" applyFont="1" applyFill="1" applyBorder="1" applyAlignment="1" applyProtection="1">
      <alignment horizontal="right" vertical="center"/>
      <protection/>
    </xf>
    <xf numFmtId="3" fontId="16" fillId="33" borderId="14" xfId="0" applyNumberFormat="1" applyFont="1" applyFill="1" applyBorder="1" applyAlignment="1">
      <alignment horizontal="right" vertical="center"/>
    </xf>
    <xf numFmtId="3" fontId="10" fillId="0" borderId="0" xfId="0" applyNumberFormat="1" applyFont="1" applyFill="1" applyBorder="1" applyAlignment="1" applyProtection="1">
      <alignment horizontal="right" vertical="center"/>
      <protection locked="0"/>
    </xf>
    <xf numFmtId="3" fontId="0" fillId="0" borderId="0" xfId="0" applyNumberFormat="1" applyAlignment="1">
      <alignment horizontal="right" vertical="center"/>
    </xf>
    <xf numFmtId="3" fontId="6" fillId="0" borderId="0" xfId="0" applyNumberFormat="1" applyFont="1" applyFill="1" applyBorder="1" applyAlignment="1" applyProtection="1">
      <alignment horizontal="right" vertical="center"/>
      <protection locked="0"/>
    </xf>
    <xf numFmtId="0" fontId="13" fillId="0" borderId="10" xfId="57" applyNumberFormat="1" applyFont="1" applyFill="1" applyBorder="1" applyAlignment="1" applyProtection="1">
      <alignment horizontal="center" vertical="center"/>
      <protection/>
    </xf>
    <xf numFmtId="0" fontId="13" fillId="0" borderId="10" xfId="57" applyFont="1" applyFill="1" applyBorder="1" applyAlignment="1" applyProtection="1">
      <alignment horizontal="center" vertical="center"/>
      <protection/>
    </xf>
    <xf numFmtId="200" fontId="33" fillId="0" borderId="10" xfId="0" applyNumberFormat="1" applyFont="1" applyFill="1" applyBorder="1" applyAlignment="1">
      <alignment vertical="center"/>
    </xf>
    <xf numFmtId="200" fontId="33" fillId="0" borderId="10" xfId="42" applyNumberFormat="1" applyFont="1" applyFill="1" applyBorder="1" applyAlignment="1" applyProtection="1">
      <alignment vertical="center"/>
      <protection locked="0"/>
    </xf>
    <xf numFmtId="200" fontId="33" fillId="0" borderId="10" xfId="0" applyNumberFormat="1" applyFont="1" applyFill="1" applyBorder="1" applyAlignment="1" applyProtection="1">
      <alignment vertical="center"/>
      <protection/>
    </xf>
    <xf numFmtId="200" fontId="33" fillId="0" borderId="10" xfId="42" applyNumberFormat="1" applyFont="1" applyFill="1" applyBorder="1" applyAlignment="1" applyProtection="1">
      <alignment vertical="center"/>
      <protection/>
    </xf>
    <xf numFmtId="0" fontId="13" fillId="0" borderId="10" xfId="57" applyFont="1" applyFill="1" applyBorder="1" applyAlignment="1" applyProtection="1">
      <alignment horizontal="left" vertical="center"/>
      <protection/>
    </xf>
    <xf numFmtId="0" fontId="13" fillId="0" borderId="10" xfId="0" applyNumberFormat="1" applyFont="1" applyFill="1" applyBorder="1" applyAlignment="1">
      <alignment vertical="center"/>
    </xf>
    <xf numFmtId="0" fontId="13" fillId="0" borderId="10" xfId="0" applyNumberFormat="1" applyFont="1" applyFill="1" applyBorder="1" applyAlignment="1" applyProtection="1">
      <alignment vertical="center"/>
      <protection locked="0"/>
    </xf>
    <xf numFmtId="0" fontId="13" fillId="0" borderId="10" xfId="0" applyNumberFormat="1" applyFont="1" applyFill="1" applyBorder="1" applyAlignment="1" applyProtection="1">
      <alignment vertical="center"/>
      <protection/>
    </xf>
    <xf numFmtId="192" fontId="13" fillId="0" borderId="11" xfId="42" applyNumberFormat="1" applyFont="1" applyFill="1" applyBorder="1" applyAlignment="1" applyProtection="1">
      <alignment horizontal="right" vertical="center"/>
      <protection/>
    </xf>
    <xf numFmtId="192" fontId="13" fillId="0" borderId="11" xfId="57" applyNumberFormat="1" applyFont="1" applyFill="1" applyBorder="1" applyAlignment="1" applyProtection="1">
      <alignment vertical="center"/>
      <protection/>
    </xf>
    <xf numFmtId="0" fontId="0" fillId="0" borderId="0" xfId="0" applyAlignment="1">
      <alignment horizontal="center"/>
    </xf>
    <xf numFmtId="0" fontId="33" fillId="0" borderId="20" xfId="0" applyFont="1" applyBorder="1" applyAlignment="1" applyProtection="1">
      <alignment vertical="center"/>
      <protection locked="0"/>
    </xf>
    <xf numFmtId="0" fontId="33" fillId="0" borderId="21" xfId="0" applyFont="1" applyBorder="1" applyAlignment="1" applyProtection="1">
      <alignment vertical="center"/>
      <protection locked="0"/>
    </xf>
    <xf numFmtId="0" fontId="33" fillId="0" borderId="22" xfId="0" applyFont="1" applyBorder="1" applyAlignment="1" applyProtection="1">
      <alignment vertical="center"/>
      <protection locked="0"/>
    </xf>
    <xf numFmtId="200" fontId="33" fillId="0" borderId="10" xfId="42" applyNumberFormat="1" applyFont="1" applyFill="1" applyBorder="1" applyAlignment="1" applyProtection="1">
      <alignment horizontal="right" vertical="center"/>
      <protection locked="0"/>
    </xf>
    <xf numFmtId="200" fontId="33" fillId="0" borderId="10" xfId="0" applyNumberFormat="1" applyFont="1" applyFill="1" applyBorder="1" applyAlignment="1">
      <alignment horizontal="right" vertical="center"/>
    </xf>
    <xf numFmtId="14" fontId="13" fillId="0" borderId="10" xfId="0" applyNumberFormat="1" applyFont="1" applyFill="1" applyBorder="1" applyAlignment="1">
      <alignment horizontal="left" vertical="center"/>
    </xf>
    <xf numFmtId="1" fontId="13" fillId="0" borderId="10" xfId="0" applyNumberFormat="1" applyFont="1" applyFill="1" applyBorder="1" applyAlignment="1" applyProtection="1">
      <alignment horizontal="center" vertical="center"/>
      <protection locked="0"/>
    </xf>
    <xf numFmtId="1" fontId="13" fillId="0" borderId="10" xfId="0" applyNumberFormat="1" applyFont="1" applyFill="1" applyBorder="1" applyAlignment="1">
      <alignment horizontal="center" vertical="center"/>
    </xf>
    <xf numFmtId="0" fontId="13" fillId="0" borderId="10" xfId="0" applyNumberFormat="1" applyFont="1" applyFill="1" applyBorder="1" applyAlignment="1">
      <alignment horizontal="left" vertical="center"/>
    </xf>
    <xf numFmtId="0" fontId="13" fillId="0" borderId="23" xfId="0" applyFont="1" applyFill="1" applyBorder="1" applyAlignment="1" applyProtection="1">
      <alignment horizontal="left" vertical="center"/>
      <protection locked="0"/>
    </xf>
    <xf numFmtId="184" fontId="13" fillId="0" borderId="16" xfId="0" applyNumberFormat="1" applyFont="1" applyFill="1" applyBorder="1" applyAlignment="1" applyProtection="1">
      <alignment horizontal="center" vertical="center"/>
      <protection locked="0"/>
    </xf>
    <xf numFmtId="0" fontId="13" fillId="0" borderId="16" xfId="0" applyFont="1" applyFill="1" applyBorder="1" applyAlignment="1" applyProtection="1">
      <alignment horizontal="left" vertical="center"/>
      <protection locked="0"/>
    </xf>
    <xf numFmtId="0" fontId="13" fillId="0" borderId="16" xfId="0" applyFont="1" applyFill="1" applyBorder="1" applyAlignment="1" applyProtection="1">
      <alignment horizontal="center" vertical="center"/>
      <protection locked="0"/>
    </xf>
    <xf numFmtId="0" fontId="13" fillId="0" borderId="24" xfId="0" applyFont="1" applyFill="1" applyBorder="1" applyAlignment="1">
      <alignment horizontal="left" vertical="center"/>
    </xf>
    <xf numFmtId="184" fontId="13" fillId="0" borderId="25" xfId="0" applyNumberFormat="1" applyFont="1" applyFill="1" applyBorder="1" applyAlignment="1">
      <alignment horizontal="center" vertical="center"/>
    </xf>
    <xf numFmtId="0" fontId="13" fillId="0" borderId="25" xfId="0" applyFont="1" applyFill="1" applyBorder="1" applyAlignment="1">
      <alignment horizontal="left" vertical="center"/>
    </xf>
    <xf numFmtId="0" fontId="13" fillId="0" borderId="25" xfId="0" applyFont="1" applyFill="1" applyBorder="1" applyAlignment="1" applyProtection="1">
      <alignment horizontal="left" vertical="center"/>
      <protection locked="0"/>
    </xf>
    <xf numFmtId="0" fontId="13" fillId="0" borderId="25" xfId="0" applyFont="1" applyFill="1" applyBorder="1" applyAlignment="1">
      <alignment horizontal="center" vertical="center"/>
    </xf>
    <xf numFmtId="200" fontId="25" fillId="0" borderId="13" xfId="0" applyNumberFormat="1" applyFont="1" applyFill="1" applyBorder="1" applyAlignment="1" applyProtection="1">
      <alignment horizontal="center" vertical="center" wrapText="1"/>
      <protection/>
    </xf>
    <xf numFmtId="0" fontId="22" fillId="0" borderId="26" xfId="0" applyFont="1" applyFill="1" applyBorder="1" applyAlignment="1" applyProtection="1">
      <alignment horizontal="right" vertical="center"/>
      <protection/>
    </xf>
    <xf numFmtId="0" fontId="22" fillId="0" borderId="27" xfId="0" applyFont="1" applyFill="1" applyBorder="1" applyAlignment="1" applyProtection="1">
      <alignment horizontal="right" vertical="center"/>
      <protection/>
    </xf>
    <xf numFmtId="0" fontId="13" fillId="0" borderId="10" xfId="0" applyNumberFormat="1" applyFont="1" applyFill="1" applyBorder="1" applyAlignment="1" applyProtection="1">
      <alignment horizontal="left" vertical="center"/>
      <protection locked="0"/>
    </xf>
    <xf numFmtId="0" fontId="0" fillId="0" borderId="0" xfId="0" applyBorder="1" applyAlignment="1">
      <alignment horizontal="right" vertical="center" wrapText="1"/>
    </xf>
    <xf numFmtId="0" fontId="0" fillId="0" borderId="0" xfId="0" applyBorder="1" applyAlignment="1">
      <alignment horizontal="center" vertical="center" wrapText="1"/>
    </xf>
    <xf numFmtId="0" fontId="29" fillId="34" borderId="28" xfId="0" applyFont="1" applyFill="1" applyBorder="1" applyAlignment="1">
      <alignment horizontal="right"/>
    </xf>
    <xf numFmtId="49" fontId="29" fillId="34" borderId="29" xfId="0" applyNumberFormat="1" applyFont="1" applyFill="1" applyBorder="1" applyAlignment="1">
      <alignment horizontal="right"/>
    </xf>
    <xf numFmtId="0" fontId="29" fillId="34" borderId="29" xfId="0" applyFont="1" applyFill="1" applyBorder="1" applyAlignment="1">
      <alignment/>
    </xf>
    <xf numFmtId="0" fontId="29" fillId="34" borderId="29" xfId="0" applyFont="1" applyFill="1" applyBorder="1" applyAlignment="1">
      <alignment horizontal="right"/>
    </xf>
    <xf numFmtId="0" fontId="29" fillId="34" borderId="30" xfId="0" applyFont="1" applyFill="1" applyBorder="1" applyAlignment="1">
      <alignment horizontal="right"/>
    </xf>
    <xf numFmtId="0" fontId="29" fillId="35" borderId="28" xfId="0" applyFont="1" applyFill="1" applyBorder="1" applyAlignment="1">
      <alignment horizontal="right"/>
    </xf>
    <xf numFmtId="4" fontId="29" fillId="35" borderId="29" xfId="0" applyNumberFormat="1" applyFont="1" applyFill="1" applyBorder="1" applyAlignment="1">
      <alignment horizontal="right"/>
    </xf>
    <xf numFmtId="3" fontId="29" fillId="35" borderId="30" xfId="0" applyNumberFormat="1" applyFont="1" applyFill="1" applyBorder="1" applyAlignment="1">
      <alignment horizontal="right"/>
    </xf>
    <xf numFmtId="4" fontId="29" fillId="34" borderId="29" xfId="0" applyNumberFormat="1" applyFont="1" applyFill="1" applyBorder="1" applyAlignment="1">
      <alignment horizontal="right"/>
    </xf>
    <xf numFmtId="3" fontId="29" fillId="34" borderId="29" xfId="0" applyNumberFormat="1" applyFont="1" applyFill="1" applyBorder="1" applyAlignment="1">
      <alignment horizontal="right"/>
    </xf>
    <xf numFmtId="10" fontId="29" fillId="34" borderId="30" xfId="0" applyNumberFormat="1" applyFont="1" applyFill="1" applyBorder="1" applyAlignment="1">
      <alignment horizontal="right"/>
    </xf>
    <xf numFmtId="3" fontId="29" fillId="35" borderId="29" xfId="0" applyNumberFormat="1" applyFont="1" applyFill="1" applyBorder="1" applyAlignment="1">
      <alignment horizontal="right"/>
    </xf>
    <xf numFmtId="10" fontId="29" fillId="35" borderId="30" xfId="0" applyNumberFormat="1" applyFont="1" applyFill="1" applyBorder="1" applyAlignment="1">
      <alignment horizontal="right"/>
    </xf>
    <xf numFmtId="0" fontId="29" fillId="0" borderId="0" xfId="0" applyFont="1" applyFill="1" applyAlignment="1">
      <alignment/>
    </xf>
    <xf numFmtId="3" fontId="29" fillId="35" borderId="28" xfId="0" applyNumberFormat="1" applyFont="1" applyFill="1" applyBorder="1" applyAlignment="1">
      <alignment horizontal="right"/>
    </xf>
    <xf numFmtId="0" fontId="29" fillId="34" borderId="28" xfId="0" applyFont="1" applyFill="1" applyBorder="1" applyAlignment="1">
      <alignment/>
    </xf>
    <xf numFmtId="0" fontId="29" fillId="34" borderId="0" xfId="0" applyFont="1" applyFill="1" applyAlignment="1">
      <alignment horizontal="right"/>
    </xf>
    <xf numFmtId="49" fontId="29" fillId="34" borderId="0" xfId="0" applyNumberFormat="1" applyFont="1" applyFill="1" applyAlignment="1">
      <alignment horizontal="right"/>
    </xf>
    <xf numFmtId="0" fontId="29" fillId="34" borderId="0" xfId="0" applyFont="1" applyFill="1" applyAlignment="1">
      <alignment/>
    </xf>
    <xf numFmtId="3" fontId="29" fillId="35" borderId="0" xfId="0" applyNumberFormat="1" applyFont="1" applyFill="1" applyAlignment="1">
      <alignment horizontal="right"/>
    </xf>
    <xf numFmtId="4" fontId="29" fillId="35" borderId="0" xfId="0" applyNumberFormat="1" applyFont="1" applyFill="1" applyAlignment="1">
      <alignment horizontal="right"/>
    </xf>
    <xf numFmtId="4" fontId="29" fillId="34" borderId="0" xfId="0" applyNumberFormat="1" applyFont="1" applyFill="1" applyAlignment="1">
      <alignment horizontal="right"/>
    </xf>
    <xf numFmtId="3" fontId="29" fillId="34" borderId="0" xfId="0" applyNumberFormat="1" applyFont="1" applyFill="1" applyAlignment="1">
      <alignment horizontal="right"/>
    </xf>
    <xf numFmtId="10" fontId="29" fillId="34" borderId="0" xfId="0" applyNumberFormat="1" applyFont="1" applyFill="1" applyAlignment="1">
      <alignment horizontal="right"/>
    </xf>
    <xf numFmtId="0" fontId="29" fillId="35" borderId="0" xfId="0" applyFont="1" applyFill="1" applyAlignment="1">
      <alignment horizontal="right"/>
    </xf>
    <xf numFmtId="10" fontId="29" fillId="35" borderId="0" xfId="0" applyNumberFormat="1" applyFont="1" applyFill="1" applyAlignment="1">
      <alignment horizontal="right"/>
    </xf>
    <xf numFmtId="3" fontId="29" fillId="35" borderId="31" xfId="0" applyNumberFormat="1" applyFont="1" applyFill="1" applyBorder="1" applyAlignment="1">
      <alignment horizontal="right"/>
    </xf>
    <xf numFmtId="4" fontId="29" fillId="35" borderId="31" xfId="0" applyNumberFormat="1" applyFont="1" applyFill="1" applyBorder="1" applyAlignment="1">
      <alignment horizontal="right"/>
    </xf>
    <xf numFmtId="4" fontId="29" fillId="34" borderId="31" xfId="0" applyNumberFormat="1" applyFont="1" applyFill="1" applyBorder="1" applyAlignment="1">
      <alignment horizontal="right"/>
    </xf>
    <xf numFmtId="3" fontId="29" fillId="34" borderId="31" xfId="0" applyNumberFormat="1" applyFont="1" applyFill="1" applyBorder="1" applyAlignment="1">
      <alignment horizontal="right"/>
    </xf>
    <xf numFmtId="10" fontId="29" fillId="34" borderId="31" xfId="0" applyNumberFormat="1" applyFont="1" applyFill="1" applyBorder="1" applyAlignment="1">
      <alignment horizontal="right"/>
    </xf>
    <xf numFmtId="0" fontId="29" fillId="35" borderId="31" xfId="0" applyFont="1" applyFill="1" applyBorder="1" applyAlignment="1">
      <alignment horizontal="right"/>
    </xf>
    <xf numFmtId="10" fontId="29" fillId="35" borderId="31" xfId="0" applyNumberFormat="1" applyFont="1" applyFill="1" applyBorder="1" applyAlignment="1">
      <alignment horizontal="right"/>
    </xf>
    <xf numFmtId="0" fontId="29" fillId="34" borderId="31" xfId="0" applyFont="1" applyFill="1" applyBorder="1" applyAlignment="1">
      <alignment horizontal="right"/>
    </xf>
    <xf numFmtId="3" fontId="39" fillId="35" borderId="31" xfId="0" applyNumberFormat="1" applyFont="1" applyFill="1" applyBorder="1" applyAlignment="1">
      <alignment horizontal="right"/>
    </xf>
    <xf numFmtId="4" fontId="39" fillId="35" borderId="31" xfId="0" applyNumberFormat="1" applyFont="1" applyFill="1" applyBorder="1" applyAlignment="1">
      <alignment horizontal="right"/>
    </xf>
    <xf numFmtId="4" fontId="39" fillId="34" borderId="31" xfId="0" applyNumberFormat="1" applyFont="1" applyFill="1" applyBorder="1" applyAlignment="1">
      <alignment horizontal="right"/>
    </xf>
    <xf numFmtId="3" fontId="39" fillId="34" borderId="31" xfId="0" applyNumberFormat="1" applyFont="1" applyFill="1" applyBorder="1" applyAlignment="1">
      <alignment horizontal="right"/>
    </xf>
    <xf numFmtId="10" fontId="39" fillId="34" borderId="31" xfId="0" applyNumberFormat="1" applyFont="1" applyFill="1" applyBorder="1" applyAlignment="1">
      <alignment horizontal="right"/>
    </xf>
    <xf numFmtId="0" fontId="39" fillId="35" borderId="31" xfId="0" applyFont="1" applyFill="1" applyBorder="1" applyAlignment="1">
      <alignment horizontal="right"/>
    </xf>
    <xf numFmtId="10" fontId="39" fillId="35" borderId="31" xfId="0" applyNumberFormat="1" applyFont="1" applyFill="1" applyBorder="1" applyAlignment="1">
      <alignment horizontal="right"/>
    </xf>
    <xf numFmtId="0" fontId="39" fillId="34" borderId="31" xfId="0" applyFont="1" applyFill="1" applyBorder="1" applyAlignment="1">
      <alignment horizontal="right"/>
    </xf>
    <xf numFmtId="0" fontId="39" fillId="0" borderId="0" xfId="0" applyFont="1" applyFill="1" applyAlignment="1">
      <alignment/>
    </xf>
    <xf numFmtId="0" fontId="38" fillId="34" borderId="28" xfId="0" applyFont="1" applyFill="1" applyBorder="1" applyAlignment="1">
      <alignment/>
    </xf>
    <xf numFmtId="0" fontId="38" fillId="34" borderId="28" xfId="0" applyFont="1" applyFill="1" applyBorder="1" applyAlignment="1">
      <alignment horizontal="left"/>
    </xf>
    <xf numFmtId="0" fontId="29" fillId="34" borderId="31" xfId="0" applyFont="1" applyFill="1" applyBorder="1" applyAlignment="1">
      <alignment/>
    </xf>
    <xf numFmtId="0" fontId="39" fillId="34" borderId="31" xfId="0" applyFont="1" applyFill="1" applyBorder="1" applyAlignment="1">
      <alignment/>
    </xf>
    <xf numFmtId="193" fontId="11" fillId="0" borderId="0" xfId="0" applyNumberFormat="1" applyFont="1" applyBorder="1" applyAlignment="1">
      <alignment horizontal="right" vertical="center"/>
    </xf>
    <xf numFmtId="193" fontId="11" fillId="0" borderId="0" xfId="0" applyNumberFormat="1" applyFont="1" applyBorder="1" applyAlignment="1">
      <alignment horizontal="right" vertical="center" wrapText="1"/>
    </xf>
    <xf numFmtId="193" fontId="33" fillId="0" borderId="10" xfId="42" applyNumberFormat="1" applyFont="1" applyFill="1" applyBorder="1" applyAlignment="1" applyProtection="1">
      <alignment horizontal="right" vertical="center"/>
      <protection locked="0"/>
    </xf>
    <xf numFmtId="200" fontId="33" fillId="0" borderId="10" xfId="42" applyNumberFormat="1" applyFont="1" applyFill="1" applyBorder="1" applyAlignment="1" applyProtection="1">
      <alignment horizontal="right" vertical="center"/>
      <protection/>
    </xf>
    <xf numFmtId="193" fontId="33" fillId="0" borderId="10" xfId="0" applyNumberFormat="1" applyFont="1" applyFill="1" applyBorder="1" applyAlignment="1">
      <alignment horizontal="right" vertical="center"/>
    </xf>
    <xf numFmtId="200" fontId="33" fillId="0" borderId="10" xfId="57" applyNumberFormat="1" applyFont="1" applyFill="1" applyBorder="1" applyAlignment="1" applyProtection="1">
      <alignment horizontal="right" vertical="center"/>
      <protection/>
    </xf>
    <xf numFmtId="200" fontId="33" fillId="0" borderId="10" xfId="0" applyNumberFormat="1" applyFont="1" applyFill="1" applyBorder="1" applyAlignment="1" applyProtection="1">
      <alignment horizontal="right" vertical="center"/>
      <protection/>
    </xf>
    <xf numFmtId="49" fontId="13" fillId="0" borderId="32" xfId="0" applyNumberFormat="1" applyFont="1" applyFill="1" applyBorder="1" applyAlignment="1" applyProtection="1">
      <alignment horizontal="left" vertical="center"/>
      <protection locked="0"/>
    </xf>
    <xf numFmtId="184" fontId="13" fillId="0" borderId="33" xfId="0" applyNumberFormat="1" applyFont="1" applyFill="1" applyBorder="1" applyAlignment="1">
      <alignment horizontal="center" vertical="center"/>
    </xf>
    <xf numFmtId="49" fontId="13" fillId="0" borderId="33" xfId="0" applyNumberFormat="1" applyFont="1" applyFill="1" applyBorder="1" applyAlignment="1" applyProtection="1">
      <alignment horizontal="left" vertical="center"/>
      <protection locked="0"/>
    </xf>
    <xf numFmtId="1" fontId="13" fillId="0" borderId="33" xfId="0" applyNumberFormat="1" applyFont="1" applyFill="1" applyBorder="1" applyAlignment="1" applyProtection="1">
      <alignment horizontal="center" vertical="center"/>
      <protection locked="0"/>
    </xf>
    <xf numFmtId="193" fontId="33" fillId="0" borderId="10" xfId="0" applyNumberFormat="1" applyFont="1" applyFill="1" applyBorder="1" applyAlignment="1">
      <alignment vertical="center"/>
    </xf>
    <xf numFmtId="193" fontId="33" fillId="0" borderId="10" xfId="42" applyNumberFormat="1" applyFont="1" applyFill="1" applyBorder="1" applyAlignment="1" applyProtection="1">
      <alignment vertical="center"/>
      <protection locked="0"/>
    </xf>
    <xf numFmtId="193" fontId="33" fillId="0" borderId="10" xfId="0" applyNumberFormat="1" applyFont="1" applyFill="1" applyBorder="1" applyAlignment="1" applyProtection="1">
      <alignment vertical="center"/>
      <protection/>
    </xf>
    <xf numFmtId="193" fontId="33" fillId="0" borderId="10" xfId="57" applyNumberFormat="1" applyFont="1" applyFill="1" applyBorder="1" applyAlignment="1" applyProtection="1">
      <alignment vertical="center"/>
      <protection/>
    </xf>
    <xf numFmtId="0" fontId="13" fillId="0" borderId="24" xfId="0" applyFont="1" applyFill="1" applyBorder="1" applyAlignment="1" applyProtection="1">
      <alignment horizontal="left" vertical="center"/>
      <protection locked="0"/>
    </xf>
    <xf numFmtId="184" fontId="13" fillId="0" borderId="25" xfId="0" applyNumberFormat="1" applyFont="1" applyFill="1" applyBorder="1" applyAlignment="1" applyProtection="1">
      <alignment horizontal="center" vertical="center"/>
      <protection locked="0"/>
    </xf>
    <xf numFmtId="193" fontId="33" fillId="0" borderId="10" xfId="0" applyNumberFormat="1" applyFont="1" applyFill="1" applyBorder="1" applyAlignment="1" applyProtection="1">
      <alignment horizontal="right" vertical="center"/>
      <protection/>
    </xf>
    <xf numFmtId="193" fontId="33" fillId="0" borderId="33" xfId="42" applyNumberFormat="1" applyFont="1" applyFill="1" applyBorder="1" applyAlignment="1" applyProtection="1">
      <alignment horizontal="right" vertical="center"/>
      <protection locked="0"/>
    </xf>
    <xf numFmtId="193" fontId="33" fillId="0" borderId="14" xfId="0" applyNumberFormat="1" applyFont="1" applyFill="1" applyBorder="1" applyAlignment="1">
      <alignment horizontal="right" vertical="center"/>
    </xf>
    <xf numFmtId="200" fontId="33" fillId="0" borderId="33" xfId="42" applyNumberFormat="1" applyFont="1" applyFill="1" applyBorder="1" applyAlignment="1" applyProtection="1">
      <alignment horizontal="right" vertical="center"/>
      <protection locked="0"/>
    </xf>
    <xf numFmtId="200" fontId="19" fillId="0" borderId="0" xfId="0" applyNumberFormat="1" applyFont="1" applyFill="1" applyBorder="1" applyAlignment="1" applyProtection="1">
      <alignment horizontal="right" vertical="center"/>
      <protection/>
    </xf>
    <xf numFmtId="200" fontId="25" fillId="0" borderId="13" xfId="0" applyNumberFormat="1" applyFont="1" applyFill="1" applyBorder="1" applyAlignment="1" applyProtection="1">
      <alignment horizontal="center" wrapText="1"/>
      <protection/>
    </xf>
    <xf numFmtId="200" fontId="15" fillId="33" borderId="14" xfId="0" applyNumberFormat="1" applyFont="1" applyFill="1" applyBorder="1" applyAlignment="1">
      <alignment horizontal="right" vertical="center"/>
    </xf>
    <xf numFmtId="200" fontId="15" fillId="33" borderId="10" xfId="0" applyNumberFormat="1" applyFont="1" applyFill="1" applyBorder="1" applyAlignment="1">
      <alignment horizontal="right" vertical="center"/>
    </xf>
    <xf numFmtId="200" fontId="20" fillId="0" borderId="0" xfId="0" applyNumberFormat="1" applyFont="1" applyFill="1" applyBorder="1" applyAlignment="1" applyProtection="1">
      <alignment horizontal="right" vertical="center"/>
      <protection locked="0"/>
    </xf>
    <xf numFmtId="200" fontId="21" fillId="0" borderId="0" xfId="0" applyNumberFormat="1" applyFont="1" applyFill="1" applyBorder="1" applyAlignment="1" applyProtection="1">
      <alignment horizontal="right" vertical="center"/>
      <protection locked="0"/>
    </xf>
    <xf numFmtId="200" fontId="11" fillId="0" borderId="0" xfId="0" applyNumberFormat="1" applyFont="1" applyAlignment="1">
      <alignment horizontal="right" vertical="center"/>
    </xf>
    <xf numFmtId="200" fontId="4" fillId="0" borderId="0" xfId="0" applyNumberFormat="1" applyFont="1" applyFill="1" applyBorder="1" applyAlignment="1" applyProtection="1">
      <alignment horizontal="right" vertical="center"/>
      <protection/>
    </xf>
    <xf numFmtId="200" fontId="16" fillId="33" borderId="14" xfId="0" applyNumberFormat="1" applyFont="1" applyFill="1" applyBorder="1" applyAlignment="1">
      <alignment horizontal="right" vertical="center"/>
    </xf>
    <xf numFmtId="200" fontId="16" fillId="33" borderId="10" xfId="0" applyNumberFormat="1" applyFont="1" applyFill="1" applyBorder="1" applyAlignment="1">
      <alignment horizontal="right" vertical="center"/>
    </xf>
    <xf numFmtId="200" fontId="6" fillId="0" borderId="0" xfId="0" applyNumberFormat="1" applyFont="1" applyFill="1" applyBorder="1" applyAlignment="1" applyProtection="1">
      <alignment horizontal="right" vertical="center"/>
      <protection locked="0"/>
    </xf>
    <xf numFmtId="200" fontId="42" fillId="0" borderId="13" xfId="0" applyNumberFormat="1" applyFont="1" applyFill="1" applyBorder="1" applyAlignment="1" applyProtection="1">
      <alignment horizontal="right" wrapText="1"/>
      <protection/>
    </xf>
    <xf numFmtId="200" fontId="10" fillId="0" borderId="0" xfId="42" applyNumberFormat="1" applyFont="1" applyFill="1" applyBorder="1" applyAlignment="1" applyProtection="1">
      <alignment horizontal="right" vertical="center"/>
      <protection/>
    </xf>
    <xf numFmtId="200" fontId="0" fillId="0" borderId="0" xfId="0" applyNumberFormat="1" applyFont="1" applyAlignment="1">
      <alignment horizontal="right" vertical="center"/>
    </xf>
    <xf numFmtId="200" fontId="0" fillId="0" borderId="0" xfId="0" applyNumberFormat="1" applyFont="1" applyAlignment="1">
      <alignment horizontal="right" vertical="center"/>
    </xf>
    <xf numFmtId="193" fontId="4" fillId="0" borderId="0" xfId="0" applyNumberFormat="1" applyFont="1" applyFill="1" applyBorder="1" applyAlignment="1" applyProtection="1">
      <alignment horizontal="right" vertical="center"/>
      <protection/>
    </xf>
    <xf numFmtId="193" fontId="16" fillId="33" borderId="14" xfId="0" applyNumberFormat="1" applyFont="1" applyFill="1" applyBorder="1" applyAlignment="1">
      <alignment horizontal="right" vertical="center"/>
    </xf>
    <xf numFmtId="193" fontId="16" fillId="33" borderId="10"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193" fontId="3" fillId="0" borderId="0" xfId="0" applyNumberFormat="1" applyFont="1" applyFill="1" applyBorder="1" applyAlignment="1" applyProtection="1">
      <alignment horizontal="right" vertical="center"/>
      <protection/>
    </xf>
    <xf numFmtId="193" fontId="42" fillId="0" borderId="13" xfId="0" applyNumberFormat="1" applyFont="1" applyFill="1" applyBorder="1" applyAlignment="1" applyProtection="1">
      <alignment horizontal="center" wrapText="1"/>
      <protection/>
    </xf>
    <xf numFmtId="193" fontId="10" fillId="0" borderId="0" xfId="0" applyNumberFormat="1" applyFont="1" applyFill="1" applyBorder="1" applyAlignment="1" applyProtection="1">
      <alignment horizontal="right" vertical="center"/>
      <protection locked="0"/>
    </xf>
    <xf numFmtId="193" fontId="0" fillId="0" borderId="0" xfId="0" applyNumberFormat="1" applyFont="1" applyAlignment="1">
      <alignment horizontal="right" vertical="center"/>
    </xf>
    <xf numFmtId="193" fontId="10" fillId="0" borderId="0" xfId="0" applyNumberFormat="1" applyFont="1" applyFill="1" applyBorder="1" applyAlignment="1" applyProtection="1">
      <alignment horizontal="right" vertical="center"/>
      <protection locked="0"/>
    </xf>
    <xf numFmtId="193" fontId="0" fillId="0" borderId="0" xfId="0" applyNumberFormat="1" applyFont="1" applyAlignment="1">
      <alignment horizontal="right" vertical="center"/>
    </xf>
    <xf numFmtId="193" fontId="0" fillId="0" borderId="0" xfId="0" applyNumberFormat="1" applyFont="1" applyAlignment="1">
      <alignment horizontal="right" vertical="center"/>
    </xf>
    <xf numFmtId="184" fontId="0" fillId="0" borderId="0" xfId="0" applyNumberFormat="1" applyAlignment="1">
      <alignment horizontal="center"/>
    </xf>
    <xf numFmtId="0" fontId="13" fillId="0" borderId="14" xfId="0" applyFont="1" applyFill="1" applyBorder="1" applyAlignment="1">
      <alignment horizontal="left" vertical="center"/>
    </xf>
    <xf numFmtId="0" fontId="13" fillId="0" borderId="25" xfId="0" applyFont="1" applyFill="1" applyBorder="1" applyAlignment="1" applyProtection="1">
      <alignment horizontal="center" vertical="center"/>
      <protection locked="0"/>
    </xf>
    <xf numFmtId="0" fontId="13" fillId="0" borderId="14" xfId="0" applyFont="1" applyFill="1" applyBorder="1" applyAlignment="1">
      <alignment horizontal="center" vertical="center"/>
    </xf>
    <xf numFmtId="4" fontId="29" fillId="34" borderId="0" xfId="0" applyNumberFormat="1" applyFont="1" applyFill="1" applyAlignment="1">
      <alignment/>
    </xf>
    <xf numFmtId="0" fontId="29" fillId="34" borderId="0" xfId="0" applyFont="1" applyFill="1" applyBorder="1" applyAlignment="1">
      <alignment/>
    </xf>
    <xf numFmtId="3" fontId="29" fillId="34" borderId="0" xfId="0" applyNumberFormat="1" applyFont="1" applyFill="1" applyBorder="1" applyAlignment="1">
      <alignment horizontal="right"/>
    </xf>
    <xf numFmtId="4" fontId="29" fillId="34" borderId="0" xfId="0" applyNumberFormat="1" applyFont="1" applyFill="1" applyBorder="1" applyAlignment="1">
      <alignment/>
    </xf>
    <xf numFmtId="187" fontId="13" fillId="34" borderId="0" xfId="42" applyNumberFormat="1" applyFont="1" applyFill="1" applyBorder="1" applyAlignment="1" applyProtection="1">
      <alignment vertical="center"/>
      <protection/>
    </xf>
    <xf numFmtId="193" fontId="13" fillId="34" borderId="0" xfId="42" applyNumberFormat="1" applyFont="1" applyFill="1" applyBorder="1" applyAlignment="1" applyProtection="1">
      <alignment vertical="center"/>
      <protection/>
    </xf>
    <xf numFmtId="0" fontId="13" fillId="0" borderId="34" xfId="0" applyFont="1" applyFill="1" applyBorder="1" applyAlignment="1">
      <alignment horizontal="left" vertical="center"/>
    </xf>
    <xf numFmtId="184" fontId="13" fillId="0" borderId="14" xfId="0" applyNumberFormat="1" applyFont="1" applyFill="1" applyBorder="1" applyAlignment="1">
      <alignment horizontal="center" vertical="center"/>
    </xf>
    <xf numFmtId="0" fontId="22" fillId="0" borderId="26" xfId="0" applyFont="1" applyFill="1" applyBorder="1" applyAlignment="1">
      <alignment horizontal="right" vertical="center"/>
    </xf>
    <xf numFmtId="0" fontId="22" fillId="0" borderId="35" xfId="0" applyFont="1" applyFill="1" applyBorder="1" applyAlignment="1">
      <alignment horizontal="right" vertical="center"/>
    </xf>
    <xf numFmtId="0" fontId="22" fillId="0" borderId="36" xfId="0" applyFont="1" applyFill="1" applyBorder="1" applyAlignment="1">
      <alignment horizontal="right" vertical="center"/>
    </xf>
    <xf numFmtId="0" fontId="22" fillId="0" borderId="27" xfId="0" applyFont="1" applyFill="1" applyBorder="1" applyAlignment="1">
      <alignment horizontal="right" vertical="center"/>
    </xf>
    <xf numFmtId="200" fontId="11" fillId="0" borderId="0" xfId="0" applyNumberFormat="1" applyFont="1" applyBorder="1" applyAlignment="1">
      <alignment horizontal="right" vertical="center"/>
    </xf>
    <xf numFmtId="200" fontId="11" fillId="0" borderId="0" xfId="0" applyNumberFormat="1" applyFont="1" applyBorder="1" applyAlignment="1">
      <alignment horizontal="right" vertical="center"/>
    </xf>
    <xf numFmtId="192" fontId="13" fillId="0" borderId="10" xfId="42" applyNumberFormat="1" applyFont="1" applyFill="1" applyBorder="1" applyAlignment="1" applyProtection="1">
      <alignment vertical="center"/>
      <protection/>
    </xf>
    <xf numFmtId="1" fontId="26" fillId="0" borderId="17" xfId="0" applyNumberFormat="1" applyFont="1" applyFill="1" applyBorder="1" applyAlignment="1" applyProtection="1">
      <alignment horizontal="center" vertical="center" wrapText="1"/>
      <protection/>
    </xf>
    <xf numFmtId="193" fontId="33" fillId="0" borderId="10" xfId="42" applyNumberFormat="1" applyFont="1" applyFill="1" applyBorder="1" applyAlignment="1" applyProtection="1">
      <alignment horizontal="right" vertical="center"/>
      <protection/>
    </xf>
    <xf numFmtId="192" fontId="13" fillId="0" borderId="10" xfId="60" applyNumberFormat="1" applyFont="1" applyFill="1" applyBorder="1" applyAlignment="1" applyProtection="1">
      <alignment vertical="center"/>
      <protection/>
    </xf>
    <xf numFmtId="200" fontId="33" fillId="0" borderId="10" xfId="57" applyNumberFormat="1" applyFont="1" applyFill="1" applyBorder="1" applyAlignment="1">
      <alignment horizontal="right" vertical="center"/>
      <protection/>
    </xf>
    <xf numFmtId="192" fontId="13" fillId="0" borderId="10" xfId="57" applyNumberFormat="1" applyFont="1" applyFill="1" applyBorder="1" applyAlignment="1" applyProtection="1">
      <alignment vertical="center"/>
      <protection/>
    </xf>
    <xf numFmtId="192" fontId="13" fillId="0" borderId="10" xfId="0" applyNumberFormat="1" applyFont="1" applyFill="1" applyBorder="1" applyAlignment="1" applyProtection="1">
      <alignment vertical="center"/>
      <protection/>
    </xf>
    <xf numFmtId="0" fontId="13" fillId="0" borderId="10" xfId="57" applyNumberFormat="1" applyFont="1" applyFill="1" applyBorder="1" applyAlignment="1" applyProtection="1">
      <alignment horizontal="center" vertical="center"/>
      <protection locked="0"/>
    </xf>
    <xf numFmtId="0" fontId="13" fillId="0" borderId="10" xfId="57" applyNumberFormat="1" applyFont="1" applyFill="1" applyBorder="1" applyAlignment="1">
      <alignment horizontal="center" vertical="center"/>
      <protection/>
    </xf>
    <xf numFmtId="0" fontId="13" fillId="0" borderId="23" xfId="0" applyFont="1" applyFill="1" applyBorder="1" applyAlignment="1">
      <alignment horizontal="left" vertical="center"/>
    </xf>
    <xf numFmtId="14" fontId="13" fillId="0" borderId="16" xfId="0" applyNumberFormat="1" applyFont="1" applyFill="1" applyBorder="1" applyAlignment="1">
      <alignment horizontal="left" vertical="center"/>
    </xf>
    <xf numFmtId="0" fontId="13" fillId="0" borderId="16" xfId="0" applyFont="1" applyFill="1" applyBorder="1" applyAlignment="1">
      <alignment horizontal="center" vertical="center"/>
    </xf>
    <xf numFmtId="192" fontId="13" fillId="0" borderId="25" xfId="60" applyNumberFormat="1" applyFont="1" applyFill="1" applyBorder="1" applyAlignment="1" applyProtection="1">
      <alignment vertical="center"/>
      <protection/>
    </xf>
    <xf numFmtId="192" fontId="13" fillId="0" borderId="37" xfId="60" applyNumberFormat="1" applyFont="1" applyFill="1" applyBorder="1" applyAlignment="1" applyProtection="1">
      <alignment vertical="center"/>
      <protection/>
    </xf>
    <xf numFmtId="200" fontId="11" fillId="0" borderId="0" xfId="0" applyNumberFormat="1" applyFont="1" applyBorder="1" applyAlignment="1">
      <alignment horizontal="right" vertical="center" wrapText="1"/>
    </xf>
    <xf numFmtId="200" fontId="11" fillId="0" borderId="0" xfId="0" applyNumberFormat="1" applyFont="1" applyAlignment="1">
      <alignment horizontal="right"/>
    </xf>
    <xf numFmtId="193" fontId="11" fillId="0" borderId="0" xfId="0" applyNumberFormat="1" applyFont="1" applyAlignment="1">
      <alignment horizontal="right"/>
    </xf>
    <xf numFmtId="200" fontId="33" fillId="0" borderId="25" xfId="0" applyNumberFormat="1" applyFont="1" applyFill="1" applyBorder="1" applyAlignment="1">
      <alignment horizontal="right" vertical="center"/>
    </xf>
    <xf numFmtId="193" fontId="33" fillId="0" borderId="25" xfId="0" applyNumberFormat="1" applyFont="1" applyFill="1" applyBorder="1" applyAlignment="1">
      <alignment horizontal="right" vertical="center"/>
    </xf>
    <xf numFmtId="200" fontId="13" fillId="0" borderId="10" xfId="0" applyNumberFormat="1" applyFont="1" applyFill="1" applyBorder="1" applyAlignment="1">
      <alignment vertical="center"/>
    </xf>
    <xf numFmtId="200" fontId="13" fillId="0" borderId="10" xfId="42" applyNumberFormat="1" applyFont="1" applyFill="1" applyBorder="1" applyAlignment="1" applyProtection="1">
      <alignment vertical="center"/>
      <protection/>
    </xf>
    <xf numFmtId="200" fontId="13" fillId="0" borderId="10" xfId="42" applyNumberFormat="1" applyFont="1" applyFill="1" applyBorder="1" applyAlignment="1" applyProtection="1">
      <alignment vertical="center"/>
      <protection locked="0"/>
    </xf>
    <xf numFmtId="200" fontId="13" fillId="0" borderId="10" xfId="0" applyNumberFormat="1" applyFont="1" applyFill="1" applyBorder="1" applyAlignment="1" applyProtection="1">
      <alignment vertical="center"/>
      <protection/>
    </xf>
    <xf numFmtId="184" fontId="43" fillId="0" borderId="10" xfId="57" applyNumberFormat="1" applyFont="1" applyFill="1" applyBorder="1" applyAlignment="1">
      <alignment horizontal="center" vertical="center"/>
      <protection/>
    </xf>
    <xf numFmtId="0" fontId="43" fillId="0" borderId="10" xfId="57" applyNumberFormat="1" applyFont="1" applyFill="1" applyBorder="1" applyAlignment="1">
      <alignment horizontal="left" vertical="center"/>
      <protection/>
    </xf>
    <xf numFmtId="0" fontId="43" fillId="0" borderId="10" xfId="57" applyNumberFormat="1" applyFont="1" applyFill="1" applyBorder="1" applyAlignment="1" applyProtection="1">
      <alignment horizontal="center" vertical="center"/>
      <protection locked="0"/>
    </xf>
    <xf numFmtId="0" fontId="43" fillId="0" borderId="10" xfId="57" applyNumberFormat="1" applyFont="1" applyFill="1" applyBorder="1" applyAlignment="1">
      <alignment horizontal="center" vertical="center"/>
      <protection/>
    </xf>
    <xf numFmtId="200" fontId="13" fillId="0" borderId="16" xfId="0" applyNumberFormat="1" applyFont="1" applyFill="1" applyBorder="1" applyAlignment="1">
      <alignment vertical="center"/>
    </xf>
    <xf numFmtId="192" fontId="13" fillId="0" borderId="33" xfId="42" applyNumberFormat="1" applyFont="1" applyFill="1" applyBorder="1" applyAlignment="1" applyProtection="1">
      <alignment vertical="center"/>
      <protection/>
    </xf>
    <xf numFmtId="200" fontId="13" fillId="0" borderId="33" xfId="42" applyNumberFormat="1" applyFont="1" applyFill="1" applyBorder="1" applyAlignment="1" applyProtection="1">
      <alignment vertical="center"/>
      <protection locked="0"/>
    </xf>
    <xf numFmtId="192" fontId="13" fillId="0" borderId="38" xfId="42" applyNumberFormat="1" applyFont="1" applyFill="1" applyBorder="1" applyAlignment="1" applyProtection="1">
      <alignment vertical="center"/>
      <protection/>
    </xf>
    <xf numFmtId="14" fontId="13" fillId="0" borderId="14" xfId="0" applyNumberFormat="1" applyFont="1" applyFill="1" applyBorder="1" applyAlignment="1">
      <alignment horizontal="left" vertical="center"/>
    </xf>
    <xf numFmtId="200" fontId="13" fillId="0" borderId="14" xfId="0" applyNumberFormat="1" applyFont="1" applyFill="1" applyBorder="1" applyAlignment="1">
      <alignment vertical="center"/>
    </xf>
    <xf numFmtId="200" fontId="13" fillId="0" borderId="25" xfId="42" applyNumberFormat="1" applyFont="1" applyFill="1" applyBorder="1" applyAlignment="1" applyProtection="1">
      <alignment vertical="center"/>
      <protection/>
    </xf>
    <xf numFmtId="200" fontId="41" fillId="0" borderId="10" xfId="57" applyNumberFormat="1" applyFont="1" applyFill="1" applyBorder="1" applyAlignment="1">
      <alignment vertical="center"/>
      <protection/>
    </xf>
    <xf numFmtId="193" fontId="41" fillId="0" borderId="10" xfId="42" applyNumberFormat="1" applyFont="1" applyFill="1" applyBorder="1" applyAlignment="1" applyProtection="1">
      <alignment horizontal="right" vertical="center"/>
      <protection/>
    </xf>
    <xf numFmtId="200" fontId="41" fillId="0" borderId="10" xfId="0" applyNumberFormat="1" applyFont="1" applyFill="1" applyBorder="1" applyAlignment="1">
      <alignment vertical="center"/>
    </xf>
    <xf numFmtId="193" fontId="41" fillId="0" borderId="10" xfId="0" applyNumberFormat="1" applyFont="1" applyFill="1" applyBorder="1" applyAlignment="1">
      <alignment horizontal="right" vertical="center"/>
    </xf>
    <xf numFmtId="200" fontId="33" fillId="0" borderId="16" xfId="42" applyNumberFormat="1" applyFont="1" applyFill="1" applyBorder="1" applyAlignment="1" applyProtection="1">
      <alignment vertical="center"/>
      <protection/>
    </xf>
    <xf numFmtId="200" fontId="33" fillId="0" borderId="14" xfId="0" applyNumberFormat="1" applyFont="1" applyFill="1" applyBorder="1" applyAlignment="1">
      <alignment horizontal="right" vertical="center"/>
    </xf>
    <xf numFmtId="200" fontId="44" fillId="0" borderId="10" xfId="42" applyNumberFormat="1" applyFont="1" applyFill="1" applyBorder="1" applyAlignment="1" applyProtection="1">
      <alignment vertical="center"/>
      <protection locked="0"/>
    </xf>
    <xf numFmtId="193" fontId="44" fillId="0" borderId="10" xfId="42" applyNumberFormat="1" applyFont="1" applyFill="1" applyBorder="1" applyAlignment="1" applyProtection="1">
      <alignment vertical="center"/>
      <protection locked="0"/>
    </xf>
    <xf numFmtId="0" fontId="28" fillId="0" borderId="10" xfId="0" applyNumberFormat="1" applyFont="1" applyFill="1" applyBorder="1" applyAlignment="1" applyProtection="1">
      <alignment horizontal="center" vertical="center"/>
      <protection locked="0"/>
    </xf>
    <xf numFmtId="0" fontId="28" fillId="0" borderId="10" xfId="0" applyNumberFormat="1" applyFont="1" applyFill="1" applyBorder="1" applyAlignment="1">
      <alignment horizontal="center" vertical="center"/>
    </xf>
    <xf numFmtId="200" fontId="44" fillId="0" borderId="10" xfId="0" applyNumberFormat="1" applyFont="1" applyFill="1" applyBorder="1" applyAlignment="1">
      <alignment vertical="center"/>
    </xf>
    <xf numFmtId="193" fontId="44" fillId="0" borderId="10" xfId="0" applyNumberFormat="1" applyFont="1" applyFill="1" applyBorder="1" applyAlignment="1">
      <alignment vertical="center"/>
    </xf>
    <xf numFmtId="0" fontId="28" fillId="0" borderId="10" xfId="0" applyNumberFormat="1" applyFont="1" applyFill="1" applyBorder="1" applyAlignment="1">
      <alignment horizontal="left" vertical="center"/>
    </xf>
    <xf numFmtId="184" fontId="28" fillId="0" borderId="10" xfId="0" applyNumberFormat="1" applyFont="1" applyFill="1" applyBorder="1" applyAlignment="1">
      <alignment horizontal="center" vertical="center"/>
    </xf>
    <xf numFmtId="0" fontId="28" fillId="0" borderId="10" xfId="0" applyNumberFormat="1" applyFont="1" applyFill="1" applyBorder="1" applyAlignment="1" applyProtection="1">
      <alignment horizontal="left" vertical="center"/>
      <protection locked="0"/>
    </xf>
    <xf numFmtId="193" fontId="28" fillId="0" borderId="10" xfId="60" applyNumberFormat="1" applyFont="1" applyFill="1" applyBorder="1" applyAlignment="1" applyProtection="1">
      <alignment vertical="center"/>
      <protection/>
    </xf>
    <xf numFmtId="192" fontId="28" fillId="0" borderId="10" xfId="60" applyNumberFormat="1" applyFont="1" applyFill="1" applyBorder="1" applyAlignment="1" applyProtection="1">
      <alignment vertical="center"/>
      <protection/>
    </xf>
    <xf numFmtId="200" fontId="28" fillId="0" borderId="10" xfId="42" applyNumberFormat="1" applyFont="1" applyFill="1" applyBorder="1" applyAlignment="1" applyProtection="1">
      <alignment vertical="center"/>
      <protection locked="0"/>
    </xf>
    <xf numFmtId="193" fontId="28" fillId="0" borderId="10" xfId="42" applyNumberFormat="1" applyFont="1" applyFill="1" applyBorder="1" applyAlignment="1" applyProtection="1">
      <alignment vertical="center"/>
      <protection locked="0"/>
    </xf>
    <xf numFmtId="192" fontId="28" fillId="0" borderId="10" xfId="42" applyNumberFormat="1" applyFont="1" applyFill="1" applyBorder="1" applyAlignment="1" applyProtection="1">
      <alignment vertical="center"/>
      <protection/>
    </xf>
    <xf numFmtId="0" fontId="28" fillId="0" borderId="10" xfId="0" applyFont="1" applyFill="1" applyBorder="1" applyAlignment="1">
      <alignment horizontal="left" vertical="center"/>
    </xf>
    <xf numFmtId="0" fontId="28" fillId="0" borderId="10" xfId="0" applyFont="1" applyFill="1" applyBorder="1" applyAlignment="1">
      <alignment horizontal="center" vertical="center"/>
    </xf>
    <xf numFmtId="200" fontId="28" fillId="0" borderId="10" xfId="0" applyNumberFormat="1" applyFont="1" applyFill="1" applyBorder="1" applyAlignment="1">
      <alignment vertical="center"/>
    </xf>
    <xf numFmtId="193" fontId="28" fillId="0" borderId="10" xfId="0" applyNumberFormat="1" applyFont="1" applyFill="1" applyBorder="1" applyAlignment="1">
      <alignment vertical="center"/>
    </xf>
    <xf numFmtId="49" fontId="28" fillId="0" borderId="10" xfId="0" applyNumberFormat="1" applyFont="1" applyFill="1" applyBorder="1" applyAlignment="1" applyProtection="1">
      <alignment horizontal="left" vertical="center"/>
      <protection locked="0"/>
    </xf>
    <xf numFmtId="193" fontId="28" fillId="0" borderId="10" xfId="0" applyNumberFormat="1" applyFont="1" applyFill="1" applyBorder="1" applyAlignment="1" applyProtection="1">
      <alignment vertical="center"/>
      <protection/>
    </xf>
    <xf numFmtId="192" fontId="28" fillId="0" borderId="10" xfId="0" applyNumberFormat="1" applyFont="1" applyFill="1" applyBorder="1" applyAlignment="1" applyProtection="1">
      <alignment vertical="center"/>
      <protection/>
    </xf>
    <xf numFmtId="49" fontId="28" fillId="0" borderId="10" xfId="0" applyNumberFormat="1" applyFont="1" applyFill="1" applyBorder="1" applyAlignment="1">
      <alignment horizontal="left" vertical="center"/>
    </xf>
    <xf numFmtId="192" fontId="28" fillId="0" borderId="10" xfId="0" applyNumberFormat="1" applyFont="1" applyFill="1" applyBorder="1" applyAlignment="1">
      <alignment vertical="center"/>
    </xf>
    <xf numFmtId="4" fontId="28" fillId="0" borderId="10" xfId="0" applyNumberFormat="1" applyFont="1" applyFill="1" applyBorder="1" applyAlignment="1">
      <alignment horizontal="left" vertical="center"/>
    </xf>
    <xf numFmtId="1" fontId="28" fillId="0" borderId="10" xfId="0" applyNumberFormat="1" applyFont="1" applyFill="1" applyBorder="1" applyAlignment="1">
      <alignment horizontal="center" vertical="center"/>
    </xf>
    <xf numFmtId="193" fontId="28" fillId="0" borderId="10" xfId="42" applyNumberFormat="1" applyFont="1" applyFill="1" applyBorder="1" applyAlignment="1" applyProtection="1">
      <alignment vertical="center"/>
      <protection/>
    </xf>
    <xf numFmtId="197" fontId="28" fillId="0" borderId="10" xfId="0" applyNumberFormat="1" applyFont="1" applyFill="1" applyBorder="1" applyAlignment="1">
      <alignment horizontal="left" vertical="center"/>
    </xf>
    <xf numFmtId="3" fontId="28" fillId="0" borderId="10" xfId="0" applyNumberFormat="1" applyFont="1" applyFill="1" applyBorder="1" applyAlignment="1">
      <alignment horizontal="center" vertical="center"/>
    </xf>
    <xf numFmtId="184" fontId="28" fillId="0" borderId="10" xfId="0" applyNumberFormat="1" applyFont="1" applyFill="1" applyBorder="1" applyAlignment="1" applyProtection="1">
      <alignment horizontal="center" vertical="center"/>
      <protection locked="0"/>
    </xf>
    <xf numFmtId="192" fontId="28" fillId="0" borderId="10" xfId="57" applyNumberFormat="1" applyFont="1" applyFill="1" applyBorder="1" applyAlignment="1" applyProtection="1">
      <alignment vertical="center"/>
      <protection/>
    </xf>
    <xf numFmtId="0" fontId="28" fillId="0" borderId="10" xfId="0" applyFont="1" applyFill="1" applyBorder="1" applyAlignment="1" applyProtection="1">
      <alignment horizontal="center" vertical="center"/>
      <protection locked="0"/>
    </xf>
    <xf numFmtId="0" fontId="28" fillId="0" borderId="10" xfId="0" applyFont="1" applyFill="1" applyBorder="1" applyAlignment="1" applyProtection="1">
      <alignment horizontal="left" vertical="center"/>
      <protection locked="0"/>
    </xf>
    <xf numFmtId="200" fontId="44" fillId="0" borderId="10" xfId="42" applyNumberFormat="1" applyFont="1" applyFill="1" applyBorder="1" applyAlignment="1" applyProtection="1">
      <alignment vertical="center"/>
      <protection/>
    </xf>
    <xf numFmtId="193" fontId="44" fillId="0" borderId="10" xfId="42" applyNumberFormat="1" applyFont="1" applyFill="1" applyBorder="1" applyAlignment="1" applyProtection="1">
      <alignment vertical="center"/>
      <protection/>
    </xf>
    <xf numFmtId="200" fontId="28" fillId="0" borderId="10" xfId="42" applyNumberFormat="1" applyFont="1" applyFill="1" applyBorder="1" applyAlignment="1" applyProtection="1">
      <alignment vertical="center"/>
      <protection/>
    </xf>
    <xf numFmtId="184" fontId="28" fillId="0" borderId="10" xfId="0" applyNumberFormat="1" applyFont="1" applyFill="1" applyBorder="1" applyAlignment="1">
      <alignment horizontal="left" vertical="center"/>
    </xf>
    <xf numFmtId="193" fontId="28" fillId="0" borderId="10" xfId="57" applyNumberFormat="1" applyFont="1" applyFill="1" applyBorder="1" applyAlignment="1" applyProtection="1">
      <alignment vertical="center"/>
      <protection/>
    </xf>
    <xf numFmtId="1" fontId="28" fillId="0" borderId="10" xfId="0" applyNumberFormat="1" applyFont="1" applyFill="1" applyBorder="1" applyAlignment="1" applyProtection="1">
      <alignment horizontal="center" vertical="center"/>
      <protection locked="0"/>
    </xf>
    <xf numFmtId="193" fontId="44" fillId="0" borderId="10" xfId="0" applyNumberFormat="1" applyFont="1" applyFill="1" applyBorder="1" applyAlignment="1" applyProtection="1">
      <alignment vertical="center"/>
      <protection locked="0"/>
    </xf>
    <xf numFmtId="200" fontId="44" fillId="0" borderId="10" xfId="0" applyNumberFormat="1" applyFont="1" applyFill="1" applyBorder="1" applyAlignment="1" applyProtection="1">
      <alignment vertical="center"/>
      <protection locked="0"/>
    </xf>
    <xf numFmtId="200" fontId="28" fillId="0" borderId="10" xfId="0" applyNumberFormat="1" applyFont="1" applyFill="1" applyBorder="1" applyAlignment="1" applyProtection="1">
      <alignment vertical="center"/>
      <protection locked="0"/>
    </xf>
    <xf numFmtId="193" fontId="28" fillId="0" borderId="10" xfId="0" applyNumberFormat="1" applyFont="1" applyFill="1" applyBorder="1" applyAlignment="1" applyProtection="1">
      <alignment vertical="center"/>
      <protection locked="0"/>
    </xf>
    <xf numFmtId="49" fontId="28" fillId="0" borderId="10" xfId="0" applyNumberFormat="1" applyFont="1" applyFill="1" applyBorder="1" applyAlignment="1">
      <alignment horizontal="center" vertical="center"/>
    </xf>
    <xf numFmtId="184" fontId="28" fillId="0" borderId="10" xfId="0" applyNumberFormat="1" applyFont="1" applyFill="1" applyBorder="1" applyAlignment="1" applyProtection="1">
      <alignment horizontal="center" vertical="center"/>
      <protection/>
    </xf>
    <xf numFmtId="0" fontId="28" fillId="0" borderId="10" xfId="0" applyFont="1" applyFill="1" applyBorder="1" applyAlignment="1" applyProtection="1">
      <alignment horizontal="center" vertical="center"/>
      <protection/>
    </xf>
    <xf numFmtId="200" fontId="44" fillId="0" borderId="10" xfId="0" applyNumberFormat="1" applyFont="1" applyFill="1" applyBorder="1" applyAlignment="1" applyProtection="1">
      <alignment vertical="center"/>
      <protection/>
    </xf>
    <xf numFmtId="193" fontId="44" fillId="0" borderId="10" xfId="0" applyNumberFormat="1" applyFont="1" applyFill="1" applyBorder="1" applyAlignment="1" applyProtection="1">
      <alignment vertical="center"/>
      <protection/>
    </xf>
    <xf numFmtId="200" fontId="28" fillId="0" borderId="10" xfId="0" applyNumberFormat="1" applyFont="1" applyFill="1" applyBorder="1" applyAlignment="1" applyProtection="1">
      <alignment vertical="center"/>
      <protection/>
    </xf>
    <xf numFmtId="184" fontId="28" fillId="0" borderId="10" xfId="0" applyNumberFormat="1" applyFont="1" applyFill="1" applyBorder="1" applyAlignment="1" applyProtection="1">
      <alignment horizontal="left" vertical="center"/>
      <protection locked="0"/>
    </xf>
    <xf numFmtId="4" fontId="28" fillId="0" borderId="10" xfId="0" applyNumberFormat="1" applyFont="1" applyFill="1" applyBorder="1" applyAlignment="1" applyProtection="1">
      <alignment horizontal="left" vertical="center"/>
      <protection locked="0"/>
    </xf>
    <xf numFmtId="0" fontId="28" fillId="0" borderId="10" xfId="0" applyFont="1" applyFill="1" applyBorder="1" applyAlignment="1" applyProtection="1">
      <alignment horizontal="left" vertical="center"/>
      <protection/>
    </xf>
    <xf numFmtId="14" fontId="28" fillId="0" borderId="10" xfId="0" applyNumberFormat="1" applyFont="1" applyFill="1" applyBorder="1" applyAlignment="1">
      <alignment horizontal="left" vertical="center"/>
    </xf>
    <xf numFmtId="49" fontId="28" fillId="0" borderId="10" xfId="0" applyNumberFormat="1" applyFont="1" applyFill="1" applyBorder="1" applyAlignment="1" applyProtection="1">
      <alignment horizontal="center" vertical="center"/>
      <protection locked="0"/>
    </xf>
    <xf numFmtId="0" fontId="28" fillId="0" borderId="10" xfId="57" applyNumberFormat="1" applyFont="1" applyFill="1" applyBorder="1" applyAlignment="1">
      <alignment horizontal="left" vertical="center"/>
      <protection/>
    </xf>
    <xf numFmtId="184" fontId="28" fillId="0" borderId="10" xfId="57" applyNumberFormat="1" applyFont="1" applyFill="1" applyBorder="1" applyAlignment="1">
      <alignment horizontal="center" vertical="center"/>
      <protection/>
    </xf>
    <xf numFmtId="0" fontId="28" fillId="0" borderId="10" xfId="57" applyNumberFormat="1" applyFont="1" applyFill="1" applyBorder="1" applyAlignment="1">
      <alignment horizontal="center" vertical="center"/>
      <protection/>
    </xf>
    <xf numFmtId="200" fontId="44" fillId="0" borderId="10" xfId="57" applyNumberFormat="1" applyFont="1" applyFill="1" applyBorder="1" applyAlignment="1">
      <alignment vertical="center"/>
      <protection/>
    </xf>
    <xf numFmtId="193" fontId="44" fillId="0" borderId="10" xfId="57" applyNumberFormat="1" applyFont="1" applyFill="1" applyBorder="1" applyAlignment="1">
      <alignment vertical="center"/>
      <protection/>
    </xf>
    <xf numFmtId="200" fontId="28" fillId="0" borderId="10" xfId="57" applyNumberFormat="1" applyFont="1" applyFill="1" applyBorder="1" applyAlignment="1">
      <alignment vertical="center"/>
      <protection/>
    </xf>
    <xf numFmtId="193" fontId="28" fillId="0" borderId="10" xfId="57" applyNumberFormat="1" applyFont="1" applyFill="1" applyBorder="1" applyAlignment="1">
      <alignment vertical="center"/>
      <protection/>
    </xf>
    <xf numFmtId="192" fontId="28" fillId="0" borderId="10" xfId="0" applyNumberFormat="1" applyFont="1" applyFill="1" applyBorder="1" applyAlignment="1" applyProtection="1">
      <alignment vertical="center"/>
      <protection locked="0"/>
    </xf>
    <xf numFmtId="0" fontId="28" fillId="0" borderId="10" xfId="0" applyNumberFormat="1" applyFont="1" applyFill="1" applyBorder="1" applyAlignment="1" applyProtection="1">
      <alignment horizontal="left" vertical="center"/>
      <protection/>
    </xf>
    <xf numFmtId="0" fontId="28" fillId="0" borderId="10" xfId="0" applyNumberFormat="1" applyFont="1" applyFill="1" applyBorder="1" applyAlignment="1" applyProtection="1">
      <alignment horizontal="center" vertical="center"/>
      <protection/>
    </xf>
    <xf numFmtId="0" fontId="28" fillId="0" borderId="10" xfId="57" applyNumberFormat="1" applyFont="1" applyFill="1" applyBorder="1" applyAlignment="1" applyProtection="1">
      <alignment horizontal="left" vertical="center"/>
      <protection locked="0"/>
    </xf>
    <xf numFmtId="184" fontId="28" fillId="0" borderId="10" xfId="57" applyNumberFormat="1" applyFont="1" applyFill="1" applyBorder="1" applyAlignment="1" applyProtection="1">
      <alignment horizontal="center" vertical="center"/>
      <protection locked="0"/>
    </xf>
    <xf numFmtId="0" fontId="28" fillId="0" borderId="10" xfId="57" applyNumberFormat="1" applyFont="1" applyFill="1" applyBorder="1" applyAlignment="1" applyProtection="1">
      <alignment horizontal="center" vertical="center"/>
      <protection locked="0"/>
    </xf>
    <xf numFmtId="184" fontId="28" fillId="0" borderId="10" xfId="57" applyNumberFormat="1" applyFont="1" applyFill="1" applyBorder="1" applyAlignment="1" applyProtection="1">
      <alignment horizontal="center" vertical="center"/>
      <protection/>
    </xf>
    <xf numFmtId="0" fontId="28" fillId="0" borderId="10" xfId="57" applyNumberFormat="1" applyFont="1" applyFill="1" applyBorder="1" applyAlignment="1" applyProtection="1">
      <alignment horizontal="left" vertical="center"/>
      <protection/>
    </xf>
    <xf numFmtId="0" fontId="28" fillId="0" borderId="10" xfId="57" applyNumberFormat="1" applyFont="1" applyFill="1" applyBorder="1" applyAlignment="1" applyProtection="1">
      <alignment horizontal="center" vertical="center"/>
      <protection/>
    </xf>
    <xf numFmtId="200" fontId="44" fillId="0" borderId="10" xfId="57" applyNumberFormat="1" applyFont="1" applyFill="1" applyBorder="1" applyAlignment="1" applyProtection="1">
      <alignment vertical="center"/>
      <protection/>
    </xf>
    <xf numFmtId="193" fontId="44" fillId="0" borderId="10" xfId="57" applyNumberFormat="1" applyFont="1" applyFill="1" applyBorder="1" applyAlignment="1" applyProtection="1">
      <alignment vertical="center"/>
      <protection/>
    </xf>
    <xf numFmtId="200" fontId="28" fillId="0" borderId="10" xfId="57" applyNumberFormat="1" applyFont="1" applyFill="1" applyBorder="1" applyAlignment="1" applyProtection="1">
      <alignment vertical="center"/>
      <protection/>
    </xf>
    <xf numFmtId="0" fontId="28" fillId="0" borderId="23" xfId="0" applyNumberFormat="1" applyFont="1" applyFill="1" applyBorder="1" applyAlignment="1">
      <alignment horizontal="left" vertical="center"/>
    </xf>
    <xf numFmtId="184" fontId="28" fillId="0" borderId="16" xfId="0" applyNumberFormat="1" applyFont="1" applyFill="1" applyBorder="1" applyAlignment="1">
      <alignment horizontal="center" vertical="center"/>
    </xf>
    <xf numFmtId="0" fontId="28" fillId="0" borderId="16" xfId="0" applyNumberFormat="1" applyFont="1" applyFill="1" applyBorder="1" applyAlignment="1" applyProtection="1">
      <alignment horizontal="left" vertical="center"/>
      <protection locked="0"/>
    </xf>
    <xf numFmtId="0" fontId="28" fillId="0" borderId="16" xfId="0" applyNumberFormat="1" applyFont="1" applyFill="1" applyBorder="1" applyAlignment="1">
      <alignment horizontal="center" vertical="center"/>
    </xf>
    <xf numFmtId="0" fontId="28" fillId="0" borderId="16" xfId="0" applyNumberFormat="1" applyFont="1" applyFill="1" applyBorder="1" applyAlignment="1" applyProtection="1">
      <alignment horizontal="center" vertical="center"/>
      <protection locked="0"/>
    </xf>
    <xf numFmtId="200" fontId="44" fillId="0" borderId="16" xfId="42" applyNumberFormat="1" applyFont="1" applyFill="1" applyBorder="1" applyAlignment="1" applyProtection="1">
      <alignment vertical="center"/>
      <protection locked="0"/>
    </xf>
    <xf numFmtId="193" fontId="44" fillId="0" borderId="16" xfId="42" applyNumberFormat="1" applyFont="1" applyFill="1" applyBorder="1" applyAlignment="1" applyProtection="1">
      <alignment vertical="center"/>
      <protection locked="0"/>
    </xf>
    <xf numFmtId="193" fontId="28" fillId="0" borderId="16" xfId="60" applyNumberFormat="1" applyFont="1" applyFill="1" applyBorder="1" applyAlignment="1" applyProtection="1">
      <alignment vertical="center"/>
      <protection/>
    </xf>
    <xf numFmtId="192" fontId="28" fillId="0" borderId="16" xfId="60" applyNumberFormat="1" applyFont="1" applyFill="1" applyBorder="1" applyAlignment="1" applyProtection="1">
      <alignment vertical="center"/>
      <protection/>
    </xf>
    <xf numFmtId="200" fontId="28" fillId="0" borderId="16" xfId="42" applyNumberFormat="1" applyFont="1" applyFill="1" applyBorder="1" applyAlignment="1" applyProtection="1">
      <alignment vertical="center"/>
      <protection locked="0"/>
    </xf>
    <xf numFmtId="193" fontId="28" fillId="0" borderId="16" xfId="42" applyNumberFormat="1" applyFont="1" applyFill="1" applyBorder="1" applyAlignment="1" applyProtection="1">
      <alignment vertical="center"/>
      <protection locked="0"/>
    </xf>
    <xf numFmtId="192" fontId="28" fillId="0" borderId="39" xfId="42" applyNumberFormat="1" applyFont="1" applyFill="1" applyBorder="1" applyAlignment="1" applyProtection="1">
      <alignment vertical="center"/>
      <protection/>
    </xf>
    <xf numFmtId="0" fontId="28" fillId="0" borderId="18" xfId="0" applyFont="1" applyFill="1" applyBorder="1" applyAlignment="1">
      <alignment horizontal="left" vertical="center"/>
    </xf>
    <xf numFmtId="192" fontId="28" fillId="0" borderId="11" xfId="60" applyNumberFormat="1" applyFont="1" applyFill="1" applyBorder="1" applyAlignment="1" applyProtection="1">
      <alignment vertical="center"/>
      <protection/>
    </xf>
    <xf numFmtId="0" fontId="28" fillId="0" borderId="18" xfId="0" applyNumberFormat="1" applyFont="1" applyFill="1" applyBorder="1" applyAlignment="1">
      <alignment horizontal="left" vertical="center"/>
    </xf>
    <xf numFmtId="49" fontId="28" fillId="0" borderId="18" xfId="0" applyNumberFormat="1" applyFont="1" applyFill="1" applyBorder="1" applyAlignment="1">
      <alignment horizontal="left" vertical="center"/>
    </xf>
    <xf numFmtId="192" fontId="28" fillId="0" borderId="11" xfId="42" applyNumberFormat="1" applyFont="1" applyFill="1" applyBorder="1" applyAlignment="1" applyProtection="1">
      <alignment vertical="center"/>
      <protection/>
    </xf>
    <xf numFmtId="192" fontId="28" fillId="0" borderId="11" xfId="0" applyNumberFormat="1" applyFont="1" applyFill="1" applyBorder="1" applyAlignment="1">
      <alignment vertical="center"/>
    </xf>
    <xf numFmtId="0" fontId="28" fillId="0" borderId="18" xfId="0" applyNumberFormat="1" applyFont="1" applyFill="1" applyBorder="1" applyAlignment="1" applyProtection="1">
      <alignment horizontal="left" vertical="center"/>
      <protection locked="0"/>
    </xf>
    <xf numFmtId="49" fontId="28" fillId="0" borderId="18" xfId="0" applyNumberFormat="1" applyFont="1" applyFill="1" applyBorder="1" applyAlignment="1" applyProtection="1">
      <alignment horizontal="left" vertical="center"/>
      <protection locked="0"/>
    </xf>
    <xf numFmtId="192" fontId="28" fillId="0" borderId="11" xfId="0" applyNumberFormat="1" applyFont="1" applyFill="1" applyBorder="1" applyAlignment="1" applyProtection="1">
      <alignment vertical="center"/>
      <protection/>
    </xf>
    <xf numFmtId="0" fontId="28" fillId="0" borderId="18" xfId="0" applyFont="1" applyFill="1" applyBorder="1" applyAlignment="1" applyProtection="1">
      <alignment horizontal="left" vertical="center"/>
      <protection locked="0"/>
    </xf>
    <xf numFmtId="192" fontId="28" fillId="0" borderId="11" xfId="57" applyNumberFormat="1" applyFont="1" applyFill="1" applyBorder="1" applyAlignment="1" applyProtection="1">
      <alignment vertical="center"/>
      <protection/>
    </xf>
    <xf numFmtId="0" fontId="28" fillId="0" borderId="18" xfId="57" applyNumberFormat="1" applyFont="1" applyFill="1" applyBorder="1" applyAlignment="1">
      <alignment horizontal="left" vertical="center"/>
      <protection/>
    </xf>
    <xf numFmtId="0" fontId="28" fillId="0" borderId="18" xfId="0" applyNumberFormat="1" applyFont="1" applyFill="1" applyBorder="1" applyAlignment="1" applyProtection="1">
      <alignment horizontal="left" vertical="center"/>
      <protection/>
    </xf>
    <xf numFmtId="0" fontId="28" fillId="0" borderId="18" xfId="0" applyFont="1" applyFill="1" applyBorder="1" applyAlignment="1" applyProtection="1">
      <alignment horizontal="left" vertical="center"/>
      <protection/>
    </xf>
    <xf numFmtId="0" fontId="28" fillId="0" borderId="18" xfId="57" applyNumberFormat="1" applyFont="1" applyFill="1" applyBorder="1" applyAlignment="1" applyProtection="1">
      <alignment horizontal="left" vertical="center"/>
      <protection locked="0"/>
    </xf>
    <xf numFmtId="0" fontId="28" fillId="0" borderId="18" xfId="57" applyNumberFormat="1" applyFont="1" applyFill="1" applyBorder="1" applyAlignment="1" applyProtection="1">
      <alignment horizontal="left" vertical="center"/>
      <protection/>
    </xf>
    <xf numFmtId="49" fontId="28" fillId="0" borderId="32" xfId="0" applyNumberFormat="1" applyFont="1" applyFill="1" applyBorder="1" applyAlignment="1" applyProtection="1">
      <alignment horizontal="left" vertical="center"/>
      <protection locked="0"/>
    </xf>
    <xf numFmtId="184" fontId="28" fillId="0" borderId="33" xfId="0" applyNumberFormat="1" applyFont="1" applyFill="1" applyBorder="1" applyAlignment="1" applyProtection="1">
      <alignment horizontal="center" vertical="center"/>
      <protection locked="0"/>
    </xf>
    <xf numFmtId="49" fontId="28" fillId="0" borderId="33" xfId="0" applyNumberFormat="1" applyFont="1" applyFill="1" applyBorder="1" applyAlignment="1" applyProtection="1">
      <alignment horizontal="left" vertical="center"/>
      <protection locked="0"/>
    </xf>
    <xf numFmtId="49" fontId="28" fillId="0" borderId="33" xfId="0" applyNumberFormat="1" applyFont="1" applyFill="1" applyBorder="1" applyAlignment="1" applyProtection="1">
      <alignment horizontal="center" vertical="center"/>
      <protection locked="0"/>
    </xf>
    <xf numFmtId="200" fontId="44" fillId="0" borderId="33" xfId="42" applyNumberFormat="1" applyFont="1" applyFill="1" applyBorder="1" applyAlignment="1" applyProtection="1">
      <alignment vertical="center"/>
      <protection locked="0"/>
    </xf>
    <xf numFmtId="193" fontId="44" fillId="0" borderId="33" xfId="42" applyNumberFormat="1" applyFont="1" applyFill="1" applyBorder="1" applyAlignment="1" applyProtection="1">
      <alignment vertical="center"/>
      <protection locked="0"/>
    </xf>
    <xf numFmtId="193" fontId="28" fillId="0" borderId="33" xfId="42" applyNumberFormat="1" applyFont="1" applyFill="1" applyBorder="1" applyAlignment="1" applyProtection="1">
      <alignment vertical="center"/>
      <protection/>
    </xf>
    <xf numFmtId="192" fontId="28" fillId="0" borderId="33" xfId="42" applyNumberFormat="1" applyFont="1" applyFill="1" applyBorder="1" applyAlignment="1" applyProtection="1">
      <alignment vertical="center"/>
      <protection/>
    </xf>
    <xf numFmtId="200" fontId="28" fillId="0" borderId="33" xfId="42" applyNumberFormat="1" applyFont="1" applyFill="1" applyBorder="1" applyAlignment="1" applyProtection="1">
      <alignment vertical="center"/>
      <protection locked="0"/>
    </xf>
    <xf numFmtId="193" fontId="28" fillId="0" borderId="33" xfId="42" applyNumberFormat="1" applyFont="1" applyFill="1" applyBorder="1" applyAlignment="1" applyProtection="1">
      <alignment vertical="center"/>
      <protection locked="0"/>
    </xf>
    <xf numFmtId="192" fontId="28" fillId="0" borderId="38" xfId="42"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right" vertical="center"/>
      <protection locked="0"/>
    </xf>
    <xf numFmtId="0" fontId="0" fillId="0" borderId="0" xfId="0" applyBorder="1" applyAlignment="1">
      <alignment horizontal="right" vertical="center"/>
    </xf>
    <xf numFmtId="0" fontId="10" fillId="0" borderId="0" xfId="0" applyFont="1" applyBorder="1" applyAlignment="1">
      <alignment horizontal="right" vertical="center"/>
    </xf>
    <xf numFmtId="0" fontId="23" fillId="33" borderId="0" xfId="0" applyFont="1" applyFill="1" applyBorder="1" applyAlignment="1">
      <alignment horizontal="right" vertical="center"/>
    </xf>
    <xf numFmtId="200" fontId="45" fillId="33" borderId="0" xfId="0" applyNumberFormat="1" applyFont="1" applyFill="1" applyBorder="1" applyAlignment="1">
      <alignment horizontal="right" vertical="center"/>
    </xf>
    <xf numFmtId="193" fontId="45" fillId="33" borderId="0" xfId="0" applyNumberFormat="1" applyFont="1" applyFill="1" applyBorder="1" applyAlignment="1">
      <alignment horizontal="right" vertical="center"/>
    </xf>
    <xf numFmtId="0" fontId="45" fillId="33" borderId="0" xfId="0" applyFont="1" applyFill="1" applyBorder="1" applyAlignment="1">
      <alignment vertical="center"/>
    </xf>
    <xf numFmtId="0" fontId="45" fillId="33" borderId="0" xfId="0" applyFont="1" applyFill="1" applyBorder="1" applyAlignment="1">
      <alignment horizontal="center" vertical="center"/>
    </xf>
    <xf numFmtId="0" fontId="45" fillId="33" borderId="0" xfId="0" applyFont="1" applyFill="1" applyAlignment="1">
      <alignment/>
    </xf>
    <xf numFmtId="200" fontId="45" fillId="33" borderId="0" xfId="0" applyNumberFormat="1" applyFont="1" applyFill="1" applyAlignment="1">
      <alignment/>
    </xf>
    <xf numFmtId="193" fontId="45" fillId="33" borderId="0" xfId="0" applyNumberFormat="1" applyFont="1" applyFill="1" applyAlignment="1">
      <alignment/>
    </xf>
    <xf numFmtId="200" fontId="15" fillId="33" borderId="14" xfId="0" applyNumberFormat="1" applyFont="1" applyFill="1" applyBorder="1" applyAlignment="1">
      <alignment vertical="center"/>
    </xf>
    <xf numFmtId="193" fontId="15" fillId="33" borderId="14" xfId="0" applyNumberFormat="1" applyFont="1" applyFill="1" applyBorder="1" applyAlignment="1">
      <alignment vertical="center"/>
    </xf>
    <xf numFmtId="193" fontId="13" fillId="0" borderId="10" xfId="0" applyNumberFormat="1" applyFont="1" applyFill="1" applyBorder="1" applyAlignment="1" applyProtection="1">
      <alignment vertical="center"/>
      <protection/>
    </xf>
    <xf numFmtId="193" fontId="13" fillId="0" borderId="10" xfId="0" applyNumberFormat="1" applyFont="1" applyFill="1" applyBorder="1" applyAlignment="1">
      <alignment vertical="center"/>
    </xf>
    <xf numFmtId="193" fontId="13" fillId="0" borderId="10" xfId="42" applyNumberFormat="1" applyFont="1" applyFill="1" applyBorder="1" applyAlignment="1" applyProtection="1">
      <alignment vertical="center"/>
      <protection/>
    </xf>
    <xf numFmtId="193" fontId="33" fillId="0" borderId="10" xfId="42" applyNumberFormat="1" applyFont="1" applyFill="1" applyBorder="1" applyAlignment="1" applyProtection="1">
      <alignment vertical="center"/>
      <protection/>
    </xf>
    <xf numFmtId="193" fontId="13" fillId="0" borderId="10" xfId="60" applyNumberFormat="1" applyFont="1" applyFill="1" applyBorder="1" applyAlignment="1" applyProtection="1">
      <alignment vertical="center"/>
      <protection/>
    </xf>
    <xf numFmtId="193" fontId="13" fillId="0" borderId="10" xfId="42" applyNumberFormat="1" applyFont="1" applyFill="1" applyBorder="1" applyAlignment="1" applyProtection="1">
      <alignment vertical="center"/>
      <protection locked="0"/>
    </xf>
    <xf numFmtId="200" fontId="33" fillId="0" borderId="10" xfId="57" applyNumberFormat="1" applyFont="1" applyFill="1" applyBorder="1" applyAlignment="1">
      <alignment vertical="center"/>
      <protection/>
    </xf>
    <xf numFmtId="193" fontId="33" fillId="0" borderId="10" xfId="57" applyNumberFormat="1" applyFont="1" applyFill="1" applyBorder="1" applyAlignment="1">
      <alignment vertical="center"/>
      <protection/>
    </xf>
    <xf numFmtId="193" fontId="13" fillId="0" borderId="10" xfId="57" applyNumberFormat="1" applyFont="1" applyFill="1" applyBorder="1" applyAlignment="1" applyProtection="1">
      <alignment vertical="center"/>
      <protection/>
    </xf>
    <xf numFmtId="200" fontId="13" fillId="0" borderId="10" xfId="57" applyNumberFormat="1" applyFont="1" applyFill="1" applyBorder="1" applyAlignment="1">
      <alignment vertical="center"/>
      <protection/>
    </xf>
    <xf numFmtId="193" fontId="13" fillId="0" borderId="10" xfId="57" applyNumberFormat="1" applyFont="1" applyFill="1" applyBorder="1" applyAlignment="1">
      <alignment vertical="center"/>
      <protection/>
    </xf>
    <xf numFmtId="200" fontId="33" fillId="0" borderId="16" xfId="0" applyNumberFormat="1" applyFont="1" applyFill="1" applyBorder="1" applyAlignment="1">
      <alignment vertical="center"/>
    </xf>
    <xf numFmtId="193" fontId="33" fillId="0" borderId="16" xfId="0" applyNumberFormat="1" applyFont="1" applyFill="1" applyBorder="1" applyAlignment="1">
      <alignment vertical="center"/>
    </xf>
    <xf numFmtId="193" fontId="13" fillId="0" borderId="16" xfId="0" applyNumberFormat="1" applyFont="1" applyFill="1" applyBorder="1" applyAlignment="1" applyProtection="1">
      <alignment vertical="center"/>
      <protection/>
    </xf>
    <xf numFmtId="192" fontId="13" fillId="0" borderId="16" xfId="0" applyNumberFormat="1" applyFont="1" applyFill="1" applyBorder="1" applyAlignment="1" applyProtection="1">
      <alignment vertical="center"/>
      <protection/>
    </xf>
    <xf numFmtId="193" fontId="13" fillId="0" borderId="16" xfId="0" applyNumberFormat="1" applyFont="1" applyFill="1" applyBorder="1" applyAlignment="1">
      <alignment vertical="center"/>
    </xf>
    <xf numFmtId="192" fontId="13" fillId="0" borderId="39" xfId="0" applyNumberFormat="1" applyFont="1" applyFill="1" applyBorder="1" applyAlignment="1" applyProtection="1">
      <alignment vertical="center"/>
      <protection/>
    </xf>
    <xf numFmtId="1" fontId="13" fillId="0" borderId="33" xfId="0" applyNumberFormat="1" applyFont="1" applyFill="1" applyBorder="1" applyAlignment="1">
      <alignment horizontal="center" vertical="center"/>
    </xf>
    <xf numFmtId="200" fontId="33" fillId="0" borderId="33" xfId="42" applyNumberFormat="1" applyFont="1" applyFill="1" applyBorder="1" applyAlignment="1" applyProtection="1">
      <alignment vertical="center"/>
      <protection locked="0"/>
    </xf>
    <xf numFmtId="193" fontId="33" fillId="0" borderId="33" xfId="42" applyNumberFormat="1" applyFont="1" applyFill="1" applyBorder="1" applyAlignment="1" applyProtection="1">
      <alignment vertical="center"/>
      <protection locked="0"/>
    </xf>
    <xf numFmtId="193" fontId="13" fillId="0" borderId="33" xfId="42" applyNumberFormat="1" applyFont="1" applyFill="1" applyBorder="1" applyAlignment="1" applyProtection="1">
      <alignment vertical="center"/>
      <protection/>
    </xf>
    <xf numFmtId="193" fontId="13" fillId="0" borderId="33" xfId="42" applyNumberFormat="1" applyFont="1" applyFill="1" applyBorder="1" applyAlignment="1" applyProtection="1">
      <alignment vertical="center"/>
      <protection locked="0"/>
    </xf>
    <xf numFmtId="200" fontId="33" fillId="0" borderId="14" xfId="0" applyNumberFormat="1" applyFont="1" applyFill="1" applyBorder="1" applyAlignment="1">
      <alignment vertical="center"/>
    </xf>
    <xf numFmtId="193" fontId="33" fillId="0" borderId="14" xfId="0" applyNumberFormat="1" applyFont="1" applyFill="1" applyBorder="1" applyAlignment="1">
      <alignment vertical="center"/>
    </xf>
    <xf numFmtId="193" fontId="13" fillId="0" borderId="14" xfId="0" applyNumberFormat="1" applyFont="1" applyFill="1" applyBorder="1" applyAlignment="1" applyProtection="1">
      <alignment vertical="center"/>
      <protection/>
    </xf>
    <xf numFmtId="192" fontId="13" fillId="0" borderId="14" xfId="0" applyNumberFormat="1" applyFont="1" applyFill="1" applyBorder="1" applyAlignment="1" applyProtection="1">
      <alignment vertical="center"/>
      <protection/>
    </xf>
    <xf numFmtId="193" fontId="13" fillId="0" borderId="14" xfId="0" applyNumberFormat="1" applyFont="1" applyFill="1" applyBorder="1" applyAlignment="1">
      <alignment vertical="center"/>
    </xf>
    <xf numFmtId="192" fontId="13" fillId="0" borderId="15" xfId="0" applyNumberFormat="1" applyFont="1" applyFill="1" applyBorder="1" applyAlignment="1" applyProtection="1">
      <alignment vertical="center"/>
      <protection/>
    </xf>
    <xf numFmtId="200" fontId="33" fillId="0" borderId="25" xfId="42" applyNumberFormat="1" applyFont="1" applyFill="1" applyBorder="1" applyAlignment="1" applyProtection="1">
      <alignment vertical="center"/>
      <protection/>
    </xf>
    <xf numFmtId="193" fontId="33" fillId="0" borderId="25" xfId="42" applyNumberFormat="1" applyFont="1" applyFill="1" applyBorder="1" applyAlignment="1" applyProtection="1">
      <alignment vertical="center"/>
      <protection/>
    </xf>
    <xf numFmtId="193" fontId="13" fillId="0" borderId="25" xfId="60" applyNumberFormat="1" applyFont="1" applyFill="1" applyBorder="1" applyAlignment="1" applyProtection="1">
      <alignment vertical="center"/>
      <protection/>
    </xf>
    <xf numFmtId="193" fontId="13" fillId="0" borderId="25" xfId="0" applyNumberFormat="1" applyFont="1" applyFill="1" applyBorder="1" applyAlignment="1">
      <alignment vertical="center"/>
    </xf>
    <xf numFmtId="192" fontId="13" fillId="0" borderId="39" xfId="42" applyNumberFormat="1" applyFont="1" applyFill="1" applyBorder="1" applyAlignment="1" applyProtection="1">
      <alignment horizontal="right" vertical="center"/>
      <protection/>
    </xf>
    <xf numFmtId="192" fontId="13" fillId="0" borderId="15" xfId="42" applyNumberFormat="1" applyFont="1" applyFill="1" applyBorder="1" applyAlignment="1" applyProtection="1">
      <alignment horizontal="right" vertical="center"/>
      <protection/>
    </xf>
    <xf numFmtId="192" fontId="13" fillId="0" borderId="37" xfId="42"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0" fillId="0" borderId="0" xfId="0" applyFont="1" applyAlignment="1">
      <alignment horizontal="right" vertical="center" wrapText="1"/>
    </xf>
    <xf numFmtId="0" fontId="16" fillId="33" borderId="27" xfId="0" applyFont="1" applyFill="1" applyBorder="1" applyAlignment="1">
      <alignment horizontal="right" vertical="center"/>
    </xf>
    <xf numFmtId="0" fontId="31" fillId="0" borderId="40" xfId="0" applyFont="1" applyBorder="1" applyAlignment="1">
      <alignment horizontal="right" vertical="center"/>
    </xf>
    <xf numFmtId="0" fontId="16" fillId="33" borderId="35" xfId="0" applyFont="1" applyFill="1" applyBorder="1" applyAlignment="1">
      <alignment horizontal="right" vertical="center"/>
    </xf>
    <xf numFmtId="0" fontId="0" fillId="0" borderId="41" xfId="0" applyBorder="1" applyAlignment="1">
      <alignment horizontal="right" vertical="center"/>
    </xf>
    <xf numFmtId="0" fontId="18" fillId="0" borderId="0" xfId="0" applyFont="1" applyBorder="1" applyAlignment="1" applyProtection="1">
      <alignment horizontal="right" vertical="center" wrapText="1"/>
      <protection locked="0"/>
    </xf>
    <xf numFmtId="0" fontId="30" fillId="0" borderId="0" xfId="0" applyFont="1" applyBorder="1" applyAlignment="1" applyProtection="1">
      <alignment horizontal="right" vertical="center" wrapText="1"/>
      <protection locked="0"/>
    </xf>
    <xf numFmtId="0" fontId="14" fillId="0" borderId="0" xfId="0" applyFont="1" applyBorder="1" applyAlignment="1" applyProtection="1">
      <alignment horizontal="right" vertical="center" wrapText="1"/>
      <protection locked="0"/>
    </xf>
    <xf numFmtId="0" fontId="34" fillId="33" borderId="0" xfId="0" applyFont="1" applyFill="1" applyBorder="1" applyAlignment="1" applyProtection="1">
      <alignment horizontal="center" vertical="center"/>
      <protection/>
    </xf>
    <xf numFmtId="0" fontId="0" fillId="0" borderId="0" xfId="0" applyAlignment="1">
      <alignment horizontal="center"/>
    </xf>
    <xf numFmtId="181" fontId="25" fillId="0" borderId="42" xfId="0" applyNumberFormat="1" applyFont="1" applyFill="1" applyBorder="1" applyAlignment="1" applyProtection="1">
      <alignment horizontal="center" vertical="center" wrapText="1"/>
      <protection/>
    </xf>
    <xf numFmtId="181" fontId="25" fillId="0" borderId="43" xfId="0" applyNumberFormat="1" applyFont="1" applyFill="1" applyBorder="1" applyAlignment="1" applyProtection="1">
      <alignment horizontal="center" vertical="center" wrapText="1"/>
      <protection/>
    </xf>
    <xf numFmtId="0" fontId="25" fillId="0" borderId="42" xfId="0" applyNumberFormat="1" applyFont="1" applyFill="1" applyBorder="1" applyAlignment="1" applyProtection="1">
      <alignment horizontal="center" vertical="center" wrapText="1"/>
      <protection/>
    </xf>
    <xf numFmtId="0" fontId="27" fillId="0" borderId="13" xfId="0" applyFont="1" applyBorder="1" applyAlignment="1">
      <alignment horizontal="center" vertical="center"/>
    </xf>
    <xf numFmtId="171" fontId="25" fillId="0" borderId="42" xfId="42" applyFont="1" applyFill="1" applyBorder="1" applyAlignment="1" applyProtection="1">
      <alignment horizontal="center" vertical="center" wrapText="1"/>
      <protection/>
    </xf>
    <xf numFmtId="0" fontId="25" fillId="0" borderId="42" xfId="0" applyFont="1" applyFill="1" applyBorder="1" applyAlignment="1" applyProtection="1">
      <alignment horizontal="center" vertical="center" wrapText="1"/>
      <protection/>
    </xf>
    <xf numFmtId="0" fontId="25" fillId="0" borderId="44" xfId="0" applyNumberFormat="1" applyFont="1" applyFill="1" applyBorder="1" applyAlignment="1" applyProtection="1">
      <alignment horizontal="center" vertical="center" wrapText="1"/>
      <protection/>
    </xf>
    <xf numFmtId="0" fontId="27" fillId="0" borderId="45" xfId="0" applyFont="1" applyBorder="1" applyAlignment="1">
      <alignment horizontal="center" vertical="center" wrapText="1"/>
    </xf>
    <xf numFmtId="4" fontId="25" fillId="0" borderId="42" xfId="0" applyNumberFormat="1" applyFont="1" applyFill="1" applyBorder="1" applyAlignment="1" applyProtection="1">
      <alignment horizontal="center" vertical="center" wrapText="1"/>
      <protection/>
    </xf>
    <xf numFmtId="184" fontId="25" fillId="0" borderId="42" xfId="0" applyNumberFormat="1" applyFont="1" applyFill="1" applyBorder="1" applyAlignment="1" applyProtection="1">
      <alignment horizontal="center" vertical="center" wrapText="1"/>
      <protection/>
    </xf>
    <xf numFmtId="184" fontId="27" fillId="0" borderId="13" xfId="0" applyNumberFormat="1" applyFont="1" applyBorder="1" applyAlignment="1">
      <alignment horizontal="center" vertical="center"/>
    </xf>
    <xf numFmtId="192" fontId="25" fillId="0" borderId="46" xfId="0" applyNumberFormat="1" applyFont="1" applyFill="1" applyBorder="1" applyAlignment="1" applyProtection="1">
      <alignment horizontal="center" vertical="center" wrapText="1"/>
      <protection/>
    </xf>
    <xf numFmtId="192" fontId="25" fillId="0" borderId="47" xfId="0" applyNumberFormat="1" applyFont="1" applyFill="1" applyBorder="1" applyAlignment="1" applyProtection="1">
      <alignment horizontal="center" vertical="center" wrapText="1"/>
      <protection/>
    </xf>
    <xf numFmtId="0" fontId="7" fillId="36" borderId="31" xfId="0" applyFont="1" applyFill="1" applyBorder="1" applyAlignment="1">
      <alignment horizontal="center" vertical="center" wrapText="1"/>
    </xf>
    <xf numFmtId="0" fontId="7" fillId="36" borderId="31" xfId="0" applyFont="1" applyFill="1" applyBorder="1" applyAlignment="1">
      <alignment horizontal="center" vertical="center" wrapText="1"/>
    </xf>
    <xf numFmtId="0" fontId="25" fillId="0" borderId="44" xfId="0" applyNumberFormat="1" applyFont="1" applyFill="1" applyBorder="1" applyAlignment="1">
      <alignment horizontal="center" vertical="center" wrapText="1"/>
    </xf>
    <xf numFmtId="0" fontId="25" fillId="0" borderId="45" xfId="0" applyNumberFormat="1" applyFont="1" applyFill="1" applyBorder="1" applyAlignment="1">
      <alignment horizontal="center" vertical="center" wrapText="1"/>
    </xf>
    <xf numFmtId="0" fontId="25" fillId="0" borderId="45" xfId="0" applyNumberFormat="1" applyFont="1" applyFill="1" applyBorder="1" applyAlignment="1" applyProtection="1">
      <alignment horizontal="center" vertical="center" wrapText="1"/>
      <protection/>
    </xf>
    <xf numFmtId="0" fontId="15" fillId="33" borderId="27" xfId="0" applyFont="1" applyFill="1" applyBorder="1" applyAlignment="1">
      <alignment horizontal="center" vertical="center"/>
    </xf>
    <xf numFmtId="0" fontId="15" fillId="33" borderId="40" xfId="0" applyFont="1" applyFill="1" applyBorder="1" applyAlignment="1">
      <alignment horizontal="center" vertical="center"/>
    </xf>
    <xf numFmtId="0" fontId="25" fillId="0" borderId="48" xfId="0" applyNumberFormat="1" applyFont="1" applyFill="1" applyBorder="1" applyAlignment="1" applyProtection="1">
      <alignment horizontal="center" vertical="center" wrapText="1"/>
      <protection/>
    </xf>
    <xf numFmtId="0" fontId="25" fillId="0" borderId="49" xfId="0" applyNumberFormat="1" applyFont="1" applyFill="1" applyBorder="1" applyAlignment="1" applyProtection="1">
      <alignment horizontal="center" vertical="center" wrapText="1"/>
      <protection/>
    </xf>
    <xf numFmtId="0" fontId="8" fillId="36" borderId="31" xfId="0" applyFont="1" applyFill="1" applyBorder="1" applyAlignment="1">
      <alignment horizontal="center" vertical="center" wrapText="1"/>
    </xf>
    <xf numFmtId="0" fontId="37" fillId="36" borderId="31" xfId="0" applyFont="1" applyFill="1" applyBorder="1" applyAlignment="1">
      <alignment vertical="center" wrapText="1"/>
    </xf>
    <xf numFmtId="0" fontId="0" fillId="0" borderId="31" xfId="0" applyBorder="1" applyAlignment="1">
      <alignment wrapText="1"/>
    </xf>
    <xf numFmtId="0" fontId="0" fillId="0" borderId="0" xfId="0" applyBorder="1" applyAlignment="1">
      <alignment horizontal="right" vertical="center" wrapText="1"/>
    </xf>
    <xf numFmtId="0" fontId="10" fillId="0" borderId="0" xfId="0" applyFont="1" applyBorder="1" applyAlignment="1">
      <alignment horizontal="right" vertical="center" wrapText="1"/>
    </xf>
    <xf numFmtId="0" fontId="0" fillId="0" borderId="0" xfId="0" applyBorder="1" applyAlignment="1">
      <alignment vertical="center" wrapText="1"/>
    </xf>
    <xf numFmtId="0" fontId="29" fillId="34" borderId="31" xfId="0" applyNumberFormat="1" applyFont="1" applyFill="1" applyBorder="1" applyAlignment="1">
      <alignment horizontal="center" wrapText="1"/>
    </xf>
    <xf numFmtId="0" fontId="0" fillId="0" borderId="31" xfId="0" applyNumberFormat="1" applyBorder="1" applyAlignment="1">
      <alignment horizontal="center" wrapText="1"/>
    </xf>
    <xf numFmtId="0" fontId="39" fillId="34" borderId="31" xfId="0" applyNumberFormat="1" applyFont="1" applyFill="1" applyBorder="1" applyAlignment="1">
      <alignment horizontal="center" wrapText="1"/>
    </xf>
    <xf numFmtId="0" fontId="40" fillId="0" borderId="31" xfId="0" applyNumberFormat="1" applyFont="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ayfa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15</xdr:col>
      <xdr:colOff>0</xdr:colOff>
      <xdr:row>0</xdr:row>
      <xdr:rowOff>1095375</xdr:rowOff>
    </xdr:to>
    <xdr:sp>
      <xdr:nvSpPr>
        <xdr:cNvPr id="1" name="Text Box 1"/>
        <xdr:cNvSpPr txBox="1">
          <a:spLocks noChangeArrowheads="1"/>
        </xdr:cNvSpPr>
      </xdr:nvSpPr>
      <xdr:spPr>
        <a:xfrm>
          <a:off x="19050" y="38100"/>
          <a:ext cx="13192125" cy="1057275"/>
        </a:xfrm>
        <a:prstGeom prst="rect">
          <a:avLst/>
        </a:prstGeom>
        <a:solidFill>
          <a:srgbClr val="006411"/>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WEEKLY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WEEKLY BOX OFFICE &amp; ADMISSION REPORT</a:t>
          </a:r>
        </a:p>
      </xdr:txBody>
    </xdr:sp>
    <xdr:clientData/>
  </xdr:twoCellAnchor>
  <xdr:twoCellAnchor>
    <xdr:from>
      <xdr:col>10</xdr:col>
      <xdr:colOff>76200</xdr:colOff>
      <xdr:row>0</xdr:row>
      <xdr:rowOff>466725</xdr:rowOff>
    </xdr:from>
    <xdr:to>
      <xdr:col>14</xdr:col>
      <xdr:colOff>400050</xdr:colOff>
      <xdr:row>0</xdr:row>
      <xdr:rowOff>1066800</xdr:rowOff>
    </xdr:to>
    <xdr:sp fLocksText="0">
      <xdr:nvSpPr>
        <xdr:cNvPr id="2" name="Text Box 2"/>
        <xdr:cNvSpPr txBox="1">
          <a:spLocks noChangeArrowheads="1"/>
        </xdr:cNvSpPr>
      </xdr:nvSpPr>
      <xdr:spPr>
        <a:xfrm>
          <a:off x="9839325" y="466725"/>
          <a:ext cx="3286125" cy="600075"/>
        </a:xfrm>
        <a:prstGeom prst="rect">
          <a:avLst/>
        </a:prstGeom>
        <a:solidFill>
          <a:srgbClr val="006411"/>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 53
</a:t>
          </a:r>
          <a:r>
            <a:rPr lang="en-US" cap="none" sz="1600" b="0" i="0" u="none" baseline="0">
              <a:solidFill>
                <a:srgbClr val="FFFFFF"/>
              </a:solidFill>
              <a:latin typeface="Impact"/>
              <a:ea typeface="Impact"/>
              <a:cs typeface="Impact"/>
            </a:rPr>
            <a:t>28 December 2007 - 03 Ocak 2008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53</xdr:row>
      <xdr:rowOff>95250</xdr:rowOff>
    </xdr:from>
    <xdr:to>
      <xdr:col>18</xdr:col>
      <xdr:colOff>200025</xdr:colOff>
      <xdr:row>92</xdr:row>
      <xdr:rowOff>104775</xdr:rowOff>
    </xdr:to>
    <xdr:sp>
      <xdr:nvSpPr>
        <xdr:cNvPr id="1" name="Text Box 1"/>
        <xdr:cNvSpPr txBox="1">
          <a:spLocks noChangeArrowheads="1"/>
        </xdr:cNvSpPr>
      </xdr:nvSpPr>
      <xdr:spPr>
        <a:xfrm>
          <a:off x="47625" y="9686925"/>
          <a:ext cx="10220325" cy="923925"/>
        </a:xfrm>
        <a:prstGeom prst="rect">
          <a:avLst/>
        </a:prstGeom>
        <a:solidFill>
          <a:srgbClr val="C8E0D8"/>
        </a:solidFill>
        <a:ln w="9525" cmpd="sng">
          <a:solidFill>
            <a:srgbClr val="000000"/>
          </a:solidFill>
          <a:headEnd type="none"/>
          <a:tailEnd type="none"/>
        </a:ln>
      </xdr:spPr>
      <xdr:txBody>
        <a:bodyPr vertOverflow="clip" wrap="square" lIns="27432" tIns="22860" rIns="27432" bIns="0"/>
        <a:p>
          <a:pPr algn="ctr">
            <a:defRPr/>
          </a:pPr>
          <a:r>
            <a:rPr lang="en-US" cap="none" sz="1000" b="1" i="0" u="sng"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a:</a:t>
          </a:r>
          <a:r>
            <a:rPr lang="en-US" cap="none" sz="1000" b="0" i="0" u="none" baseline="0">
              <a:solidFill>
                <a:srgbClr val="000000"/>
              </a:solidFill>
              <a:latin typeface="Arial"/>
              <a:ea typeface="Arial"/>
              <a:cs typeface="Arial"/>
            </a:rPr>
            <a:t> hafta numarasını, </a:t>
          </a:r>
          <a:r>
            <a:rPr lang="en-US" cap="none" sz="1000" b="1" i="0" u="sng" baseline="0">
              <a:solidFill>
                <a:srgbClr val="000000"/>
              </a:solidFill>
              <a:latin typeface="Arial"/>
              <a:ea typeface="Arial"/>
              <a:cs typeface="Arial"/>
            </a:rPr>
            <a:t>b:</a:t>
          </a:r>
          <a:r>
            <a:rPr lang="en-US" cap="none" sz="1000" b="0" i="0" u="none" baseline="0">
              <a:solidFill>
                <a:srgbClr val="000000"/>
              </a:solidFill>
              <a:latin typeface="Arial"/>
              <a:ea typeface="Arial"/>
              <a:cs typeface="Arial"/>
            </a:rPr>
            <a:t> tarih aralığını,</a:t>
          </a:r>
          <a:r>
            <a:rPr lang="en-US" cap="none" sz="1000" b="1"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c:</a:t>
          </a:r>
          <a:r>
            <a:rPr lang="en-US" cap="none" sz="1000" b="0" i="0" u="none" baseline="0">
              <a:solidFill>
                <a:srgbClr val="000000"/>
              </a:solidFill>
              <a:latin typeface="Arial"/>
              <a:ea typeface="Arial"/>
              <a:cs typeface="Arial"/>
            </a:rPr>
            <a:t> ayı, </a:t>
          </a:r>
          <a:r>
            <a:rPr lang="en-US" cap="none" sz="1000" b="1" i="0" u="sng" baseline="0">
              <a:solidFill>
                <a:srgbClr val="000000"/>
              </a:solidFill>
              <a:latin typeface="Arial"/>
              <a:ea typeface="Arial"/>
              <a:cs typeface="Arial"/>
            </a:rPr>
            <a:t>d:</a:t>
          </a:r>
          <a:r>
            <a:rPr lang="en-US" cap="none" sz="1000" b="0" i="0" u="none" baseline="0">
              <a:solidFill>
                <a:srgbClr val="000000"/>
              </a:solidFill>
              <a:latin typeface="Arial"/>
              <a:ea typeface="Arial"/>
              <a:cs typeface="Arial"/>
            </a:rPr>
            <a:t> o hafta dağıtım yapan firma sayısını, </a:t>
          </a:r>
          <a:r>
            <a:rPr lang="en-US" cap="none" sz="1000" b="1" i="0" u="sng" baseline="0">
              <a:solidFill>
                <a:srgbClr val="000000"/>
              </a:solidFill>
              <a:latin typeface="Arial"/>
              <a:ea typeface="Arial"/>
              <a:cs typeface="Arial"/>
            </a:rPr>
            <a:t>e:</a:t>
          </a:r>
          <a:r>
            <a:rPr lang="en-US" cap="none" sz="1000" b="0" i="0" u="none" baseline="0">
              <a:solidFill>
                <a:srgbClr val="000000"/>
              </a:solidFill>
              <a:latin typeface="Arial"/>
              <a:ea typeface="Arial"/>
              <a:cs typeface="Arial"/>
            </a:rPr>
            <a:t> o hafta dağıtım yapmayan firma sayısını, </a:t>
          </a:r>
          <a:r>
            <a:rPr lang="en-US" cap="none" sz="1000" b="1" i="0" u="sng" baseline="0">
              <a:solidFill>
                <a:srgbClr val="000000"/>
              </a:solidFill>
              <a:latin typeface="Arial"/>
              <a:ea typeface="Arial"/>
              <a:cs typeface="Arial"/>
            </a:rPr>
            <a:t>f:</a:t>
          </a:r>
          <a:r>
            <a:rPr lang="en-US" cap="none" sz="1000" b="0" i="0" u="none" baseline="0">
              <a:solidFill>
                <a:srgbClr val="000000"/>
              </a:solidFill>
              <a:latin typeface="Arial"/>
              <a:ea typeface="Arial"/>
              <a:cs typeface="Arial"/>
            </a:rPr>
            <a:t> o hafta sinemalarda gösterilen film sayısını, </a:t>
          </a:r>
          <a:r>
            <a:rPr lang="en-US" cap="none" sz="1000" b="1" i="0" u="sng" baseline="0">
              <a:solidFill>
                <a:srgbClr val="000000"/>
              </a:solidFill>
              <a:latin typeface="Arial"/>
              <a:ea typeface="Arial"/>
              <a:cs typeface="Arial"/>
            </a:rPr>
            <a:t>g:</a:t>
          </a:r>
          <a:r>
            <a:rPr lang="en-US" cap="none" sz="1000" b="0" i="0" u="none" baseline="0">
              <a:solidFill>
                <a:srgbClr val="000000"/>
              </a:solidFill>
              <a:latin typeface="Arial"/>
              <a:ea typeface="Arial"/>
              <a:cs typeface="Arial"/>
            </a:rPr>
            <a:t> toplam hasılatı, </a:t>
          </a:r>
          <a:r>
            <a:rPr lang="en-US" cap="none" sz="1000" b="1" i="0" u="sng" baseline="0">
              <a:solidFill>
                <a:srgbClr val="000000"/>
              </a:solidFill>
              <a:latin typeface="Arial"/>
              <a:ea typeface="Arial"/>
              <a:cs typeface="Arial"/>
            </a:rPr>
            <a:t>h:</a:t>
          </a:r>
          <a:r>
            <a:rPr lang="en-US" cap="none" sz="1000" b="0" i="0" u="none" baseline="0">
              <a:solidFill>
                <a:srgbClr val="000000"/>
              </a:solidFill>
              <a:latin typeface="Arial"/>
              <a:ea typeface="Arial"/>
              <a:cs typeface="Arial"/>
            </a:rPr>
            <a:t> toplam seyirci sayısını, </a:t>
          </a:r>
          <a:r>
            <a:rPr lang="en-US" cap="none" sz="1000" b="1" i="0" u="sng" baseline="0">
              <a:solidFill>
                <a:srgbClr val="000000"/>
              </a:solidFill>
              <a:latin typeface="Arial"/>
              <a:ea typeface="Arial"/>
              <a:cs typeface="Arial"/>
            </a:rPr>
            <a:t>ı:</a:t>
          </a:r>
          <a:r>
            <a:rPr lang="en-US" cap="none" sz="1000" b="0" i="0" u="none" baseline="0">
              <a:solidFill>
                <a:srgbClr val="000000"/>
              </a:solidFill>
              <a:latin typeface="Arial"/>
              <a:ea typeface="Arial"/>
              <a:cs typeface="Arial"/>
            </a:rPr>
            <a:t> o hafta ilk kez gösterilen film sayısını, </a:t>
          </a:r>
          <a:r>
            <a:rPr lang="en-US" cap="none" sz="1000" b="1" i="0" u="sng" baseline="0">
              <a:solidFill>
                <a:srgbClr val="000000"/>
              </a:solidFill>
              <a:latin typeface="Arial"/>
              <a:ea typeface="Arial"/>
              <a:cs typeface="Arial"/>
            </a:rPr>
            <a:t>j:</a:t>
          </a:r>
          <a:r>
            <a:rPr lang="en-US" cap="none" sz="1000" b="0" i="0" u="none" baseline="0">
              <a:solidFill>
                <a:srgbClr val="000000"/>
              </a:solidFill>
              <a:latin typeface="Arial"/>
              <a:ea typeface="Arial"/>
              <a:cs typeface="Arial"/>
            </a:rPr>
            <a:t> bu yeni filmlerin toplam hasılatını, </a:t>
          </a:r>
          <a:r>
            <a:rPr lang="en-US" cap="none" sz="1000" b="1" i="0" u="sng" baseline="0">
              <a:solidFill>
                <a:srgbClr val="000000"/>
              </a:solidFill>
              <a:latin typeface="Arial"/>
              <a:ea typeface="Arial"/>
              <a:cs typeface="Arial"/>
            </a:rPr>
            <a:t>k:</a:t>
          </a:r>
          <a:r>
            <a:rPr lang="en-US" cap="none" sz="1000" b="0" i="0" u="none" baseline="0">
              <a:solidFill>
                <a:srgbClr val="000000"/>
              </a:solidFill>
              <a:latin typeface="Arial"/>
              <a:ea typeface="Arial"/>
              <a:cs typeface="Arial"/>
            </a:rPr>
            <a:t> aynı filmlerin seyirci sayısını, </a:t>
          </a:r>
          <a:r>
            <a:rPr lang="en-US" cap="none" sz="1000" b="1" i="0" u="sng" baseline="0">
              <a:solidFill>
                <a:srgbClr val="000000"/>
              </a:solidFill>
              <a:latin typeface="Arial"/>
              <a:ea typeface="Arial"/>
              <a:cs typeface="Arial"/>
            </a:rPr>
            <a:t>l:</a:t>
          </a:r>
          <a:r>
            <a:rPr lang="en-US" cap="none" sz="1000" b="0" i="0" u="none" baseline="0">
              <a:solidFill>
                <a:srgbClr val="000000"/>
              </a:solidFill>
              <a:latin typeface="Arial"/>
              <a:ea typeface="Arial"/>
              <a:cs typeface="Arial"/>
            </a:rPr>
            <a:t> yeni filmlerin toplam seyirci sayısı üzerindeki yüzdesini, </a:t>
          </a:r>
          <a:r>
            <a:rPr lang="en-US" cap="none" sz="1000" b="1" i="0" u="sng" baseline="0">
              <a:solidFill>
                <a:srgbClr val="000000"/>
              </a:solidFill>
              <a:latin typeface="Arial"/>
              <a:ea typeface="Arial"/>
              <a:cs typeface="Arial"/>
            </a:rPr>
            <a:t>m:</a:t>
          </a:r>
          <a:r>
            <a:rPr lang="en-US" cap="none" sz="1000" b="0" i="0" u="none" baseline="0">
              <a:solidFill>
                <a:srgbClr val="000000"/>
              </a:solidFill>
              <a:latin typeface="Arial"/>
              <a:ea typeface="Arial"/>
              <a:cs typeface="Arial"/>
            </a:rPr>
            <a:t> o hafta gösterilen yerli film sayısını, </a:t>
          </a:r>
          <a:r>
            <a:rPr lang="en-US" cap="none" sz="1000" b="1" i="0" u="sng" baseline="0">
              <a:solidFill>
                <a:srgbClr val="000000"/>
              </a:solidFill>
              <a:latin typeface="Arial"/>
              <a:ea typeface="Arial"/>
              <a:cs typeface="Arial"/>
            </a:rPr>
            <a:t>n:</a:t>
          </a:r>
          <a:r>
            <a:rPr lang="en-US" cap="none" sz="1000" b="0" i="0" u="none" baseline="0">
              <a:solidFill>
                <a:srgbClr val="000000"/>
              </a:solidFill>
              <a:latin typeface="Arial"/>
              <a:ea typeface="Arial"/>
              <a:cs typeface="Arial"/>
            </a:rPr>
            <a:t> bu filmlerin toplam hasılatını, </a:t>
          </a:r>
          <a:r>
            <a:rPr lang="en-US" cap="none" sz="1000" b="1" i="0" u="sng" baseline="0">
              <a:solidFill>
                <a:srgbClr val="000000"/>
              </a:solidFill>
              <a:latin typeface="Arial"/>
              <a:ea typeface="Arial"/>
              <a:cs typeface="Arial"/>
            </a:rPr>
            <a:t>o:</a:t>
          </a:r>
          <a:r>
            <a:rPr lang="en-US" cap="none" sz="1000" b="0" i="0" u="none" baseline="0">
              <a:solidFill>
                <a:srgbClr val="000000"/>
              </a:solidFill>
              <a:latin typeface="Arial"/>
              <a:ea typeface="Arial"/>
              <a:cs typeface="Arial"/>
            </a:rPr>
            <a:t> aynı filmlerin toplam seyirci sayısını, </a:t>
          </a:r>
          <a:r>
            <a:rPr lang="en-US" cap="none" sz="1000" b="1" i="0" u="sng" baseline="0">
              <a:solidFill>
                <a:srgbClr val="000000"/>
              </a:solidFill>
              <a:latin typeface="Arial"/>
              <a:ea typeface="Arial"/>
              <a:cs typeface="Arial"/>
            </a:rPr>
            <a:t>p:</a:t>
          </a:r>
          <a:r>
            <a:rPr lang="en-US" cap="none" sz="1000" b="0" i="0" u="none" baseline="0">
              <a:solidFill>
                <a:srgbClr val="000000"/>
              </a:solidFill>
              <a:latin typeface="Arial"/>
              <a:ea typeface="Arial"/>
              <a:cs typeface="Arial"/>
            </a:rPr>
            <a:t> yerli filmlerin toplam seyirci sayısı üzerindeki yüzdesini, </a:t>
          </a:r>
          <a:r>
            <a:rPr lang="en-US" cap="none" sz="1000" b="1" i="0" u="sng" baseline="0">
              <a:solidFill>
                <a:srgbClr val="000000"/>
              </a:solidFill>
              <a:latin typeface="Arial"/>
              <a:ea typeface="Arial"/>
              <a:cs typeface="Arial"/>
            </a:rPr>
            <a:t>q:</a:t>
          </a:r>
          <a:r>
            <a:rPr lang="en-US" cap="none" sz="1000" b="0" i="0" u="none" baseline="0">
              <a:solidFill>
                <a:srgbClr val="000000"/>
              </a:solidFill>
              <a:latin typeface="Arial"/>
              <a:ea typeface="Arial"/>
              <a:cs typeface="Arial"/>
            </a:rPr>
            <a:t> o hafta en fazla seyircinin izlediği filmi, </a:t>
          </a:r>
          <a:r>
            <a:rPr lang="en-US" cap="none" sz="1000" b="1" i="0" u="sng" baseline="0">
              <a:solidFill>
                <a:srgbClr val="000000"/>
              </a:solidFill>
              <a:latin typeface="Arial"/>
              <a:ea typeface="Arial"/>
              <a:cs typeface="Arial"/>
            </a:rPr>
            <a:t>r:</a:t>
          </a:r>
          <a:r>
            <a:rPr lang="en-US" cap="none" sz="1000" b="0" i="0" u="none" baseline="0">
              <a:solidFill>
                <a:srgbClr val="000000"/>
              </a:solidFill>
              <a:latin typeface="Arial"/>
              <a:ea typeface="Arial"/>
              <a:cs typeface="Arial"/>
            </a:rPr>
            <a:t> bu filmin ulaştığı seyirci sayısını ve </a:t>
          </a:r>
          <a:r>
            <a:rPr lang="en-US" cap="none" sz="1000" b="1" i="0" u="sng" baseline="0">
              <a:solidFill>
                <a:srgbClr val="000000"/>
              </a:solidFill>
              <a:latin typeface="Arial"/>
              <a:ea typeface="Arial"/>
              <a:cs typeface="Arial"/>
            </a:rPr>
            <a:t>s:</a:t>
          </a:r>
          <a:r>
            <a:rPr lang="en-US" cap="none" sz="1000" b="0" i="0" u="none" baseline="0">
              <a:solidFill>
                <a:srgbClr val="000000"/>
              </a:solidFill>
              <a:latin typeface="Arial"/>
              <a:ea typeface="Arial"/>
              <a:cs typeface="Arial"/>
            </a:rPr>
            <a:t> aynı filmin toplam seyirci sayısı üzerindeki yüzdesini göstermektedir.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103"/>
  <sheetViews>
    <sheetView showGridLines="0" tabSelected="1" zoomScale="80" zoomScaleNormal="80"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B3" sqref="B3:B4"/>
    </sheetView>
  </sheetViews>
  <sheetFormatPr defaultColWidth="9.140625" defaultRowHeight="12.75"/>
  <cols>
    <col min="1" max="1" width="4.00390625" style="33" bestFit="1" customWidth="1"/>
    <col min="2" max="2" width="45.28125" style="4" bestFit="1" customWidth="1"/>
    <col min="3" max="3" width="9.7109375" style="12" bestFit="1" customWidth="1"/>
    <col min="4" max="4" width="16.140625" style="16" bestFit="1" customWidth="1"/>
    <col min="5" max="5" width="18.57421875" style="16" bestFit="1" customWidth="1"/>
    <col min="6" max="6" width="6.57421875" style="6" bestFit="1" customWidth="1"/>
    <col min="7" max="7" width="8.7109375" style="6" bestFit="1" customWidth="1"/>
    <col min="8" max="8" width="10.57421875" style="6" customWidth="1"/>
    <col min="9" max="9" width="16.28125" style="252" bestFit="1" customWidth="1"/>
    <col min="10" max="10" width="10.57421875" style="265" customWidth="1"/>
    <col min="11" max="11" width="11.57421875" style="141" customWidth="1"/>
    <col min="12" max="12" width="7.28125" style="29" bestFit="1" customWidth="1"/>
    <col min="13" max="13" width="14.8515625" style="257" bestFit="1" customWidth="1"/>
    <col min="14" max="14" width="10.7109375" style="265" bestFit="1" customWidth="1"/>
    <col min="15" max="15" width="7.28125" style="29" bestFit="1" customWidth="1"/>
    <col min="16" max="16" width="3.140625" style="65" bestFit="1" customWidth="1"/>
    <col min="17" max="16384" width="9.140625" style="4" customWidth="1"/>
  </cols>
  <sheetData>
    <row r="1" spans="1:16" s="2" customFormat="1" ht="90.75" customHeight="1">
      <c r="A1" s="32"/>
      <c r="B1" s="1"/>
      <c r="C1" s="10"/>
      <c r="D1" s="14"/>
      <c r="E1" s="14"/>
      <c r="F1" s="5"/>
      <c r="G1" s="5"/>
      <c r="H1" s="5"/>
      <c r="I1" s="247"/>
      <c r="J1" s="266"/>
      <c r="K1" s="137"/>
      <c r="L1" s="26"/>
      <c r="M1" s="254"/>
      <c r="N1" s="262"/>
      <c r="O1" s="26"/>
      <c r="P1" s="65"/>
    </row>
    <row r="2" spans="1:16" s="9" customFormat="1" ht="27.75" thickBot="1">
      <c r="A2" s="500" t="s">
        <v>467</v>
      </c>
      <c r="B2" s="501"/>
      <c r="C2" s="501"/>
      <c r="D2" s="501"/>
      <c r="E2" s="501"/>
      <c r="F2" s="501"/>
      <c r="G2" s="501"/>
      <c r="H2" s="501"/>
      <c r="I2" s="501"/>
      <c r="J2" s="501"/>
      <c r="K2" s="501"/>
      <c r="L2" s="501"/>
      <c r="M2" s="501"/>
      <c r="N2" s="501"/>
      <c r="O2" s="501"/>
      <c r="P2" s="65"/>
    </row>
    <row r="3" spans="1:16" s="25" customFormat="1" ht="16.5">
      <c r="A3" s="35"/>
      <c r="B3" s="506" t="s">
        <v>312</v>
      </c>
      <c r="C3" s="511" t="s">
        <v>313</v>
      </c>
      <c r="D3" s="507" t="s">
        <v>451</v>
      </c>
      <c r="E3" s="507" t="s">
        <v>450</v>
      </c>
      <c r="F3" s="504" t="s">
        <v>314</v>
      </c>
      <c r="G3" s="504" t="s">
        <v>321</v>
      </c>
      <c r="H3" s="508" t="s">
        <v>323</v>
      </c>
      <c r="I3" s="510" t="s">
        <v>315</v>
      </c>
      <c r="J3" s="510"/>
      <c r="K3" s="510"/>
      <c r="L3" s="510"/>
      <c r="M3" s="502" t="s">
        <v>316</v>
      </c>
      <c r="N3" s="502"/>
      <c r="O3" s="503"/>
      <c r="P3" s="101"/>
    </row>
    <row r="4" spans="1:16" s="25" customFormat="1" ht="46.5" customHeight="1" thickBot="1">
      <c r="A4" s="292"/>
      <c r="B4" s="505"/>
      <c r="C4" s="512"/>
      <c r="D4" s="505"/>
      <c r="E4" s="505"/>
      <c r="F4" s="505"/>
      <c r="G4" s="505"/>
      <c r="H4" s="509"/>
      <c r="I4" s="248" t="s">
        <v>317</v>
      </c>
      <c r="J4" s="267" t="s">
        <v>318</v>
      </c>
      <c r="K4" s="136" t="s">
        <v>358</v>
      </c>
      <c r="L4" s="75" t="s">
        <v>319</v>
      </c>
      <c r="M4" s="258" t="s">
        <v>317</v>
      </c>
      <c r="N4" s="267" t="s">
        <v>318</v>
      </c>
      <c r="O4" s="76" t="s">
        <v>320</v>
      </c>
      <c r="P4" s="101"/>
    </row>
    <row r="5" spans="1:16" s="3" customFormat="1" ht="15">
      <c r="A5" s="155">
        <v>1</v>
      </c>
      <c r="B5" s="300" t="s">
        <v>640</v>
      </c>
      <c r="C5" s="60">
        <v>39430</v>
      </c>
      <c r="D5" s="301" t="s">
        <v>454</v>
      </c>
      <c r="E5" s="301" t="s">
        <v>466</v>
      </c>
      <c r="F5" s="302">
        <v>242</v>
      </c>
      <c r="G5" s="302">
        <v>365</v>
      </c>
      <c r="H5" s="302">
        <v>3</v>
      </c>
      <c r="I5" s="466">
        <v>2798803</v>
      </c>
      <c r="J5" s="467">
        <v>362966</v>
      </c>
      <c r="K5" s="468">
        <f>J5/G5</f>
        <v>994.427397260274</v>
      </c>
      <c r="L5" s="469">
        <f>I5/J5</f>
        <v>7.710923337172077</v>
      </c>
      <c r="M5" s="318">
        <v>11618723</v>
      </c>
      <c r="N5" s="470">
        <v>1485735</v>
      </c>
      <c r="O5" s="471">
        <f>M5/N5</f>
        <v>7.820185295493476</v>
      </c>
      <c r="P5" s="65"/>
    </row>
    <row r="6" spans="1:16" s="3" customFormat="1" ht="15">
      <c r="A6" s="155">
        <v>2</v>
      </c>
      <c r="B6" s="68" t="s">
        <v>658</v>
      </c>
      <c r="C6" s="49">
        <v>39437</v>
      </c>
      <c r="D6" s="55" t="s">
        <v>455</v>
      </c>
      <c r="E6" s="55" t="s">
        <v>659</v>
      </c>
      <c r="F6" s="87">
        <v>156</v>
      </c>
      <c r="G6" s="51">
        <v>156</v>
      </c>
      <c r="H6" s="51">
        <v>2</v>
      </c>
      <c r="I6" s="144">
        <v>1212579.5</v>
      </c>
      <c r="J6" s="237">
        <v>165120</v>
      </c>
      <c r="K6" s="457">
        <f>J6/G6</f>
        <v>1058.4615384615386</v>
      </c>
      <c r="L6" s="291">
        <f>I6/J6</f>
        <v>7.343625847868217</v>
      </c>
      <c r="M6" s="310">
        <f>1780127+1212579.5</f>
        <v>2992706.5</v>
      </c>
      <c r="N6" s="456">
        <f>240776+165120</f>
        <v>405896</v>
      </c>
      <c r="O6" s="74">
        <f>+M6/N6</f>
        <v>7.373086948380866</v>
      </c>
      <c r="P6" s="65"/>
    </row>
    <row r="7" spans="1:16" s="3" customFormat="1" ht="15">
      <c r="A7" s="157">
        <v>3</v>
      </c>
      <c r="B7" s="241" t="s">
        <v>68</v>
      </c>
      <c r="C7" s="242">
        <v>39402</v>
      </c>
      <c r="D7" s="171" t="s">
        <v>447</v>
      </c>
      <c r="E7" s="171" t="s">
        <v>69</v>
      </c>
      <c r="F7" s="275">
        <v>165</v>
      </c>
      <c r="G7" s="275">
        <v>165</v>
      </c>
      <c r="H7" s="275">
        <v>7</v>
      </c>
      <c r="I7" s="483">
        <v>989643</v>
      </c>
      <c r="J7" s="484">
        <v>146862</v>
      </c>
      <c r="K7" s="485">
        <f>IF(I7&lt;&gt;0,J7/G7,"")</f>
        <v>890.0727272727273</v>
      </c>
      <c r="L7" s="303">
        <f>IF(I7&lt;&gt;0,I7/J7,"")</f>
        <v>6.7385913306369245</v>
      </c>
      <c r="M7" s="324">
        <f>12736195.5+0</f>
        <v>12736195.5</v>
      </c>
      <c r="N7" s="486">
        <f>271934+322135+339926+262189+150199+208899+146862</f>
        <v>1702144</v>
      </c>
      <c r="O7" s="304">
        <f>IF(M7&lt;&gt;0,M7/N7,"")</f>
        <v>7.482443024796962</v>
      </c>
      <c r="P7" s="65"/>
    </row>
    <row r="8" spans="1:16" s="3" customFormat="1" ht="15">
      <c r="A8" s="156">
        <v>4</v>
      </c>
      <c r="B8" s="283" t="s">
        <v>642</v>
      </c>
      <c r="C8" s="284">
        <v>39430</v>
      </c>
      <c r="D8" s="322" t="s">
        <v>454</v>
      </c>
      <c r="E8" s="322" t="s">
        <v>461</v>
      </c>
      <c r="F8" s="276">
        <v>137</v>
      </c>
      <c r="G8" s="276">
        <v>137</v>
      </c>
      <c r="H8" s="276">
        <v>3</v>
      </c>
      <c r="I8" s="477">
        <v>631470</v>
      </c>
      <c r="J8" s="478">
        <v>80566</v>
      </c>
      <c r="K8" s="479">
        <f>J8/G8</f>
        <v>588.07299270073</v>
      </c>
      <c r="L8" s="480">
        <f>I8/J8</f>
        <v>7.837921703944592</v>
      </c>
      <c r="M8" s="323">
        <v>2867784</v>
      </c>
      <c r="N8" s="481">
        <v>349175</v>
      </c>
      <c r="O8" s="482">
        <f>M8/N8</f>
        <v>8.213027851363929</v>
      </c>
      <c r="P8" s="65"/>
    </row>
    <row r="9" spans="1:16" s="7" customFormat="1" ht="15">
      <c r="A9" s="155">
        <v>5</v>
      </c>
      <c r="B9" s="67" t="s">
        <v>638</v>
      </c>
      <c r="C9" s="49">
        <v>39423</v>
      </c>
      <c r="D9" s="53" t="s">
        <v>447</v>
      </c>
      <c r="E9" s="53" t="s">
        <v>405</v>
      </c>
      <c r="F9" s="87">
        <v>164</v>
      </c>
      <c r="G9" s="87">
        <v>146</v>
      </c>
      <c r="H9" s="87">
        <v>4</v>
      </c>
      <c r="I9" s="147">
        <v>295594.5</v>
      </c>
      <c r="J9" s="458">
        <v>39201</v>
      </c>
      <c r="K9" s="459">
        <f>IF(I9&lt;&gt;0,J9/G9,"")</f>
        <v>268.5</v>
      </c>
      <c r="L9" s="294">
        <f>IF(I9&lt;&gt;0,I9/J9,"")</f>
        <v>7.540483661131094</v>
      </c>
      <c r="M9" s="311">
        <f>1455428+896564.5+785700+295594.5</f>
        <v>3433287</v>
      </c>
      <c r="N9" s="456">
        <f>172176+105411+97548+39201</f>
        <v>414336</v>
      </c>
      <c r="O9" s="70">
        <f>IF(M9&lt;&gt;0,M9/N9,"")</f>
        <v>8.286238704819278</v>
      </c>
      <c r="P9" s="65"/>
    </row>
    <row r="10" spans="1:16" s="7" customFormat="1" ht="15">
      <c r="A10" s="155">
        <v>6</v>
      </c>
      <c r="B10" s="68" t="s">
        <v>660</v>
      </c>
      <c r="C10" s="49">
        <v>39437</v>
      </c>
      <c r="D10" s="160" t="s">
        <v>454</v>
      </c>
      <c r="E10" s="160" t="s">
        <v>457</v>
      </c>
      <c r="F10" s="51">
        <v>105</v>
      </c>
      <c r="G10" s="51">
        <v>105</v>
      </c>
      <c r="H10" s="51">
        <v>2</v>
      </c>
      <c r="I10" s="144">
        <v>223242</v>
      </c>
      <c r="J10" s="237">
        <v>25189</v>
      </c>
      <c r="K10" s="455">
        <f>J10/G10</f>
        <v>239.89523809523808</v>
      </c>
      <c r="L10" s="297">
        <f>I10/J10</f>
        <v>8.862678153162095</v>
      </c>
      <c r="M10" s="310">
        <v>619677</v>
      </c>
      <c r="N10" s="456">
        <v>70174</v>
      </c>
      <c r="O10" s="86">
        <f>M10/N10</f>
        <v>8.830578276854675</v>
      </c>
      <c r="P10" s="65"/>
    </row>
    <row r="11" spans="1:16" s="7" customFormat="1" ht="15">
      <c r="A11" s="155">
        <v>7</v>
      </c>
      <c r="B11" s="67" t="s">
        <v>700</v>
      </c>
      <c r="C11" s="49">
        <v>39444</v>
      </c>
      <c r="D11" s="54" t="s">
        <v>453</v>
      </c>
      <c r="E11" s="53" t="s">
        <v>466</v>
      </c>
      <c r="F11" s="87">
        <v>60</v>
      </c>
      <c r="G11" s="87">
        <v>60</v>
      </c>
      <c r="H11" s="87">
        <v>1</v>
      </c>
      <c r="I11" s="145">
        <v>211429</v>
      </c>
      <c r="J11" s="238">
        <v>22982</v>
      </c>
      <c r="K11" s="457">
        <f>J11/G11</f>
        <v>383.03333333333336</v>
      </c>
      <c r="L11" s="291">
        <f>I11/J11</f>
        <v>9.199765033504482</v>
      </c>
      <c r="M11" s="312">
        <v>211429</v>
      </c>
      <c r="N11" s="460">
        <v>22982</v>
      </c>
      <c r="O11" s="74">
        <f aca="true" t="shared" si="0" ref="O11:O16">+M11/N11</f>
        <v>9.199765033504482</v>
      </c>
      <c r="P11" s="65"/>
    </row>
    <row r="12" spans="1:16" s="7" customFormat="1" ht="15">
      <c r="A12" s="155">
        <v>8</v>
      </c>
      <c r="B12" s="67" t="s">
        <v>627</v>
      </c>
      <c r="C12" s="49">
        <v>39416</v>
      </c>
      <c r="D12" s="54" t="s">
        <v>453</v>
      </c>
      <c r="E12" s="53" t="s">
        <v>322</v>
      </c>
      <c r="F12" s="87">
        <v>123</v>
      </c>
      <c r="G12" s="87">
        <v>35</v>
      </c>
      <c r="H12" s="87">
        <v>5</v>
      </c>
      <c r="I12" s="145">
        <v>174199</v>
      </c>
      <c r="J12" s="238">
        <v>17821</v>
      </c>
      <c r="K12" s="457">
        <f>J12/G12</f>
        <v>509.1714285714286</v>
      </c>
      <c r="L12" s="291">
        <f>I12/J12</f>
        <v>9.774928455193312</v>
      </c>
      <c r="M12" s="312">
        <f>155416+1136619+622980+528056+225392+174199</f>
        <v>2842662</v>
      </c>
      <c r="N12" s="460">
        <f>12079+122083+66530+52286+18245+17821</f>
        <v>289044</v>
      </c>
      <c r="O12" s="74">
        <f t="shared" si="0"/>
        <v>9.834703366961431</v>
      </c>
      <c r="P12" s="65"/>
    </row>
    <row r="13" spans="1:16" s="7" customFormat="1" ht="15">
      <c r="A13" s="155">
        <v>9</v>
      </c>
      <c r="B13" s="68" t="s">
        <v>701</v>
      </c>
      <c r="C13" s="50">
        <v>39444</v>
      </c>
      <c r="D13" s="55" t="s">
        <v>277</v>
      </c>
      <c r="E13" s="55" t="s">
        <v>235</v>
      </c>
      <c r="F13" s="162">
        <v>25</v>
      </c>
      <c r="G13" s="162">
        <v>25</v>
      </c>
      <c r="H13" s="162">
        <v>1</v>
      </c>
      <c r="I13" s="145">
        <v>165460.25</v>
      </c>
      <c r="J13" s="238">
        <v>16080</v>
      </c>
      <c r="K13" s="457">
        <f>J13/G13</f>
        <v>643.2</v>
      </c>
      <c r="L13" s="291">
        <f>I13/J13</f>
        <v>10.289816542288557</v>
      </c>
      <c r="M13" s="312">
        <v>165460.25</v>
      </c>
      <c r="N13" s="460">
        <v>16080</v>
      </c>
      <c r="O13" s="74">
        <f t="shared" si="0"/>
        <v>10.289816542288557</v>
      </c>
      <c r="P13" s="65"/>
    </row>
    <row r="14" spans="1:16" s="7" customFormat="1" ht="15">
      <c r="A14" s="155">
        <v>10</v>
      </c>
      <c r="B14" s="69" t="s">
        <v>702</v>
      </c>
      <c r="C14" s="49">
        <v>39444</v>
      </c>
      <c r="D14" s="56" t="s">
        <v>637</v>
      </c>
      <c r="E14" s="56" t="s">
        <v>560</v>
      </c>
      <c r="F14" s="72">
        <v>14</v>
      </c>
      <c r="G14" s="72">
        <v>14</v>
      </c>
      <c r="H14" s="72">
        <v>1</v>
      </c>
      <c r="I14" s="145">
        <v>151459</v>
      </c>
      <c r="J14" s="238">
        <v>14052</v>
      </c>
      <c r="K14" s="459">
        <f>+J14/G14</f>
        <v>1003.7142857142857</v>
      </c>
      <c r="L14" s="294">
        <f>+I14/J14</f>
        <v>10.778465698832907</v>
      </c>
      <c r="M14" s="312">
        <v>151459</v>
      </c>
      <c r="N14" s="460">
        <v>14052</v>
      </c>
      <c r="O14" s="70">
        <f t="shared" si="0"/>
        <v>10.778465698832907</v>
      </c>
      <c r="P14" s="65"/>
    </row>
    <row r="15" spans="1:16" s="7" customFormat="1" ht="15">
      <c r="A15" s="155">
        <v>11</v>
      </c>
      <c r="B15" s="67" t="s">
        <v>661</v>
      </c>
      <c r="C15" s="49">
        <v>39437</v>
      </c>
      <c r="D15" s="54" t="s">
        <v>453</v>
      </c>
      <c r="E15" s="53" t="s">
        <v>401</v>
      </c>
      <c r="F15" s="87">
        <v>49</v>
      </c>
      <c r="G15" s="87">
        <v>49</v>
      </c>
      <c r="H15" s="87">
        <v>2</v>
      </c>
      <c r="I15" s="145">
        <v>150950</v>
      </c>
      <c r="J15" s="238">
        <v>15898</v>
      </c>
      <c r="K15" s="457">
        <f aca="true" t="shared" si="1" ref="K15:K26">J15/G15</f>
        <v>324.44897959183675</v>
      </c>
      <c r="L15" s="291">
        <f aca="true" t="shared" si="2" ref="L15:L26">I15/J15</f>
        <v>9.494905019499308</v>
      </c>
      <c r="M15" s="312">
        <f>265356+150950</f>
        <v>416306</v>
      </c>
      <c r="N15" s="460">
        <f>28419+15898</f>
        <v>44317</v>
      </c>
      <c r="O15" s="74">
        <f t="shared" si="0"/>
        <v>9.393821783965521</v>
      </c>
      <c r="P15" s="65"/>
    </row>
    <row r="16" spans="1:16" s="7" customFormat="1" ht="15">
      <c r="A16" s="155">
        <v>12</v>
      </c>
      <c r="B16" s="69" t="s">
        <v>643</v>
      </c>
      <c r="C16" s="49">
        <v>39430</v>
      </c>
      <c r="D16" s="56" t="s">
        <v>302</v>
      </c>
      <c r="E16" s="56" t="s">
        <v>703</v>
      </c>
      <c r="F16" s="88" t="s">
        <v>644</v>
      </c>
      <c r="G16" s="88" t="s">
        <v>695</v>
      </c>
      <c r="H16" s="88" t="s">
        <v>648</v>
      </c>
      <c r="I16" s="145">
        <v>147216</v>
      </c>
      <c r="J16" s="238">
        <v>20976</v>
      </c>
      <c r="K16" s="457">
        <f t="shared" si="1"/>
        <v>355.52542372881356</v>
      </c>
      <c r="L16" s="291">
        <f t="shared" si="2"/>
        <v>7.018306636155606</v>
      </c>
      <c r="M16" s="312">
        <v>1134581.24</v>
      </c>
      <c r="N16" s="460">
        <v>141594</v>
      </c>
      <c r="O16" s="74">
        <f t="shared" si="0"/>
        <v>8.012918908993319</v>
      </c>
      <c r="P16" s="65"/>
    </row>
    <row r="17" spans="1:16" s="7" customFormat="1" ht="15">
      <c r="A17" s="155">
        <v>13</v>
      </c>
      <c r="B17" s="69" t="s">
        <v>662</v>
      </c>
      <c r="C17" s="49">
        <v>39437</v>
      </c>
      <c r="D17" s="57" t="s">
        <v>460</v>
      </c>
      <c r="E17" s="57" t="s">
        <v>278</v>
      </c>
      <c r="F17" s="102">
        <v>17</v>
      </c>
      <c r="G17" s="102">
        <v>17</v>
      </c>
      <c r="H17" s="102">
        <v>2</v>
      </c>
      <c r="I17" s="146">
        <v>85999</v>
      </c>
      <c r="J17" s="239">
        <v>7723</v>
      </c>
      <c r="K17" s="455">
        <f t="shared" si="1"/>
        <v>454.29411764705884</v>
      </c>
      <c r="L17" s="297">
        <f t="shared" si="2"/>
        <v>11.135439596011912</v>
      </c>
      <c r="M17" s="313">
        <v>248261</v>
      </c>
      <c r="N17" s="455">
        <v>22888</v>
      </c>
      <c r="O17" s="86">
        <f>M17/N17</f>
        <v>10.846775602936036</v>
      </c>
      <c r="P17" s="65"/>
    </row>
    <row r="18" spans="1:16" s="7" customFormat="1" ht="15">
      <c r="A18" s="155">
        <v>14</v>
      </c>
      <c r="B18" s="68" t="s">
        <v>645</v>
      </c>
      <c r="C18" s="50">
        <v>39430</v>
      </c>
      <c r="D18" s="55" t="s">
        <v>455</v>
      </c>
      <c r="E18" s="55" t="s">
        <v>456</v>
      </c>
      <c r="F18" s="87">
        <v>64</v>
      </c>
      <c r="G18" s="51">
        <v>58</v>
      </c>
      <c r="H18" s="51">
        <v>3</v>
      </c>
      <c r="I18" s="144">
        <v>67824</v>
      </c>
      <c r="J18" s="237">
        <v>8620</v>
      </c>
      <c r="K18" s="457">
        <f t="shared" si="1"/>
        <v>148.6206896551724</v>
      </c>
      <c r="L18" s="291">
        <f t="shared" si="2"/>
        <v>7.868213457076566</v>
      </c>
      <c r="M18" s="310">
        <f>183581+192120.5+67824</f>
        <v>443525.5</v>
      </c>
      <c r="N18" s="456">
        <f>20071+21989+8620</f>
        <v>50680</v>
      </c>
      <c r="O18" s="74">
        <f>+M18/N18</f>
        <v>8.751489739542226</v>
      </c>
      <c r="P18" s="65"/>
    </row>
    <row r="19" spans="1:16" s="7" customFormat="1" ht="15">
      <c r="A19" s="155">
        <v>15</v>
      </c>
      <c r="B19" s="68" t="s">
        <v>635</v>
      </c>
      <c r="C19" s="50">
        <v>39423</v>
      </c>
      <c r="D19" s="55" t="s">
        <v>455</v>
      </c>
      <c r="E19" s="55" t="s">
        <v>456</v>
      </c>
      <c r="F19" s="51">
        <v>40</v>
      </c>
      <c r="G19" s="51">
        <v>39</v>
      </c>
      <c r="H19" s="51">
        <v>4</v>
      </c>
      <c r="I19" s="144">
        <v>43492.5</v>
      </c>
      <c r="J19" s="237">
        <v>7059</v>
      </c>
      <c r="K19" s="457">
        <f t="shared" si="1"/>
        <v>181</v>
      </c>
      <c r="L19" s="291">
        <f t="shared" si="2"/>
        <v>6.161283467913302</v>
      </c>
      <c r="M19" s="310">
        <f>337397.5+246059+95618.5+43492.5</f>
        <v>722567.5</v>
      </c>
      <c r="N19" s="456">
        <f>35596+24953+11024+7059</f>
        <v>78632</v>
      </c>
      <c r="O19" s="74">
        <f>+M19/N19</f>
        <v>9.189229575745244</v>
      </c>
      <c r="P19" s="65"/>
    </row>
    <row r="20" spans="1:16" s="7" customFormat="1" ht="15">
      <c r="A20" s="155">
        <v>16</v>
      </c>
      <c r="B20" s="68" t="s">
        <v>71</v>
      </c>
      <c r="C20" s="50">
        <v>39402</v>
      </c>
      <c r="D20" s="55" t="s">
        <v>455</v>
      </c>
      <c r="E20" s="55" t="s">
        <v>636</v>
      </c>
      <c r="F20" s="51">
        <v>125</v>
      </c>
      <c r="G20" s="51">
        <v>13</v>
      </c>
      <c r="H20" s="51">
        <v>7</v>
      </c>
      <c r="I20" s="144">
        <v>32233.5</v>
      </c>
      <c r="J20" s="237">
        <v>6020</v>
      </c>
      <c r="K20" s="457">
        <f t="shared" si="1"/>
        <v>463.0769230769231</v>
      </c>
      <c r="L20" s="291">
        <f t="shared" si="2"/>
        <v>5.354401993355482</v>
      </c>
      <c r="M20" s="310">
        <f>676439.5+554539.5+408532.5+265092+4+63975.5-30+36417+32233.5</f>
        <v>2037203.5</v>
      </c>
      <c r="N20" s="456">
        <f>91933+76364+57186+39863+2+10711+6714+6020</f>
        <v>288793</v>
      </c>
      <c r="O20" s="74">
        <f>+M20/N20</f>
        <v>7.054199720907363</v>
      </c>
      <c r="P20" s="65"/>
    </row>
    <row r="21" spans="1:16" s="7" customFormat="1" ht="15">
      <c r="A21" s="155">
        <v>17</v>
      </c>
      <c r="B21" s="69" t="s">
        <v>663</v>
      </c>
      <c r="C21" s="49">
        <v>39437</v>
      </c>
      <c r="D21" s="56" t="s">
        <v>468</v>
      </c>
      <c r="E21" s="56" t="s">
        <v>398</v>
      </c>
      <c r="F21" s="88" t="s">
        <v>664</v>
      </c>
      <c r="G21" s="88" t="s">
        <v>664</v>
      </c>
      <c r="H21" s="88" t="s">
        <v>299</v>
      </c>
      <c r="I21" s="145">
        <v>20236.5</v>
      </c>
      <c r="J21" s="238">
        <v>2078</v>
      </c>
      <c r="K21" s="457">
        <f t="shared" si="1"/>
        <v>83.12</v>
      </c>
      <c r="L21" s="291">
        <f t="shared" si="2"/>
        <v>9.738450433108758</v>
      </c>
      <c r="M21" s="312">
        <v>74201</v>
      </c>
      <c r="N21" s="460">
        <v>7533</v>
      </c>
      <c r="O21" s="74">
        <f>+M21/N21</f>
        <v>9.850126111774857</v>
      </c>
      <c r="P21" s="65"/>
    </row>
    <row r="22" spans="1:16" s="7" customFormat="1" ht="15">
      <c r="A22" s="155">
        <v>18</v>
      </c>
      <c r="B22" s="68" t="s">
        <v>537</v>
      </c>
      <c r="C22" s="50">
        <v>39409</v>
      </c>
      <c r="D22" s="160" t="s">
        <v>454</v>
      </c>
      <c r="E22" s="160" t="s">
        <v>459</v>
      </c>
      <c r="F22" s="51">
        <v>55</v>
      </c>
      <c r="G22" s="51">
        <v>11</v>
      </c>
      <c r="H22" s="51">
        <v>6</v>
      </c>
      <c r="I22" s="144">
        <v>16092</v>
      </c>
      <c r="J22" s="237">
        <v>3000</v>
      </c>
      <c r="K22" s="455">
        <f t="shared" si="1"/>
        <v>272.72727272727275</v>
      </c>
      <c r="L22" s="297">
        <f t="shared" si="2"/>
        <v>5.364</v>
      </c>
      <c r="M22" s="310">
        <v>1088818</v>
      </c>
      <c r="N22" s="456">
        <v>112558</v>
      </c>
      <c r="O22" s="86">
        <f>M22/N22</f>
        <v>9.673395049663284</v>
      </c>
      <c r="P22" s="65"/>
    </row>
    <row r="23" spans="1:16" s="7" customFormat="1" ht="15">
      <c r="A23" s="155">
        <v>19</v>
      </c>
      <c r="B23" s="69" t="s">
        <v>704</v>
      </c>
      <c r="C23" s="49">
        <v>39444</v>
      </c>
      <c r="D23" s="56" t="s">
        <v>302</v>
      </c>
      <c r="E23" s="56" t="s">
        <v>705</v>
      </c>
      <c r="F23" s="88" t="s">
        <v>672</v>
      </c>
      <c r="G23" s="88" t="s">
        <v>672</v>
      </c>
      <c r="H23" s="88" t="s">
        <v>276</v>
      </c>
      <c r="I23" s="145">
        <v>15186.5</v>
      </c>
      <c r="J23" s="238">
        <v>1751</v>
      </c>
      <c r="K23" s="457">
        <f t="shared" si="1"/>
        <v>194.55555555555554</v>
      </c>
      <c r="L23" s="291">
        <f t="shared" si="2"/>
        <v>8.673043974871502</v>
      </c>
      <c r="M23" s="312">
        <v>15186.5</v>
      </c>
      <c r="N23" s="460">
        <v>1751</v>
      </c>
      <c r="O23" s="74">
        <f>+M23/N23</f>
        <v>8.673043974871502</v>
      </c>
      <c r="P23" s="65"/>
    </row>
    <row r="24" spans="1:16" s="7" customFormat="1" ht="15">
      <c r="A24" s="155">
        <v>20</v>
      </c>
      <c r="B24" s="69" t="s">
        <v>673</v>
      </c>
      <c r="C24" s="50">
        <v>39437</v>
      </c>
      <c r="D24" s="56" t="s">
        <v>277</v>
      </c>
      <c r="E24" s="56" t="s">
        <v>665</v>
      </c>
      <c r="F24" s="161">
        <v>7</v>
      </c>
      <c r="G24" s="162">
        <v>7</v>
      </c>
      <c r="H24" s="161">
        <v>2</v>
      </c>
      <c r="I24" s="145">
        <v>10994.5</v>
      </c>
      <c r="J24" s="238">
        <v>1514</v>
      </c>
      <c r="K24" s="457">
        <f t="shared" si="1"/>
        <v>216.28571428571428</v>
      </c>
      <c r="L24" s="291">
        <f t="shared" si="2"/>
        <v>7.261889035667107</v>
      </c>
      <c r="M24" s="312">
        <v>37011</v>
      </c>
      <c r="N24" s="460">
        <v>4624</v>
      </c>
      <c r="O24" s="74">
        <f>+M24/N24</f>
        <v>8.004108996539792</v>
      </c>
      <c r="P24" s="65"/>
    </row>
    <row r="25" spans="1:16" s="7" customFormat="1" ht="15">
      <c r="A25" s="155">
        <v>21</v>
      </c>
      <c r="B25" s="68" t="s">
        <v>70</v>
      </c>
      <c r="C25" s="50">
        <v>39402</v>
      </c>
      <c r="D25" s="160" t="s">
        <v>454</v>
      </c>
      <c r="E25" s="160" t="s">
        <v>641</v>
      </c>
      <c r="F25" s="51">
        <v>130</v>
      </c>
      <c r="G25" s="51">
        <v>21</v>
      </c>
      <c r="H25" s="51">
        <v>7</v>
      </c>
      <c r="I25" s="144">
        <v>10104</v>
      </c>
      <c r="J25" s="237">
        <v>2000</v>
      </c>
      <c r="K25" s="455">
        <f t="shared" si="1"/>
        <v>95.23809523809524</v>
      </c>
      <c r="L25" s="297">
        <f t="shared" si="2"/>
        <v>5.052</v>
      </c>
      <c r="M25" s="310">
        <v>2073004</v>
      </c>
      <c r="N25" s="456">
        <v>259801</v>
      </c>
      <c r="O25" s="86">
        <f>M25/N25</f>
        <v>7.979199464205296</v>
      </c>
      <c r="P25" s="65"/>
    </row>
    <row r="26" spans="1:16" s="7" customFormat="1" ht="15">
      <c r="A26" s="155">
        <v>22</v>
      </c>
      <c r="B26" s="68" t="s">
        <v>706</v>
      </c>
      <c r="C26" s="50">
        <v>39444</v>
      </c>
      <c r="D26" s="55" t="s">
        <v>455</v>
      </c>
      <c r="E26" s="55" t="s">
        <v>707</v>
      </c>
      <c r="F26" s="87">
        <v>10</v>
      </c>
      <c r="G26" s="51">
        <v>10</v>
      </c>
      <c r="H26" s="51">
        <v>1</v>
      </c>
      <c r="I26" s="144">
        <v>8804</v>
      </c>
      <c r="J26" s="237">
        <v>970</v>
      </c>
      <c r="K26" s="457">
        <f t="shared" si="1"/>
        <v>97</v>
      </c>
      <c r="L26" s="291">
        <f t="shared" si="2"/>
        <v>9.076288659793814</v>
      </c>
      <c r="M26" s="310">
        <f>8804</f>
        <v>8804</v>
      </c>
      <c r="N26" s="456">
        <f>970</f>
        <v>970</v>
      </c>
      <c r="O26" s="74">
        <f>+M26/N26</f>
        <v>9.076288659793814</v>
      </c>
      <c r="P26" s="65"/>
    </row>
    <row r="27" spans="1:16" s="7" customFormat="1" ht="15">
      <c r="A27" s="155">
        <v>23</v>
      </c>
      <c r="B27" s="104" t="s">
        <v>540</v>
      </c>
      <c r="C27" s="80">
        <v>39416</v>
      </c>
      <c r="D27" s="148" t="s">
        <v>514</v>
      </c>
      <c r="E27" s="148" t="s">
        <v>424</v>
      </c>
      <c r="F27" s="142">
        <v>45</v>
      </c>
      <c r="G27" s="143">
        <v>17</v>
      </c>
      <c r="H27" s="143">
        <v>5</v>
      </c>
      <c r="I27" s="461">
        <v>7936</v>
      </c>
      <c r="J27" s="462">
        <v>1567</v>
      </c>
      <c r="K27" s="463">
        <v>92.17647058823529</v>
      </c>
      <c r="L27" s="296">
        <v>5.0644543714103385</v>
      </c>
      <c r="M27" s="464">
        <v>165232</v>
      </c>
      <c r="N27" s="465">
        <v>23701</v>
      </c>
      <c r="O27" s="153">
        <v>6.97152018902156</v>
      </c>
      <c r="P27" s="65"/>
    </row>
    <row r="28" spans="1:16" s="7" customFormat="1" ht="15">
      <c r="A28" s="155">
        <v>24</v>
      </c>
      <c r="B28" s="67" t="s">
        <v>626</v>
      </c>
      <c r="C28" s="49">
        <v>39409</v>
      </c>
      <c r="D28" s="54" t="s">
        <v>453</v>
      </c>
      <c r="E28" s="53" t="s">
        <v>466</v>
      </c>
      <c r="F28" s="87">
        <v>69</v>
      </c>
      <c r="G28" s="87">
        <v>9</v>
      </c>
      <c r="H28" s="87">
        <v>6</v>
      </c>
      <c r="I28" s="145">
        <v>7291</v>
      </c>
      <c r="J28" s="238">
        <v>1523</v>
      </c>
      <c r="K28" s="457">
        <f>J28/G28</f>
        <v>169.22222222222223</v>
      </c>
      <c r="L28" s="291">
        <f>I28/J28</f>
        <v>4.787261982928431</v>
      </c>
      <c r="M28" s="312">
        <f>387069+277494+166747+4993+4045+7291</f>
        <v>847639</v>
      </c>
      <c r="N28" s="460">
        <f>37017+27892+17708+698+855+1523</f>
        <v>85693</v>
      </c>
      <c r="O28" s="74">
        <f aca="true" t="shared" si="3" ref="O28:O37">+M28/N28</f>
        <v>9.891578075222013</v>
      </c>
      <c r="P28" s="65"/>
    </row>
    <row r="29" spans="1:16" s="7" customFormat="1" ht="15">
      <c r="A29" s="155">
        <v>25</v>
      </c>
      <c r="B29" s="68" t="s">
        <v>646</v>
      </c>
      <c r="C29" s="50">
        <v>39430</v>
      </c>
      <c r="D29" s="55" t="s">
        <v>455</v>
      </c>
      <c r="E29" s="55" t="s">
        <v>647</v>
      </c>
      <c r="F29" s="51">
        <v>43</v>
      </c>
      <c r="G29" s="51">
        <v>11</v>
      </c>
      <c r="H29" s="51">
        <v>3</v>
      </c>
      <c r="I29" s="144">
        <v>5226.5</v>
      </c>
      <c r="J29" s="237">
        <v>870</v>
      </c>
      <c r="K29" s="457">
        <f>J29/G29</f>
        <v>79.0909090909091</v>
      </c>
      <c r="L29" s="291">
        <f>I29/J29</f>
        <v>6.007471264367816</v>
      </c>
      <c r="M29" s="310">
        <f>43240+25728.5+5226.5</f>
        <v>74195</v>
      </c>
      <c r="N29" s="456">
        <f>5272+3593+870</f>
        <v>9735</v>
      </c>
      <c r="O29" s="74">
        <f t="shared" si="3"/>
        <v>7.621468926553672</v>
      </c>
      <c r="P29" s="65"/>
    </row>
    <row r="30" spans="1:16" s="7" customFormat="1" ht="15">
      <c r="A30" s="155">
        <v>26</v>
      </c>
      <c r="B30" s="67" t="s">
        <v>147</v>
      </c>
      <c r="C30" s="49">
        <v>39402</v>
      </c>
      <c r="D30" s="54" t="s">
        <v>453</v>
      </c>
      <c r="E30" s="53" t="s">
        <v>466</v>
      </c>
      <c r="F30" s="87">
        <v>64</v>
      </c>
      <c r="G30" s="87">
        <v>5</v>
      </c>
      <c r="H30" s="87">
        <v>7</v>
      </c>
      <c r="I30" s="145">
        <v>4053</v>
      </c>
      <c r="J30" s="238">
        <v>867</v>
      </c>
      <c r="K30" s="457">
        <f>J30/G30</f>
        <v>173.4</v>
      </c>
      <c r="L30" s="291">
        <f>I30/J30</f>
        <v>4.674740484429066</v>
      </c>
      <c r="M30" s="312">
        <f>299858+213967+97347+22667+8568+16509+4053</f>
        <v>662969</v>
      </c>
      <c r="N30" s="460">
        <f>33225+24189+12517+4002+2479+2973+867</f>
        <v>80252</v>
      </c>
      <c r="O30" s="74">
        <f t="shared" si="3"/>
        <v>8.261090066291183</v>
      </c>
      <c r="P30" s="65"/>
    </row>
    <row r="31" spans="1:16" s="7" customFormat="1" ht="15">
      <c r="A31" s="155">
        <v>27</v>
      </c>
      <c r="B31" s="67" t="s">
        <v>64</v>
      </c>
      <c r="C31" s="49">
        <v>39402</v>
      </c>
      <c r="D31" s="54" t="s">
        <v>453</v>
      </c>
      <c r="E31" s="53" t="s">
        <v>322</v>
      </c>
      <c r="F31" s="87">
        <v>20</v>
      </c>
      <c r="G31" s="87">
        <v>2</v>
      </c>
      <c r="H31" s="87">
        <v>7</v>
      </c>
      <c r="I31" s="145">
        <v>3662</v>
      </c>
      <c r="J31" s="238">
        <v>549</v>
      </c>
      <c r="K31" s="457">
        <f>J31/G31</f>
        <v>274.5</v>
      </c>
      <c r="L31" s="291">
        <f>I31/J31</f>
        <v>6.6703096539162114</v>
      </c>
      <c r="M31" s="312">
        <f>8296+141704+66729+20126+11859+581+2076+3662</f>
        <v>255033</v>
      </c>
      <c r="N31" s="460">
        <f>702+12499+6089+1727+1871+101+444+549</f>
        <v>23982</v>
      </c>
      <c r="O31" s="74">
        <f t="shared" si="3"/>
        <v>10.634350763072304</v>
      </c>
      <c r="P31" s="65"/>
    </row>
    <row r="32" spans="1:16" s="7" customFormat="1" ht="15">
      <c r="A32" s="155">
        <v>28</v>
      </c>
      <c r="B32" s="69" t="s">
        <v>544</v>
      </c>
      <c r="C32" s="50">
        <v>39416</v>
      </c>
      <c r="D32" s="56" t="s">
        <v>277</v>
      </c>
      <c r="E32" s="56" t="s">
        <v>364</v>
      </c>
      <c r="F32" s="161">
        <v>4</v>
      </c>
      <c r="G32" s="162">
        <v>3</v>
      </c>
      <c r="H32" s="161">
        <v>5</v>
      </c>
      <c r="I32" s="145">
        <v>3129</v>
      </c>
      <c r="J32" s="238">
        <v>409</v>
      </c>
      <c r="K32" s="457">
        <f>J32/G32</f>
        <v>136.33333333333334</v>
      </c>
      <c r="L32" s="291">
        <f>I32/J32</f>
        <v>7.65036674816626</v>
      </c>
      <c r="M32" s="312">
        <v>40174</v>
      </c>
      <c r="N32" s="460">
        <v>4086</v>
      </c>
      <c r="O32" s="74">
        <f t="shared" si="3"/>
        <v>9.83210964268233</v>
      </c>
      <c r="P32" s="65"/>
    </row>
    <row r="33" spans="1:16" s="7" customFormat="1" ht="15">
      <c r="A33" s="155">
        <v>29</v>
      </c>
      <c r="B33" s="69" t="s">
        <v>715</v>
      </c>
      <c r="C33" s="49">
        <v>39423</v>
      </c>
      <c r="D33" s="56" t="s">
        <v>637</v>
      </c>
      <c r="E33" s="56" t="s">
        <v>716</v>
      </c>
      <c r="F33" s="72">
        <v>1</v>
      </c>
      <c r="G33" s="72">
        <v>1</v>
      </c>
      <c r="H33" s="72">
        <v>4</v>
      </c>
      <c r="I33" s="145">
        <v>3100</v>
      </c>
      <c r="J33" s="238">
        <v>411</v>
      </c>
      <c r="K33" s="459">
        <f>+J33/G33</f>
        <v>411</v>
      </c>
      <c r="L33" s="294">
        <f>+I33/J33</f>
        <v>7.542579075425791</v>
      </c>
      <c r="M33" s="312">
        <v>18911</v>
      </c>
      <c r="N33" s="460">
        <v>1619</v>
      </c>
      <c r="O33" s="70">
        <f t="shared" si="3"/>
        <v>11.680667078443484</v>
      </c>
      <c r="P33" s="65"/>
    </row>
    <row r="34" spans="1:16" s="7" customFormat="1" ht="15">
      <c r="A34" s="155">
        <v>30</v>
      </c>
      <c r="B34" s="68" t="s">
        <v>541</v>
      </c>
      <c r="C34" s="50">
        <v>39416</v>
      </c>
      <c r="D34" s="55" t="s">
        <v>455</v>
      </c>
      <c r="E34" s="55" t="s">
        <v>52</v>
      </c>
      <c r="F34" s="51">
        <v>20</v>
      </c>
      <c r="G34" s="51">
        <v>4</v>
      </c>
      <c r="H34" s="51">
        <v>5</v>
      </c>
      <c r="I34" s="144">
        <v>2909.5</v>
      </c>
      <c r="J34" s="237">
        <v>363</v>
      </c>
      <c r="K34" s="457">
        <f aca="true" t="shared" si="4" ref="K34:K43">J34/G34</f>
        <v>90.75</v>
      </c>
      <c r="L34" s="291">
        <f aca="true" t="shared" si="5" ref="L34:L43">I34/J34</f>
        <v>8.015151515151516</v>
      </c>
      <c r="M34" s="310">
        <f>75692.5+51302+12584.5+2036+2909.5</f>
        <v>144524.5</v>
      </c>
      <c r="N34" s="456">
        <f>7291+5230+1727+233+363</f>
        <v>14844</v>
      </c>
      <c r="O34" s="74">
        <f t="shared" si="3"/>
        <v>9.736223389921854</v>
      </c>
      <c r="P34" s="65"/>
    </row>
    <row r="35" spans="1:16" s="7" customFormat="1" ht="15">
      <c r="A35" s="155">
        <v>31</v>
      </c>
      <c r="B35" s="69" t="s">
        <v>666</v>
      </c>
      <c r="C35" s="50">
        <v>39437</v>
      </c>
      <c r="D35" s="56" t="s">
        <v>277</v>
      </c>
      <c r="E35" s="56" t="s">
        <v>404</v>
      </c>
      <c r="F35" s="161">
        <v>1</v>
      </c>
      <c r="G35" s="162">
        <v>1</v>
      </c>
      <c r="H35" s="161">
        <v>2</v>
      </c>
      <c r="I35" s="145">
        <v>2832</v>
      </c>
      <c r="J35" s="238">
        <v>326</v>
      </c>
      <c r="K35" s="457">
        <f t="shared" si="4"/>
        <v>326</v>
      </c>
      <c r="L35" s="291">
        <f t="shared" si="5"/>
        <v>8.687116564417177</v>
      </c>
      <c r="M35" s="312">
        <v>21036.2</v>
      </c>
      <c r="N35" s="460">
        <v>2956</v>
      </c>
      <c r="O35" s="74">
        <f t="shared" si="3"/>
        <v>7.1164411366711775</v>
      </c>
      <c r="P35" s="65"/>
    </row>
    <row r="36" spans="1:16" s="7" customFormat="1" ht="15">
      <c r="A36" s="155">
        <v>32</v>
      </c>
      <c r="B36" s="69" t="s">
        <v>340</v>
      </c>
      <c r="C36" s="50">
        <v>39381</v>
      </c>
      <c r="D36" s="56" t="s">
        <v>277</v>
      </c>
      <c r="E36" s="56" t="s">
        <v>341</v>
      </c>
      <c r="F36" s="161">
        <v>11</v>
      </c>
      <c r="G36" s="162">
        <v>4</v>
      </c>
      <c r="H36" s="161">
        <v>10</v>
      </c>
      <c r="I36" s="145">
        <v>2582.5</v>
      </c>
      <c r="J36" s="238">
        <v>597</v>
      </c>
      <c r="K36" s="457">
        <f t="shared" si="4"/>
        <v>149.25</v>
      </c>
      <c r="L36" s="291">
        <f t="shared" si="5"/>
        <v>4.325795644891122</v>
      </c>
      <c r="M36" s="312">
        <v>217438.7</v>
      </c>
      <c r="N36" s="460">
        <v>24247</v>
      </c>
      <c r="O36" s="74">
        <f t="shared" si="3"/>
        <v>8.967653730358395</v>
      </c>
      <c r="P36" s="65"/>
    </row>
    <row r="37" spans="1:16" s="7" customFormat="1" ht="15">
      <c r="A37" s="155">
        <v>33</v>
      </c>
      <c r="B37" s="68" t="s">
        <v>129</v>
      </c>
      <c r="C37" s="50">
        <v>38674</v>
      </c>
      <c r="D37" s="55" t="s">
        <v>455</v>
      </c>
      <c r="E37" s="160" t="s">
        <v>475</v>
      </c>
      <c r="F37" s="87">
        <v>138</v>
      </c>
      <c r="G37" s="51">
        <v>1</v>
      </c>
      <c r="H37" s="51">
        <v>68</v>
      </c>
      <c r="I37" s="144">
        <v>2376</v>
      </c>
      <c r="J37" s="237">
        <v>594</v>
      </c>
      <c r="K37" s="457">
        <f t="shared" si="4"/>
        <v>594</v>
      </c>
      <c r="L37" s="291">
        <f t="shared" si="5"/>
        <v>4</v>
      </c>
      <c r="M37" s="310">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+2013.5+1188+3565+3564+2376+50+40+1540.5+1510.5+2013.5+1510.5+2376</f>
        <v>25440994</v>
      </c>
      <c r="N37" s="456">
        <f>74406+182802+367017+453161+369242+239307+216443+244832+235512+212084+230729+167361+134787+155924+132040+97910+71996+60438+31787+16691+9973+5959+2986+3569+5752+1319+6383+116+74+2435+21718+7677+8998+2322+3842+5954+1789+5799+2025+141+20137+7199+1304+37+1142+84+717+103+476+105+238+96+1007+806+357+503+297+891+891+594+10+8+384+378+503+378+594</f>
        <v>3832539</v>
      </c>
      <c r="O37" s="74">
        <f t="shared" si="3"/>
        <v>6.6381565849688675</v>
      </c>
      <c r="P37" s="65"/>
    </row>
    <row r="38" spans="1:16" s="7" customFormat="1" ht="15">
      <c r="A38" s="155">
        <v>34</v>
      </c>
      <c r="B38" s="68" t="s">
        <v>651</v>
      </c>
      <c r="C38" s="50">
        <v>39388</v>
      </c>
      <c r="D38" s="160" t="s">
        <v>454</v>
      </c>
      <c r="E38" s="160" t="s">
        <v>459</v>
      </c>
      <c r="F38" s="51">
        <v>60</v>
      </c>
      <c r="G38" s="51">
        <v>1</v>
      </c>
      <c r="H38" s="51">
        <v>9</v>
      </c>
      <c r="I38" s="144">
        <v>2360</v>
      </c>
      <c r="J38" s="237">
        <v>1000</v>
      </c>
      <c r="K38" s="455">
        <f t="shared" si="4"/>
        <v>1000</v>
      </c>
      <c r="L38" s="297">
        <f t="shared" si="5"/>
        <v>2.36</v>
      </c>
      <c r="M38" s="310">
        <v>603990</v>
      </c>
      <c r="N38" s="456">
        <v>65857</v>
      </c>
      <c r="O38" s="86">
        <f>M38/N38</f>
        <v>9.171234644760618</v>
      </c>
      <c r="P38" s="65"/>
    </row>
    <row r="39" spans="1:16" s="7" customFormat="1" ht="15">
      <c r="A39" s="155">
        <v>35</v>
      </c>
      <c r="B39" s="69" t="s">
        <v>538</v>
      </c>
      <c r="C39" s="49">
        <v>39416</v>
      </c>
      <c r="D39" s="56" t="s">
        <v>468</v>
      </c>
      <c r="E39" s="56" t="s">
        <v>398</v>
      </c>
      <c r="F39" s="88" t="s">
        <v>539</v>
      </c>
      <c r="G39" s="88" t="s">
        <v>289</v>
      </c>
      <c r="H39" s="88" t="s">
        <v>289</v>
      </c>
      <c r="I39" s="145">
        <v>2003</v>
      </c>
      <c r="J39" s="238">
        <v>336</v>
      </c>
      <c r="K39" s="457">
        <f t="shared" si="4"/>
        <v>67.2</v>
      </c>
      <c r="L39" s="291">
        <f t="shared" si="5"/>
        <v>5.961309523809524</v>
      </c>
      <c r="M39" s="312">
        <v>257223</v>
      </c>
      <c r="N39" s="460">
        <v>27338</v>
      </c>
      <c r="O39" s="74">
        <f>+M39/N39</f>
        <v>9.408991147852806</v>
      </c>
      <c r="P39" s="65"/>
    </row>
    <row r="40" spans="1:16" s="7" customFormat="1" ht="15">
      <c r="A40" s="155">
        <v>36</v>
      </c>
      <c r="B40" s="67" t="s">
        <v>536</v>
      </c>
      <c r="C40" s="49">
        <v>39374</v>
      </c>
      <c r="D40" s="54" t="s">
        <v>453</v>
      </c>
      <c r="E40" s="53" t="s">
        <v>322</v>
      </c>
      <c r="F40" s="87">
        <v>49</v>
      </c>
      <c r="G40" s="87">
        <v>1</v>
      </c>
      <c r="H40" s="87">
        <v>10</v>
      </c>
      <c r="I40" s="145">
        <v>1782</v>
      </c>
      <c r="J40" s="238">
        <v>891</v>
      </c>
      <c r="K40" s="457">
        <f t="shared" si="4"/>
        <v>891</v>
      </c>
      <c r="L40" s="291">
        <f t="shared" si="5"/>
        <v>2</v>
      </c>
      <c r="M40" s="312">
        <f>361702+261508+97150+37062+18423+10254+6747+2100+950+1782</f>
        <v>797678</v>
      </c>
      <c r="N40" s="460">
        <f>36469+26535+10186+6411+3460+1730+1266+491+475+891</f>
        <v>87914</v>
      </c>
      <c r="O40" s="74">
        <f>+M40/N40</f>
        <v>9.073389903769593</v>
      </c>
      <c r="P40" s="65"/>
    </row>
    <row r="41" spans="1:16" s="7" customFormat="1" ht="15">
      <c r="A41" s="155">
        <v>37</v>
      </c>
      <c r="B41" s="68" t="s">
        <v>708</v>
      </c>
      <c r="C41" s="50">
        <v>39395</v>
      </c>
      <c r="D41" s="55" t="s">
        <v>455</v>
      </c>
      <c r="E41" s="55" t="s">
        <v>456</v>
      </c>
      <c r="F41" s="51">
        <v>35</v>
      </c>
      <c r="G41" s="51">
        <v>2</v>
      </c>
      <c r="H41" s="51">
        <v>8</v>
      </c>
      <c r="I41" s="144">
        <v>1661.5</v>
      </c>
      <c r="J41" s="237">
        <v>393</v>
      </c>
      <c r="K41" s="457">
        <f t="shared" si="4"/>
        <v>196.5</v>
      </c>
      <c r="L41" s="291">
        <f t="shared" si="5"/>
        <v>4.227735368956743</v>
      </c>
      <c r="M41" s="310">
        <f>310876.5+189449.5+81911+30301+17300.5+2478+1808+1661.5</f>
        <v>635786</v>
      </c>
      <c r="N41" s="456">
        <f>27485+16830+7465+3781+3026+485+290+393</f>
        <v>59755</v>
      </c>
      <c r="O41" s="74">
        <f>+M41/N41</f>
        <v>10.639879507990964</v>
      </c>
      <c r="P41" s="65"/>
    </row>
    <row r="42" spans="1:16" s="7" customFormat="1" ht="15">
      <c r="A42" s="155">
        <v>38</v>
      </c>
      <c r="B42" s="68" t="s">
        <v>709</v>
      </c>
      <c r="C42" s="50">
        <v>39416</v>
      </c>
      <c r="D42" s="160" t="s">
        <v>454</v>
      </c>
      <c r="E42" s="160" t="s">
        <v>475</v>
      </c>
      <c r="F42" s="51">
        <v>11</v>
      </c>
      <c r="G42" s="51">
        <v>3</v>
      </c>
      <c r="H42" s="51">
        <v>5</v>
      </c>
      <c r="I42" s="144">
        <v>1325</v>
      </c>
      <c r="J42" s="237">
        <v>242</v>
      </c>
      <c r="K42" s="455">
        <f t="shared" si="4"/>
        <v>80.66666666666667</v>
      </c>
      <c r="L42" s="297">
        <f t="shared" si="5"/>
        <v>5.475206611570248</v>
      </c>
      <c r="M42" s="310">
        <v>31366</v>
      </c>
      <c r="N42" s="456">
        <v>3614</v>
      </c>
      <c r="O42" s="86">
        <f>M42/N42</f>
        <v>8.679026009961262</v>
      </c>
      <c r="P42" s="65"/>
    </row>
    <row r="43" spans="1:16" s="7" customFormat="1" ht="15">
      <c r="A43" s="155">
        <v>39</v>
      </c>
      <c r="B43" s="69" t="s">
        <v>63</v>
      </c>
      <c r="C43" s="49">
        <v>39395</v>
      </c>
      <c r="D43" s="56" t="s">
        <v>468</v>
      </c>
      <c r="E43" s="56" t="s">
        <v>710</v>
      </c>
      <c r="F43" s="88" t="s">
        <v>373</v>
      </c>
      <c r="G43" s="88" t="s">
        <v>276</v>
      </c>
      <c r="H43" s="88" t="s">
        <v>368</v>
      </c>
      <c r="I43" s="145">
        <v>1187.99</v>
      </c>
      <c r="J43" s="238">
        <v>312</v>
      </c>
      <c r="K43" s="457">
        <f t="shared" si="4"/>
        <v>312</v>
      </c>
      <c r="L43" s="291">
        <f t="shared" si="5"/>
        <v>3.8076602564102564</v>
      </c>
      <c r="M43" s="312">
        <v>137749.98</v>
      </c>
      <c r="N43" s="460">
        <v>22234</v>
      </c>
      <c r="O43" s="74">
        <f>+M43/N43</f>
        <v>6.19546550328326</v>
      </c>
      <c r="P43" s="65"/>
    </row>
    <row r="44" spans="1:16" s="7" customFormat="1" ht="15">
      <c r="A44" s="155">
        <v>40</v>
      </c>
      <c r="B44" s="67" t="s">
        <v>59</v>
      </c>
      <c r="C44" s="49">
        <v>39381</v>
      </c>
      <c r="D44" s="53" t="s">
        <v>447</v>
      </c>
      <c r="E44" s="53" t="s">
        <v>338</v>
      </c>
      <c r="F44" s="87">
        <v>91</v>
      </c>
      <c r="G44" s="87">
        <v>3</v>
      </c>
      <c r="H44" s="87">
        <v>10</v>
      </c>
      <c r="I44" s="147">
        <v>714.5</v>
      </c>
      <c r="J44" s="458">
        <v>233</v>
      </c>
      <c r="K44" s="459">
        <f>IF(I44&lt;&gt;0,J44/G44,"")</f>
        <v>77.66666666666667</v>
      </c>
      <c r="L44" s="294">
        <f>IF(I44&lt;&gt;0,I44/J44,"")</f>
        <v>3.0665236051502145</v>
      </c>
      <c r="M44" s="311">
        <f>964543+666618+447582+156310.5+90863+70894+37352.5+3350+1874+714.5</f>
        <v>2440101.5</v>
      </c>
      <c r="N44" s="456">
        <f>104009+73251+49929+20007+15751+12767+7228+691+416+233</f>
        <v>284282</v>
      </c>
      <c r="O44" s="70">
        <f>IF(M44&lt;&gt;0,M44/N44,"")</f>
        <v>8.583383752752548</v>
      </c>
      <c r="P44" s="65"/>
    </row>
    <row r="45" spans="1:16" s="7" customFormat="1" ht="15">
      <c r="A45" s="155">
        <v>41</v>
      </c>
      <c r="B45" s="82" t="s">
        <v>524</v>
      </c>
      <c r="C45" s="49">
        <v>39304</v>
      </c>
      <c r="D45" s="54" t="s">
        <v>453</v>
      </c>
      <c r="E45" s="53" t="s">
        <v>322</v>
      </c>
      <c r="F45" s="87">
        <v>165</v>
      </c>
      <c r="G45" s="87">
        <v>1</v>
      </c>
      <c r="H45" s="87">
        <v>21</v>
      </c>
      <c r="I45" s="145">
        <v>684</v>
      </c>
      <c r="J45" s="238">
        <v>340</v>
      </c>
      <c r="K45" s="457">
        <f aca="true" t="shared" si="6" ref="K45:K54">J45/G45</f>
        <v>340</v>
      </c>
      <c r="L45" s="291">
        <f aca="true" t="shared" si="7" ref="L45:L54">I45/J45</f>
        <v>2.011764705882353</v>
      </c>
      <c r="M45" s="312">
        <f>2632960+1103806+622810+343330+175885+112509+60772+28410+15737+16484+3567+7825+3899+7196+3981+1749+1616+3566+772+1288+684</f>
        <v>5148846</v>
      </c>
      <c r="N45" s="460">
        <f>336483+141879+82533+45209+26903+20540+11529+5833+3987+3318+680+865+384+1787+580+811+720+1776+383+644+340</f>
        <v>687184</v>
      </c>
      <c r="O45" s="74">
        <f>+M45/N45</f>
        <v>7.492674451093157</v>
      </c>
      <c r="P45" s="65"/>
    </row>
    <row r="46" spans="1:16" s="7" customFormat="1" ht="15">
      <c r="A46" s="155">
        <v>42</v>
      </c>
      <c r="B46" s="67" t="s">
        <v>337</v>
      </c>
      <c r="C46" s="49">
        <v>39381</v>
      </c>
      <c r="D46" s="54" t="s">
        <v>453</v>
      </c>
      <c r="E46" s="53" t="s">
        <v>466</v>
      </c>
      <c r="F46" s="87">
        <v>144</v>
      </c>
      <c r="G46" s="87">
        <v>1</v>
      </c>
      <c r="H46" s="87">
        <v>10</v>
      </c>
      <c r="I46" s="145">
        <v>613</v>
      </c>
      <c r="J46" s="238">
        <v>89</v>
      </c>
      <c r="K46" s="457">
        <f t="shared" si="6"/>
        <v>89</v>
      </c>
      <c r="L46" s="291">
        <f t="shared" si="7"/>
        <v>6.887640449438202</v>
      </c>
      <c r="M46" s="312">
        <f>2013361+924282+612528+224314+161621+67993+19442+6068+2170+613</f>
        <v>4032392</v>
      </c>
      <c r="N46" s="460">
        <f>250162+117111+77738+30679+29851+12478+4485+1923+349+89</f>
        <v>524865</v>
      </c>
      <c r="O46" s="74">
        <f>+M46/N46</f>
        <v>7.682722223809932</v>
      </c>
      <c r="P46" s="65"/>
    </row>
    <row r="47" spans="1:16" s="7" customFormat="1" ht="15">
      <c r="A47" s="155">
        <v>43</v>
      </c>
      <c r="B47" s="69" t="s">
        <v>556</v>
      </c>
      <c r="C47" s="50">
        <v>39262</v>
      </c>
      <c r="D47" s="56" t="s">
        <v>277</v>
      </c>
      <c r="E47" s="56" t="s">
        <v>557</v>
      </c>
      <c r="F47" s="161">
        <v>21</v>
      </c>
      <c r="G47" s="162">
        <v>1</v>
      </c>
      <c r="H47" s="161">
        <v>20</v>
      </c>
      <c r="I47" s="145">
        <v>504</v>
      </c>
      <c r="J47" s="238">
        <v>106</v>
      </c>
      <c r="K47" s="457">
        <f t="shared" si="6"/>
        <v>106</v>
      </c>
      <c r="L47" s="291">
        <f t="shared" si="7"/>
        <v>4.754716981132075</v>
      </c>
      <c r="M47" s="312">
        <v>191934.9</v>
      </c>
      <c r="N47" s="460">
        <v>28934</v>
      </c>
      <c r="O47" s="74">
        <f>+M47/N47</f>
        <v>6.633541853874335</v>
      </c>
      <c r="P47" s="65"/>
    </row>
    <row r="48" spans="1:16" s="7" customFormat="1" ht="15">
      <c r="A48" s="155">
        <v>44</v>
      </c>
      <c r="B48" s="69" t="s">
        <v>545</v>
      </c>
      <c r="C48" s="50">
        <v>39381</v>
      </c>
      <c r="D48" s="56" t="s">
        <v>277</v>
      </c>
      <c r="E48" s="56" t="s">
        <v>404</v>
      </c>
      <c r="F48" s="161">
        <v>2</v>
      </c>
      <c r="G48" s="162">
        <v>1</v>
      </c>
      <c r="H48" s="161">
        <v>9</v>
      </c>
      <c r="I48" s="145">
        <v>327.5</v>
      </c>
      <c r="J48" s="238">
        <v>129</v>
      </c>
      <c r="K48" s="457">
        <f t="shared" si="6"/>
        <v>129</v>
      </c>
      <c r="L48" s="291">
        <f t="shared" si="7"/>
        <v>2.5387596899224807</v>
      </c>
      <c r="M48" s="312">
        <v>35198.5</v>
      </c>
      <c r="N48" s="460">
        <v>5471</v>
      </c>
      <c r="O48" s="74">
        <f>+M48/N48</f>
        <v>6.43365015536465</v>
      </c>
      <c r="P48" s="65"/>
    </row>
    <row r="49" spans="1:16" s="7" customFormat="1" ht="15">
      <c r="A49" s="155">
        <v>45</v>
      </c>
      <c r="B49" s="68" t="s">
        <v>532</v>
      </c>
      <c r="C49" s="50">
        <v>39318</v>
      </c>
      <c r="D49" s="160" t="s">
        <v>454</v>
      </c>
      <c r="E49" s="160" t="s">
        <v>457</v>
      </c>
      <c r="F49" s="51">
        <v>116</v>
      </c>
      <c r="G49" s="51">
        <v>1</v>
      </c>
      <c r="H49" s="51">
        <v>19</v>
      </c>
      <c r="I49" s="144">
        <v>326</v>
      </c>
      <c r="J49" s="237">
        <v>306</v>
      </c>
      <c r="K49" s="455">
        <f t="shared" si="6"/>
        <v>306</v>
      </c>
      <c r="L49" s="297">
        <f t="shared" si="7"/>
        <v>1.065359477124183</v>
      </c>
      <c r="M49" s="310">
        <v>2643339</v>
      </c>
      <c r="N49" s="456">
        <v>331332</v>
      </c>
      <c r="O49" s="86">
        <f>M49/N49</f>
        <v>7.977916410126399</v>
      </c>
      <c r="P49" s="65"/>
    </row>
    <row r="50" spans="1:16" s="7" customFormat="1" ht="15">
      <c r="A50" s="155">
        <v>46</v>
      </c>
      <c r="B50" s="69" t="s">
        <v>631</v>
      </c>
      <c r="C50" s="50">
        <v>39409</v>
      </c>
      <c r="D50" s="56" t="s">
        <v>277</v>
      </c>
      <c r="E50" s="56" t="s">
        <v>101</v>
      </c>
      <c r="F50" s="161">
        <v>1</v>
      </c>
      <c r="G50" s="162">
        <v>1</v>
      </c>
      <c r="H50" s="161">
        <v>6</v>
      </c>
      <c r="I50" s="145">
        <v>300</v>
      </c>
      <c r="J50" s="238">
        <v>35</v>
      </c>
      <c r="K50" s="457">
        <f t="shared" si="6"/>
        <v>35</v>
      </c>
      <c r="L50" s="291">
        <f t="shared" si="7"/>
        <v>8.571428571428571</v>
      </c>
      <c r="M50" s="312">
        <v>12436</v>
      </c>
      <c r="N50" s="460">
        <v>1933</v>
      </c>
      <c r="O50" s="74">
        <f>+M50/N50</f>
        <v>6.433523021210553</v>
      </c>
      <c r="P50" s="65"/>
    </row>
    <row r="51" spans="1:16" s="7" customFormat="1" ht="15">
      <c r="A51" s="155">
        <v>47</v>
      </c>
      <c r="B51" s="69" t="s">
        <v>367</v>
      </c>
      <c r="C51" s="50">
        <v>39094</v>
      </c>
      <c r="D51" s="56" t="s">
        <v>277</v>
      </c>
      <c r="E51" s="56" t="s">
        <v>464</v>
      </c>
      <c r="F51" s="161">
        <v>42</v>
      </c>
      <c r="G51" s="162">
        <v>1</v>
      </c>
      <c r="H51" s="161">
        <v>36</v>
      </c>
      <c r="I51" s="145">
        <v>296</v>
      </c>
      <c r="J51" s="238">
        <v>74</v>
      </c>
      <c r="K51" s="457">
        <f t="shared" si="6"/>
        <v>74</v>
      </c>
      <c r="L51" s="291">
        <f t="shared" si="7"/>
        <v>4</v>
      </c>
      <c r="M51" s="312">
        <v>449852.5</v>
      </c>
      <c r="N51" s="460">
        <v>69180</v>
      </c>
      <c r="O51" s="74">
        <f>+M51/N51</f>
        <v>6.502638045677942</v>
      </c>
      <c r="P51" s="65"/>
    </row>
    <row r="52" spans="1:16" s="7" customFormat="1" ht="15">
      <c r="A52" s="155">
        <v>48</v>
      </c>
      <c r="B52" s="68" t="s">
        <v>412</v>
      </c>
      <c r="C52" s="52">
        <v>39276</v>
      </c>
      <c r="D52" s="57" t="s">
        <v>460</v>
      </c>
      <c r="E52" s="57" t="s">
        <v>278</v>
      </c>
      <c r="F52" s="102">
        <v>26</v>
      </c>
      <c r="G52" s="102">
        <v>1</v>
      </c>
      <c r="H52" s="102">
        <v>14</v>
      </c>
      <c r="I52" s="144">
        <v>295</v>
      </c>
      <c r="J52" s="237">
        <v>63</v>
      </c>
      <c r="K52" s="455">
        <f t="shared" si="6"/>
        <v>63</v>
      </c>
      <c r="L52" s="297">
        <f t="shared" si="7"/>
        <v>4.682539682539683</v>
      </c>
      <c r="M52" s="313">
        <v>320071</v>
      </c>
      <c r="N52" s="455">
        <v>32763</v>
      </c>
      <c r="O52" s="86">
        <f>M52/N52</f>
        <v>9.769282422244606</v>
      </c>
      <c r="P52" s="65"/>
    </row>
    <row r="53" spans="1:16" s="7" customFormat="1" ht="15">
      <c r="A53" s="155">
        <v>49</v>
      </c>
      <c r="B53" s="69" t="s">
        <v>563</v>
      </c>
      <c r="C53" s="49">
        <v>39269</v>
      </c>
      <c r="D53" s="56" t="s">
        <v>468</v>
      </c>
      <c r="E53" s="56" t="s">
        <v>468</v>
      </c>
      <c r="F53" s="88" t="s">
        <v>292</v>
      </c>
      <c r="G53" s="88" t="s">
        <v>276</v>
      </c>
      <c r="H53" s="88" t="s">
        <v>668</v>
      </c>
      <c r="I53" s="145">
        <v>272</v>
      </c>
      <c r="J53" s="238">
        <v>41</v>
      </c>
      <c r="K53" s="457">
        <f t="shared" si="6"/>
        <v>41</v>
      </c>
      <c r="L53" s="291">
        <f t="shared" si="7"/>
        <v>6.634146341463414</v>
      </c>
      <c r="M53" s="312">
        <v>204011.19</v>
      </c>
      <c r="N53" s="460">
        <v>30444</v>
      </c>
      <c r="O53" s="74">
        <f>+M53/N53</f>
        <v>6.701195309420576</v>
      </c>
      <c r="P53" s="65"/>
    </row>
    <row r="54" spans="1:16" s="7" customFormat="1" ht="15">
      <c r="A54" s="155">
        <v>50</v>
      </c>
      <c r="B54" s="67" t="s">
        <v>589</v>
      </c>
      <c r="C54" s="49">
        <v>39360</v>
      </c>
      <c r="D54" s="54" t="s">
        <v>453</v>
      </c>
      <c r="E54" s="53" t="s">
        <v>322</v>
      </c>
      <c r="F54" s="87">
        <v>73</v>
      </c>
      <c r="G54" s="87">
        <v>1</v>
      </c>
      <c r="H54" s="87">
        <v>13</v>
      </c>
      <c r="I54" s="145">
        <v>168</v>
      </c>
      <c r="J54" s="238">
        <v>26</v>
      </c>
      <c r="K54" s="457">
        <f t="shared" si="6"/>
        <v>26</v>
      </c>
      <c r="L54" s="291">
        <f t="shared" si="7"/>
        <v>6.461538461538462</v>
      </c>
      <c r="M54" s="312">
        <f>2527+398811+325917+116748+8773+28+28081+14690+2838+221+3656+238+712+147+168</f>
        <v>903555</v>
      </c>
      <c r="N54" s="460">
        <f>228+40290+35016+12251+1468+5988+2689+521+31+1450+32+140+21+26</f>
        <v>100151</v>
      </c>
      <c r="O54" s="74">
        <f>+M54/N54</f>
        <v>9.021926890395504</v>
      </c>
      <c r="P54" s="65"/>
    </row>
    <row r="55" spans="1:16" s="7" customFormat="1" ht="15">
      <c r="A55" s="155">
        <v>51</v>
      </c>
      <c r="B55" s="104" t="s">
        <v>423</v>
      </c>
      <c r="C55" s="80">
        <v>39339</v>
      </c>
      <c r="D55" s="148" t="s">
        <v>514</v>
      </c>
      <c r="E55" s="148" t="s">
        <v>424</v>
      </c>
      <c r="F55" s="142">
        <v>79</v>
      </c>
      <c r="G55" s="143">
        <v>3</v>
      </c>
      <c r="H55" s="143">
        <v>16</v>
      </c>
      <c r="I55" s="461">
        <v>140</v>
      </c>
      <c r="J55" s="462">
        <v>22</v>
      </c>
      <c r="K55" s="463">
        <v>7.333333333333333</v>
      </c>
      <c r="L55" s="296">
        <v>6.363636363636363</v>
      </c>
      <c r="M55" s="464">
        <v>307628</v>
      </c>
      <c r="N55" s="457">
        <v>48493</v>
      </c>
      <c r="O55" s="153">
        <v>6.343760955189409</v>
      </c>
      <c r="P55" s="65"/>
    </row>
    <row r="56" spans="1:16" s="7" customFormat="1" ht="15">
      <c r="A56" s="155">
        <v>52</v>
      </c>
      <c r="B56" s="69" t="s">
        <v>512</v>
      </c>
      <c r="C56" s="50">
        <v>39220</v>
      </c>
      <c r="D56" s="56" t="s">
        <v>277</v>
      </c>
      <c r="E56" s="56" t="s">
        <v>464</v>
      </c>
      <c r="F56" s="161">
        <v>88</v>
      </c>
      <c r="G56" s="162">
        <v>1</v>
      </c>
      <c r="H56" s="161">
        <v>32</v>
      </c>
      <c r="I56" s="145">
        <v>106</v>
      </c>
      <c r="J56" s="238">
        <v>28</v>
      </c>
      <c r="K56" s="457">
        <f aca="true" t="shared" si="8" ref="K56:K62">J56/G56</f>
        <v>28</v>
      </c>
      <c r="L56" s="291">
        <f aca="true" t="shared" si="9" ref="L56:L62">I56/J56</f>
        <v>3.7857142857142856</v>
      </c>
      <c r="M56" s="312">
        <v>587002</v>
      </c>
      <c r="N56" s="460">
        <v>86627</v>
      </c>
      <c r="O56" s="74">
        <f>+M56/N56</f>
        <v>6.77620141526314</v>
      </c>
      <c r="P56" s="65"/>
    </row>
    <row r="57" spans="1:16" s="7" customFormat="1" ht="15">
      <c r="A57" s="155">
        <v>53</v>
      </c>
      <c r="B57" s="69" t="s">
        <v>629</v>
      </c>
      <c r="C57" s="50">
        <v>39409</v>
      </c>
      <c r="D57" s="56" t="s">
        <v>277</v>
      </c>
      <c r="E57" s="56" t="s">
        <v>711</v>
      </c>
      <c r="F57" s="161">
        <v>37</v>
      </c>
      <c r="G57" s="162">
        <v>2</v>
      </c>
      <c r="H57" s="161">
        <v>6</v>
      </c>
      <c r="I57" s="145">
        <v>105</v>
      </c>
      <c r="J57" s="238">
        <v>19</v>
      </c>
      <c r="K57" s="457">
        <f t="shared" si="8"/>
        <v>9.5</v>
      </c>
      <c r="L57" s="291">
        <f t="shared" si="9"/>
        <v>5.526315789473684</v>
      </c>
      <c r="M57" s="312">
        <v>50201</v>
      </c>
      <c r="N57" s="460">
        <v>9032</v>
      </c>
      <c r="O57" s="74">
        <f>+M57/N57</f>
        <v>5.558126660761736</v>
      </c>
      <c r="P57" s="65"/>
    </row>
    <row r="58" spans="1:16" s="7" customFormat="1" ht="15">
      <c r="A58" s="155">
        <v>54</v>
      </c>
      <c r="B58" s="69" t="s">
        <v>343</v>
      </c>
      <c r="C58" s="50">
        <v>39381</v>
      </c>
      <c r="D58" s="56" t="s">
        <v>277</v>
      </c>
      <c r="E58" s="56" t="s">
        <v>404</v>
      </c>
      <c r="F58" s="161">
        <v>1</v>
      </c>
      <c r="G58" s="162">
        <v>1</v>
      </c>
      <c r="H58" s="161">
        <v>4</v>
      </c>
      <c r="I58" s="145">
        <v>94.5</v>
      </c>
      <c r="J58" s="238">
        <v>37</v>
      </c>
      <c r="K58" s="457">
        <f t="shared" si="8"/>
        <v>37</v>
      </c>
      <c r="L58" s="291">
        <f t="shared" si="9"/>
        <v>2.554054054054054</v>
      </c>
      <c r="M58" s="312">
        <v>5088</v>
      </c>
      <c r="N58" s="460">
        <v>840</v>
      </c>
      <c r="O58" s="74">
        <f>+M58/N58</f>
        <v>6.057142857142857</v>
      </c>
      <c r="P58" s="65"/>
    </row>
    <row r="59" spans="1:16" s="7" customFormat="1" ht="15">
      <c r="A59" s="155">
        <v>55</v>
      </c>
      <c r="B59" s="69" t="s">
        <v>628</v>
      </c>
      <c r="C59" s="52">
        <v>39409</v>
      </c>
      <c r="D59" s="57" t="s">
        <v>460</v>
      </c>
      <c r="E59" s="57" t="s">
        <v>278</v>
      </c>
      <c r="F59" s="102">
        <v>13</v>
      </c>
      <c r="G59" s="102">
        <v>1</v>
      </c>
      <c r="H59" s="102">
        <v>5</v>
      </c>
      <c r="I59" s="146">
        <v>64</v>
      </c>
      <c r="J59" s="239">
        <v>12</v>
      </c>
      <c r="K59" s="455">
        <f t="shared" si="8"/>
        <v>12</v>
      </c>
      <c r="L59" s="297">
        <f t="shared" si="9"/>
        <v>5.333333333333333</v>
      </c>
      <c r="M59" s="313">
        <v>51208</v>
      </c>
      <c r="N59" s="455">
        <v>5038</v>
      </c>
      <c r="O59" s="86">
        <f>M59/N59</f>
        <v>10.164350932909885</v>
      </c>
      <c r="P59" s="65"/>
    </row>
    <row r="60" spans="1:16" s="7" customFormat="1" ht="15.75" thickBot="1">
      <c r="A60" s="155">
        <v>56</v>
      </c>
      <c r="B60" s="233" t="s">
        <v>487</v>
      </c>
      <c r="C60" s="234">
        <v>39290</v>
      </c>
      <c r="D60" s="235" t="s">
        <v>277</v>
      </c>
      <c r="E60" s="235" t="s">
        <v>557</v>
      </c>
      <c r="F60" s="236">
        <v>10</v>
      </c>
      <c r="G60" s="472">
        <v>1</v>
      </c>
      <c r="H60" s="236">
        <v>21</v>
      </c>
      <c r="I60" s="473">
        <v>47.5</v>
      </c>
      <c r="J60" s="474">
        <v>19</v>
      </c>
      <c r="K60" s="475">
        <f t="shared" si="8"/>
        <v>19</v>
      </c>
      <c r="L60" s="319">
        <f t="shared" si="9"/>
        <v>2.5</v>
      </c>
      <c r="M60" s="320">
        <v>90163.5</v>
      </c>
      <c r="N60" s="476">
        <v>11852</v>
      </c>
      <c r="O60" s="321">
        <f>+M60/N60</f>
        <v>7.607450219372258</v>
      </c>
      <c r="P60" s="65"/>
    </row>
    <row r="61" spans="1:16" s="48" customFormat="1" ht="15">
      <c r="A61" s="493" t="s">
        <v>449</v>
      </c>
      <c r="B61" s="494"/>
      <c r="C61" s="43"/>
      <c r="D61" s="44" t="s">
        <v>712</v>
      </c>
      <c r="E61" s="45"/>
      <c r="F61" s="44"/>
      <c r="G61" s="46">
        <f>SUM(G5:G60)</f>
        <v>1519</v>
      </c>
      <c r="H61" s="44"/>
      <c r="I61" s="249">
        <f>SUM(I5:I60)</f>
        <v>7523485.74</v>
      </c>
      <c r="J61" s="263">
        <f>SUM(J5:J60)</f>
        <v>981277</v>
      </c>
      <c r="K61" s="138">
        <f t="shared" si="8"/>
        <v>646.0019749835418</v>
      </c>
      <c r="L61" s="99">
        <f t="shared" si="9"/>
        <v>7.667035648445852</v>
      </c>
      <c r="M61" s="255"/>
      <c r="N61" s="263"/>
      <c r="O61" s="47"/>
      <c r="P61" s="66"/>
    </row>
    <row r="62" spans="1:16" s="13" customFormat="1" ht="15">
      <c r="A62" s="495" t="s">
        <v>448</v>
      </c>
      <c r="B62" s="496"/>
      <c r="C62" s="22"/>
      <c r="D62" s="23" t="s">
        <v>717</v>
      </c>
      <c r="E62" s="21"/>
      <c r="F62" s="23"/>
      <c r="G62" s="24">
        <v>1519</v>
      </c>
      <c r="H62" s="23"/>
      <c r="I62" s="250">
        <v>7523485.74</v>
      </c>
      <c r="J62" s="264">
        <v>981277</v>
      </c>
      <c r="K62" s="138">
        <f t="shared" si="8"/>
        <v>646.0019749835418</v>
      </c>
      <c r="L62" s="100">
        <f t="shared" si="9"/>
        <v>7.667035648445852</v>
      </c>
      <c r="M62" s="256"/>
      <c r="N62" s="264"/>
      <c r="O62" s="27"/>
      <c r="P62" s="65"/>
    </row>
    <row r="63" spans="1:16" s="7" customFormat="1" ht="13.5">
      <c r="A63" s="33"/>
      <c r="C63" s="11"/>
      <c r="D63" s="15"/>
      <c r="E63" s="15"/>
      <c r="F63" s="8"/>
      <c r="G63" s="8"/>
      <c r="H63" s="8"/>
      <c r="I63" s="251"/>
      <c r="J63" s="268"/>
      <c r="K63" s="139"/>
      <c r="L63" s="28"/>
      <c r="M63" s="259"/>
      <c r="N63" s="270"/>
      <c r="O63" s="28"/>
      <c r="P63" s="65"/>
    </row>
    <row r="64" spans="1:16" s="7" customFormat="1" ht="13.5">
      <c r="A64" s="33"/>
      <c r="B64"/>
      <c r="C64" s="273"/>
      <c r="D64"/>
      <c r="E64"/>
      <c r="F64" s="154"/>
      <c r="G64" s="17"/>
      <c r="H64" s="8"/>
      <c r="I64" s="251"/>
      <c r="J64" s="268"/>
      <c r="K64" s="498" t="s">
        <v>446</v>
      </c>
      <c r="L64" s="499"/>
      <c r="M64" s="499"/>
      <c r="N64" s="499"/>
      <c r="O64" s="499"/>
      <c r="P64" s="65"/>
    </row>
    <row r="65" spans="1:16" s="7" customFormat="1" ht="13.5">
      <c r="A65" s="33"/>
      <c r="B65"/>
      <c r="C65" s="273"/>
      <c r="D65"/>
      <c r="E65"/>
      <c r="F65" s="154"/>
      <c r="G65" s="8"/>
      <c r="H65" s="18"/>
      <c r="I65" s="251"/>
      <c r="J65" s="268"/>
      <c r="K65" s="499"/>
      <c r="L65" s="499"/>
      <c r="M65" s="499"/>
      <c r="N65" s="499"/>
      <c r="O65" s="499"/>
      <c r="P65" s="65"/>
    </row>
    <row r="66" spans="1:16" s="7" customFormat="1" ht="13.5">
      <c r="A66" s="33"/>
      <c r="B66"/>
      <c r="C66" s="273"/>
      <c r="D66"/>
      <c r="E66"/>
      <c r="F66" s="154"/>
      <c r="G66" s="8"/>
      <c r="H66" s="18"/>
      <c r="I66" s="251"/>
      <c r="J66" s="268"/>
      <c r="K66" s="499"/>
      <c r="L66" s="499"/>
      <c r="M66" s="499"/>
      <c r="N66" s="499"/>
      <c r="O66" s="499"/>
      <c r="P66" s="65"/>
    </row>
    <row r="67" spans="1:16" s="7" customFormat="1" ht="13.5">
      <c r="A67" s="33"/>
      <c r="B67"/>
      <c r="C67" s="273"/>
      <c r="D67"/>
      <c r="E67"/>
      <c r="F67" s="154"/>
      <c r="G67" s="8"/>
      <c r="H67" s="18"/>
      <c r="I67" s="251"/>
      <c r="J67" s="268"/>
      <c r="K67" s="497" t="s">
        <v>713</v>
      </c>
      <c r="L67" s="497"/>
      <c r="M67" s="497"/>
      <c r="N67" s="497"/>
      <c r="O67" s="497"/>
      <c r="P67" s="65"/>
    </row>
    <row r="68" spans="1:16" s="7" customFormat="1" ht="13.5">
      <c r="A68" s="33"/>
      <c r="B68"/>
      <c r="C68" s="273"/>
      <c r="D68"/>
      <c r="E68"/>
      <c r="F68" s="154"/>
      <c r="G68" s="8"/>
      <c r="H68" s="18"/>
      <c r="I68" s="251"/>
      <c r="J68" s="268"/>
      <c r="K68" s="497"/>
      <c r="L68" s="497"/>
      <c r="M68" s="497"/>
      <c r="N68" s="497"/>
      <c r="O68" s="497"/>
      <c r="P68" s="65"/>
    </row>
    <row r="69" spans="1:16" s="7" customFormat="1" ht="13.5">
      <c r="A69" s="33"/>
      <c r="B69"/>
      <c r="C69" s="273"/>
      <c r="D69"/>
      <c r="E69"/>
      <c r="F69" s="154"/>
      <c r="G69" s="8"/>
      <c r="H69" s="18"/>
      <c r="I69" s="251"/>
      <c r="J69" s="268"/>
      <c r="K69" s="497"/>
      <c r="L69" s="497"/>
      <c r="M69" s="497"/>
      <c r="N69" s="497"/>
      <c r="O69" s="497"/>
      <c r="P69" s="65"/>
    </row>
    <row r="70" spans="1:16" s="7" customFormat="1" ht="13.5">
      <c r="A70" s="33"/>
      <c r="B70"/>
      <c r="C70" s="273"/>
      <c r="D70"/>
      <c r="E70"/>
      <c r="F70" s="154"/>
      <c r="G70" s="8"/>
      <c r="H70" s="18"/>
      <c r="I70" s="251"/>
      <c r="J70" s="268"/>
      <c r="K70" s="497" t="s">
        <v>714</v>
      </c>
      <c r="L70" s="497"/>
      <c r="M70" s="497"/>
      <c r="N70" s="497"/>
      <c r="O70" s="497"/>
      <c r="P70" s="65"/>
    </row>
    <row r="71" spans="1:16" s="7" customFormat="1" ht="13.5">
      <c r="A71" s="33"/>
      <c r="B71"/>
      <c r="C71" s="273"/>
      <c r="D71"/>
      <c r="E71"/>
      <c r="F71" s="154"/>
      <c r="G71" s="8"/>
      <c r="H71" s="18"/>
      <c r="I71" s="251"/>
      <c r="J71" s="268"/>
      <c r="K71" s="497"/>
      <c r="L71" s="497"/>
      <c r="M71" s="497"/>
      <c r="N71" s="497"/>
      <c r="O71" s="497"/>
      <c r="P71" s="65"/>
    </row>
    <row r="72" spans="1:16" s="7" customFormat="1" ht="13.5">
      <c r="A72" s="33"/>
      <c r="B72"/>
      <c r="C72" s="273"/>
      <c r="D72"/>
      <c r="E72"/>
      <c r="F72" s="154"/>
      <c r="G72" s="8"/>
      <c r="H72" s="18"/>
      <c r="I72" s="251"/>
      <c r="J72" s="268"/>
      <c r="K72" s="497"/>
      <c r="L72" s="497"/>
      <c r="M72" s="497"/>
      <c r="N72" s="497"/>
      <c r="O72" s="497"/>
      <c r="P72" s="65"/>
    </row>
    <row r="73" spans="1:16" s="7" customFormat="1" ht="13.5">
      <c r="A73" s="33"/>
      <c r="B73"/>
      <c r="C73" s="273"/>
      <c r="D73"/>
      <c r="E73"/>
      <c r="F73" s="154"/>
      <c r="G73" s="8"/>
      <c r="H73" s="490" t="s">
        <v>356</v>
      </c>
      <c r="I73" s="491"/>
      <c r="J73" s="491"/>
      <c r="K73" s="491"/>
      <c r="L73" s="491"/>
      <c r="M73" s="491"/>
      <c r="N73" s="491"/>
      <c r="O73" s="491"/>
      <c r="P73" s="65"/>
    </row>
    <row r="74" spans="1:16" s="20" customFormat="1" ht="15">
      <c r="A74" s="33"/>
      <c r="B74"/>
      <c r="C74" s="273"/>
      <c r="D74"/>
      <c r="E74"/>
      <c r="F74" s="154"/>
      <c r="G74" s="30"/>
      <c r="H74" s="491"/>
      <c r="I74" s="491"/>
      <c r="J74" s="491"/>
      <c r="K74" s="491"/>
      <c r="L74" s="491"/>
      <c r="M74" s="491"/>
      <c r="N74" s="491"/>
      <c r="O74" s="491"/>
      <c r="P74" s="65"/>
    </row>
    <row r="75" spans="1:16" s="20" customFormat="1" ht="15">
      <c r="A75" s="33"/>
      <c r="B75"/>
      <c r="C75" s="273"/>
      <c r="D75"/>
      <c r="E75"/>
      <c r="F75" s="154"/>
      <c r="G75" s="19"/>
      <c r="H75" s="491"/>
      <c r="I75" s="491"/>
      <c r="J75" s="491"/>
      <c r="K75" s="491"/>
      <c r="L75" s="491"/>
      <c r="M75" s="491"/>
      <c r="N75" s="491"/>
      <c r="O75" s="491"/>
      <c r="P75" s="65"/>
    </row>
    <row r="76" spans="1:16" s="20" customFormat="1" ht="15">
      <c r="A76" s="33"/>
      <c r="B76"/>
      <c r="C76" s="273"/>
      <c r="D76"/>
      <c r="E76"/>
      <c r="F76" s="154"/>
      <c r="G76" s="19"/>
      <c r="H76" s="491"/>
      <c r="I76" s="491"/>
      <c r="J76" s="491"/>
      <c r="K76" s="491"/>
      <c r="L76" s="491"/>
      <c r="M76" s="491"/>
      <c r="N76" s="491"/>
      <c r="O76" s="491"/>
      <c r="P76" s="65"/>
    </row>
    <row r="77" spans="1:16" s="20" customFormat="1" ht="15">
      <c r="A77" s="33"/>
      <c r="B77"/>
      <c r="C77" s="273"/>
      <c r="D77"/>
      <c r="E77"/>
      <c r="F77" s="154"/>
      <c r="G77" s="19"/>
      <c r="H77" s="491"/>
      <c r="I77" s="491"/>
      <c r="J77" s="491"/>
      <c r="K77" s="491"/>
      <c r="L77" s="491"/>
      <c r="M77" s="491"/>
      <c r="N77" s="491"/>
      <c r="O77" s="491"/>
      <c r="P77" s="65"/>
    </row>
    <row r="78" spans="1:16" s="20" customFormat="1" ht="15">
      <c r="A78" s="33"/>
      <c r="B78"/>
      <c r="C78" s="273"/>
      <c r="D78"/>
      <c r="E78"/>
      <c r="F78" s="154"/>
      <c r="G78" s="19"/>
      <c r="H78" s="491"/>
      <c r="I78" s="491"/>
      <c r="J78" s="491"/>
      <c r="K78" s="491"/>
      <c r="L78" s="491"/>
      <c r="M78" s="491"/>
      <c r="N78" s="491"/>
      <c r="O78" s="491"/>
      <c r="P78" s="65"/>
    </row>
    <row r="79" spans="1:16" s="20" customFormat="1" ht="15">
      <c r="A79" s="33"/>
      <c r="B79"/>
      <c r="C79" s="273"/>
      <c r="D79"/>
      <c r="E79"/>
      <c r="F79" s="154"/>
      <c r="G79" s="19"/>
      <c r="H79" s="492" t="s">
        <v>275</v>
      </c>
      <c r="I79" s="491"/>
      <c r="J79" s="491"/>
      <c r="K79" s="491"/>
      <c r="L79" s="491"/>
      <c r="M79" s="491"/>
      <c r="N79" s="491"/>
      <c r="O79" s="491"/>
      <c r="P79" s="65"/>
    </row>
    <row r="80" spans="1:16" s="20" customFormat="1" ht="15">
      <c r="A80" s="33"/>
      <c r="B80"/>
      <c r="C80" s="273"/>
      <c r="D80"/>
      <c r="E80"/>
      <c r="F80" s="154"/>
      <c r="G80" s="19"/>
      <c r="H80" s="491"/>
      <c r="I80" s="491"/>
      <c r="J80" s="491"/>
      <c r="K80" s="491"/>
      <c r="L80" s="491"/>
      <c r="M80" s="491"/>
      <c r="N80" s="491"/>
      <c r="O80" s="491"/>
      <c r="P80" s="65"/>
    </row>
    <row r="81" spans="1:16" s="20" customFormat="1" ht="15">
      <c r="A81" s="33"/>
      <c r="B81"/>
      <c r="C81" s="273"/>
      <c r="D81"/>
      <c r="E81"/>
      <c r="F81" s="154"/>
      <c r="G81" s="19"/>
      <c r="H81" s="491"/>
      <c r="I81" s="491"/>
      <c r="J81" s="491"/>
      <c r="K81" s="491"/>
      <c r="L81" s="491"/>
      <c r="M81" s="491"/>
      <c r="N81" s="491"/>
      <c r="O81" s="491"/>
      <c r="P81" s="65"/>
    </row>
    <row r="82" spans="1:16" s="20" customFormat="1" ht="15">
      <c r="A82" s="33"/>
      <c r="B82"/>
      <c r="C82" s="273"/>
      <c r="D82"/>
      <c r="E82"/>
      <c r="F82" s="154"/>
      <c r="G82" s="19"/>
      <c r="H82" s="491"/>
      <c r="I82" s="491"/>
      <c r="J82" s="491"/>
      <c r="K82" s="491"/>
      <c r="L82" s="491"/>
      <c r="M82" s="491"/>
      <c r="N82" s="491"/>
      <c r="O82" s="491"/>
      <c r="P82" s="65"/>
    </row>
    <row r="83" spans="1:16" s="20" customFormat="1" ht="15">
      <c r="A83" s="33"/>
      <c r="B83"/>
      <c r="C83" s="273"/>
      <c r="D83"/>
      <c r="E83"/>
      <c r="F83" s="154"/>
      <c r="G83" s="19"/>
      <c r="H83" s="491"/>
      <c r="I83" s="491"/>
      <c r="J83" s="491"/>
      <c r="K83" s="491"/>
      <c r="L83" s="491"/>
      <c r="M83" s="491"/>
      <c r="N83" s="491"/>
      <c r="O83" s="491"/>
      <c r="P83" s="65"/>
    </row>
    <row r="84" spans="1:16" s="20" customFormat="1" ht="15">
      <c r="A84" s="33"/>
      <c r="B84" s="34"/>
      <c r="C84" s="59"/>
      <c r="D84" s="34"/>
      <c r="E84" s="34"/>
      <c r="F84" s="97"/>
      <c r="G84" s="19"/>
      <c r="H84" s="491"/>
      <c r="I84" s="491"/>
      <c r="J84" s="491"/>
      <c r="K84" s="491"/>
      <c r="L84" s="491"/>
      <c r="M84" s="491"/>
      <c r="N84" s="491"/>
      <c r="O84" s="491"/>
      <c r="P84" s="65"/>
    </row>
    <row r="85" spans="1:16" s="20" customFormat="1" ht="15">
      <c r="A85" s="33"/>
      <c r="B85" s="34"/>
      <c r="C85" s="59"/>
      <c r="D85" s="34"/>
      <c r="E85" s="34"/>
      <c r="F85" s="97"/>
      <c r="G85" s="19"/>
      <c r="H85" s="491"/>
      <c r="I85" s="491"/>
      <c r="J85" s="491"/>
      <c r="K85" s="491"/>
      <c r="L85" s="491"/>
      <c r="M85" s="491"/>
      <c r="N85" s="491"/>
      <c r="O85" s="491"/>
      <c r="P85" s="65"/>
    </row>
    <row r="86" spans="1:16" s="20" customFormat="1" ht="15">
      <c r="A86" s="33"/>
      <c r="B86" s="34"/>
      <c r="C86" s="59"/>
      <c r="D86" s="34"/>
      <c r="E86" s="34"/>
      <c r="F86" s="97"/>
      <c r="G86" s="19"/>
      <c r="H86" s="97"/>
      <c r="I86" s="253"/>
      <c r="J86" s="269"/>
      <c r="K86" s="140"/>
      <c r="L86" s="98"/>
      <c r="M86" s="260"/>
      <c r="N86" s="271"/>
      <c r="O86" s="98"/>
      <c r="P86" s="65"/>
    </row>
    <row r="87" spans="1:16" s="20" customFormat="1" ht="15">
      <c r="A87" s="33"/>
      <c r="B87" s="34"/>
      <c r="C87" s="59"/>
      <c r="D87" s="34"/>
      <c r="E87" s="34"/>
      <c r="F87" s="97"/>
      <c r="G87" s="19"/>
      <c r="H87" s="97"/>
      <c r="I87" s="253"/>
      <c r="J87" s="269"/>
      <c r="K87" s="140"/>
      <c r="L87" s="98"/>
      <c r="M87" s="260"/>
      <c r="N87" s="271"/>
      <c r="O87" s="98"/>
      <c r="P87" s="65"/>
    </row>
    <row r="88" spans="2:6" ht="18">
      <c r="B88" s="34"/>
      <c r="C88" s="59"/>
      <c r="D88" s="34"/>
      <c r="E88" s="34"/>
      <c r="F88" s="97"/>
    </row>
    <row r="89" spans="2:6" ht="18">
      <c r="B89" s="34"/>
      <c r="C89" s="59"/>
      <c r="D89" s="34"/>
      <c r="E89" s="34"/>
      <c r="F89" s="97"/>
    </row>
    <row r="90" spans="2:15" ht="18">
      <c r="B90" s="34"/>
      <c r="C90" s="59"/>
      <c r="D90" s="34"/>
      <c r="E90" s="34"/>
      <c r="F90" s="97"/>
      <c r="G90" s="97"/>
      <c r="H90" s="97"/>
      <c r="I90" s="253"/>
      <c r="J90" s="269"/>
      <c r="K90" s="140"/>
      <c r="L90" s="98"/>
      <c r="M90" s="261"/>
      <c r="N90" s="272"/>
      <c r="O90" s="98"/>
    </row>
    <row r="91" spans="2:15" ht="18">
      <c r="B91" s="34"/>
      <c r="C91" s="59"/>
      <c r="D91" s="34"/>
      <c r="E91" s="34"/>
      <c r="F91" s="97"/>
      <c r="G91" s="97"/>
      <c r="H91" s="97"/>
      <c r="I91" s="253"/>
      <c r="J91" s="269"/>
      <c r="K91" s="140"/>
      <c r="L91" s="98"/>
      <c r="M91" s="261"/>
      <c r="N91" s="272"/>
      <c r="O91" s="98"/>
    </row>
    <row r="92" spans="2:15" ht="18">
      <c r="B92" s="34"/>
      <c r="C92" s="59"/>
      <c r="D92" s="34"/>
      <c r="E92" s="34"/>
      <c r="F92" s="97"/>
      <c r="G92" s="97"/>
      <c r="H92" s="97"/>
      <c r="I92" s="253"/>
      <c r="J92" s="269"/>
      <c r="K92" s="140"/>
      <c r="L92" s="98"/>
      <c r="M92" s="261"/>
      <c r="N92" s="272"/>
      <c r="O92" s="98"/>
    </row>
    <row r="93" spans="2:15" ht="18">
      <c r="B93" s="34"/>
      <c r="C93" s="59"/>
      <c r="D93" s="34"/>
      <c r="E93" s="34"/>
      <c r="F93" s="97"/>
      <c r="G93" s="97"/>
      <c r="H93" s="97"/>
      <c r="I93" s="253"/>
      <c r="J93" s="269"/>
      <c r="K93" s="140"/>
      <c r="L93" s="98"/>
      <c r="M93" s="261"/>
      <c r="N93" s="272"/>
      <c r="O93" s="98"/>
    </row>
    <row r="94" spans="2:15" ht="18">
      <c r="B94" s="34"/>
      <c r="C94" s="59"/>
      <c r="D94" s="34"/>
      <c r="E94" s="34"/>
      <c r="F94" s="97"/>
      <c r="G94" s="97"/>
      <c r="H94" s="97"/>
      <c r="I94" s="253"/>
      <c r="J94" s="269"/>
      <c r="K94" s="140"/>
      <c r="L94" s="98"/>
      <c r="M94" s="261"/>
      <c r="N94" s="272"/>
      <c r="O94" s="98"/>
    </row>
    <row r="95" spans="2:15" ht="18">
      <c r="B95" s="34"/>
      <c r="C95" s="59"/>
      <c r="D95" s="34"/>
      <c r="E95" s="34"/>
      <c r="F95" s="97"/>
      <c r="G95" s="97"/>
      <c r="H95" s="97"/>
      <c r="I95" s="253"/>
      <c r="J95" s="269"/>
      <c r="K95" s="140"/>
      <c r="L95" s="98"/>
      <c r="M95" s="261"/>
      <c r="N95" s="272"/>
      <c r="O95" s="98"/>
    </row>
    <row r="96" spans="2:15" ht="18">
      <c r="B96" s="34"/>
      <c r="C96" s="59"/>
      <c r="D96" s="34"/>
      <c r="E96" s="34"/>
      <c r="F96" s="97"/>
      <c r="G96" s="97"/>
      <c r="H96" s="97"/>
      <c r="I96" s="253"/>
      <c r="J96" s="269"/>
      <c r="K96" s="140"/>
      <c r="L96" s="98"/>
      <c r="M96" s="261"/>
      <c r="N96" s="272"/>
      <c r="O96" s="98"/>
    </row>
    <row r="97" spans="2:15" ht="18">
      <c r="B97" s="34"/>
      <c r="C97" s="59"/>
      <c r="D97" s="34"/>
      <c r="E97" s="34"/>
      <c r="F97" s="97"/>
      <c r="G97" s="97"/>
      <c r="H97" s="97"/>
      <c r="I97" s="253"/>
      <c r="J97" s="269"/>
      <c r="K97" s="140"/>
      <c r="L97" s="98"/>
      <c r="M97" s="261"/>
      <c r="N97" s="272"/>
      <c r="O97" s="98"/>
    </row>
    <row r="98" spans="7:15" ht="18">
      <c r="G98" s="97"/>
      <c r="H98" s="97"/>
      <c r="I98" s="253"/>
      <c r="J98" s="269"/>
      <c r="K98" s="140"/>
      <c r="L98" s="98"/>
      <c r="M98" s="261"/>
      <c r="N98" s="272"/>
      <c r="O98" s="98"/>
    </row>
    <row r="99" spans="7:15" ht="18">
      <c r="G99" s="97"/>
      <c r="H99" s="97"/>
      <c r="I99" s="253"/>
      <c r="J99" s="269"/>
      <c r="K99" s="140"/>
      <c r="L99" s="98"/>
      <c r="M99" s="261"/>
      <c r="N99" s="272"/>
      <c r="O99" s="98"/>
    </row>
    <row r="100" spans="7:15" ht="18">
      <c r="G100" s="97"/>
      <c r="H100" s="97"/>
      <c r="I100" s="253"/>
      <c r="J100" s="269"/>
      <c r="K100" s="140"/>
      <c r="L100" s="98"/>
      <c r="M100" s="261"/>
      <c r="N100" s="272"/>
      <c r="O100" s="98"/>
    </row>
    <row r="101" spans="7:15" ht="18">
      <c r="G101" s="97"/>
      <c r="H101" s="97"/>
      <c r="I101" s="253"/>
      <c r="J101" s="269"/>
      <c r="K101" s="140"/>
      <c r="L101" s="98"/>
      <c r="M101" s="261"/>
      <c r="N101" s="272"/>
      <c r="O101" s="98"/>
    </row>
    <row r="102" spans="7:15" ht="18">
      <c r="G102" s="97"/>
      <c r="H102" s="97"/>
      <c r="I102" s="253"/>
      <c r="J102" s="269"/>
      <c r="K102" s="140"/>
      <c r="L102" s="98"/>
      <c r="M102" s="261"/>
      <c r="N102" s="272"/>
      <c r="O102" s="98"/>
    </row>
    <row r="103" spans="7:15" ht="18">
      <c r="G103" s="97"/>
      <c r="H103" s="97"/>
      <c r="I103" s="253"/>
      <c r="J103" s="269"/>
      <c r="K103" s="140"/>
      <c r="L103" s="98"/>
      <c r="M103" s="261"/>
      <c r="N103" s="272"/>
      <c r="O103" s="98"/>
    </row>
  </sheetData>
  <sheetProtection insertRows="0" deleteRows="0" sort="0"/>
  <mergeCells count="17">
    <mergeCell ref="A2:O2"/>
    <mergeCell ref="M3:O3"/>
    <mergeCell ref="G3:G4"/>
    <mergeCell ref="F3:F4"/>
    <mergeCell ref="B3:B4"/>
    <mergeCell ref="D3:D4"/>
    <mergeCell ref="H3:H4"/>
    <mergeCell ref="I3:L3"/>
    <mergeCell ref="C3:C4"/>
    <mergeCell ref="E3:E4"/>
    <mergeCell ref="H73:O78"/>
    <mergeCell ref="H79:O85"/>
    <mergeCell ref="A61:B61"/>
    <mergeCell ref="A62:B62"/>
    <mergeCell ref="K67:O69"/>
    <mergeCell ref="K64:O66"/>
    <mergeCell ref="K70:O72"/>
  </mergeCells>
  <printOptions horizontalCentered="1" verticalCentered="1"/>
  <pageMargins left="0.53" right="0.19" top="0.5905511811023623" bottom="0.5" header="0.5118110236220472" footer="0.45"/>
  <pageSetup orientation="portrait" paperSize="9" scale="45" r:id="rId2"/>
  <ignoredErrors>
    <ignoredError sqref="P52:P54 P50 P48 P18 P49 P47 P51 P55:P58 M12:M41 P59:P60 M45:O58 O59" formula="1" unlockedFormula="1"/>
    <ignoredError sqref="P7:P10 P6 P13:P17 P42:P43 P19:P39 P40:P41 P44:P46 N12:N41 M59:N59" unlockedFormula="1"/>
    <ignoredError sqref="F16:H42 F43:H54" numberStoredAsText="1"/>
    <ignoredError sqref="O8:O42 K43:M43 K8:L42 M8:M11 M42 K44:L58 M44:O44 K7:L7" formula="1"/>
  </ignoredErrors>
  <drawing r:id="rId1"/>
</worksheet>
</file>

<file path=xl/worksheets/sheet2.xml><?xml version="1.0" encoding="utf-8"?>
<worksheet xmlns="http://schemas.openxmlformats.org/spreadsheetml/2006/main" xmlns:r="http://schemas.openxmlformats.org/officeDocument/2006/relationships">
  <dimension ref="A1:N256"/>
  <sheetViews>
    <sheetView zoomScale="110" zoomScaleNormal="110" zoomScalePageLayoutView="0" workbookViewId="0" topLeftCell="A1">
      <selection activeCell="K1" sqref="K1"/>
    </sheetView>
  </sheetViews>
  <sheetFormatPr defaultColWidth="13.28125" defaultRowHeight="12.75"/>
  <cols>
    <col min="1" max="1" width="4.8515625" style="41" bestFit="1" customWidth="1"/>
    <col min="2" max="2" width="45.8515625" style="39" bestFit="1" customWidth="1"/>
    <col min="3" max="3" width="10.28125" style="31" customWidth="1"/>
    <col min="4" max="4" width="14.421875" style="31" bestFit="1" customWidth="1"/>
    <col min="5" max="5" width="21.28125" style="31" bestFit="1" customWidth="1"/>
    <col min="6" max="6" width="6.421875" style="31" bestFit="1" customWidth="1"/>
    <col min="7" max="7" width="11.57421875" style="31" customWidth="1"/>
    <col min="8" max="8" width="16.8515625" style="290" bestFit="1" customWidth="1"/>
    <col min="9" max="9" width="12.421875" style="103" bestFit="1" customWidth="1"/>
    <col min="10" max="10" width="8.421875" style="40" customWidth="1"/>
    <col min="11" max="11" width="16.28125" style="94" bestFit="1" customWidth="1"/>
    <col min="12" max="12" width="11.00390625" style="91" bestFit="1" customWidth="1"/>
    <col min="13" max="13" width="15.140625" style="94" bestFit="1" customWidth="1"/>
    <col min="14" max="14" width="11.00390625" style="91" bestFit="1" customWidth="1"/>
    <col min="15" max="16" width="8.8515625" style="0" customWidth="1"/>
    <col min="17" max="16384" width="13.28125" style="39" customWidth="1"/>
  </cols>
  <sheetData>
    <row r="1" spans="1:14" s="37" customFormat="1" ht="81.75" customHeight="1" thickBot="1">
      <c r="A1" s="515" t="s">
        <v>720</v>
      </c>
      <c r="B1" s="516"/>
      <c r="C1" s="516"/>
      <c r="D1" s="516"/>
      <c r="E1" s="516"/>
      <c r="F1" s="516"/>
      <c r="G1" s="516"/>
      <c r="H1" s="516"/>
      <c r="I1" s="516"/>
      <c r="J1" s="516"/>
      <c r="K1" s="95"/>
      <c r="L1" s="96"/>
      <c r="M1" s="95"/>
      <c r="N1" s="96"/>
    </row>
    <row r="2" spans="1:14" s="38" customFormat="1" ht="14.25">
      <c r="A2" s="42"/>
      <c r="B2" s="517" t="s">
        <v>312</v>
      </c>
      <c r="C2" s="517" t="s">
        <v>359</v>
      </c>
      <c r="D2" s="517" t="s">
        <v>451</v>
      </c>
      <c r="E2" s="517" t="s">
        <v>450</v>
      </c>
      <c r="F2" s="508" t="s">
        <v>314</v>
      </c>
      <c r="G2" s="508" t="s">
        <v>360</v>
      </c>
      <c r="H2" s="522" t="s">
        <v>316</v>
      </c>
      <c r="I2" s="523"/>
      <c r="J2" s="513" t="s">
        <v>361</v>
      </c>
      <c r="K2" s="92"/>
      <c r="L2" s="89"/>
      <c r="M2" s="92"/>
      <c r="N2" s="89"/>
    </row>
    <row r="3" spans="1:14" s="38" customFormat="1" ht="33" customHeight="1" thickBot="1">
      <c r="A3" s="61"/>
      <c r="B3" s="518"/>
      <c r="C3" s="518"/>
      <c r="D3" s="518"/>
      <c r="E3" s="518"/>
      <c r="F3" s="519"/>
      <c r="G3" s="519"/>
      <c r="H3" s="173" t="s">
        <v>362</v>
      </c>
      <c r="I3" s="36" t="s">
        <v>279</v>
      </c>
      <c r="J3" s="514"/>
      <c r="K3" s="92"/>
      <c r="L3" s="89"/>
      <c r="M3" s="92"/>
      <c r="N3" s="89"/>
    </row>
    <row r="4" spans="1:14" s="38" customFormat="1" ht="15">
      <c r="A4" s="285">
        <v>1</v>
      </c>
      <c r="B4" s="164" t="s">
        <v>68</v>
      </c>
      <c r="C4" s="165">
        <v>39402</v>
      </c>
      <c r="D4" s="166" t="s">
        <v>447</v>
      </c>
      <c r="E4" s="166" t="s">
        <v>69</v>
      </c>
      <c r="F4" s="167">
        <v>165</v>
      </c>
      <c r="G4" s="167">
        <v>7</v>
      </c>
      <c r="H4" s="329">
        <f>12736195.5+0</f>
        <v>12736195.5</v>
      </c>
      <c r="I4" s="467">
        <f>271934+322135+339926+262189+150199+208899+146862</f>
        <v>1702144</v>
      </c>
      <c r="J4" s="487">
        <f aca="true" t="shared" si="0" ref="J4:J67">+H4/I4</f>
        <v>7.482443024796962</v>
      </c>
      <c r="K4" s="105"/>
      <c r="L4" s="106"/>
      <c r="M4" s="107"/>
      <c r="N4" s="108"/>
    </row>
    <row r="5" spans="1:14" s="38" customFormat="1" ht="15">
      <c r="A5" s="286">
        <v>2</v>
      </c>
      <c r="B5" s="68" t="s">
        <v>640</v>
      </c>
      <c r="C5" s="50">
        <v>39430</v>
      </c>
      <c r="D5" s="160" t="s">
        <v>454</v>
      </c>
      <c r="E5" s="160" t="s">
        <v>466</v>
      </c>
      <c r="F5" s="51">
        <v>242</v>
      </c>
      <c r="G5" s="51">
        <v>3</v>
      </c>
      <c r="H5" s="144">
        <v>11618723</v>
      </c>
      <c r="I5" s="237">
        <v>1485735</v>
      </c>
      <c r="J5" s="74">
        <f t="shared" si="0"/>
        <v>7.820185295493476</v>
      </c>
      <c r="K5" s="105"/>
      <c r="L5" s="106"/>
      <c r="M5" s="107"/>
      <c r="N5" s="108"/>
    </row>
    <row r="6" spans="1:14" s="38" customFormat="1" ht="15">
      <c r="A6" s="287">
        <v>3</v>
      </c>
      <c r="B6" s="168" t="s">
        <v>369</v>
      </c>
      <c r="C6" s="169">
        <v>39094</v>
      </c>
      <c r="D6" s="170" t="s">
        <v>455</v>
      </c>
      <c r="E6" s="170" t="s">
        <v>526</v>
      </c>
      <c r="F6" s="172">
        <v>226</v>
      </c>
      <c r="G6" s="172">
        <v>34</v>
      </c>
      <c r="H6" s="308">
        <f>3142328+2138928+1454143+1085018.5-637+512497+119516+49072.5+21975.5+19023+9522+7521+6716.5+973+245+20+90+85+70+947+133+2189+149+3296.5+5376+1188+1551+2376+2376+1510.5+1510.5+2376+1510.5</f>
        <v>8593596</v>
      </c>
      <c r="I6" s="309">
        <f>453903+300559+202455+152725+101+73889+22414+10560+4196+3829+2908+1791+1716+233+42+4+18+17+14+309+15+538+24+819+1343+297+388+594+594+378+378+594+378</f>
        <v>1238023</v>
      </c>
      <c r="J6" s="489">
        <f t="shared" si="0"/>
        <v>6.941386387813473</v>
      </c>
      <c r="K6" s="105"/>
      <c r="L6" s="106"/>
      <c r="M6" s="107"/>
      <c r="N6" s="108"/>
    </row>
    <row r="7" spans="1:14" s="38" customFormat="1" ht="15">
      <c r="A7" s="288">
        <v>4</v>
      </c>
      <c r="B7" s="283" t="s">
        <v>324</v>
      </c>
      <c r="C7" s="284">
        <v>39101</v>
      </c>
      <c r="D7" s="274" t="s">
        <v>455</v>
      </c>
      <c r="E7" s="274" t="s">
        <v>455</v>
      </c>
      <c r="F7" s="276">
        <v>160</v>
      </c>
      <c r="G7" s="276">
        <v>33</v>
      </c>
      <c r="H7" s="330">
        <f>3815016+1300103.5+871510+26.5+643328.5+285+427492+144808.5-4582.5+117687.5+159.5+78376+20328+17217+7297+945+2840.5+34810+328+1337+17151+158+30+3021+2014+152+6041+3614.5+6585+17296.5+42649.5+1188+6041+6041+1510.5</f>
        <v>7592806</v>
      </c>
      <c r="I7" s="245">
        <f>302979+231870+176034+121748+3+91906+35+60830+21133-764+16236+14+11431-4+2924+3552+1459+120+1210+2+11600+81+437+5713+17+6+604+503+25+1510+904+1646+4326+10661+297+1511+1511+378</f>
        <v>1084448</v>
      </c>
      <c r="J7" s="488">
        <f t="shared" si="0"/>
        <v>7.001539953967364</v>
      </c>
      <c r="K7" s="109"/>
      <c r="L7" s="110"/>
      <c r="M7" s="111"/>
      <c r="N7" s="112"/>
    </row>
    <row r="8" spans="1:14" s="38" customFormat="1" ht="15">
      <c r="A8" s="286">
        <v>5</v>
      </c>
      <c r="B8" s="68" t="s">
        <v>516</v>
      </c>
      <c r="C8" s="50">
        <v>39227</v>
      </c>
      <c r="D8" s="55" t="s">
        <v>454</v>
      </c>
      <c r="E8" s="53" t="s">
        <v>457</v>
      </c>
      <c r="F8" s="51">
        <v>216</v>
      </c>
      <c r="G8" s="51">
        <v>25</v>
      </c>
      <c r="H8" s="144">
        <v>7400884</v>
      </c>
      <c r="I8" s="230">
        <v>970114</v>
      </c>
      <c r="J8" s="74">
        <f t="shared" si="0"/>
        <v>7.628880729481278</v>
      </c>
      <c r="K8" s="109"/>
      <c r="L8" s="110"/>
      <c r="M8" s="111"/>
      <c r="N8" s="112"/>
    </row>
    <row r="9" spans="1:14" s="38" customFormat="1" ht="15">
      <c r="A9" s="286">
        <v>6</v>
      </c>
      <c r="B9" s="82">
        <v>300</v>
      </c>
      <c r="C9" s="49">
        <v>39157</v>
      </c>
      <c r="D9" s="150" t="s">
        <v>453</v>
      </c>
      <c r="E9" s="150" t="s">
        <v>322</v>
      </c>
      <c r="F9" s="72">
        <v>112</v>
      </c>
      <c r="G9" s="72">
        <v>17</v>
      </c>
      <c r="H9" s="145">
        <f>3267435+1511269+807013+389417+224450+112364+52008+9245+3829+1321+540+40+97+1035+245+610+2142+1338</f>
        <v>6384398</v>
      </c>
      <c r="I9" s="238">
        <f>400017+186496+98693+49874+35249+20817+11882+2148+932+328+139+8+17+46+129+366+302</f>
        <v>807443</v>
      </c>
      <c r="J9" s="74">
        <f t="shared" si="0"/>
        <v>7.906933368671225</v>
      </c>
      <c r="K9" s="109"/>
      <c r="L9" s="110"/>
      <c r="M9" s="111"/>
      <c r="N9" s="112"/>
    </row>
    <row r="10" spans="1:14" s="38" customFormat="1" ht="15">
      <c r="A10" s="286">
        <v>7</v>
      </c>
      <c r="B10" s="67" t="s">
        <v>497</v>
      </c>
      <c r="C10" s="49">
        <v>39206</v>
      </c>
      <c r="D10" s="54" t="s">
        <v>453</v>
      </c>
      <c r="E10" s="53" t="s">
        <v>458</v>
      </c>
      <c r="F10" s="87">
        <v>163</v>
      </c>
      <c r="G10" s="87">
        <v>24</v>
      </c>
      <c r="H10" s="158">
        <f>2739132+1415220+863921+292563+163748+73051+52236+22471+12322+7793+3792+3061+6867+1708+8702+2302+275+145+202+111+128+65+190+1782</f>
        <v>5671787</v>
      </c>
      <c r="I10" s="228">
        <f>347281+180161+109405+38153+22549+13412+12422+3817+2194+1661+709+551+1810+183+2155+320+55+29+36+20+25+13+38+890</f>
        <v>737889</v>
      </c>
      <c r="J10" s="74">
        <f t="shared" si="0"/>
        <v>7.6865043387284535</v>
      </c>
      <c r="K10" s="113"/>
      <c r="L10" s="110"/>
      <c r="M10" s="111"/>
      <c r="N10" s="112"/>
    </row>
    <row r="11" spans="1:14" s="38" customFormat="1" ht="15">
      <c r="A11" s="286">
        <v>8</v>
      </c>
      <c r="B11" s="82" t="s">
        <v>442</v>
      </c>
      <c r="C11" s="49">
        <v>39108</v>
      </c>
      <c r="D11" s="150" t="s">
        <v>453</v>
      </c>
      <c r="E11" s="150" t="s">
        <v>571</v>
      </c>
      <c r="F11" s="72">
        <v>148</v>
      </c>
      <c r="G11" s="72">
        <v>28</v>
      </c>
      <c r="H11" s="145">
        <f>1992651+1728920+984064+346169+182382+106480+57466+19982+14948+10164+6290+4742+2342+225+140+1108+175+60+115+165+40+40+10+764+916+80+174+249</f>
        <v>5460861</v>
      </c>
      <c r="I11" s="238">
        <f>274655+238848+139396+51021+30073+21220+12561+3942+2123+3415+1857+1264+1187+706+45+28+267+35+12+23+33+8+8+2+167+186+16+58+43</f>
        <v>783199</v>
      </c>
      <c r="J11" s="152">
        <f t="shared" si="0"/>
        <v>6.972507625775824</v>
      </c>
      <c r="K11" s="114"/>
      <c r="L11" s="110"/>
      <c r="M11" s="111"/>
      <c r="N11" s="112"/>
    </row>
    <row r="12" spans="1:14" s="38" customFormat="1" ht="15">
      <c r="A12" s="286">
        <v>9</v>
      </c>
      <c r="B12" s="82" t="s">
        <v>524</v>
      </c>
      <c r="C12" s="49">
        <v>39304</v>
      </c>
      <c r="D12" s="54" t="s">
        <v>453</v>
      </c>
      <c r="E12" s="53" t="s">
        <v>322</v>
      </c>
      <c r="F12" s="87">
        <v>165</v>
      </c>
      <c r="G12" s="87">
        <v>21</v>
      </c>
      <c r="H12" s="145">
        <f>2632960+1103806+622810+343330+175885+112509+60772+28410+15737+16484+3567+7825+3899+7196+3981+1749+1616+3566+772+1288+684</f>
        <v>5148846</v>
      </c>
      <c r="I12" s="238">
        <f>336483+141879+82533+45209+26903+20540+11529+5833+3987+3318+680+865+384+1787+580+811+720+1776+383+644+340</f>
        <v>687184</v>
      </c>
      <c r="J12" s="74">
        <f t="shared" si="0"/>
        <v>7.492674451093157</v>
      </c>
      <c r="K12" s="109"/>
      <c r="L12" s="110"/>
      <c r="M12" s="111"/>
      <c r="N12" s="112"/>
    </row>
    <row r="13" spans="1:14" s="38" customFormat="1" ht="15">
      <c r="A13" s="286">
        <v>10</v>
      </c>
      <c r="B13" s="68" t="s">
        <v>535</v>
      </c>
      <c r="C13" s="50">
        <v>39248</v>
      </c>
      <c r="D13" s="55" t="s">
        <v>454</v>
      </c>
      <c r="E13" s="55" t="s">
        <v>461</v>
      </c>
      <c r="F13" s="51">
        <v>160</v>
      </c>
      <c r="G13" s="51">
        <v>25</v>
      </c>
      <c r="H13" s="144">
        <v>4879502</v>
      </c>
      <c r="I13" s="237">
        <v>662034</v>
      </c>
      <c r="J13" s="152">
        <f t="shared" si="0"/>
        <v>7.37047039880127</v>
      </c>
      <c r="K13" s="105"/>
      <c r="L13" s="106"/>
      <c r="M13" s="107"/>
      <c r="N13" s="108"/>
    </row>
    <row r="14" spans="1:14" s="38" customFormat="1" ht="15">
      <c r="A14" s="286">
        <v>11</v>
      </c>
      <c r="B14" s="69" t="s">
        <v>280</v>
      </c>
      <c r="C14" s="49">
        <v>39157</v>
      </c>
      <c r="D14" s="56" t="s">
        <v>302</v>
      </c>
      <c r="E14" s="56" t="s">
        <v>281</v>
      </c>
      <c r="F14" s="88" t="s">
        <v>602</v>
      </c>
      <c r="G14" s="88" t="s">
        <v>654</v>
      </c>
      <c r="H14" s="158">
        <v>4537216.5</v>
      </c>
      <c r="I14" s="228">
        <v>590106</v>
      </c>
      <c r="J14" s="74">
        <f t="shared" si="0"/>
        <v>7.68881607711157</v>
      </c>
      <c r="K14" s="113"/>
      <c r="L14" s="110"/>
      <c r="M14" s="111"/>
      <c r="N14" s="112"/>
    </row>
    <row r="15" spans="1:14" s="38" customFormat="1" ht="15">
      <c r="A15" s="286">
        <v>12</v>
      </c>
      <c r="B15" s="67" t="s">
        <v>337</v>
      </c>
      <c r="C15" s="49">
        <v>39381</v>
      </c>
      <c r="D15" s="54" t="s">
        <v>453</v>
      </c>
      <c r="E15" s="53" t="s">
        <v>466</v>
      </c>
      <c r="F15" s="87">
        <v>144</v>
      </c>
      <c r="G15" s="87">
        <v>10</v>
      </c>
      <c r="H15" s="145">
        <f>2013361+924282+612528+224314+161621+67993+19442+6068+2170+613</f>
        <v>4032392</v>
      </c>
      <c r="I15" s="238">
        <f>250162+117111+77738+30679+29851+12478+4485+1923+349+89</f>
        <v>524865</v>
      </c>
      <c r="J15" s="152">
        <f t="shared" si="0"/>
        <v>7.682722223809932</v>
      </c>
      <c r="K15" s="115"/>
      <c r="L15" s="106"/>
      <c r="M15" s="107"/>
      <c r="N15" s="108"/>
    </row>
    <row r="16" spans="1:14" s="38" customFormat="1" ht="15">
      <c r="A16" s="286">
        <v>13</v>
      </c>
      <c r="B16" s="82" t="s">
        <v>330</v>
      </c>
      <c r="C16" s="49">
        <v>39108</v>
      </c>
      <c r="D16" s="150" t="s">
        <v>453</v>
      </c>
      <c r="E16" s="150" t="s">
        <v>322</v>
      </c>
      <c r="F16" s="72">
        <v>131</v>
      </c>
      <c r="G16" s="72">
        <v>24</v>
      </c>
      <c r="H16" s="145">
        <f>3063+1388108+1182918+556749+125580+97410+76666+37161+16470+15161+2005+10200+4397+3408+936+1970+7747+2376+294+1782+1782+1782+276+150+226</f>
        <v>3538617</v>
      </c>
      <c r="I16" s="238">
        <f>313+167433+145432+67053+17220+16427+14008+6979+4516+4288+371+2790+932+917+199+391+2126+594+81+356+356+509+38+30+36</f>
        <v>453395</v>
      </c>
      <c r="J16" s="152">
        <f t="shared" si="0"/>
        <v>7.804711123854475</v>
      </c>
      <c r="K16" s="116"/>
      <c r="L16" s="110"/>
      <c r="M16" s="111"/>
      <c r="N16" s="112"/>
    </row>
    <row r="17" spans="1:14" s="38" customFormat="1" ht="15">
      <c r="A17" s="286">
        <v>14</v>
      </c>
      <c r="B17" s="67" t="s">
        <v>638</v>
      </c>
      <c r="C17" s="49">
        <v>39423</v>
      </c>
      <c r="D17" s="53" t="s">
        <v>447</v>
      </c>
      <c r="E17" s="53" t="s">
        <v>405</v>
      </c>
      <c r="F17" s="87">
        <v>164</v>
      </c>
      <c r="G17" s="87">
        <v>4</v>
      </c>
      <c r="H17" s="147">
        <f>1455428+896564.5+785700+295594.5</f>
        <v>3433287</v>
      </c>
      <c r="I17" s="237">
        <f>172176+105411+97548+39201</f>
        <v>414336</v>
      </c>
      <c r="J17" s="74">
        <f t="shared" si="0"/>
        <v>8.286238704819278</v>
      </c>
      <c r="K17" s="105"/>
      <c r="L17" s="106"/>
      <c r="M17" s="107"/>
      <c r="N17" s="108"/>
    </row>
    <row r="18" spans="1:14" s="38" customFormat="1" ht="15">
      <c r="A18" s="286">
        <v>15</v>
      </c>
      <c r="B18" s="68" t="s">
        <v>561</v>
      </c>
      <c r="C18" s="50">
        <v>39269</v>
      </c>
      <c r="D18" s="55" t="s">
        <v>454</v>
      </c>
      <c r="E18" s="53" t="s">
        <v>461</v>
      </c>
      <c r="F18" s="51">
        <v>156</v>
      </c>
      <c r="G18" s="51">
        <v>17</v>
      </c>
      <c r="H18" s="144">
        <v>3227582</v>
      </c>
      <c r="I18" s="237">
        <v>409055</v>
      </c>
      <c r="J18" s="152">
        <f t="shared" si="0"/>
        <v>7.890337485179255</v>
      </c>
      <c r="K18" s="109"/>
      <c r="L18" s="110"/>
      <c r="M18" s="111"/>
      <c r="N18" s="112"/>
    </row>
    <row r="19" spans="1:14" s="38" customFormat="1" ht="15">
      <c r="A19" s="286">
        <v>16</v>
      </c>
      <c r="B19" s="82" t="s">
        <v>437</v>
      </c>
      <c r="C19" s="49">
        <v>39115</v>
      </c>
      <c r="D19" s="150" t="s">
        <v>453</v>
      </c>
      <c r="E19" s="150" t="s">
        <v>322</v>
      </c>
      <c r="F19" s="72">
        <v>81</v>
      </c>
      <c r="G19" s="72">
        <v>19</v>
      </c>
      <c r="H19" s="145">
        <f>3091+1174032+810484+561094+347033+135358+88526+33166+9630+2505+2639+286+251+1782+152+910+672+1782+832+1782+1782-1</f>
        <v>3177788</v>
      </c>
      <c r="I19" s="238">
        <f>289+128246+92369+63358+42093+20318+16522+7468+2207+501+1112+39+34+509+36+158+509+83+594+178</f>
        <v>376623</v>
      </c>
      <c r="J19" s="152">
        <f t="shared" si="0"/>
        <v>8.437583472066231</v>
      </c>
      <c r="K19" s="109"/>
      <c r="L19" s="110"/>
      <c r="M19" s="111"/>
      <c r="N19" s="112"/>
    </row>
    <row r="20" spans="1:14" s="38" customFormat="1" ht="15">
      <c r="A20" s="286">
        <v>17</v>
      </c>
      <c r="B20" s="69" t="s">
        <v>395</v>
      </c>
      <c r="C20" s="49">
        <v>39080</v>
      </c>
      <c r="D20" s="56" t="s">
        <v>302</v>
      </c>
      <c r="E20" s="56" t="s">
        <v>311</v>
      </c>
      <c r="F20" s="88" t="s">
        <v>396</v>
      </c>
      <c r="G20" s="88" t="s">
        <v>674</v>
      </c>
      <c r="H20" s="331">
        <v>3141774.5</v>
      </c>
      <c r="I20" s="332">
        <v>431696</v>
      </c>
      <c r="J20" s="74">
        <f t="shared" si="0"/>
        <v>7.277747535302621</v>
      </c>
      <c r="K20" s="105"/>
      <c r="L20" s="106"/>
      <c r="M20" s="107"/>
      <c r="N20" s="108"/>
    </row>
    <row r="21" spans="1:14" s="38" customFormat="1" ht="15">
      <c r="A21" s="286">
        <v>18</v>
      </c>
      <c r="B21" s="68" t="s">
        <v>658</v>
      </c>
      <c r="C21" s="49">
        <v>39437</v>
      </c>
      <c r="D21" s="55" t="s">
        <v>455</v>
      </c>
      <c r="E21" s="55" t="s">
        <v>659</v>
      </c>
      <c r="F21" s="87">
        <v>156</v>
      </c>
      <c r="G21" s="51">
        <v>2</v>
      </c>
      <c r="H21" s="144">
        <f>1780127+1212579.5</f>
        <v>2992706.5</v>
      </c>
      <c r="I21" s="237">
        <f>240776+165120</f>
        <v>405896</v>
      </c>
      <c r="J21" s="152">
        <f t="shared" si="0"/>
        <v>7.373086948380866</v>
      </c>
      <c r="K21" s="113"/>
      <c r="L21" s="106"/>
      <c r="M21" s="111"/>
      <c r="N21" s="112"/>
    </row>
    <row r="22" spans="1:14" s="38" customFormat="1" ht="15">
      <c r="A22" s="286">
        <v>19</v>
      </c>
      <c r="B22" s="83" t="s">
        <v>399</v>
      </c>
      <c r="C22" s="50">
        <v>39087</v>
      </c>
      <c r="D22" s="149" t="s">
        <v>454</v>
      </c>
      <c r="E22" s="149" t="s">
        <v>457</v>
      </c>
      <c r="F22" s="79">
        <v>90</v>
      </c>
      <c r="G22" s="79">
        <v>12</v>
      </c>
      <c r="H22" s="144">
        <v>2957559</v>
      </c>
      <c r="I22" s="237">
        <v>345479</v>
      </c>
      <c r="J22" s="74">
        <f t="shared" si="0"/>
        <v>8.56074898908472</v>
      </c>
      <c r="K22" s="114"/>
      <c r="L22" s="110"/>
      <c r="M22" s="111"/>
      <c r="N22" s="112"/>
    </row>
    <row r="23" spans="1:14" s="38" customFormat="1" ht="15">
      <c r="A23" s="286">
        <v>20</v>
      </c>
      <c r="B23" s="67" t="s">
        <v>390</v>
      </c>
      <c r="C23" s="49">
        <v>39241</v>
      </c>
      <c r="D23" s="54" t="s">
        <v>453</v>
      </c>
      <c r="E23" s="53" t="s">
        <v>322</v>
      </c>
      <c r="F23" s="87">
        <v>114</v>
      </c>
      <c r="G23" s="87">
        <v>20</v>
      </c>
      <c r="H23" s="158">
        <f>1424760+644906+381265+231148+102150+55281+27155+11304+8097+4112+6656+807+690+492+2712+2613+474+2506+84+63</f>
        <v>2907275</v>
      </c>
      <c r="I23" s="228">
        <f>161361+74014+43430+27827+13281+9202+4917+1839+1628+687+1137+107+96+76+241+273+80+208+12+9</f>
        <v>340425</v>
      </c>
      <c r="J23" s="74">
        <f t="shared" si="0"/>
        <v>8.540133656458838</v>
      </c>
      <c r="K23" s="109"/>
      <c r="L23" s="110"/>
      <c r="M23" s="111"/>
      <c r="N23" s="112"/>
    </row>
    <row r="24" spans="1:14" s="38" customFormat="1" ht="15">
      <c r="A24" s="286">
        <v>21</v>
      </c>
      <c r="B24" s="68" t="s">
        <v>642</v>
      </c>
      <c r="C24" s="50">
        <v>39430</v>
      </c>
      <c r="D24" s="160" t="s">
        <v>454</v>
      </c>
      <c r="E24" s="160" t="s">
        <v>461</v>
      </c>
      <c r="F24" s="51">
        <v>137</v>
      </c>
      <c r="G24" s="51">
        <v>3</v>
      </c>
      <c r="H24" s="144">
        <v>2867784</v>
      </c>
      <c r="I24" s="237">
        <v>349175</v>
      </c>
      <c r="J24" s="152">
        <f t="shared" si="0"/>
        <v>8.213027851363929</v>
      </c>
      <c r="K24" s="113"/>
      <c r="L24" s="110"/>
      <c r="M24" s="111"/>
      <c r="N24" s="112"/>
    </row>
    <row r="25" spans="1:14" s="38" customFormat="1" ht="15">
      <c r="A25" s="286">
        <v>22</v>
      </c>
      <c r="B25" s="67" t="s">
        <v>627</v>
      </c>
      <c r="C25" s="49">
        <v>39416</v>
      </c>
      <c r="D25" s="54" t="s">
        <v>453</v>
      </c>
      <c r="E25" s="53" t="s">
        <v>322</v>
      </c>
      <c r="F25" s="87">
        <v>123</v>
      </c>
      <c r="G25" s="87">
        <v>5</v>
      </c>
      <c r="H25" s="145">
        <f>155416+1136619+622980+528056+225392+174199</f>
        <v>2842662</v>
      </c>
      <c r="I25" s="238">
        <f>12079+122083+66530+52286+18245+17821</f>
        <v>289044</v>
      </c>
      <c r="J25" s="74">
        <f t="shared" si="0"/>
        <v>9.834703366961431</v>
      </c>
      <c r="K25" s="109"/>
      <c r="L25" s="110"/>
      <c r="M25" s="111"/>
      <c r="N25" s="112"/>
    </row>
    <row r="26" spans="1:14" s="38" customFormat="1" ht="15">
      <c r="A26" s="286">
        <v>23</v>
      </c>
      <c r="B26" s="82" t="s">
        <v>434</v>
      </c>
      <c r="C26" s="49">
        <v>39108</v>
      </c>
      <c r="D26" s="150" t="s">
        <v>302</v>
      </c>
      <c r="E26" s="150" t="s">
        <v>435</v>
      </c>
      <c r="F26" s="72" t="s">
        <v>436</v>
      </c>
      <c r="G26" s="72" t="s">
        <v>427</v>
      </c>
      <c r="H26" s="145">
        <v>2824914.5</v>
      </c>
      <c r="I26" s="238">
        <v>379744</v>
      </c>
      <c r="J26" s="74">
        <f t="shared" si="0"/>
        <v>7.438997061178057</v>
      </c>
      <c r="K26" s="105"/>
      <c r="L26" s="106"/>
      <c r="M26" s="107"/>
      <c r="N26" s="108"/>
    </row>
    <row r="27" spans="1:14" s="38" customFormat="1" ht="15">
      <c r="A27" s="286">
        <v>24</v>
      </c>
      <c r="B27" s="83" t="s">
        <v>620</v>
      </c>
      <c r="C27" s="50">
        <v>39192</v>
      </c>
      <c r="D27" s="149" t="s">
        <v>454</v>
      </c>
      <c r="E27" s="149" t="s">
        <v>621</v>
      </c>
      <c r="F27" s="79">
        <v>173</v>
      </c>
      <c r="G27" s="79">
        <v>16</v>
      </c>
      <c r="H27" s="144">
        <v>2721328</v>
      </c>
      <c r="I27" s="237">
        <v>379818</v>
      </c>
      <c r="J27" s="152">
        <f t="shared" si="0"/>
        <v>7.1648210458693375</v>
      </c>
      <c r="K27" s="109"/>
      <c r="L27" s="110"/>
      <c r="M27" s="111"/>
      <c r="N27" s="112"/>
    </row>
    <row r="28" spans="1:14" s="38" customFormat="1" ht="15">
      <c r="A28" s="286">
        <v>25</v>
      </c>
      <c r="B28" s="68" t="s">
        <v>532</v>
      </c>
      <c r="C28" s="50">
        <v>39318</v>
      </c>
      <c r="D28" s="160" t="s">
        <v>454</v>
      </c>
      <c r="E28" s="160" t="s">
        <v>457</v>
      </c>
      <c r="F28" s="51">
        <v>116</v>
      </c>
      <c r="G28" s="51">
        <v>19</v>
      </c>
      <c r="H28" s="144">
        <v>2643339</v>
      </c>
      <c r="I28" s="237">
        <v>331332</v>
      </c>
      <c r="J28" s="152">
        <f t="shared" si="0"/>
        <v>7.977916410126399</v>
      </c>
      <c r="K28" s="109"/>
      <c r="L28" s="110"/>
      <c r="M28" s="111"/>
      <c r="N28" s="112"/>
    </row>
    <row r="29" spans="1:14" s="38" customFormat="1" ht="15">
      <c r="A29" s="286">
        <v>26</v>
      </c>
      <c r="B29" s="82" t="s">
        <v>570</v>
      </c>
      <c r="C29" s="49">
        <v>39129</v>
      </c>
      <c r="D29" s="150" t="s">
        <v>453</v>
      </c>
      <c r="E29" s="150" t="s">
        <v>458</v>
      </c>
      <c r="F29" s="72">
        <v>72</v>
      </c>
      <c r="G29" s="72">
        <v>12</v>
      </c>
      <c r="H29" s="145">
        <f>1024988+679541+410193+207911+76405+45780+25921+20590+1599+1014+626+993+3564</f>
        <v>2499125</v>
      </c>
      <c r="I29" s="238">
        <f>121457+81309+49212+25967+12824+9651+5051+4320+382+310+180+1020</f>
        <v>311683</v>
      </c>
      <c r="J29" s="152">
        <f t="shared" si="0"/>
        <v>8.018162684522416</v>
      </c>
      <c r="K29" s="113"/>
      <c r="L29" s="110"/>
      <c r="M29" s="111"/>
      <c r="N29" s="112"/>
    </row>
    <row r="30" spans="1:14" s="38" customFormat="1" ht="15">
      <c r="A30" s="286">
        <v>27</v>
      </c>
      <c r="B30" s="67" t="s">
        <v>59</v>
      </c>
      <c r="C30" s="49">
        <v>39381</v>
      </c>
      <c r="D30" s="53" t="s">
        <v>447</v>
      </c>
      <c r="E30" s="53" t="s">
        <v>338</v>
      </c>
      <c r="F30" s="87">
        <v>91</v>
      </c>
      <c r="G30" s="87">
        <v>10</v>
      </c>
      <c r="H30" s="147">
        <f>964543+666618+447582+156310.5+90863+70894+37352.5+3350+1874+714.5</f>
        <v>2440101.5</v>
      </c>
      <c r="I30" s="237">
        <f>104009+73251+49929+20007+15751+12767+7228+691+416+233</f>
        <v>284282</v>
      </c>
      <c r="J30" s="74">
        <f t="shared" si="0"/>
        <v>8.583383752752548</v>
      </c>
      <c r="K30" s="115"/>
      <c r="L30" s="106"/>
      <c r="M30" s="111"/>
      <c r="N30" s="108"/>
    </row>
    <row r="31" spans="1:14" s="38" customFormat="1" ht="15">
      <c r="A31" s="286">
        <v>28</v>
      </c>
      <c r="B31" s="68" t="s">
        <v>370</v>
      </c>
      <c r="C31" s="50">
        <v>39080</v>
      </c>
      <c r="D31" s="73" t="s">
        <v>454</v>
      </c>
      <c r="E31" s="73" t="s">
        <v>459</v>
      </c>
      <c r="F31" s="51">
        <v>56</v>
      </c>
      <c r="G31" s="51">
        <v>41</v>
      </c>
      <c r="H31" s="144">
        <v>2111897</v>
      </c>
      <c r="I31" s="237">
        <v>235382</v>
      </c>
      <c r="J31" s="74">
        <f t="shared" si="0"/>
        <v>8.972211129143265</v>
      </c>
      <c r="K31" s="117"/>
      <c r="L31" s="118"/>
      <c r="M31" s="119"/>
      <c r="N31" s="120"/>
    </row>
    <row r="32" spans="1:14" s="38" customFormat="1" ht="15">
      <c r="A32" s="286">
        <v>29</v>
      </c>
      <c r="B32" s="83" t="s">
        <v>441</v>
      </c>
      <c r="C32" s="50">
        <v>39122</v>
      </c>
      <c r="D32" s="149" t="s">
        <v>454</v>
      </c>
      <c r="E32" s="149" t="s">
        <v>461</v>
      </c>
      <c r="F32" s="79">
        <v>56</v>
      </c>
      <c r="G32" s="79">
        <v>23</v>
      </c>
      <c r="H32" s="144">
        <v>2102355</v>
      </c>
      <c r="I32" s="237">
        <v>232515</v>
      </c>
      <c r="J32" s="74">
        <f t="shared" si="0"/>
        <v>9.041803754596478</v>
      </c>
      <c r="K32" s="109"/>
      <c r="L32" s="110"/>
      <c r="M32" s="111"/>
      <c r="N32" s="112"/>
    </row>
    <row r="33" spans="1:14" s="38" customFormat="1" ht="15">
      <c r="A33" s="286">
        <v>30</v>
      </c>
      <c r="B33" s="68" t="s">
        <v>70</v>
      </c>
      <c r="C33" s="50">
        <v>39402</v>
      </c>
      <c r="D33" s="160" t="s">
        <v>454</v>
      </c>
      <c r="E33" s="160" t="s">
        <v>641</v>
      </c>
      <c r="F33" s="51">
        <v>130</v>
      </c>
      <c r="G33" s="51">
        <v>7</v>
      </c>
      <c r="H33" s="144">
        <v>2073004</v>
      </c>
      <c r="I33" s="237">
        <v>259801</v>
      </c>
      <c r="J33" s="74">
        <f t="shared" si="0"/>
        <v>7.979199464205296</v>
      </c>
      <c r="K33" s="105"/>
      <c r="L33" s="106"/>
      <c r="M33" s="107"/>
      <c r="N33" s="108"/>
    </row>
    <row r="34" spans="1:14" s="38" customFormat="1" ht="15">
      <c r="A34" s="286">
        <v>31</v>
      </c>
      <c r="B34" s="82" t="s">
        <v>469</v>
      </c>
      <c r="C34" s="49">
        <v>39157</v>
      </c>
      <c r="D34" s="150" t="s">
        <v>302</v>
      </c>
      <c r="E34" s="150" t="s">
        <v>296</v>
      </c>
      <c r="F34" s="72" t="s">
        <v>585</v>
      </c>
      <c r="G34" s="72" t="s">
        <v>407</v>
      </c>
      <c r="H34" s="145">
        <v>2059668</v>
      </c>
      <c r="I34" s="238">
        <v>276295</v>
      </c>
      <c r="J34" s="152">
        <f t="shared" si="0"/>
        <v>7.45459744114081</v>
      </c>
      <c r="K34" s="121"/>
      <c r="L34" s="110"/>
      <c r="M34" s="111"/>
      <c r="N34" s="112"/>
    </row>
    <row r="35" spans="1:14" s="38" customFormat="1" ht="15">
      <c r="A35" s="286">
        <v>32</v>
      </c>
      <c r="B35" s="68" t="s">
        <v>71</v>
      </c>
      <c r="C35" s="50">
        <v>39402</v>
      </c>
      <c r="D35" s="55" t="s">
        <v>455</v>
      </c>
      <c r="E35" s="55" t="s">
        <v>636</v>
      </c>
      <c r="F35" s="51">
        <v>125</v>
      </c>
      <c r="G35" s="51">
        <v>7</v>
      </c>
      <c r="H35" s="144">
        <f>676439.5+554539.5+408532.5+265092+4+63975.5-30+36417+32233.5</f>
        <v>2037203.5</v>
      </c>
      <c r="I35" s="237">
        <f>91933+76364+57186+39863+2+10711+6714+6020</f>
        <v>288793</v>
      </c>
      <c r="J35" s="74">
        <f t="shared" si="0"/>
        <v>7.054199720907363</v>
      </c>
      <c r="K35" s="105"/>
      <c r="L35" s="106"/>
      <c r="M35" s="107"/>
      <c r="N35" s="108"/>
    </row>
    <row r="36" spans="1:14" s="38" customFormat="1" ht="15">
      <c r="A36" s="286">
        <v>33</v>
      </c>
      <c r="B36" s="82" t="s">
        <v>470</v>
      </c>
      <c r="C36" s="49">
        <v>39143</v>
      </c>
      <c r="D36" s="150" t="s">
        <v>453</v>
      </c>
      <c r="E36" s="150" t="s">
        <v>466</v>
      </c>
      <c r="F36" s="72">
        <v>77</v>
      </c>
      <c r="G36" s="72">
        <v>14</v>
      </c>
      <c r="H36" s="145">
        <f>846616+621006+326134+78640+79015+27237+18411+3052+4329+471+1132+1440+324+287+1782</f>
        <v>2009876</v>
      </c>
      <c r="I36" s="238">
        <f>102037+74423+39219+11834+13028+5347+3640+1471+1553+157+248+240+54+510</f>
        <v>253761</v>
      </c>
      <c r="J36" s="74">
        <f t="shared" si="0"/>
        <v>7.920350250826565</v>
      </c>
      <c r="K36" s="109"/>
      <c r="L36" s="110"/>
      <c r="M36" s="111"/>
      <c r="N36" s="112"/>
    </row>
    <row r="37" spans="1:14" s="38" customFormat="1" ht="15">
      <c r="A37" s="286">
        <v>34</v>
      </c>
      <c r="B37" s="68" t="s">
        <v>553</v>
      </c>
      <c r="C37" s="50">
        <v>39262</v>
      </c>
      <c r="D37" s="160" t="s">
        <v>455</v>
      </c>
      <c r="E37" s="55" t="s">
        <v>456</v>
      </c>
      <c r="F37" s="87">
        <v>78</v>
      </c>
      <c r="G37" s="51">
        <v>18</v>
      </c>
      <c r="H37" s="159">
        <f>739051+347868+263605+177344.5+97146+68797+30662+31663.5+3881.5+3316+4035+1380.5+2813.5+149+2357+5396.5+123+1188</f>
        <v>1780777</v>
      </c>
      <c r="I37" s="230">
        <f>88667+41947+31866+21736+14597+11279+5210+7064+821+613+870+310+686+24+561+1349+30+297</f>
        <v>227927</v>
      </c>
      <c r="J37" s="74">
        <f t="shared" si="0"/>
        <v>7.81292694590812</v>
      </c>
      <c r="K37" s="109"/>
      <c r="L37" s="110"/>
      <c r="M37" s="111"/>
      <c r="N37" s="112"/>
    </row>
    <row r="38" spans="1:14" s="38" customFormat="1" ht="15">
      <c r="A38" s="286">
        <v>35</v>
      </c>
      <c r="B38" s="82" t="s">
        <v>363</v>
      </c>
      <c r="C38" s="49">
        <v>39080</v>
      </c>
      <c r="D38" s="150" t="s">
        <v>453</v>
      </c>
      <c r="E38" s="150" t="s">
        <v>458</v>
      </c>
      <c r="F38" s="72">
        <v>80</v>
      </c>
      <c r="G38" s="72">
        <v>26</v>
      </c>
      <c r="H38" s="145">
        <f>1367+686114+384405+247619+146119+85619+63759-1+18934+11869+10791+11315+6907+8812+6730+2628+1465+749+1063+756+276+1198+612+510+45+1062+592+1782+205</f>
        <v>1703302</v>
      </c>
      <c r="I38" s="238">
        <f>80773+116+46317+29887+17891+10484+7685+2801+1917+1334+1333+755+1517+932+417+307+136+369+126+23+122+85+45+5+126+49+510+33</f>
        <v>206095</v>
      </c>
      <c r="J38" s="152">
        <f t="shared" si="0"/>
        <v>8.26464494529222</v>
      </c>
      <c r="K38" s="116"/>
      <c r="L38" s="110"/>
      <c r="M38" s="111"/>
      <c r="N38" s="112"/>
    </row>
    <row r="39" spans="1:14" s="38" customFormat="1" ht="15">
      <c r="A39" s="286">
        <v>36</v>
      </c>
      <c r="B39" s="82" t="s">
        <v>287</v>
      </c>
      <c r="C39" s="49">
        <v>39164</v>
      </c>
      <c r="D39" s="150" t="s">
        <v>453</v>
      </c>
      <c r="E39" s="150" t="s">
        <v>322</v>
      </c>
      <c r="F39" s="72">
        <v>67</v>
      </c>
      <c r="G39" s="72">
        <v>18</v>
      </c>
      <c r="H39" s="145">
        <f>7213+744394+558705+271317+50816+12988+9955+3876+1748+6837+3019+2664+1805+1782+405+1466+3048+1197+2014+142</f>
        <v>1685391</v>
      </c>
      <c r="I39" s="238">
        <f>773+77628+58862+29936+6447+2076+1922+726+287+1913+534+636+361+297+81+288+527+268+200+28</f>
        <v>183790</v>
      </c>
      <c r="J39" s="152">
        <f t="shared" si="0"/>
        <v>9.170199684422439</v>
      </c>
      <c r="K39" s="105"/>
      <c r="L39" s="106"/>
      <c r="M39" s="107"/>
      <c r="N39" s="108"/>
    </row>
    <row r="40" spans="1:14" s="38" customFormat="1" ht="15">
      <c r="A40" s="286">
        <v>37</v>
      </c>
      <c r="B40" s="82" t="s">
        <v>438</v>
      </c>
      <c r="C40" s="49">
        <v>39115</v>
      </c>
      <c r="D40" s="150" t="s">
        <v>302</v>
      </c>
      <c r="E40" s="150" t="s">
        <v>439</v>
      </c>
      <c r="F40" s="72" t="s">
        <v>440</v>
      </c>
      <c r="G40" s="72" t="s">
        <v>394</v>
      </c>
      <c r="H40" s="145">
        <v>1681728</v>
      </c>
      <c r="I40" s="238">
        <v>236648</v>
      </c>
      <c r="J40" s="74">
        <f t="shared" si="0"/>
        <v>7.106453466752307</v>
      </c>
      <c r="K40" s="113"/>
      <c r="L40" s="110"/>
      <c r="M40" s="111"/>
      <c r="N40" s="112"/>
    </row>
    <row r="41" spans="1:14" s="38" customFormat="1" ht="15">
      <c r="A41" s="286">
        <v>38</v>
      </c>
      <c r="B41" s="68" t="s">
        <v>413</v>
      </c>
      <c r="C41" s="50">
        <v>39129</v>
      </c>
      <c r="D41" s="73" t="s">
        <v>454</v>
      </c>
      <c r="E41" s="73" t="s">
        <v>590</v>
      </c>
      <c r="F41" s="51">
        <v>77</v>
      </c>
      <c r="G41" s="51">
        <v>33</v>
      </c>
      <c r="H41" s="144">
        <v>1557035</v>
      </c>
      <c r="I41" s="237">
        <v>199737</v>
      </c>
      <c r="J41" s="74">
        <f t="shared" si="0"/>
        <v>7.795425985170499</v>
      </c>
      <c r="K41" s="109"/>
      <c r="L41" s="110"/>
      <c r="M41" s="111"/>
      <c r="N41" s="112"/>
    </row>
    <row r="42" spans="1:14" s="38" customFormat="1" ht="15">
      <c r="A42" s="286">
        <v>39</v>
      </c>
      <c r="B42" s="82" t="s">
        <v>566</v>
      </c>
      <c r="C42" s="49">
        <v>39129</v>
      </c>
      <c r="D42" s="150" t="s">
        <v>447</v>
      </c>
      <c r="E42" s="150" t="s">
        <v>331</v>
      </c>
      <c r="F42" s="72">
        <v>113</v>
      </c>
      <c r="G42" s="72">
        <v>18</v>
      </c>
      <c r="H42" s="147">
        <v>1556995</v>
      </c>
      <c r="I42" s="237">
        <v>199297</v>
      </c>
      <c r="J42" s="74">
        <f t="shared" si="0"/>
        <v>7.812435711526014</v>
      </c>
      <c r="K42" s="113"/>
      <c r="L42" s="110"/>
      <c r="M42" s="111"/>
      <c r="N42" s="112"/>
    </row>
    <row r="43" spans="1:14" s="38" customFormat="1" ht="15">
      <c r="A43" s="286">
        <v>40</v>
      </c>
      <c r="B43" s="68" t="s">
        <v>595</v>
      </c>
      <c r="C43" s="50">
        <v>39367</v>
      </c>
      <c r="D43" s="55" t="s">
        <v>454</v>
      </c>
      <c r="E43" s="55" t="s">
        <v>459</v>
      </c>
      <c r="F43" s="51">
        <v>135</v>
      </c>
      <c r="G43" s="51">
        <v>8</v>
      </c>
      <c r="H43" s="144">
        <v>1511549</v>
      </c>
      <c r="I43" s="237">
        <v>175497</v>
      </c>
      <c r="J43" s="152">
        <f t="shared" si="0"/>
        <v>8.61296204493524</v>
      </c>
      <c r="K43" s="105"/>
      <c r="L43" s="106"/>
      <c r="M43" s="107"/>
      <c r="N43" s="108"/>
    </row>
    <row r="44" spans="1:14" s="38" customFormat="1" ht="15">
      <c r="A44" s="286">
        <v>41</v>
      </c>
      <c r="B44" s="82" t="s">
        <v>290</v>
      </c>
      <c r="C44" s="49">
        <v>39164</v>
      </c>
      <c r="D44" s="150" t="s">
        <v>447</v>
      </c>
      <c r="E44" s="150" t="s">
        <v>465</v>
      </c>
      <c r="F44" s="72">
        <v>119</v>
      </c>
      <c r="G44" s="72">
        <v>26</v>
      </c>
      <c r="H44" s="147">
        <f>1463503.5+1774+208+20289+1136+123+3728+1281+565+311+129+80+136+123+1928+7469+133</f>
        <v>1502916.5</v>
      </c>
      <c r="I44" s="237">
        <f>193429+337+32+3321+216+18+619+252+110+56+19+12+21+18+377+1489+25</f>
        <v>200351</v>
      </c>
      <c r="J44" s="74">
        <f t="shared" si="0"/>
        <v>7.501417512265974</v>
      </c>
      <c r="K44" s="115"/>
      <c r="L44" s="106"/>
      <c r="M44" s="107"/>
      <c r="N44" s="108"/>
    </row>
    <row r="45" spans="1:14" s="38" customFormat="1" ht="15">
      <c r="A45" s="286">
        <v>42</v>
      </c>
      <c r="B45" s="67">
        <v>1408</v>
      </c>
      <c r="C45" s="49">
        <v>39353</v>
      </c>
      <c r="D45" s="53" t="s">
        <v>453</v>
      </c>
      <c r="E45" s="53" t="s">
        <v>401</v>
      </c>
      <c r="F45" s="87">
        <v>70</v>
      </c>
      <c r="G45" s="87">
        <v>8</v>
      </c>
      <c r="H45" s="145">
        <f>4996+501925+327556+377159+90246+38977+37140+22967+4325</f>
        <v>1405291</v>
      </c>
      <c r="I45" s="228">
        <f>474+55465+37494+43391+11622+7175+7250+4040+893</f>
        <v>167804</v>
      </c>
      <c r="J45" s="152">
        <f t="shared" si="0"/>
        <v>8.3745977449882</v>
      </c>
      <c r="K45" s="113"/>
      <c r="L45" s="110"/>
      <c r="M45" s="111"/>
      <c r="N45" s="112"/>
    </row>
    <row r="46" spans="1:14" s="38" customFormat="1" ht="15">
      <c r="A46" s="286">
        <v>43</v>
      </c>
      <c r="B46" s="82" t="s">
        <v>601</v>
      </c>
      <c r="C46" s="49">
        <v>39178</v>
      </c>
      <c r="D46" s="150" t="s">
        <v>452</v>
      </c>
      <c r="E46" s="150" t="s">
        <v>560</v>
      </c>
      <c r="F46" s="72">
        <v>55</v>
      </c>
      <c r="G46" s="72">
        <v>14</v>
      </c>
      <c r="H46" s="145">
        <v>1359102</v>
      </c>
      <c r="I46" s="238">
        <v>158968</v>
      </c>
      <c r="J46" s="152">
        <f t="shared" si="0"/>
        <v>8.549531981279252</v>
      </c>
      <c r="K46" s="105"/>
      <c r="L46" s="106"/>
      <c r="M46" s="107"/>
      <c r="N46" s="108"/>
    </row>
    <row r="47" spans="1:14" s="38" customFormat="1" ht="15">
      <c r="A47" s="286">
        <v>44</v>
      </c>
      <c r="B47" s="68" t="s">
        <v>624</v>
      </c>
      <c r="C47" s="52">
        <v>39199</v>
      </c>
      <c r="D47" s="57" t="s">
        <v>460</v>
      </c>
      <c r="E47" s="57" t="s">
        <v>461</v>
      </c>
      <c r="F47" s="102">
        <v>82</v>
      </c>
      <c r="G47" s="102">
        <v>24</v>
      </c>
      <c r="H47" s="146">
        <v>1340848</v>
      </c>
      <c r="I47" s="237">
        <v>163430</v>
      </c>
      <c r="J47" s="152">
        <f t="shared" si="0"/>
        <v>8.204417793550755</v>
      </c>
      <c r="K47" s="122"/>
      <c r="L47" s="106"/>
      <c r="M47" s="107"/>
      <c r="N47" s="108"/>
    </row>
    <row r="48" spans="1:14" s="38" customFormat="1" ht="15">
      <c r="A48" s="286">
        <v>45</v>
      </c>
      <c r="B48" s="68" t="s">
        <v>294</v>
      </c>
      <c r="C48" s="50">
        <v>39164</v>
      </c>
      <c r="D48" s="160" t="s">
        <v>455</v>
      </c>
      <c r="E48" s="55" t="s">
        <v>445</v>
      </c>
      <c r="F48" s="87">
        <v>40</v>
      </c>
      <c r="G48" s="51">
        <v>21</v>
      </c>
      <c r="H48" s="159">
        <f>452783.5+369193.5-156.5+194527+1+121223+68185+44103+34172+22942+14917.5+8850+442+640+288+669+1240+375+209+343+1510.5+190+346</f>
        <v>1336993.5</v>
      </c>
      <c r="I48" s="230">
        <f>49233+40219-14+22195+17046+12080+7513+6232+4202+2944+1792+103+141+59+129+216+75+59+110+378+47+86</f>
        <v>164845</v>
      </c>
      <c r="J48" s="152">
        <f t="shared" si="0"/>
        <v>8.11060996693864</v>
      </c>
      <c r="K48" s="105"/>
      <c r="L48" s="106"/>
      <c r="M48" s="107"/>
      <c r="N48" s="108"/>
    </row>
    <row r="49" spans="1:14" s="38" customFormat="1" ht="15">
      <c r="A49" s="286">
        <v>46</v>
      </c>
      <c r="B49" s="67" t="s">
        <v>531</v>
      </c>
      <c r="C49" s="49">
        <v>39192</v>
      </c>
      <c r="D49" s="54" t="s">
        <v>453</v>
      </c>
      <c r="E49" s="53" t="s">
        <v>458</v>
      </c>
      <c r="F49" s="87">
        <v>71</v>
      </c>
      <c r="G49" s="87">
        <v>15</v>
      </c>
      <c r="H49" s="158">
        <f>650722+343253+182218+69965+35143+7805+4837+1724+2475+104+228+64+2609+1495+1782+1782</f>
        <v>1306206</v>
      </c>
      <c r="I49" s="238">
        <f>69605+37920+20625+11182+6173+1433+1126+350+432+13+8+439+270+142+178</f>
        <v>149896</v>
      </c>
      <c r="J49" s="152">
        <f t="shared" si="0"/>
        <v>8.714081763355926</v>
      </c>
      <c r="K49" s="113"/>
      <c r="L49" s="110"/>
      <c r="M49" s="111"/>
      <c r="N49" s="112"/>
    </row>
    <row r="50" spans="1:14" s="38" customFormat="1" ht="15">
      <c r="A50" s="286">
        <v>47</v>
      </c>
      <c r="B50" s="67" t="s">
        <v>409</v>
      </c>
      <c r="C50" s="49">
        <v>39325</v>
      </c>
      <c r="D50" s="54" t="s">
        <v>453</v>
      </c>
      <c r="E50" s="53" t="s">
        <v>466</v>
      </c>
      <c r="F50" s="87">
        <v>66</v>
      </c>
      <c r="G50" s="87">
        <v>11</v>
      </c>
      <c r="H50" s="158">
        <f>525108+317924+194824+91268+68158+24888+33873+10231+3828+1034+391</f>
        <v>1271527</v>
      </c>
      <c r="I50" s="238">
        <f>59646+36998+22784+12130+10279+4690+6855+2156+1629+210+53</f>
        <v>157430</v>
      </c>
      <c r="J50" s="74">
        <f t="shared" si="0"/>
        <v>8.076776980245189</v>
      </c>
      <c r="K50" s="113"/>
      <c r="L50" s="110"/>
      <c r="M50" s="111"/>
      <c r="N50" s="112"/>
    </row>
    <row r="51" spans="1:14" s="38" customFormat="1" ht="15">
      <c r="A51" s="286">
        <v>48</v>
      </c>
      <c r="B51" s="68" t="s">
        <v>567</v>
      </c>
      <c r="C51" s="50">
        <v>39129</v>
      </c>
      <c r="D51" s="55" t="s">
        <v>525</v>
      </c>
      <c r="E51" s="55" t="s">
        <v>525</v>
      </c>
      <c r="F51" s="51">
        <v>43</v>
      </c>
      <c r="G51" s="51">
        <v>26</v>
      </c>
      <c r="H51" s="144">
        <f>384662.5+356262.5+212054+113636.5+58120+27335.5+24431+10836.5+5+6679.5+256+268+626+1136+6120+2414+331+435+2376+87+320+839+346+1074+5396+48+1510.5</f>
        <v>1217605.5</v>
      </c>
      <c r="I51" s="237">
        <f>44623+40340+24564+15320+9563+4723+4295+2247+1249+49+49+137+101+1023+439+51+87+594+18+64+173+62+179+1349+16+378</f>
        <v>151693</v>
      </c>
      <c r="J51" s="74">
        <f t="shared" si="0"/>
        <v>8.02677447212462</v>
      </c>
      <c r="K51" s="113"/>
      <c r="L51" s="110"/>
      <c r="M51" s="111"/>
      <c r="N51" s="112"/>
    </row>
    <row r="52" spans="1:14" s="38" customFormat="1" ht="15">
      <c r="A52" s="286">
        <v>49</v>
      </c>
      <c r="B52" s="82" t="s">
        <v>374</v>
      </c>
      <c r="C52" s="49">
        <v>39122</v>
      </c>
      <c r="D52" s="150" t="s">
        <v>453</v>
      </c>
      <c r="E52" s="150" t="s">
        <v>401</v>
      </c>
      <c r="F52" s="72">
        <v>60</v>
      </c>
      <c r="G52" s="72">
        <v>13</v>
      </c>
      <c r="H52" s="145">
        <f>532455+318401+212166+27739+39053+27412+18250+6211+1517+4378+709+213+341+272</f>
        <v>1189117</v>
      </c>
      <c r="I52" s="238">
        <f>62334+37213+25119+5045+7212+5675+4013+1372+298+882+145+45+46</f>
        <v>149399</v>
      </c>
      <c r="J52" s="74">
        <f t="shared" si="0"/>
        <v>7.959337077222739</v>
      </c>
      <c r="K52" s="123"/>
      <c r="L52" s="106"/>
      <c r="M52" s="107"/>
      <c r="N52" s="108"/>
    </row>
    <row r="53" spans="1:14" s="38" customFormat="1" ht="15">
      <c r="A53" s="286">
        <v>50</v>
      </c>
      <c r="B53" s="104" t="s">
        <v>596</v>
      </c>
      <c r="C53" s="80">
        <v>39367</v>
      </c>
      <c r="D53" s="148" t="s">
        <v>514</v>
      </c>
      <c r="E53" s="148" t="s">
        <v>546</v>
      </c>
      <c r="F53" s="142">
        <v>148</v>
      </c>
      <c r="G53" s="143">
        <v>9</v>
      </c>
      <c r="H53" s="295">
        <v>1166762.12</v>
      </c>
      <c r="I53" s="293">
        <v>163507</v>
      </c>
      <c r="J53" s="74">
        <f t="shared" si="0"/>
        <v>7.135854244772395</v>
      </c>
      <c r="K53" s="113"/>
      <c r="L53" s="110"/>
      <c r="M53" s="111"/>
      <c r="N53" s="112"/>
    </row>
    <row r="54" spans="1:14" s="38" customFormat="1" ht="15">
      <c r="A54" s="286">
        <v>51</v>
      </c>
      <c r="B54" s="68" t="s">
        <v>484</v>
      </c>
      <c r="C54" s="50">
        <v>39290</v>
      </c>
      <c r="D54" s="55" t="s">
        <v>455</v>
      </c>
      <c r="E54" s="55" t="s">
        <v>456</v>
      </c>
      <c r="F54" s="102">
        <v>80</v>
      </c>
      <c r="G54" s="51">
        <v>19</v>
      </c>
      <c r="H54" s="144">
        <f>506041+306658.5+167559.5+88992+42586+15088+11539.5+4969+1178+880+254+7562+78+150+214+304+398+54+219</f>
        <v>1154724.5</v>
      </c>
      <c r="I54" s="230">
        <f>62247+38008+20766+12756+6841+2734+2164+990+217+169+37+2270+13+19+41+61+82+9+73</f>
        <v>149497</v>
      </c>
      <c r="J54" s="152">
        <f t="shared" si="0"/>
        <v>7.724064696950441</v>
      </c>
      <c r="K54" s="105"/>
      <c r="L54" s="106"/>
      <c r="M54" s="107"/>
      <c r="N54" s="108"/>
    </row>
    <row r="55" spans="1:14" s="38" customFormat="1" ht="15">
      <c r="A55" s="286">
        <v>52</v>
      </c>
      <c r="B55" s="69" t="s">
        <v>643</v>
      </c>
      <c r="C55" s="49">
        <v>39430</v>
      </c>
      <c r="D55" s="56" t="s">
        <v>302</v>
      </c>
      <c r="E55" s="56" t="s">
        <v>703</v>
      </c>
      <c r="F55" s="88" t="s">
        <v>644</v>
      </c>
      <c r="G55" s="88" t="s">
        <v>648</v>
      </c>
      <c r="H55" s="145">
        <v>1134581.24</v>
      </c>
      <c r="I55" s="238">
        <v>141594</v>
      </c>
      <c r="J55" s="152">
        <f t="shared" si="0"/>
        <v>8.012918908993319</v>
      </c>
      <c r="K55" s="105"/>
      <c r="L55" s="106"/>
      <c r="M55" s="107"/>
      <c r="N55" s="108"/>
    </row>
    <row r="56" spans="1:14" s="38" customFormat="1" ht="15">
      <c r="A56" s="286">
        <v>53</v>
      </c>
      <c r="B56" s="67" t="s">
        <v>411</v>
      </c>
      <c r="C56" s="49">
        <v>39332</v>
      </c>
      <c r="D56" s="53" t="s">
        <v>453</v>
      </c>
      <c r="E56" s="53" t="s">
        <v>322</v>
      </c>
      <c r="F56" s="87">
        <v>61</v>
      </c>
      <c r="G56" s="87">
        <v>11</v>
      </c>
      <c r="H56" s="145">
        <f>4586+425313+281948+215272+108855+61192+11498+6315+3681+1652+1889+761</f>
        <v>1122962</v>
      </c>
      <c r="I56" s="228">
        <f>231+41374+28212+21514+12293+8198+2273+1468+951+734+322+140</f>
        <v>117710</v>
      </c>
      <c r="J56" s="152">
        <f t="shared" si="0"/>
        <v>9.540073060912412</v>
      </c>
      <c r="K56" s="123"/>
      <c r="L56" s="106"/>
      <c r="M56" s="107"/>
      <c r="N56" s="108"/>
    </row>
    <row r="57" spans="1:14" s="38" customFormat="1" ht="15">
      <c r="A57" s="286">
        <v>54</v>
      </c>
      <c r="B57" s="67" t="s">
        <v>493</v>
      </c>
      <c r="C57" s="49">
        <v>39185</v>
      </c>
      <c r="D57" s="53" t="s">
        <v>447</v>
      </c>
      <c r="E57" s="53" t="s">
        <v>611</v>
      </c>
      <c r="F57" s="87">
        <v>111</v>
      </c>
      <c r="G57" s="87">
        <v>23</v>
      </c>
      <c r="H57" s="229">
        <f>1099854+290</f>
        <v>1100144</v>
      </c>
      <c r="I57" s="230">
        <f>147774+0+58</f>
        <v>147832</v>
      </c>
      <c r="J57" s="152">
        <f t="shared" si="0"/>
        <v>7.441852914118729</v>
      </c>
      <c r="K57" s="105"/>
      <c r="L57" s="106"/>
      <c r="M57" s="107"/>
      <c r="N57" s="108"/>
    </row>
    <row r="58" spans="1:14" s="38" customFormat="1" ht="15">
      <c r="A58" s="286">
        <v>55</v>
      </c>
      <c r="B58" s="68" t="s">
        <v>293</v>
      </c>
      <c r="C58" s="50">
        <v>39171</v>
      </c>
      <c r="D58" s="73" t="s">
        <v>454</v>
      </c>
      <c r="E58" s="73" t="s">
        <v>457</v>
      </c>
      <c r="F58" s="51">
        <v>88</v>
      </c>
      <c r="G58" s="51">
        <v>27</v>
      </c>
      <c r="H58" s="144">
        <v>1096736</v>
      </c>
      <c r="I58" s="237">
        <v>143647</v>
      </c>
      <c r="J58" s="74">
        <f t="shared" si="0"/>
        <v>7.634938425445711</v>
      </c>
      <c r="K58" s="105"/>
      <c r="L58" s="106"/>
      <c r="M58" s="107"/>
      <c r="N58" s="108"/>
    </row>
    <row r="59" spans="1:14" s="38" customFormat="1" ht="15">
      <c r="A59" s="286">
        <v>56</v>
      </c>
      <c r="B59" s="82" t="s">
        <v>375</v>
      </c>
      <c r="C59" s="49">
        <v>39199</v>
      </c>
      <c r="D59" s="150" t="s">
        <v>453</v>
      </c>
      <c r="E59" s="150" t="s">
        <v>322</v>
      </c>
      <c r="F59" s="72">
        <v>71</v>
      </c>
      <c r="G59" s="72">
        <v>14</v>
      </c>
      <c r="H59" s="145">
        <f>477094+269146+191489+78805+30168+28149+13445+2594+1355+1262+573+246+260+160</f>
        <v>1094746</v>
      </c>
      <c r="I59" s="238">
        <f>58610+34281+24961+13307+6081+5387+2553+553+253+256+102+44+45+27</f>
        <v>146460</v>
      </c>
      <c r="J59" s="74">
        <f t="shared" si="0"/>
        <v>7.474709818380445</v>
      </c>
      <c r="K59" s="105"/>
      <c r="L59" s="106"/>
      <c r="M59" s="107"/>
      <c r="N59" s="108"/>
    </row>
    <row r="60" spans="1:14" s="38" customFormat="1" ht="15">
      <c r="A60" s="286">
        <v>57</v>
      </c>
      <c r="B60" s="67" t="s">
        <v>592</v>
      </c>
      <c r="C60" s="49">
        <v>39360</v>
      </c>
      <c r="D60" s="53" t="s">
        <v>447</v>
      </c>
      <c r="E60" s="53" t="s">
        <v>405</v>
      </c>
      <c r="F60" s="87">
        <v>116</v>
      </c>
      <c r="G60" s="87">
        <v>12</v>
      </c>
      <c r="H60" s="147">
        <f>373787+510358+125428+40861+10428.5+13276.5+5911.5+4646+1596+1340+255+1782</f>
        <v>1089669.5</v>
      </c>
      <c r="I60" s="230">
        <f>44941+63729+16985+6326+1619+2580+1358+1474+355+295+77+356</f>
        <v>140095</v>
      </c>
      <c r="J60" s="74">
        <f t="shared" si="0"/>
        <v>7.778075591562868</v>
      </c>
      <c r="K60" s="109"/>
      <c r="L60" s="110"/>
      <c r="M60" s="111"/>
      <c r="N60" s="112"/>
    </row>
    <row r="61" spans="1:14" s="38" customFormat="1" ht="15">
      <c r="A61" s="286">
        <v>58</v>
      </c>
      <c r="B61" s="68" t="s">
        <v>537</v>
      </c>
      <c r="C61" s="50">
        <v>39409</v>
      </c>
      <c r="D61" s="160" t="s">
        <v>454</v>
      </c>
      <c r="E61" s="160" t="s">
        <v>459</v>
      </c>
      <c r="F61" s="51">
        <v>55</v>
      </c>
      <c r="G61" s="51">
        <v>6</v>
      </c>
      <c r="H61" s="144">
        <v>1088818</v>
      </c>
      <c r="I61" s="237">
        <v>112558</v>
      </c>
      <c r="J61" s="152">
        <f t="shared" si="0"/>
        <v>9.673395049663284</v>
      </c>
      <c r="K61" s="122"/>
      <c r="L61" s="106"/>
      <c r="M61" s="107"/>
      <c r="N61" s="108"/>
    </row>
    <row r="62" spans="1:14" s="38" customFormat="1" ht="15">
      <c r="A62" s="286">
        <v>59</v>
      </c>
      <c r="B62" s="82" t="s">
        <v>606</v>
      </c>
      <c r="C62" s="49">
        <v>39150</v>
      </c>
      <c r="D62" s="150" t="s">
        <v>452</v>
      </c>
      <c r="E62" s="150" t="s">
        <v>459</v>
      </c>
      <c r="F62" s="72" t="s">
        <v>373</v>
      </c>
      <c r="G62" s="72" t="s">
        <v>292</v>
      </c>
      <c r="H62" s="145">
        <v>1069644</v>
      </c>
      <c r="I62" s="238">
        <v>117582</v>
      </c>
      <c r="J62" s="74">
        <f t="shared" si="0"/>
        <v>9.097004643567892</v>
      </c>
      <c r="K62" s="114"/>
      <c r="L62" s="110"/>
      <c r="M62" s="111"/>
      <c r="N62" s="112"/>
    </row>
    <row r="63" spans="1:14" s="38" customFormat="1" ht="15">
      <c r="A63" s="286">
        <v>60</v>
      </c>
      <c r="B63" s="68" t="s">
        <v>649</v>
      </c>
      <c r="C63" s="50">
        <v>39395</v>
      </c>
      <c r="D63" s="160" t="s">
        <v>454</v>
      </c>
      <c r="E63" s="160" t="s">
        <v>461</v>
      </c>
      <c r="F63" s="51">
        <v>58</v>
      </c>
      <c r="G63" s="51">
        <v>7</v>
      </c>
      <c r="H63" s="144">
        <v>1061340</v>
      </c>
      <c r="I63" s="230">
        <v>114043</v>
      </c>
      <c r="J63" s="152">
        <f t="shared" si="0"/>
        <v>9.306489657409925</v>
      </c>
      <c r="K63" s="124"/>
      <c r="L63" s="106"/>
      <c r="M63" s="107"/>
      <c r="N63" s="108"/>
    </row>
    <row r="64" spans="1:14" s="38" customFormat="1" ht="15">
      <c r="A64" s="286">
        <v>61</v>
      </c>
      <c r="B64" s="68" t="s">
        <v>414</v>
      </c>
      <c r="C64" s="50">
        <v>39332</v>
      </c>
      <c r="D64" s="55" t="s">
        <v>454</v>
      </c>
      <c r="E64" s="55" t="s">
        <v>459</v>
      </c>
      <c r="F64" s="51">
        <v>112</v>
      </c>
      <c r="G64" s="51">
        <v>11</v>
      </c>
      <c r="H64" s="144">
        <v>1047320</v>
      </c>
      <c r="I64" s="230">
        <v>125306</v>
      </c>
      <c r="J64" s="74">
        <f t="shared" si="0"/>
        <v>8.358099372735543</v>
      </c>
      <c r="K64" s="109"/>
      <c r="L64" s="110"/>
      <c r="M64" s="111"/>
      <c r="N64" s="112"/>
    </row>
    <row r="65" spans="1:14" s="38" customFormat="1" ht="15">
      <c r="A65" s="286">
        <v>62</v>
      </c>
      <c r="B65" s="83" t="s">
        <v>325</v>
      </c>
      <c r="C65" s="50">
        <v>39101</v>
      </c>
      <c r="D65" s="149" t="s">
        <v>454</v>
      </c>
      <c r="E65" s="149" t="s">
        <v>326</v>
      </c>
      <c r="F65" s="79">
        <v>151</v>
      </c>
      <c r="G65" s="79">
        <v>19</v>
      </c>
      <c r="H65" s="144">
        <v>1037963</v>
      </c>
      <c r="I65" s="237">
        <v>149548</v>
      </c>
      <c r="J65" s="74">
        <f t="shared" si="0"/>
        <v>6.940667879209351</v>
      </c>
      <c r="K65" s="109"/>
      <c r="L65" s="110"/>
      <c r="M65" s="111"/>
      <c r="N65" s="112"/>
    </row>
    <row r="66" spans="1:14" s="38" customFormat="1" ht="15">
      <c r="A66" s="286">
        <v>63</v>
      </c>
      <c r="B66" s="68" t="s">
        <v>591</v>
      </c>
      <c r="C66" s="50">
        <v>39360</v>
      </c>
      <c r="D66" s="55" t="s">
        <v>454</v>
      </c>
      <c r="E66" s="55" t="s">
        <v>461</v>
      </c>
      <c r="F66" s="51">
        <v>112</v>
      </c>
      <c r="G66" s="51">
        <v>7</v>
      </c>
      <c r="H66" s="144">
        <v>1034425</v>
      </c>
      <c r="I66" s="237">
        <v>118318</v>
      </c>
      <c r="J66" s="152">
        <f t="shared" si="0"/>
        <v>8.742752582024712</v>
      </c>
      <c r="K66" s="116"/>
      <c r="L66" s="110"/>
      <c r="M66" s="111"/>
      <c r="N66" s="112"/>
    </row>
    <row r="67" spans="1:14" s="38" customFormat="1" ht="15">
      <c r="A67" s="286">
        <v>64</v>
      </c>
      <c r="B67" s="67" t="s">
        <v>415</v>
      </c>
      <c r="C67" s="49">
        <v>39318</v>
      </c>
      <c r="D67" s="53" t="s">
        <v>453</v>
      </c>
      <c r="E67" s="53" t="s">
        <v>458</v>
      </c>
      <c r="F67" s="87">
        <v>59</v>
      </c>
      <c r="G67" s="87">
        <v>10</v>
      </c>
      <c r="H67" s="145">
        <f>413233+229339+172851+79302+55415+41929+18796+12727+6318+1408</f>
        <v>1031318</v>
      </c>
      <c r="I67" s="238">
        <f>46697+26429+20174+11471+9717+7475+3173+2283+1251+276</f>
        <v>128946</v>
      </c>
      <c r="J67" s="152">
        <f t="shared" si="0"/>
        <v>7.998061203914817</v>
      </c>
      <c r="K67" s="117"/>
      <c r="L67" s="118"/>
      <c r="M67" s="119"/>
      <c r="N67" s="120"/>
    </row>
    <row r="68" spans="1:14" s="38" customFormat="1" ht="15">
      <c r="A68" s="286">
        <v>65</v>
      </c>
      <c r="B68" s="82" t="s">
        <v>577</v>
      </c>
      <c r="C68" s="49">
        <v>39143</v>
      </c>
      <c r="D68" s="150" t="s">
        <v>302</v>
      </c>
      <c r="E68" s="150" t="s">
        <v>578</v>
      </c>
      <c r="F68" s="72" t="s">
        <v>579</v>
      </c>
      <c r="G68" s="72" t="s">
        <v>552</v>
      </c>
      <c r="H68" s="145">
        <v>993083</v>
      </c>
      <c r="I68" s="238">
        <v>162028</v>
      </c>
      <c r="J68" s="152">
        <f aca="true" t="shared" si="1" ref="J68:J131">+H68/I68</f>
        <v>6.129082627693979</v>
      </c>
      <c r="K68" s="109"/>
      <c r="L68" s="110"/>
      <c r="M68" s="111"/>
      <c r="N68" s="112"/>
    </row>
    <row r="69" spans="1:14" s="38" customFormat="1" ht="15">
      <c r="A69" s="286">
        <v>66</v>
      </c>
      <c r="B69" s="69" t="s">
        <v>607</v>
      </c>
      <c r="C69" s="49">
        <v>39143</v>
      </c>
      <c r="D69" s="56" t="s">
        <v>468</v>
      </c>
      <c r="E69" s="56" t="s">
        <v>398</v>
      </c>
      <c r="F69" s="88" t="s">
        <v>582</v>
      </c>
      <c r="G69" s="88" t="s">
        <v>667</v>
      </c>
      <c r="H69" s="145">
        <v>965067</v>
      </c>
      <c r="I69" s="228">
        <v>132109</v>
      </c>
      <c r="J69" s="152">
        <f t="shared" si="1"/>
        <v>7.305081410047763</v>
      </c>
      <c r="K69" s="105"/>
      <c r="L69" s="106"/>
      <c r="M69" s="107"/>
      <c r="N69" s="108"/>
    </row>
    <row r="70" spans="1:14" s="38" customFormat="1" ht="15">
      <c r="A70" s="286">
        <v>67</v>
      </c>
      <c r="B70" s="67" t="s">
        <v>633</v>
      </c>
      <c r="C70" s="49">
        <v>39143</v>
      </c>
      <c r="D70" s="54" t="s">
        <v>453</v>
      </c>
      <c r="E70" s="53" t="s">
        <v>458</v>
      </c>
      <c r="F70" s="87">
        <v>54</v>
      </c>
      <c r="G70" s="87">
        <v>17</v>
      </c>
      <c r="H70" s="158">
        <f>1045+424606+314397+136527+14322+9753+11781+12715+3934+5401+154+340+234+908+155+253+251+832+180</f>
        <v>937788</v>
      </c>
      <c r="I70" s="228">
        <f>101+45441+34072+15020+1890+1720+2914+2615+1258+764+31+68+177+31+43+44+70+30</f>
        <v>106289</v>
      </c>
      <c r="J70" s="74">
        <f t="shared" si="1"/>
        <v>8.823001439471629</v>
      </c>
      <c r="K70" s="113"/>
      <c r="L70" s="110"/>
      <c r="M70" s="111"/>
      <c r="N70" s="112"/>
    </row>
    <row r="71" spans="1:14" s="38" customFormat="1" ht="15">
      <c r="A71" s="286">
        <v>68</v>
      </c>
      <c r="B71" s="83" t="s">
        <v>508</v>
      </c>
      <c r="C71" s="50">
        <v>39129</v>
      </c>
      <c r="D71" s="149" t="s">
        <v>454</v>
      </c>
      <c r="E71" s="149" t="s">
        <v>457</v>
      </c>
      <c r="F71" s="79">
        <v>39</v>
      </c>
      <c r="G71" s="79">
        <v>10</v>
      </c>
      <c r="H71" s="144">
        <v>906296</v>
      </c>
      <c r="I71" s="237">
        <v>96373</v>
      </c>
      <c r="J71" s="152">
        <f t="shared" si="1"/>
        <v>9.404044701316758</v>
      </c>
      <c r="K71" s="105"/>
      <c r="L71" s="106"/>
      <c r="M71" s="107"/>
      <c r="N71" s="108"/>
    </row>
    <row r="72" spans="1:14" s="38" customFormat="1" ht="15">
      <c r="A72" s="286">
        <v>69</v>
      </c>
      <c r="B72" s="67" t="s">
        <v>589</v>
      </c>
      <c r="C72" s="49">
        <v>39360</v>
      </c>
      <c r="D72" s="54" t="s">
        <v>453</v>
      </c>
      <c r="E72" s="53" t="s">
        <v>322</v>
      </c>
      <c r="F72" s="87">
        <v>73</v>
      </c>
      <c r="G72" s="87">
        <v>13</v>
      </c>
      <c r="H72" s="145">
        <f>2527+398811+325917+116748+8773+28+28081+14690+2838+221+3656+238+712+147+168</f>
        <v>903555</v>
      </c>
      <c r="I72" s="238">
        <f>228+40290+35016+12251+1468+5988+2689+521+31+1450+32+140+21+26</f>
        <v>100151</v>
      </c>
      <c r="J72" s="152">
        <f t="shared" si="1"/>
        <v>9.021926890395504</v>
      </c>
      <c r="K72" s="122"/>
      <c r="L72" s="125"/>
      <c r="M72" s="107"/>
      <c r="N72" s="108"/>
    </row>
    <row r="73" spans="1:14" s="38" customFormat="1" ht="15">
      <c r="A73" s="286">
        <v>70</v>
      </c>
      <c r="B73" s="67" t="s">
        <v>626</v>
      </c>
      <c r="C73" s="49">
        <v>39409</v>
      </c>
      <c r="D73" s="54" t="s">
        <v>453</v>
      </c>
      <c r="E73" s="53" t="s">
        <v>466</v>
      </c>
      <c r="F73" s="87">
        <v>69</v>
      </c>
      <c r="G73" s="87">
        <v>6</v>
      </c>
      <c r="H73" s="145">
        <f>387069+277494+166747+4993+4045+7291</f>
        <v>847639</v>
      </c>
      <c r="I73" s="238">
        <f>37017+27892+17708+698+855+1523</f>
        <v>85693</v>
      </c>
      <c r="J73" s="74">
        <f t="shared" si="1"/>
        <v>9.891578075222013</v>
      </c>
      <c r="K73" s="105"/>
      <c r="L73" s="106"/>
      <c r="M73" s="107"/>
      <c r="N73" s="108"/>
    </row>
    <row r="74" spans="1:14" s="38" customFormat="1" ht="15">
      <c r="A74" s="286">
        <v>71</v>
      </c>
      <c r="B74" s="69" t="s">
        <v>377</v>
      </c>
      <c r="C74" s="50">
        <v>39178</v>
      </c>
      <c r="D74" s="56" t="s">
        <v>277</v>
      </c>
      <c r="E74" s="56" t="s">
        <v>278</v>
      </c>
      <c r="F74" s="161">
        <v>43</v>
      </c>
      <c r="G74" s="161">
        <v>26</v>
      </c>
      <c r="H74" s="145">
        <v>840206.1</v>
      </c>
      <c r="I74" s="228">
        <v>111077</v>
      </c>
      <c r="J74" s="152">
        <f t="shared" si="1"/>
        <v>7.564177102370428</v>
      </c>
      <c r="K74" s="126"/>
      <c r="L74" s="127"/>
      <c r="M74" s="128"/>
      <c r="N74" s="129"/>
    </row>
    <row r="75" spans="1:14" s="38" customFormat="1" ht="15">
      <c r="A75" s="286">
        <v>72</v>
      </c>
      <c r="B75" s="68" t="s">
        <v>476</v>
      </c>
      <c r="C75" s="50">
        <v>39276</v>
      </c>
      <c r="D75" s="55" t="s">
        <v>455</v>
      </c>
      <c r="E75" s="53" t="s">
        <v>456</v>
      </c>
      <c r="F75" s="51">
        <v>40</v>
      </c>
      <c r="G75" s="51">
        <v>16</v>
      </c>
      <c r="H75" s="144">
        <f>242653.5+193762+151495+83180.5+49854.5+30897+20063.5+13929.5+13787.5+9568+4017.5+866+2197+3544.5+1901+3182</f>
        <v>824899</v>
      </c>
      <c r="I75" s="237">
        <f>27897+22449+16491+10278+7875+5346+3281+2538+2373+1794+619+140+403+765+730+587</f>
        <v>103566</v>
      </c>
      <c r="J75" s="152">
        <f t="shared" si="1"/>
        <v>7.964959542707066</v>
      </c>
      <c r="K75" s="109"/>
      <c r="L75" s="110"/>
      <c r="M75" s="111"/>
      <c r="N75" s="112"/>
    </row>
    <row r="76" spans="1:14" s="38" customFormat="1" ht="15">
      <c r="A76" s="286">
        <v>73</v>
      </c>
      <c r="B76" s="69" t="s">
        <v>49</v>
      </c>
      <c r="C76" s="49">
        <v>39374</v>
      </c>
      <c r="D76" s="56" t="s">
        <v>452</v>
      </c>
      <c r="E76" s="56" t="s">
        <v>452</v>
      </c>
      <c r="F76" s="72">
        <v>37</v>
      </c>
      <c r="G76" s="72">
        <v>8</v>
      </c>
      <c r="H76" s="158">
        <v>813373</v>
      </c>
      <c r="I76" s="228">
        <v>97245</v>
      </c>
      <c r="J76" s="74">
        <f t="shared" si="1"/>
        <v>8.364162681885958</v>
      </c>
      <c r="K76" s="105"/>
      <c r="L76" s="106"/>
      <c r="M76" s="107"/>
      <c r="N76" s="108"/>
    </row>
    <row r="77" spans="1:14" s="38" customFormat="1" ht="15">
      <c r="A77" s="286">
        <v>74</v>
      </c>
      <c r="B77" s="67" t="s">
        <v>536</v>
      </c>
      <c r="C77" s="49">
        <v>39374</v>
      </c>
      <c r="D77" s="54" t="s">
        <v>453</v>
      </c>
      <c r="E77" s="53" t="s">
        <v>322</v>
      </c>
      <c r="F77" s="87">
        <v>49</v>
      </c>
      <c r="G77" s="87">
        <v>10</v>
      </c>
      <c r="H77" s="145">
        <f>361702+261508+97150+37062+18423+10254+6747+2100+950+1782</f>
        <v>797678</v>
      </c>
      <c r="I77" s="238">
        <f>36469+26535+10186+6411+3460+1730+1266+491+475+891</f>
        <v>87914</v>
      </c>
      <c r="J77" s="74">
        <f t="shared" si="1"/>
        <v>9.073389903769593</v>
      </c>
      <c r="K77" s="109"/>
      <c r="L77" s="110"/>
      <c r="M77" s="111"/>
      <c r="N77" s="112"/>
    </row>
    <row r="78" spans="1:14" s="38" customFormat="1" ht="15">
      <c r="A78" s="286">
        <v>75</v>
      </c>
      <c r="B78" s="68" t="s">
        <v>528</v>
      </c>
      <c r="C78" s="50">
        <v>39311</v>
      </c>
      <c r="D78" s="55" t="s">
        <v>454</v>
      </c>
      <c r="E78" s="55" t="s">
        <v>454</v>
      </c>
      <c r="F78" s="51">
        <v>84</v>
      </c>
      <c r="G78" s="51">
        <v>10</v>
      </c>
      <c r="H78" s="159">
        <v>775354</v>
      </c>
      <c r="I78" s="230">
        <v>92830</v>
      </c>
      <c r="J78" s="74">
        <f t="shared" si="1"/>
        <v>8.35240762684477</v>
      </c>
      <c r="K78" s="123"/>
      <c r="L78" s="106"/>
      <c r="M78" s="107"/>
      <c r="N78" s="108"/>
    </row>
    <row r="79" spans="1:14" s="38" customFormat="1" ht="15">
      <c r="A79" s="286">
        <v>76</v>
      </c>
      <c r="B79" s="83" t="s">
        <v>397</v>
      </c>
      <c r="C79" s="50">
        <v>39080</v>
      </c>
      <c r="D79" s="149" t="s">
        <v>455</v>
      </c>
      <c r="E79" s="149" t="s">
        <v>456</v>
      </c>
      <c r="F79" s="79">
        <v>51</v>
      </c>
      <c r="G79" s="79">
        <v>21</v>
      </c>
      <c r="H79" s="144">
        <f>768444+275+609.5+79+702+40+1007</f>
        <v>771156.5</v>
      </c>
      <c r="I79" s="237">
        <f>94725+76+129+8+196+10+252</f>
        <v>95396</v>
      </c>
      <c r="J79" s="74">
        <f t="shared" si="1"/>
        <v>8.083740408402868</v>
      </c>
      <c r="K79" s="105"/>
      <c r="L79" s="106"/>
      <c r="M79" s="107"/>
      <c r="N79" s="108"/>
    </row>
    <row r="80" spans="1:14" s="38" customFormat="1" ht="15">
      <c r="A80" s="286">
        <v>77</v>
      </c>
      <c r="B80" s="68" t="s">
        <v>376</v>
      </c>
      <c r="C80" s="50">
        <v>39192</v>
      </c>
      <c r="D80" s="55" t="s">
        <v>525</v>
      </c>
      <c r="E80" s="55" t="s">
        <v>525</v>
      </c>
      <c r="F80" s="87">
        <v>79</v>
      </c>
      <c r="G80" s="51">
        <v>18</v>
      </c>
      <c r="H80" s="144">
        <f>407730+156171.5+87089+48964+29084+13173.5+8330+7579.5+805.5+1100+1464+3021+264+123+23+430+70</f>
        <v>765422</v>
      </c>
      <c r="I80" s="230">
        <f>48903+19527+11239+7709+5693+3389+1770+1751+250+248+325+755+88+19+3+86+14</f>
        <v>101769</v>
      </c>
      <c r="J80" s="152">
        <f t="shared" si="1"/>
        <v>7.521170493961815</v>
      </c>
      <c r="K80" s="105"/>
      <c r="L80" s="106"/>
      <c r="M80" s="107"/>
      <c r="N80" s="108"/>
    </row>
    <row r="81" spans="1:14" s="38" customFormat="1" ht="15">
      <c r="A81" s="286">
        <v>78</v>
      </c>
      <c r="B81" s="82" t="s">
        <v>291</v>
      </c>
      <c r="C81" s="49">
        <v>39094</v>
      </c>
      <c r="D81" s="150" t="s">
        <v>468</v>
      </c>
      <c r="E81" s="150" t="s">
        <v>398</v>
      </c>
      <c r="F81" s="72" t="s">
        <v>365</v>
      </c>
      <c r="G81" s="72" t="s">
        <v>552</v>
      </c>
      <c r="H81" s="145">
        <v>764364</v>
      </c>
      <c r="I81" s="238">
        <v>81627</v>
      </c>
      <c r="J81" s="152">
        <f t="shared" si="1"/>
        <v>9.364107464441913</v>
      </c>
      <c r="K81" s="115"/>
      <c r="L81" s="106"/>
      <c r="M81" s="107"/>
      <c r="N81" s="108"/>
    </row>
    <row r="82" spans="1:14" s="38" customFormat="1" ht="15">
      <c r="A82" s="286">
        <v>79</v>
      </c>
      <c r="B82" s="68" t="s">
        <v>635</v>
      </c>
      <c r="C82" s="50">
        <v>39423</v>
      </c>
      <c r="D82" s="55" t="s">
        <v>455</v>
      </c>
      <c r="E82" s="55" t="s">
        <v>456</v>
      </c>
      <c r="F82" s="51">
        <v>40</v>
      </c>
      <c r="G82" s="51">
        <v>4</v>
      </c>
      <c r="H82" s="144">
        <f>337397.5+246059+95618.5+43492.5</f>
        <v>722567.5</v>
      </c>
      <c r="I82" s="237">
        <f>35596+24953+11024+7059</f>
        <v>78632</v>
      </c>
      <c r="J82" s="152">
        <f t="shared" si="1"/>
        <v>9.189229575745244</v>
      </c>
      <c r="K82" s="115"/>
      <c r="L82" s="106"/>
      <c r="M82" s="107"/>
      <c r="N82" s="108"/>
    </row>
    <row r="83" spans="1:14" s="38" customFormat="1" ht="15">
      <c r="A83" s="286">
        <v>80</v>
      </c>
      <c r="B83" s="67" t="s">
        <v>303</v>
      </c>
      <c r="C83" s="49">
        <v>39297</v>
      </c>
      <c r="D83" s="54" t="s">
        <v>453</v>
      </c>
      <c r="E83" s="53" t="s">
        <v>458</v>
      </c>
      <c r="F83" s="87">
        <v>51</v>
      </c>
      <c r="G83" s="87">
        <v>20</v>
      </c>
      <c r="H83" s="158">
        <f>281080+182131+123214+30406+27098+21662+14107+7795+5519+3816+6498+1771+4249+2936+5464+1364+837+581+150+1798</f>
        <v>722476</v>
      </c>
      <c r="I83" s="228">
        <f>31883+21094+14754+4546+4836+4070+2318+1360+917+566+1261+309+845+581+1094+264+153+117+22+892</f>
        <v>91882</v>
      </c>
      <c r="J83" s="74">
        <f t="shared" si="1"/>
        <v>7.863085261531094</v>
      </c>
      <c r="K83" s="130"/>
      <c r="L83" s="118"/>
      <c r="M83" s="119"/>
      <c r="N83" s="120"/>
    </row>
    <row r="84" spans="1:14" s="38" customFormat="1" ht="15">
      <c r="A84" s="286">
        <v>81</v>
      </c>
      <c r="B84" s="83" t="s">
        <v>612</v>
      </c>
      <c r="C84" s="50">
        <v>39185</v>
      </c>
      <c r="D84" s="149" t="s">
        <v>454</v>
      </c>
      <c r="E84" s="149" t="s">
        <v>461</v>
      </c>
      <c r="F84" s="79">
        <v>55</v>
      </c>
      <c r="G84" s="79">
        <v>20</v>
      </c>
      <c r="H84" s="144">
        <v>712563</v>
      </c>
      <c r="I84" s="237">
        <v>85645</v>
      </c>
      <c r="J84" s="74">
        <f t="shared" si="1"/>
        <v>8.319960301243505</v>
      </c>
      <c r="K84" s="124"/>
      <c r="L84" s="106"/>
      <c r="M84" s="107"/>
      <c r="N84" s="108"/>
    </row>
    <row r="85" spans="1:14" s="38" customFormat="1" ht="15">
      <c r="A85" s="286">
        <v>82</v>
      </c>
      <c r="B85" s="68" t="s">
        <v>529</v>
      </c>
      <c r="C85" s="50">
        <v>39311</v>
      </c>
      <c r="D85" s="55" t="s">
        <v>455</v>
      </c>
      <c r="E85" s="53" t="s">
        <v>456</v>
      </c>
      <c r="F85" s="87">
        <v>51</v>
      </c>
      <c r="G85" s="51">
        <v>13</v>
      </c>
      <c r="H85" s="159">
        <f>307706+165406+101634+49698+32049.5+23376.5+11639-20+12239.5+6765.5+893+48+38+80</f>
        <v>711553</v>
      </c>
      <c r="I85" s="237">
        <f>37496+19653+12173+6929+5777+4291+2342-2+2292+1679+199+7+5+12</f>
        <v>92853</v>
      </c>
      <c r="J85" s="74">
        <f t="shared" si="1"/>
        <v>7.663220359062174</v>
      </c>
      <c r="K85" s="105"/>
      <c r="L85" s="106"/>
      <c r="M85" s="107"/>
      <c r="N85" s="108"/>
    </row>
    <row r="86" spans="1:14" s="38" customFormat="1" ht="15">
      <c r="A86" s="286">
        <v>83</v>
      </c>
      <c r="B86" s="69" t="s">
        <v>509</v>
      </c>
      <c r="C86" s="49">
        <v>39220</v>
      </c>
      <c r="D86" s="71" t="s">
        <v>468</v>
      </c>
      <c r="E86" s="71" t="s">
        <v>398</v>
      </c>
      <c r="F86" s="88" t="s">
        <v>510</v>
      </c>
      <c r="G86" s="88" t="s">
        <v>506</v>
      </c>
      <c r="H86" s="145">
        <v>702126</v>
      </c>
      <c r="I86" s="238">
        <v>83574</v>
      </c>
      <c r="J86" s="74">
        <f t="shared" si="1"/>
        <v>8.401249192332543</v>
      </c>
      <c r="K86" s="113"/>
      <c r="L86" s="110"/>
      <c r="M86" s="111"/>
      <c r="N86" s="112"/>
    </row>
    <row r="87" spans="1:14" s="38" customFormat="1" ht="15">
      <c r="A87" s="286">
        <v>84</v>
      </c>
      <c r="B87" s="82" t="s">
        <v>520</v>
      </c>
      <c r="C87" s="49">
        <v>39234</v>
      </c>
      <c r="D87" s="150" t="s">
        <v>452</v>
      </c>
      <c r="E87" s="150" t="s">
        <v>521</v>
      </c>
      <c r="F87" s="72">
        <v>77</v>
      </c>
      <c r="G87" s="72">
        <v>9</v>
      </c>
      <c r="H87" s="145">
        <v>675478</v>
      </c>
      <c r="I87" s="238">
        <v>76513</v>
      </c>
      <c r="J87" s="74">
        <f t="shared" si="1"/>
        <v>8.82827754760629</v>
      </c>
      <c r="K87" s="113"/>
      <c r="L87" s="110"/>
      <c r="M87" s="111"/>
      <c r="N87" s="112"/>
    </row>
    <row r="88" spans="1:14" s="38" customFormat="1" ht="15">
      <c r="A88" s="286">
        <v>85</v>
      </c>
      <c r="B88" s="67" t="s">
        <v>147</v>
      </c>
      <c r="C88" s="49">
        <v>39402</v>
      </c>
      <c r="D88" s="54" t="s">
        <v>453</v>
      </c>
      <c r="E88" s="53" t="s">
        <v>466</v>
      </c>
      <c r="F88" s="87">
        <v>64</v>
      </c>
      <c r="G88" s="87">
        <v>7</v>
      </c>
      <c r="H88" s="145">
        <f>299858+213967+97347+22667+8568+16509+4053</f>
        <v>662969</v>
      </c>
      <c r="I88" s="238">
        <f>33225+24189+12517+4002+2479+2973+867</f>
        <v>80252</v>
      </c>
      <c r="J88" s="152">
        <f t="shared" si="1"/>
        <v>8.261090066291183</v>
      </c>
      <c r="K88" s="105"/>
      <c r="L88" s="106"/>
      <c r="M88" s="107"/>
      <c r="N88" s="108"/>
    </row>
    <row r="89" spans="1:14" s="38" customFormat="1" ht="15">
      <c r="A89" s="286">
        <v>86</v>
      </c>
      <c r="B89" s="68" t="s">
        <v>339</v>
      </c>
      <c r="C89" s="50">
        <v>39381</v>
      </c>
      <c r="D89" s="55" t="s">
        <v>454</v>
      </c>
      <c r="E89" s="55" t="s">
        <v>459</v>
      </c>
      <c r="F89" s="51">
        <v>45</v>
      </c>
      <c r="G89" s="51">
        <v>6</v>
      </c>
      <c r="H89" s="144">
        <v>655244</v>
      </c>
      <c r="I89" s="237">
        <v>70011</v>
      </c>
      <c r="J89" s="74">
        <f t="shared" si="1"/>
        <v>9.359157846624102</v>
      </c>
      <c r="K89" s="105"/>
      <c r="L89" s="106"/>
      <c r="M89" s="107"/>
      <c r="N89" s="108"/>
    </row>
    <row r="90" spans="1:14" s="38" customFormat="1" ht="15">
      <c r="A90" s="286">
        <v>87</v>
      </c>
      <c r="B90" s="68" t="s">
        <v>304</v>
      </c>
      <c r="C90" s="50">
        <v>39297</v>
      </c>
      <c r="D90" s="55" t="s">
        <v>454</v>
      </c>
      <c r="E90" s="55" t="s">
        <v>461</v>
      </c>
      <c r="F90" s="51">
        <v>62</v>
      </c>
      <c r="G90" s="51">
        <v>11</v>
      </c>
      <c r="H90" s="144">
        <v>651249</v>
      </c>
      <c r="I90" s="237">
        <v>79883</v>
      </c>
      <c r="J90" s="152">
        <f t="shared" si="1"/>
        <v>8.152535583290563</v>
      </c>
      <c r="K90" s="109"/>
      <c r="L90" s="110"/>
      <c r="M90" s="111"/>
      <c r="N90" s="112"/>
    </row>
    <row r="91" spans="1:14" s="38" customFormat="1" ht="15">
      <c r="A91" s="286">
        <v>88</v>
      </c>
      <c r="B91" s="68" t="s">
        <v>708</v>
      </c>
      <c r="C91" s="50">
        <v>39395</v>
      </c>
      <c r="D91" s="55" t="s">
        <v>455</v>
      </c>
      <c r="E91" s="55" t="s">
        <v>456</v>
      </c>
      <c r="F91" s="51">
        <v>35</v>
      </c>
      <c r="G91" s="51">
        <v>8</v>
      </c>
      <c r="H91" s="144">
        <f>310876.5+189449.5+81911+30301+17300.5+2478+1808+1661.5</f>
        <v>635786</v>
      </c>
      <c r="I91" s="237">
        <f>27485+16830+7465+3781+3026+485+290+393</f>
        <v>59755</v>
      </c>
      <c r="J91" s="74">
        <f t="shared" si="1"/>
        <v>10.639879507990964</v>
      </c>
      <c r="K91" s="109"/>
      <c r="L91" s="110"/>
      <c r="M91" s="111"/>
      <c r="N91" s="112"/>
    </row>
    <row r="92" spans="1:14" s="38" customFormat="1" ht="15">
      <c r="A92" s="286">
        <v>89</v>
      </c>
      <c r="B92" s="83" t="s">
        <v>471</v>
      </c>
      <c r="C92" s="50">
        <v>39150</v>
      </c>
      <c r="D92" s="149" t="s">
        <v>454</v>
      </c>
      <c r="E92" s="149" t="s">
        <v>466</v>
      </c>
      <c r="F92" s="79">
        <v>54</v>
      </c>
      <c r="G92" s="79">
        <v>20</v>
      </c>
      <c r="H92" s="144">
        <v>624311</v>
      </c>
      <c r="I92" s="237">
        <v>74378</v>
      </c>
      <c r="J92" s="74">
        <f t="shared" si="1"/>
        <v>8.393758907203743</v>
      </c>
      <c r="K92" s="113"/>
      <c r="L92" s="110"/>
      <c r="M92" s="111"/>
      <c r="N92" s="112"/>
    </row>
    <row r="93" spans="1:14" s="38" customFormat="1" ht="15">
      <c r="A93" s="286">
        <v>90</v>
      </c>
      <c r="B93" s="68" t="s">
        <v>660</v>
      </c>
      <c r="C93" s="49">
        <v>39437</v>
      </c>
      <c r="D93" s="160" t="s">
        <v>454</v>
      </c>
      <c r="E93" s="160" t="s">
        <v>457</v>
      </c>
      <c r="F93" s="51">
        <v>105</v>
      </c>
      <c r="G93" s="51">
        <v>2</v>
      </c>
      <c r="H93" s="144">
        <v>619677</v>
      </c>
      <c r="I93" s="237">
        <v>70174</v>
      </c>
      <c r="J93" s="152">
        <f t="shared" si="1"/>
        <v>8.830578276854675</v>
      </c>
      <c r="K93" s="105"/>
      <c r="L93" s="106"/>
      <c r="M93" s="107"/>
      <c r="N93" s="108"/>
    </row>
    <row r="94" spans="1:14" s="38" customFormat="1" ht="15">
      <c r="A94" s="286">
        <v>91</v>
      </c>
      <c r="B94" s="68" t="s">
        <v>651</v>
      </c>
      <c r="C94" s="50">
        <v>39388</v>
      </c>
      <c r="D94" s="160" t="s">
        <v>454</v>
      </c>
      <c r="E94" s="160" t="s">
        <v>459</v>
      </c>
      <c r="F94" s="51">
        <v>60</v>
      </c>
      <c r="G94" s="51">
        <v>9</v>
      </c>
      <c r="H94" s="144">
        <v>603990</v>
      </c>
      <c r="I94" s="237">
        <v>65857</v>
      </c>
      <c r="J94" s="152">
        <f t="shared" si="1"/>
        <v>9.171234644760618</v>
      </c>
      <c r="K94" s="116"/>
      <c r="L94" s="110"/>
      <c r="M94" s="111"/>
      <c r="N94" s="112"/>
    </row>
    <row r="95" spans="1:14" s="38" customFormat="1" ht="15">
      <c r="A95" s="286">
        <v>92</v>
      </c>
      <c r="B95" s="82" t="s">
        <v>580</v>
      </c>
      <c r="C95" s="49">
        <v>39143</v>
      </c>
      <c r="D95" s="150" t="s">
        <v>302</v>
      </c>
      <c r="E95" s="150" t="s">
        <v>623</v>
      </c>
      <c r="F95" s="72" t="s">
        <v>581</v>
      </c>
      <c r="G95" s="72" t="s">
        <v>565</v>
      </c>
      <c r="H95" s="145">
        <v>592612.5</v>
      </c>
      <c r="I95" s="238">
        <v>81475</v>
      </c>
      <c r="J95" s="152">
        <f t="shared" si="1"/>
        <v>7.273550168763425</v>
      </c>
      <c r="K95" s="113"/>
      <c r="L95" s="110"/>
      <c r="M95" s="111"/>
      <c r="N95" s="112"/>
    </row>
    <row r="96" spans="1:14" s="38" customFormat="1" ht="15">
      <c r="A96" s="286">
        <v>93</v>
      </c>
      <c r="B96" s="69" t="s">
        <v>512</v>
      </c>
      <c r="C96" s="50">
        <v>39220</v>
      </c>
      <c r="D96" s="56" t="s">
        <v>277</v>
      </c>
      <c r="E96" s="56" t="s">
        <v>464</v>
      </c>
      <c r="F96" s="161">
        <v>88</v>
      </c>
      <c r="G96" s="161">
        <v>32</v>
      </c>
      <c r="H96" s="145">
        <v>587002</v>
      </c>
      <c r="I96" s="238">
        <v>86627</v>
      </c>
      <c r="J96" s="152">
        <f t="shared" si="1"/>
        <v>6.77620141526314</v>
      </c>
      <c r="K96" s="131"/>
      <c r="L96" s="132"/>
      <c r="M96" s="133"/>
      <c r="N96" s="134"/>
    </row>
    <row r="97" spans="1:14" s="38" customFormat="1" ht="15">
      <c r="A97" s="286">
        <v>94</v>
      </c>
      <c r="B97" s="67" t="s">
        <v>547</v>
      </c>
      <c r="C97" s="49">
        <v>39255</v>
      </c>
      <c r="D97" s="54" t="s">
        <v>453</v>
      </c>
      <c r="E97" s="53" t="s">
        <v>458</v>
      </c>
      <c r="F97" s="87">
        <v>55</v>
      </c>
      <c r="G97" s="87">
        <v>16</v>
      </c>
      <c r="H97" s="145">
        <f>260034+143561+70552+30948+36753+23464+6132+1505+2257+3227+827+282+641+1076+703+300</f>
        <v>582262</v>
      </c>
      <c r="I97" s="238">
        <f>29412+16993+8626+5233+6470+4052+961+328+390+578+132+38+120+200+131+60</f>
        <v>73724</v>
      </c>
      <c r="J97" s="74">
        <f t="shared" si="1"/>
        <v>7.897862297216646</v>
      </c>
      <c r="K97" s="123"/>
      <c r="L97" s="106"/>
      <c r="M97" s="107"/>
      <c r="N97" s="108"/>
    </row>
    <row r="98" spans="1:14" s="38" customFormat="1" ht="15">
      <c r="A98" s="286">
        <v>95</v>
      </c>
      <c r="B98" s="82" t="s">
        <v>569</v>
      </c>
      <c r="C98" s="50">
        <v>39136</v>
      </c>
      <c r="D98" s="150" t="s">
        <v>277</v>
      </c>
      <c r="E98" s="150" t="s">
        <v>464</v>
      </c>
      <c r="F98" s="72">
        <v>24</v>
      </c>
      <c r="G98" s="72" t="s">
        <v>394</v>
      </c>
      <c r="H98" s="145">
        <v>567673.5</v>
      </c>
      <c r="I98" s="238">
        <v>59009</v>
      </c>
      <c r="J98" s="74">
        <f t="shared" si="1"/>
        <v>9.620117270246912</v>
      </c>
      <c r="K98" s="105"/>
      <c r="L98" s="106"/>
      <c r="M98" s="107"/>
      <c r="N98" s="108"/>
    </row>
    <row r="99" spans="1:14" s="38" customFormat="1" ht="15">
      <c r="A99" s="286">
        <v>96</v>
      </c>
      <c r="B99" s="68" t="s">
        <v>274</v>
      </c>
      <c r="C99" s="50">
        <v>39339</v>
      </c>
      <c r="D99" s="55" t="s">
        <v>454</v>
      </c>
      <c r="E99" s="55" t="s">
        <v>459</v>
      </c>
      <c r="F99" s="51">
        <v>58</v>
      </c>
      <c r="G99" s="51">
        <v>9</v>
      </c>
      <c r="H99" s="144">
        <v>566850</v>
      </c>
      <c r="I99" s="230">
        <v>65972</v>
      </c>
      <c r="J99" s="74">
        <f t="shared" si="1"/>
        <v>8.592281574001092</v>
      </c>
      <c r="K99" s="135"/>
      <c r="L99" s="118"/>
      <c r="M99" s="119"/>
      <c r="N99" s="120"/>
    </row>
    <row r="100" spans="1:14" s="38" customFormat="1" ht="15">
      <c r="A100" s="286">
        <v>97</v>
      </c>
      <c r="B100" s="83" t="s">
        <v>511</v>
      </c>
      <c r="C100" s="50">
        <v>39220</v>
      </c>
      <c r="D100" s="149" t="s">
        <v>454</v>
      </c>
      <c r="E100" s="149" t="s">
        <v>459</v>
      </c>
      <c r="F100" s="79">
        <v>55</v>
      </c>
      <c r="G100" s="79">
        <v>14</v>
      </c>
      <c r="H100" s="144">
        <v>565685</v>
      </c>
      <c r="I100" s="237">
        <v>68133</v>
      </c>
      <c r="J100" s="152">
        <f t="shared" si="1"/>
        <v>8.302658036487458</v>
      </c>
      <c r="K100" s="105"/>
      <c r="L100" s="106"/>
      <c r="M100" s="107"/>
      <c r="N100" s="108"/>
    </row>
    <row r="101" spans="1:14" s="38" customFormat="1" ht="15">
      <c r="A101" s="286">
        <v>98</v>
      </c>
      <c r="B101" s="69" t="s">
        <v>613</v>
      </c>
      <c r="C101" s="49">
        <v>39185</v>
      </c>
      <c r="D101" s="71" t="s">
        <v>302</v>
      </c>
      <c r="E101" s="71" t="s">
        <v>614</v>
      </c>
      <c r="F101" s="88" t="s">
        <v>615</v>
      </c>
      <c r="G101" s="88" t="s">
        <v>292</v>
      </c>
      <c r="H101" s="145">
        <v>558173.5</v>
      </c>
      <c r="I101" s="238">
        <v>75425</v>
      </c>
      <c r="J101" s="152">
        <f t="shared" si="1"/>
        <v>7.400377858800133</v>
      </c>
      <c r="K101" s="123"/>
      <c r="L101" s="106"/>
      <c r="M101" s="107"/>
      <c r="N101" s="108"/>
    </row>
    <row r="102" spans="1:14" s="38" customFormat="1" ht="15">
      <c r="A102" s="286">
        <v>99</v>
      </c>
      <c r="B102" s="68" t="s">
        <v>431</v>
      </c>
      <c r="C102" s="50">
        <v>39157</v>
      </c>
      <c r="D102" s="73" t="s">
        <v>454</v>
      </c>
      <c r="E102" s="73" t="s">
        <v>466</v>
      </c>
      <c r="F102" s="51">
        <v>69</v>
      </c>
      <c r="G102" s="51">
        <v>29</v>
      </c>
      <c r="H102" s="144">
        <v>548756</v>
      </c>
      <c r="I102" s="237">
        <v>68267</v>
      </c>
      <c r="J102" s="74">
        <f t="shared" si="1"/>
        <v>8.038378718853911</v>
      </c>
      <c r="K102" s="115"/>
      <c r="L102" s="106"/>
      <c r="M102" s="111"/>
      <c r="N102" s="108"/>
    </row>
    <row r="103" spans="1:14" s="38" customFormat="1" ht="15">
      <c r="A103" s="286">
        <v>100</v>
      </c>
      <c r="B103" s="67" t="s">
        <v>420</v>
      </c>
      <c r="C103" s="49">
        <v>39339</v>
      </c>
      <c r="D103" s="54" t="s">
        <v>453</v>
      </c>
      <c r="E103" s="53" t="s">
        <v>322</v>
      </c>
      <c r="F103" s="87">
        <v>45</v>
      </c>
      <c r="G103" s="87">
        <v>15</v>
      </c>
      <c r="H103" s="145">
        <f>234558+153934+87159+20869+12631+2511+8333+4939+2684+2926+228+120+78+264+143</f>
        <v>531377</v>
      </c>
      <c r="I103" s="228">
        <f>23186+15470+9409+3005+2107+513+1253+1051+401+744+38+20+13+44+24</f>
        <v>57278</v>
      </c>
      <c r="J103" s="152">
        <f t="shared" si="1"/>
        <v>9.277157023639093</v>
      </c>
      <c r="K103" s="124"/>
      <c r="L103" s="106"/>
      <c r="M103" s="107"/>
      <c r="N103" s="108"/>
    </row>
    <row r="104" spans="1:14" s="38" customFormat="1" ht="15">
      <c r="A104" s="286">
        <v>101</v>
      </c>
      <c r="B104" s="68" t="s">
        <v>421</v>
      </c>
      <c r="C104" s="50">
        <v>39339</v>
      </c>
      <c r="D104" s="55" t="s">
        <v>454</v>
      </c>
      <c r="E104" s="55" t="s">
        <v>355</v>
      </c>
      <c r="F104" s="51">
        <v>71</v>
      </c>
      <c r="G104" s="51">
        <v>10</v>
      </c>
      <c r="H104" s="144">
        <v>506066</v>
      </c>
      <c r="I104" s="230">
        <v>55220</v>
      </c>
      <c r="J104" s="152">
        <f t="shared" si="1"/>
        <v>9.164541832669324</v>
      </c>
      <c r="K104" s="130"/>
      <c r="L104" s="118"/>
      <c r="M104" s="119"/>
      <c r="N104" s="120"/>
    </row>
    <row r="105" spans="1:14" s="38" customFormat="1" ht="15">
      <c r="A105" s="286">
        <v>102</v>
      </c>
      <c r="B105" s="67" t="s">
        <v>391</v>
      </c>
      <c r="C105" s="49">
        <v>39248</v>
      </c>
      <c r="D105" s="54" t="s">
        <v>453</v>
      </c>
      <c r="E105" s="53" t="s">
        <v>401</v>
      </c>
      <c r="F105" s="87">
        <v>40</v>
      </c>
      <c r="G105" s="87">
        <v>14</v>
      </c>
      <c r="H105" s="145">
        <f>212978+130834+73437+13970+25870+15895+17337+3720+965+3332+1036+637+380+420</f>
        <v>500811</v>
      </c>
      <c r="I105" s="238">
        <f>23206+14008+7879+2315+4428+2673+2724+635+130+408+180+206+64+81</f>
        <v>58937</v>
      </c>
      <c r="J105" s="74">
        <f t="shared" si="1"/>
        <v>8.497395524034138</v>
      </c>
      <c r="K105" s="130"/>
      <c r="L105" s="118"/>
      <c r="M105" s="119"/>
      <c r="N105" s="120"/>
    </row>
    <row r="106" spans="1:14" s="38" customFormat="1" ht="15">
      <c r="A106" s="286">
        <v>103</v>
      </c>
      <c r="B106" s="83" t="s">
        <v>489</v>
      </c>
      <c r="C106" s="50">
        <v>39220</v>
      </c>
      <c r="D106" s="163" t="s">
        <v>455</v>
      </c>
      <c r="E106" s="163" t="s">
        <v>456</v>
      </c>
      <c r="F106" s="79">
        <v>40</v>
      </c>
      <c r="G106" s="51">
        <v>20</v>
      </c>
      <c r="H106" s="144">
        <f>217267.5+100292+49077.5+44685+35150+18710.5+12899+5642+272+1169+980+531+744+567+230+347+317+427+755+527+632</f>
        <v>491221.5</v>
      </c>
      <c r="I106" s="230">
        <f>28138+13039+7060+8163+6959+3799+2408+1118+91+214+194+106+141+122+51+72+68+90+263+125+155</f>
        <v>72376</v>
      </c>
      <c r="J106" s="74">
        <f t="shared" si="1"/>
        <v>6.787077207914225</v>
      </c>
      <c r="K106" s="122"/>
      <c r="L106" s="106"/>
      <c r="M106" s="107"/>
      <c r="N106" s="108"/>
    </row>
    <row r="107" spans="1:14" s="38" customFormat="1" ht="15">
      <c r="A107" s="286">
        <v>104</v>
      </c>
      <c r="B107" s="69" t="s">
        <v>477</v>
      </c>
      <c r="C107" s="49">
        <v>39276</v>
      </c>
      <c r="D107" s="56" t="s">
        <v>468</v>
      </c>
      <c r="E107" s="56" t="s">
        <v>398</v>
      </c>
      <c r="F107" s="88" t="s">
        <v>510</v>
      </c>
      <c r="G107" s="88" t="s">
        <v>552</v>
      </c>
      <c r="H107" s="145">
        <v>485260</v>
      </c>
      <c r="I107" s="238">
        <v>61420</v>
      </c>
      <c r="J107" s="74">
        <f t="shared" si="1"/>
        <v>7.900683816346467</v>
      </c>
      <c r="K107" s="109"/>
      <c r="L107" s="110"/>
      <c r="M107" s="111"/>
      <c r="N107" s="112"/>
    </row>
    <row r="108" spans="1:14" s="38" customFormat="1" ht="15">
      <c r="A108" s="286">
        <v>105</v>
      </c>
      <c r="B108" s="67" t="s">
        <v>55</v>
      </c>
      <c r="C108" s="49">
        <v>39395</v>
      </c>
      <c r="D108" s="54" t="s">
        <v>453</v>
      </c>
      <c r="E108" s="53" t="s">
        <v>458</v>
      </c>
      <c r="F108" s="87">
        <v>56</v>
      </c>
      <c r="G108" s="87">
        <v>5</v>
      </c>
      <c r="H108" s="158">
        <f>1295+255300+147780+51761+8278+8834</f>
        <v>473248</v>
      </c>
      <c r="I108" s="228">
        <f>119+28097+15891+6021+1461+2448</f>
        <v>54037</v>
      </c>
      <c r="J108" s="152">
        <f t="shared" si="1"/>
        <v>8.757851102022688</v>
      </c>
      <c r="K108" s="109"/>
      <c r="L108" s="110"/>
      <c r="M108" s="111"/>
      <c r="N108" s="112"/>
    </row>
    <row r="109" spans="1:14" s="38" customFormat="1" ht="15">
      <c r="A109" s="286">
        <v>106</v>
      </c>
      <c r="B109" s="83" t="s">
        <v>443</v>
      </c>
      <c r="C109" s="50">
        <v>39122</v>
      </c>
      <c r="D109" s="149" t="s">
        <v>455</v>
      </c>
      <c r="E109" s="149" t="s">
        <v>444</v>
      </c>
      <c r="F109" s="79">
        <v>62</v>
      </c>
      <c r="G109" s="79">
        <v>12</v>
      </c>
      <c r="H109" s="144">
        <f>248079.5+111544+46796.5+33721+12773.5+2847+2803.5+837+152+16+141+14</f>
        <v>459725</v>
      </c>
      <c r="I109" s="237">
        <f>36414+17429+7900+6638+2650+617+552+177+17+2+39+2</f>
        <v>72437</v>
      </c>
      <c r="J109" s="74">
        <f t="shared" si="1"/>
        <v>6.346549415354032</v>
      </c>
      <c r="K109" s="105"/>
      <c r="L109" s="106"/>
      <c r="M109" s="107"/>
      <c r="N109" s="108"/>
    </row>
    <row r="110" spans="1:14" s="38" customFormat="1" ht="15">
      <c r="A110" s="286">
        <v>107</v>
      </c>
      <c r="B110" s="83" t="s">
        <v>503</v>
      </c>
      <c r="C110" s="50">
        <v>39213</v>
      </c>
      <c r="D110" s="149" t="s">
        <v>454</v>
      </c>
      <c r="E110" s="149" t="s">
        <v>461</v>
      </c>
      <c r="F110" s="79">
        <v>55</v>
      </c>
      <c r="G110" s="79">
        <v>13</v>
      </c>
      <c r="H110" s="144">
        <v>457684</v>
      </c>
      <c r="I110" s="237">
        <v>54367</v>
      </c>
      <c r="J110" s="74">
        <f t="shared" si="1"/>
        <v>8.418415582982323</v>
      </c>
      <c r="K110" s="123"/>
      <c r="L110" s="106"/>
      <c r="M110" s="107"/>
      <c r="N110" s="108"/>
    </row>
    <row r="111" spans="1:14" s="38" customFormat="1" ht="15">
      <c r="A111" s="286">
        <v>108</v>
      </c>
      <c r="B111" s="67" t="s">
        <v>597</v>
      </c>
      <c r="C111" s="49">
        <v>39367</v>
      </c>
      <c r="D111" s="54" t="s">
        <v>453</v>
      </c>
      <c r="E111" s="53" t="s">
        <v>466</v>
      </c>
      <c r="F111" s="87">
        <v>65</v>
      </c>
      <c r="G111" s="87">
        <v>9</v>
      </c>
      <c r="H111" s="158">
        <f>245364+117352+53509+12992+16676+5077+923+292+732</f>
        <v>452917</v>
      </c>
      <c r="I111" s="228">
        <f>25488+12615+5718+2162+3998+1488+152+73+159</f>
        <v>51853</v>
      </c>
      <c r="J111" s="152">
        <f t="shared" si="1"/>
        <v>8.734634447380094</v>
      </c>
      <c r="K111" s="109"/>
      <c r="L111" s="110"/>
      <c r="M111" s="111"/>
      <c r="N111" s="112"/>
    </row>
    <row r="112" spans="1:14" s="38" customFormat="1" ht="15">
      <c r="A112" s="286">
        <v>109</v>
      </c>
      <c r="B112" s="69" t="s">
        <v>367</v>
      </c>
      <c r="C112" s="50">
        <v>39094</v>
      </c>
      <c r="D112" s="56" t="s">
        <v>277</v>
      </c>
      <c r="E112" s="56" t="s">
        <v>464</v>
      </c>
      <c r="F112" s="161">
        <v>42</v>
      </c>
      <c r="G112" s="161">
        <v>36</v>
      </c>
      <c r="H112" s="145">
        <v>449852.5</v>
      </c>
      <c r="I112" s="238">
        <v>69180</v>
      </c>
      <c r="J112" s="74">
        <f t="shared" si="1"/>
        <v>6.502638045677942</v>
      </c>
      <c r="K112" s="113"/>
      <c r="L112" s="110"/>
      <c r="M112" s="111"/>
      <c r="N112" s="112"/>
    </row>
    <row r="113" spans="1:14" s="38" customFormat="1" ht="15">
      <c r="A113" s="286">
        <v>110</v>
      </c>
      <c r="B113" s="68" t="s">
        <v>645</v>
      </c>
      <c r="C113" s="50">
        <v>39430</v>
      </c>
      <c r="D113" s="55" t="s">
        <v>455</v>
      </c>
      <c r="E113" s="55" t="s">
        <v>456</v>
      </c>
      <c r="F113" s="87">
        <v>64</v>
      </c>
      <c r="G113" s="51">
        <v>3</v>
      </c>
      <c r="H113" s="144">
        <f>183581+192120.5+67824</f>
        <v>443525.5</v>
      </c>
      <c r="I113" s="237">
        <f>20071+21989+8620</f>
        <v>50680</v>
      </c>
      <c r="J113" s="152">
        <f t="shared" si="1"/>
        <v>8.751489739542226</v>
      </c>
      <c r="K113" s="105"/>
      <c r="L113" s="106"/>
      <c r="M113" s="107"/>
      <c r="N113" s="108"/>
    </row>
    <row r="114" spans="1:14" s="38" customFormat="1" ht="15">
      <c r="A114" s="286">
        <v>111</v>
      </c>
      <c r="B114" s="82" t="s">
        <v>603</v>
      </c>
      <c r="C114" s="49">
        <v>39178</v>
      </c>
      <c r="D114" s="150" t="s">
        <v>453</v>
      </c>
      <c r="E114" s="150" t="s">
        <v>604</v>
      </c>
      <c r="F114" s="72">
        <v>34</v>
      </c>
      <c r="G114" s="72">
        <v>18</v>
      </c>
      <c r="H114" s="145">
        <f>223196+134862+40207+12529+4197+8039+12995+1857+190+734+546+105+305+290+1576+669+264+261</f>
        <v>442822</v>
      </c>
      <c r="I114" s="238">
        <f>21768+13324+4159+1744+536+1050+1869+290+19+151+118+21+57+45+375+107+37+34</f>
        <v>45704</v>
      </c>
      <c r="J114" s="74">
        <f t="shared" si="1"/>
        <v>9.688911255032382</v>
      </c>
      <c r="K114" s="123"/>
      <c r="L114" s="106"/>
      <c r="M114" s="107"/>
      <c r="N114" s="108"/>
    </row>
    <row r="115" spans="1:14" s="38" customFormat="1" ht="15">
      <c r="A115" s="286">
        <v>112</v>
      </c>
      <c r="B115" s="67" t="s">
        <v>513</v>
      </c>
      <c r="C115" s="49">
        <v>39220</v>
      </c>
      <c r="D115" s="54" t="s">
        <v>453</v>
      </c>
      <c r="E115" s="53" t="s">
        <v>322</v>
      </c>
      <c r="F115" s="87">
        <v>28</v>
      </c>
      <c r="G115" s="87">
        <v>14</v>
      </c>
      <c r="H115" s="158">
        <f>224258+97645+43916+21186+15004+5922+10170+4031+2014+5747+1976+1917+487+595</f>
        <v>434868</v>
      </c>
      <c r="I115" s="228">
        <f>21977+9749+4484+3258+2503+1123+1870+694+469+1035+310+256+98+128</f>
        <v>47954</v>
      </c>
      <c r="J115" s="74">
        <f t="shared" si="1"/>
        <v>9.068440588897694</v>
      </c>
      <c r="K115" s="105"/>
      <c r="L115" s="106"/>
      <c r="M115" s="107"/>
      <c r="N115" s="108"/>
    </row>
    <row r="116" spans="1:14" s="38" customFormat="1" ht="15">
      <c r="A116" s="286">
        <v>113</v>
      </c>
      <c r="B116" s="67" t="s">
        <v>428</v>
      </c>
      <c r="C116" s="49">
        <v>39346</v>
      </c>
      <c r="D116" s="53" t="s">
        <v>453</v>
      </c>
      <c r="E116" s="53" t="s">
        <v>466</v>
      </c>
      <c r="F116" s="87">
        <v>66</v>
      </c>
      <c r="G116" s="87">
        <v>9</v>
      </c>
      <c r="H116" s="145">
        <f>232782+118124+45227+14221+13354+3876+2575+3241+955</f>
        <v>434355</v>
      </c>
      <c r="I116" s="228">
        <f>25367+13380+5415+2341+2380+692+411+483+181</f>
        <v>50650</v>
      </c>
      <c r="J116" s="152">
        <f t="shared" si="1"/>
        <v>8.575616979269496</v>
      </c>
      <c r="K116" s="116"/>
      <c r="L116" s="110"/>
      <c r="M116" s="111"/>
      <c r="N116" s="112"/>
    </row>
    <row r="117" spans="1:14" s="38" customFormat="1" ht="15">
      <c r="A117" s="286">
        <v>114</v>
      </c>
      <c r="B117" s="68" t="s">
        <v>410</v>
      </c>
      <c r="C117" s="50">
        <v>39325</v>
      </c>
      <c r="D117" s="55" t="s">
        <v>525</v>
      </c>
      <c r="E117" s="55" t="s">
        <v>525</v>
      </c>
      <c r="F117" s="51">
        <v>41</v>
      </c>
      <c r="G117" s="51">
        <v>13</v>
      </c>
      <c r="H117" s="159">
        <f>134878+121098+57423.5+36002.5+21899.5+24766+21116+4712+2484+2133+1303+125+2376</f>
        <v>430316.5</v>
      </c>
      <c r="I117" s="230">
        <f>16294+14776+7255+5972+3786+4702+3853+904+447+385+312+25+594</f>
        <v>59305</v>
      </c>
      <c r="J117" s="74">
        <f t="shared" si="1"/>
        <v>7.2559902200489</v>
      </c>
      <c r="K117" s="123"/>
      <c r="L117" s="106"/>
      <c r="M117" s="107"/>
      <c r="N117" s="108"/>
    </row>
    <row r="118" spans="1:14" s="38" customFormat="1" ht="15">
      <c r="A118" s="286">
        <v>115</v>
      </c>
      <c r="B118" s="68" t="s">
        <v>350</v>
      </c>
      <c r="C118" s="50">
        <v>39374</v>
      </c>
      <c r="D118" s="55" t="s">
        <v>525</v>
      </c>
      <c r="E118" s="55" t="s">
        <v>525</v>
      </c>
      <c r="F118" s="51">
        <v>39</v>
      </c>
      <c r="G118" s="51">
        <v>9</v>
      </c>
      <c r="H118" s="144">
        <f>193896+140010.5+57324.5+26118.5+5412+1745+373+987+278</f>
        <v>426144.5</v>
      </c>
      <c r="I118" s="230">
        <f>18661+13413+6688+4184+739+267+43+233+57</f>
        <v>44285</v>
      </c>
      <c r="J118" s="74">
        <f t="shared" si="1"/>
        <v>9.622772947950773</v>
      </c>
      <c r="K118" s="123"/>
      <c r="L118" s="106"/>
      <c r="M118" s="107"/>
      <c r="N118" s="108"/>
    </row>
    <row r="119" spans="1:14" s="38" customFormat="1" ht="15">
      <c r="A119" s="286">
        <v>116</v>
      </c>
      <c r="B119" s="82" t="s">
        <v>378</v>
      </c>
      <c r="C119" s="49">
        <v>39171</v>
      </c>
      <c r="D119" s="150" t="s">
        <v>453</v>
      </c>
      <c r="E119" s="150" t="s">
        <v>295</v>
      </c>
      <c r="F119" s="72">
        <v>68</v>
      </c>
      <c r="G119" s="72">
        <v>14</v>
      </c>
      <c r="H119" s="145">
        <f>270988+95442+28855+5671+6953+2961+2297+922+5539+45+60+55+479+219</f>
        <v>420486</v>
      </c>
      <c r="I119" s="238">
        <f>33356+12721+4525+974+2138+1073+527+197+1579+9+12+11+93+43</f>
        <v>57258</v>
      </c>
      <c r="J119" s="152">
        <f t="shared" si="1"/>
        <v>7.343707429529498</v>
      </c>
      <c r="K119" s="123"/>
      <c r="L119" s="106"/>
      <c r="M119" s="107"/>
      <c r="N119" s="108"/>
    </row>
    <row r="120" spans="1:14" s="38" customFormat="1" ht="15">
      <c r="A120" s="286">
        <v>117</v>
      </c>
      <c r="B120" s="67" t="s">
        <v>661</v>
      </c>
      <c r="C120" s="49">
        <v>39437</v>
      </c>
      <c r="D120" s="54" t="s">
        <v>453</v>
      </c>
      <c r="E120" s="53" t="s">
        <v>401</v>
      </c>
      <c r="F120" s="87">
        <v>49</v>
      </c>
      <c r="G120" s="87">
        <v>2</v>
      </c>
      <c r="H120" s="145">
        <f>265356+150950</f>
        <v>416306</v>
      </c>
      <c r="I120" s="238">
        <f>28419+15898</f>
        <v>44317</v>
      </c>
      <c r="J120" s="152">
        <f t="shared" si="1"/>
        <v>9.393821783965521</v>
      </c>
      <c r="K120" s="123"/>
      <c r="L120" s="106"/>
      <c r="M120" s="107"/>
      <c r="N120" s="108"/>
    </row>
    <row r="121" spans="1:14" s="38" customFormat="1" ht="15">
      <c r="A121" s="286">
        <v>118</v>
      </c>
      <c r="B121" s="83" t="s">
        <v>574</v>
      </c>
      <c r="C121" s="50">
        <v>39136</v>
      </c>
      <c r="D121" s="149" t="s">
        <v>455</v>
      </c>
      <c r="E121" s="149" t="s">
        <v>282</v>
      </c>
      <c r="F121" s="79">
        <v>50</v>
      </c>
      <c r="G121" s="79">
        <v>17</v>
      </c>
      <c r="H121" s="144">
        <f>176703.5+117666.5+55649.5-153+26033.5+13075.5+7867.5+4158.5+2675.5+853+2376+1975+1335+1510.5+822+87</f>
        <v>412635.5</v>
      </c>
      <c r="I121" s="237">
        <f>23632+15507+7944-13+4855+2498+1683+890+562+202+475+395+267+302+90+13</f>
        <v>59302</v>
      </c>
      <c r="J121" s="74">
        <f t="shared" si="1"/>
        <v>6.958205456814273</v>
      </c>
      <c r="K121" s="123"/>
      <c r="L121" s="106"/>
      <c r="M121" s="107"/>
      <c r="N121" s="108"/>
    </row>
    <row r="122" spans="1:14" s="38" customFormat="1" ht="15">
      <c r="A122" s="286">
        <v>119</v>
      </c>
      <c r="B122" s="82" t="s">
        <v>379</v>
      </c>
      <c r="C122" s="52">
        <v>39234</v>
      </c>
      <c r="D122" s="57" t="s">
        <v>460</v>
      </c>
      <c r="E122" s="57" t="s">
        <v>576</v>
      </c>
      <c r="F122" s="102">
        <v>50</v>
      </c>
      <c r="G122" s="102">
        <v>16</v>
      </c>
      <c r="H122" s="146">
        <v>409347</v>
      </c>
      <c r="I122" s="237">
        <v>54349</v>
      </c>
      <c r="J122" s="152">
        <f t="shared" si="1"/>
        <v>7.531822112642367</v>
      </c>
      <c r="K122" s="123"/>
      <c r="L122" s="106"/>
      <c r="M122" s="107"/>
      <c r="N122" s="108"/>
    </row>
    <row r="123" spans="1:14" s="38" customFormat="1" ht="15">
      <c r="A123" s="286">
        <v>120</v>
      </c>
      <c r="B123" s="82" t="s">
        <v>568</v>
      </c>
      <c r="C123" s="49">
        <v>39129</v>
      </c>
      <c r="D123" s="150" t="s">
        <v>453</v>
      </c>
      <c r="E123" s="150" t="s">
        <v>466</v>
      </c>
      <c r="F123" s="72">
        <v>22</v>
      </c>
      <c r="G123" s="72">
        <v>14</v>
      </c>
      <c r="H123" s="145">
        <f>3941+185955+159407+21968+1379+3205+2474+5929+6445+9026+4774+160+346+2791+350</f>
        <v>408150</v>
      </c>
      <c r="I123" s="238">
        <f>412+17684+15175+2098+198+760+464+1876+1042+1568+843+16+48+375+117</f>
        <v>42676</v>
      </c>
      <c r="J123" s="152">
        <f t="shared" si="1"/>
        <v>9.563923516730716</v>
      </c>
      <c r="K123" s="123"/>
      <c r="L123" s="106"/>
      <c r="M123" s="107"/>
      <c r="N123" s="108"/>
    </row>
    <row r="124" spans="1:14" s="38" customFormat="1" ht="15">
      <c r="A124" s="286">
        <v>121</v>
      </c>
      <c r="B124" s="67" t="s">
        <v>305</v>
      </c>
      <c r="C124" s="49">
        <v>39297</v>
      </c>
      <c r="D124" s="53" t="s">
        <v>447</v>
      </c>
      <c r="E124" s="53" t="s">
        <v>306</v>
      </c>
      <c r="F124" s="87">
        <v>40</v>
      </c>
      <c r="G124" s="87">
        <v>13</v>
      </c>
      <c r="H124" s="147">
        <f>388570.5+0</f>
        <v>388570.5</v>
      </c>
      <c r="I124" s="237">
        <f>50486+0</f>
        <v>50486</v>
      </c>
      <c r="J124" s="74">
        <f t="shared" si="1"/>
        <v>7.696599057164362</v>
      </c>
      <c r="K124" s="123"/>
      <c r="L124" s="106"/>
      <c r="M124" s="107"/>
      <c r="N124" s="108"/>
    </row>
    <row r="125" spans="1:14" s="38" customFormat="1" ht="15">
      <c r="A125" s="286">
        <v>122</v>
      </c>
      <c r="B125" s="68" t="s">
        <v>548</v>
      </c>
      <c r="C125" s="50">
        <v>39255</v>
      </c>
      <c r="D125" s="55" t="s">
        <v>454</v>
      </c>
      <c r="E125" s="55" t="s">
        <v>355</v>
      </c>
      <c r="F125" s="51">
        <v>66</v>
      </c>
      <c r="G125" s="51">
        <v>18</v>
      </c>
      <c r="H125" s="159">
        <v>384427</v>
      </c>
      <c r="I125" s="230">
        <v>44288</v>
      </c>
      <c r="J125" s="152">
        <f t="shared" si="1"/>
        <v>8.680161669075144</v>
      </c>
      <c r="K125" s="123"/>
      <c r="L125" s="106"/>
      <c r="M125" s="107"/>
      <c r="N125" s="108"/>
    </row>
    <row r="126" spans="1:14" s="38" customFormat="1" ht="15">
      <c r="A126" s="286">
        <v>123</v>
      </c>
      <c r="B126" s="68" t="s">
        <v>616</v>
      </c>
      <c r="C126" s="50">
        <v>39185</v>
      </c>
      <c r="D126" s="71" t="s">
        <v>468</v>
      </c>
      <c r="E126" s="73" t="s">
        <v>398</v>
      </c>
      <c r="F126" s="51">
        <v>42</v>
      </c>
      <c r="G126" s="51">
        <v>15</v>
      </c>
      <c r="H126" s="144">
        <v>383134</v>
      </c>
      <c r="I126" s="237">
        <v>40897</v>
      </c>
      <c r="J126" s="152">
        <f t="shared" si="1"/>
        <v>9.368266621023547</v>
      </c>
      <c r="K126" s="123"/>
      <c r="L126" s="106"/>
      <c r="M126" s="107"/>
      <c r="N126" s="108"/>
    </row>
    <row r="127" spans="1:14" s="38" customFormat="1" ht="15">
      <c r="A127" s="286">
        <v>124</v>
      </c>
      <c r="B127" s="69" t="s">
        <v>46</v>
      </c>
      <c r="C127" s="49">
        <v>39388</v>
      </c>
      <c r="D127" s="56" t="s">
        <v>452</v>
      </c>
      <c r="E127" s="176" t="s">
        <v>671</v>
      </c>
      <c r="F127" s="72">
        <v>52</v>
      </c>
      <c r="G127" s="72">
        <v>8</v>
      </c>
      <c r="H127" s="145">
        <v>356595</v>
      </c>
      <c r="I127" s="228">
        <v>38903</v>
      </c>
      <c r="J127" s="74">
        <f t="shared" si="1"/>
        <v>9.16625967149063</v>
      </c>
      <c r="K127" s="123"/>
      <c r="L127" s="106"/>
      <c r="M127" s="107"/>
      <c r="N127" s="108"/>
    </row>
    <row r="128" spans="1:14" s="38" customFormat="1" ht="15">
      <c r="A128" s="286">
        <v>125</v>
      </c>
      <c r="B128" s="83" t="s">
        <v>573</v>
      </c>
      <c r="C128" s="50">
        <v>39136</v>
      </c>
      <c r="D128" s="149" t="s">
        <v>454</v>
      </c>
      <c r="E128" s="149" t="s">
        <v>461</v>
      </c>
      <c r="F128" s="79">
        <v>34</v>
      </c>
      <c r="G128" s="79">
        <v>9</v>
      </c>
      <c r="H128" s="144">
        <v>335033</v>
      </c>
      <c r="I128" s="237">
        <v>35936</v>
      </c>
      <c r="J128" s="74">
        <f t="shared" si="1"/>
        <v>9.323046527159395</v>
      </c>
      <c r="K128" s="123"/>
      <c r="L128" s="106"/>
      <c r="M128" s="107"/>
      <c r="N128" s="108"/>
    </row>
    <row r="129" spans="1:14" s="38" customFormat="1" ht="15">
      <c r="A129" s="286">
        <v>126</v>
      </c>
      <c r="B129" s="67" t="s">
        <v>562</v>
      </c>
      <c r="C129" s="49">
        <v>39269</v>
      </c>
      <c r="D129" s="54" t="s">
        <v>453</v>
      </c>
      <c r="E129" s="53" t="s">
        <v>466</v>
      </c>
      <c r="F129" s="87">
        <v>56</v>
      </c>
      <c r="G129" s="87">
        <v>14</v>
      </c>
      <c r="H129" s="158">
        <f>134837+97635+42479+18441+18948+8209+5664+1393+2802+163+1014+316+2374+237</f>
        <v>334512</v>
      </c>
      <c r="I129" s="228">
        <f>16076+11892+5691+3289+3420+1591+1143+287+530+33+175+54+384+71</f>
        <v>44636</v>
      </c>
      <c r="J129" s="152">
        <f t="shared" si="1"/>
        <v>7.494219912178511</v>
      </c>
      <c r="K129" s="123"/>
      <c r="L129" s="106"/>
      <c r="M129" s="107"/>
      <c r="N129" s="108"/>
    </row>
    <row r="130" spans="1:14" s="38" customFormat="1" ht="15">
      <c r="A130" s="286">
        <v>127</v>
      </c>
      <c r="B130" s="81" t="s">
        <v>594</v>
      </c>
      <c r="C130" s="78">
        <v>39360</v>
      </c>
      <c r="D130" s="77" t="s">
        <v>514</v>
      </c>
      <c r="E130" s="148" t="s">
        <v>546</v>
      </c>
      <c r="F130" s="298">
        <v>71</v>
      </c>
      <c r="G130" s="299">
        <v>10</v>
      </c>
      <c r="H130" s="295">
        <v>334418.5</v>
      </c>
      <c r="I130" s="293">
        <v>52821</v>
      </c>
      <c r="J130" s="152">
        <f t="shared" si="1"/>
        <v>6.331165634880066</v>
      </c>
      <c r="K130" s="123"/>
      <c r="L130" s="106"/>
      <c r="M130" s="107"/>
      <c r="N130" s="108"/>
    </row>
    <row r="131" spans="1:14" s="38" customFormat="1" ht="15">
      <c r="A131" s="286">
        <v>128</v>
      </c>
      <c r="B131" s="67" t="s">
        <v>351</v>
      </c>
      <c r="C131" s="49">
        <v>39374</v>
      </c>
      <c r="D131" s="53" t="s">
        <v>447</v>
      </c>
      <c r="E131" s="53" t="s">
        <v>465</v>
      </c>
      <c r="F131" s="87">
        <v>86</v>
      </c>
      <c r="G131" s="87">
        <v>9</v>
      </c>
      <c r="H131" s="229">
        <f>185051.5+84231+27379+18729.5+8269+2951+3223+2268+652</f>
        <v>332754</v>
      </c>
      <c r="I131" s="230">
        <f>23718+11537+4227+3218+1653+601+702+655+141</f>
        <v>46452</v>
      </c>
      <c r="J131" s="152">
        <f t="shared" si="1"/>
        <v>7.163394471712736</v>
      </c>
      <c r="K131" s="123"/>
      <c r="L131" s="106"/>
      <c r="M131" s="107"/>
      <c r="N131" s="108"/>
    </row>
    <row r="132" spans="1:14" s="38" customFormat="1" ht="15">
      <c r="A132" s="286">
        <v>129</v>
      </c>
      <c r="B132" s="82" t="s">
        <v>572</v>
      </c>
      <c r="C132" s="49">
        <v>39136</v>
      </c>
      <c r="D132" s="150" t="s">
        <v>302</v>
      </c>
      <c r="E132" s="150" t="s">
        <v>435</v>
      </c>
      <c r="F132" s="72" t="s">
        <v>440</v>
      </c>
      <c r="G132" s="333" t="s">
        <v>368</v>
      </c>
      <c r="H132" s="331">
        <v>326787.5</v>
      </c>
      <c r="I132" s="332">
        <v>46744</v>
      </c>
      <c r="J132" s="152">
        <f aca="true" t="shared" si="2" ref="J132:J195">+H132/I132</f>
        <v>6.9910041930515145</v>
      </c>
      <c r="K132" s="123"/>
      <c r="L132" s="106"/>
      <c r="M132" s="107"/>
      <c r="N132" s="108"/>
    </row>
    <row r="133" spans="1:14" s="38" customFormat="1" ht="15">
      <c r="A133" s="286">
        <v>130</v>
      </c>
      <c r="B133" s="68" t="s">
        <v>412</v>
      </c>
      <c r="C133" s="52">
        <v>39276</v>
      </c>
      <c r="D133" s="57" t="s">
        <v>460</v>
      </c>
      <c r="E133" s="57" t="s">
        <v>278</v>
      </c>
      <c r="F133" s="102">
        <v>26</v>
      </c>
      <c r="G133" s="102">
        <v>14</v>
      </c>
      <c r="H133" s="146">
        <v>320071</v>
      </c>
      <c r="I133" s="239">
        <v>32763</v>
      </c>
      <c r="J133" s="152">
        <f t="shared" si="2"/>
        <v>9.769282422244606</v>
      </c>
      <c r="K133" s="123"/>
      <c r="L133" s="106"/>
      <c r="M133" s="107"/>
      <c r="N133" s="108"/>
    </row>
    <row r="134" spans="1:14" s="38" customFormat="1" ht="15">
      <c r="A134" s="286">
        <v>131</v>
      </c>
      <c r="B134" s="81" t="s">
        <v>501</v>
      </c>
      <c r="C134" s="314">
        <v>39206</v>
      </c>
      <c r="D134" s="315" t="s">
        <v>514</v>
      </c>
      <c r="E134" s="315" t="s">
        <v>669</v>
      </c>
      <c r="F134" s="316">
        <v>81</v>
      </c>
      <c r="G134" s="317">
        <v>26</v>
      </c>
      <c r="H134" s="325">
        <v>311451.5</v>
      </c>
      <c r="I134" s="326">
        <v>51567.666666666664</v>
      </c>
      <c r="J134" s="152">
        <f t="shared" si="2"/>
        <v>6.039666328384065</v>
      </c>
      <c r="K134" s="123"/>
      <c r="L134" s="106"/>
      <c r="M134" s="107"/>
      <c r="N134" s="108"/>
    </row>
    <row r="135" spans="1:14" s="38" customFormat="1" ht="15">
      <c r="A135" s="286">
        <v>132</v>
      </c>
      <c r="B135" s="83" t="s">
        <v>625</v>
      </c>
      <c r="C135" s="50">
        <v>39199</v>
      </c>
      <c r="D135" s="149" t="s">
        <v>454</v>
      </c>
      <c r="E135" s="149" t="s">
        <v>457</v>
      </c>
      <c r="F135" s="79">
        <v>46</v>
      </c>
      <c r="G135" s="79">
        <v>14</v>
      </c>
      <c r="H135" s="144">
        <v>310674</v>
      </c>
      <c r="I135" s="237">
        <v>36988</v>
      </c>
      <c r="J135" s="152">
        <f t="shared" si="2"/>
        <v>8.399318697956094</v>
      </c>
      <c r="K135" s="123"/>
      <c r="L135" s="106"/>
      <c r="M135" s="107"/>
      <c r="N135" s="108"/>
    </row>
    <row r="136" spans="1:14" s="38" customFormat="1" ht="15">
      <c r="A136" s="286">
        <v>133</v>
      </c>
      <c r="B136" s="67" t="s">
        <v>533</v>
      </c>
      <c r="C136" s="49">
        <v>39318</v>
      </c>
      <c r="D136" s="53" t="s">
        <v>447</v>
      </c>
      <c r="E136" s="53" t="s">
        <v>534</v>
      </c>
      <c r="F136" s="87">
        <v>56</v>
      </c>
      <c r="G136" s="87">
        <v>12</v>
      </c>
      <c r="H136" s="229">
        <f>157146+94670+28857.5+9502+10585.5+5724+2476.5+69+258+342+30+12</f>
        <v>309672.5</v>
      </c>
      <c r="I136" s="237">
        <f>18176+11311+4047+1765+1787+1048+452+10+59+58+6+2</f>
        <v>38721</v>
      </c>
      <c r="J136" s="152">
        <f t="shared" si="2"/>
        <v>7.997533638077529</v>
      </c>
      <c r="K136" s="123"/>
      <c r="L136" s="106"/>
      <c r="M136" s="107"/>
      <c r="N136" s="108"/>
    </row>
    <row r="137" spans="1:14" s="38" customFormat="1" ht="15">
      <c r="A137" s="286">
        <v>134</v>
      </c>
      <c r="B137" s="104" t="s">
        <v>423</v>
      </c>
      <c r="C137" s="80">
        <v>39339</v>
      </c>
      <c r="D137" s="148" t="s">
        <v>514</v>
      </c>
      <c r="E137" s="148" t="s">
        <v>424</v>
      </c>
      <c r="F137" s="142">
        <v>79</v>
      </c>
      <c r="G137" s="143">
        <v>16</v>
      </c>
      <c r="H137" s="461">
        <v>307628</v>
      </c>
      <c r="I137" s="458">
        <v>48493</v>
      </c>
      <c r="J137" s="152">
        <f t="shared" si="2"/>
        <v>6.343760955189409</v>
      </c>
      <c r="K137" s="123"/>
      <c r="L137" s="106"/>
      <c r="M137" s="107"/>
      <c r="N137" s="108"/>
    </row>
    <row r="138" spans="1:14" s="38" customFormat="1" ht="15">
      <c r="A138" s="286">
        <v>135</v>
      </c>
      <c r="B138" s="83" t="s">
        <v>283</v>
      </c>
      <c r="C138" s="50">
        <v>39157</v>
      </c>
      <c r="D138" s="149" t="s">
        <v>455</v>
      </c>
      <c r="E138" s="149" t="s">
        <v>456</v>
      </c>
      <c r="F138" s="79">
        <v>40</v>
      </c>
      <c r="G138" s="79">
        <v>16</v>
      </c>
      <c r="H138" s="144">
        <f>145121+79532.5+31459-84.5+26093+10059+2699+4061.5+425+625+303+43+10+400.5+3564+2376</f>
        <v>306687</v>
      </c>
      <c r="I138" s="237">
        <f>16974+9206+3759-9+4636+1902+531+800+88+129+84+6+1+74+891+594</f>
        <v>39666</v>
      </c>
      <c r="J138" s="74">
        <f t="shared" si="2"/>
        <v>7.731734987142641</v>
      </c>
      <c r="K138" s="123"/>
      <c r="L138" s="106"/>
      <c r="M138" s="107"/>
      <c r="N138" s="108"/>
    </row>
    <row r="139" spans="1:14" s="38" customFormat="1" ht="15">
      <c r="A139" s="286">
        <v>136</v>
      </c>
      <c r="B139" s="83" t="s">
        <v>472</v>
      </c>
      <c r="C139" s="50">
        <v>39150</v>
      </c>
      <c r="D139" s="149" t="s">
        <v>277</v>
      </c>
      <c r="E139" s="149" t="s">
        <v>473</v>
      </c>
      <c r="F139" s="79">
        <v>100</v>
      </c>
      <c r="G139" s="334">
        <v>9</v>
      </c>
      <c r="H139" s="335">
        <v>302534.9</v>
      </c>
      <c r="I139" s="336">
        <v>41923</v>
      </c>
      <c r="J139" s="152">
        <f t="shared" si="2"/>
        <v>7.2164420485175205</v>
      </c>
      <c r="K139" s="123"/>
      <c r="L139" s="106"/>
      <c r="M139" s="107"/>
      <c r="N139" s="108"/>
    </row>
    <row r="140" spans="1:14" s="38" customFormat="1" ht="15">
      <c r="A140" s="286">
        <v>137</v>
      </c>
      <c r="B140" s="83" t="s">
        <v>371</v>
      </c>
      <c r="C140" s="50">
        <v>39241</v>
      </c>
      <c r="D140" s="149" t="s">
        <v>525</v>
      </c>
      <c r="E140" s="149" t="s">
        <v>525</v>
      </c>
      <c r="F140" s="79">
        <v>50</v>
      </c>
      <c r="G140" s="79">
        <v>13</v>
      </c>
      <c r="H140" s="144">
        <f>129364.5+92376+23571+24305+14210+3366+2760.5+1254+392+236+672+370+59</f>
        <v>292936</v>
      </c>
      <c r="I140" s="237">
        <f>16515+11732+3415+4308+2607+643+742+197+68+51+112+74+9</f>
        <v>40473</v>
      </c>
      <c r="J140" s="74">
        <f t="shared" si="2"/>
        <v>7.237812862896252</v>
      </c>
      <c r="K140" s="123"/>
      <c r="L140" s="106"/>
      <c r="M140" s="107"/>
      <c r="N140" s="108"/>
    </row>
    <row r="141" spans="1:14" s="38" customFormat="1" ht="15">
      <c r="A141" s="286">
        <v>138</v>
      </c>
      <c r="B141" s="82" t="s">
        <v>522</v>
      </c>
      <c r="C141" s="49">
        <v>39234</v>
      </c>
      <c r="D141" s="150" t="s">
        <v>453</v>
      </c>
      <c r="E141" s="150" t="s">
        <v>466</v>
      </c>
      <c r="F141" s="72">
        <v>86</v>
      </c>
      <c r="G141" s="72">
        <v>10</v>
      </c>
      <c r="H141" s="145">
        <f>152831+86024+27725+9491+9432+2744+2079+1010+180+279</f>
        <v>291795</v>
      </c>
      <c r="I141" s="238">
        <f>19661+11888+4225+1693+1759+500+435+247+44+93</f>
        <v>40545</v>
      </c>
      <c r="J141" s="152">
        <f t="shared" si="2"/>
        <v>7.196818349981502</v>
      </c>
      <c r="K141" s="123"/>
      <c r="L141" s="106"/>
      <c r="M141" s="107"/>
      <c r="N141" s="108"/>
    </row>
    <row r="142" spans="1:14" s="38" customFormat="1" ht="15">
      <c r="A142" s="286">
        <v>139</v>
      </c>
      <c r="B142" s="67" t="s">
        <v>422</v>
      </c>
      <c r="C142" s="52">
        <v>39339</v>
      </c>
      <c r="D142" s="57" t="s">
        <v>460</v>
      </c>
      <c r="E142" s="57" t="s">
        <v>432</v>
      </c>
      <c r="F142" s="102">
        <v>25</v>
      </c>
      <c r="G142" s="102">
        <v>10</v>
      </c>
      <c r="H142" s="146">
        <v>278447</v>
      </c>
      <c r="I142" s="243">
        <v>28818</v>
      </c>
      <c r="J142" s="74">
        <f t="shared" si="2"/>
        <v>9.662259698799362</v>
      </c>
      <c r="K142" s="123"/>
      <c r="L142" s="106"/>
      <c r="M142" s="107"/>
      <c r="N142" s="108"/>
    </row>
    <row r="143" spans="1:14" s="38" customFormat="1" ht="15">
      <c r="A143" s="286">
        <v>140</v>
      </c>
      <c r="B143" s="69" t="s">
        <v>60</v>
      </c>
      <c r="C143" s="49">
        <v>39395</v>
      </c>
      <c r="D143" s="56" t="s">
        <v>302</v>
      </c>
      <c r="E143" s="56" t="s">
        <v>61</v>
      </c>
      <c r="F143" s="88" t="s">
        <v>62</v>
      </c>
      <c r="G143" s="88" t="s">
        <v>488</v>
      </c>
      <c r="H143" s="145">
        <v>270444</v>
      </c>
      <c r="I143" s="228">
        <v>33622</v>
      </c>
      <c r="J143" s="152">
        <f t="shared" si="2"/>
        <v>8.043661888049492</v>
      </c>
      <c r="K143" s="123"/>
      <c r="L143" s="106"/>
      <c r="M143" s="107"/>
      <c r="N143" s="108"/>
    </row>
    <row r="144" spans="1:14" s="38" customFormat="1" ht="15">
      <c r="A144" s="286">
        <v>141</v>
      </c>
      <c r="B144" s="83" t="s">
        <v>380</v>
      </c>
      <c r="C144" s="50">
        <v>39164</v>
      </c>
      <c r="D144" s="56" t="s">
        <v>277</v>
      </c>
      <c r="E144" s="56" t="s">
        <v>464</v>
      </c>
      <c r="F144" s="161">
        <v>40</v>
      </c>
      <c r="G144" s="161">
        <v>19</v>
      </c>
      <c r="H144" s="145">
        <v>261932.9</v>
      </c>
      <c r="I144" s="238">
        <v>33340</v>
      </c>
      <c r="J144" s="152">
        <f t="shared" si="2"/>
        <v>7.856415716856628</v>
      </c>
      <c r="K144" s="123"/>
      <c r="L144" s="106"/>
      <c r="M144" s="107"/>
      <c r="N144" s="108"/>
    </row>
    <row r="145" spans="1:14" s="38" customFormat="1" ht="15">
      <c r="A145" s="286">
        <v>142</v>
      </c>
      <c r="B145" s="69" t="s">
        <v>538</v>
      </c>
      <c r="C145" s="49">
        <v>39416</v>
      </c>
      <c r="D145" s="56" t="s">
        <v>468</v>
      </c>
      <c r="E145" s="56" t="s">
        <v>398</v>
      </c>
      <c r="F145" s="88" t="s">
        <v>539</v>
      </c>
      <c r="G145" s="88" t="s">
        <v>289</v>
      </c>
      <c r="H145" s="145">
        <v>257223</v>
      </c>
      <c r="I145" s="238">
        <v>27338</v>
      </c>
      <c r="J145" s="152">
        <f t="shared" si="2"/>
        <v>9.408991147852806</v>
      </c>
      <c r="K145" s="123"/>
      <c r="L145" s="106"/>
      <c r="M145" s="107"/>
      <c r="N145" s="108"/>
    </row>
    <row r="146" spans="1:14" s="38" customFormat="1" ht="15">
      <c r="A146" s="286">
        <v>143</v>
      </c>
      <c r="B146" s="67" t="s">
        <v>64</v>
      </c>
      <c r="C146" s="49">
        <v>39402</v>
      </c>
      <c r="D146" s="54" t="s">
        <v>453</v>
      </c>
      <c r="E146" s="53" t="s">
        <v>322</v>
      </c>
      <c r="F146" s="87">
        <v>20</v>
      </c>
      <c r="G146" s="87">
        <v>7</v>
      </c>
      <c r="H146" s="145">
        <f>8296+141704+66729+20126+11859+581+2076+3662</f>
        <v>255033</v>
      </c>
      <c r="I146" s="238">
        <f>702+12499+6089+1727+1871+101+444+549</f>
        <v>23982</v>
      </c>
      <c r="J146" s="74">
        <f t="shared" si="2"/>
        <v>10.634350763072304</v>
      </c>
      <c r="K146" s="123"/>
      <c r="L146" s="106"/>
      <c r="M146" s="107"/>
      <c r="N146" s="108"/>
    </row>
    <row r="147" spans="1:14" s="38" customFormat="1" ht="15">
      <c r="A147" s="286">
        <v>144</v>
      </c>
      <c r="B147" s="69" t="s">
        <v>307</v>
      </c>
      <c r="C147" s="49">
        <v>39297</v>
      </c>
      <c r="D147" s="71" t="s">
        <v>452</v>
      </c>
      <c r="E147" s="71" t="s">
        <v>459</v>
      </c>
      <c r="F147" s="72">
        <v>25</v>
      </c>
      <c r="G147" s="72">
        <v>9</v>
      </c>
      <c r="H147" s="145">
        <v>254720</v>
      </c>
      <c r="I147" s="238">
        <v>25774</v>
      </c>
      <c r="J147" s="74">
        <f t="shared" si="2"/>
        <v>9.88282765577714</v>
      </c>
      <c r="K147" s="123"/>
      <c r="L147" s="106"/>
      <c r="M147" s="107"/>
      <c r="N147" s="108"/>
    </row>
    <row r="148" spans="1:14" s="38" customFormat="1" ht="15">
      <c r="A148" s="286">
        <v>145</v>
      </c>
      <c r="B148" s="67" t="s">
        <v>416</v>
      </c>
      <c r="C148" s="49">
        <v>39332</v>
      </c>
      <c r="D148" s="53" t="s">
        <v>453</v>
      </c>
      <c r="E148" s="53" t="s">
        <v>466</v>
      </c>
      <c r="F148" s="87">
        <v>58</v>
      </c>
      <c r="G148" s="87">
        <v>8</v>
      </c>
      <c r="H148" s="145">
        <f>138246+66778+24442+12673+5659+4666+353+1557</f>
        <v>254374</v>
      </c>
      <c r="I148" s="238">
        <f>16417+7727+3209+2052+1044+871+47+392</f>
        <v>31759</v>
      </c>
      <c r="J148" s="74">
        <f t="shared" si="2"/>
        <v>8.009509115526308</v>
      </c>
      <c r="K148" s="123"/>
      <c r="L148" s="106"/>
      <c r="M148" s="107"/>
      <c r="N148" s="108"/>
    </row>
    <row r="149" spans="1:14" s="38" customFormat="1" ht="15">
      <c r="A149" s="286">
        <v>146</v>
      </c>
      <c r="B149" s="68" t="s">
        <v>583</v>
      </c>
      <c r="C149" s="50">
        <v>39143</v>
      </c>
      <c r="D149" s="55" t="s">
        <v>455</v>
      </c>
      <c r="E149" s="53" t="s">
        <v>456</v>
      </c>
      <c r="F149" s="51">
        <v>20</v>
      </c>
      <c r="G149" s="51">
        <v>20</v>
      </c>
      <c r="H149" s="144">
        <f>252588.5+836+48+33+46+77+526</f>
        <v>254154.5</v>
      </c>
      <c r="I149" s="237">
        <f>27342+138+6+4+6+9+124</f>
        <v>27629</v>
      </c>
      <c r="J149" s="152">
        <f t="shared" si="2"/>
        <v>9.198830938506642</v>
      </c>
      <c r="K149" s="123"/>
      <c r="L149" s="106"/>
      <c r="M149" s="107"/>
      <c r="N149" s="108"/>
    </row>
    <row r="150" spans="1:14" s="38" customFormat="1" ht="15">
      <c r="A150" s="286">
        <v>147</v>
      </c>
      <c r="B150" s="82" t="s">
        <v>297</v>
      </c>
      <c r="C150" s="49">
        <v>39171</v>
      </c>
      <c r="D150" s="150" t="s">
        <v>327</v>
      </c>
      <c r="E150" s="150" t="s">
        <v>327</v>
      </c>
      <c r="F150" s="72">
        <v>20</v>
      </c>
      <c r="G150" s="72">
        <v>18</v>
      </c>
      <c r="H150" s="144">
        <v>251003</v>
      </c>
      <c r="I150" s="237">
        <v>27159</v>
      </c>
      <c r="J150" s="74">
        <f t="shared" si="2"/>
        <v>9.241982399941088</v>
      </c>
      <c r="K150" s="123"/>
      <c r="L150" s="106"/>
      <c r="M150" s="107"/>
      <c r="N150" s="108"/>
    </row>
    <row r="151" spans="1:14" s="38" customFormat="1" ht="15">
      <c r="A151" s="286">
        <v>148</v>
      </c>
      <c r="B151" s="69" t="s">
        <v>662</v>
      </c>
      <c r="C151" s="49">
        <v>39437</v>
      </c>
      <c r="D151" s="57" t="s">
        <v>460</v>
      </c>
      <c r="E151" s="57" t="s">
        <v>278</v>
      </c>
      <c r="F151" s="102">
        <v>17</v>
      </c>
      <c r="G151" s="102">
        <v>2</v>
      </c>
      <c r="H151" s="146">
        <v>248261</v>
      </c>
      <c r="I151" s="239">
        <v>22888</v>
      </c>
      <c r="J151" s="152">
        <f t="shared" si="2"/>
        <v>10.846775602936036</v>
      </c>
      <c r="K151" s="123"/>
      <c r="L151" s="106"/>
      <c r="M151" s="107"/>
      <c r="N151" s="108"/>
    </row>
    <row r="152" spans="1:14" s="38" customFormat="1" ht="15">
      <c r="A152" s="286">
        <v>149</v>
      </c>
      <c r="B152" s="67" t="s">
        <v>485</v>
      </c>
      <c r="C152" s="49">
        <v>39260</v>
      </c>
      <c r="D152" s="54" t="s">
        <v>453</v>
      </c>
      <c r="E152" s="53" t="s">
        <v>401</v>
      </c>
      <c r="F152" s="87">
        <v>40</v>
      </c>
      <c r="G152" s="87">
        <v>11</v>
      </c>
      <c r="H152" s="145">
        <f>117385+70420+26501+7709+13222+7894+1313+587+91+557+587</f>
        <v>246266</v>
      </c>
      <c r="I152" s="238">
        <f>12724+7654+2879+1337+2217+1357+199+99+13+101+141</f>
        <v>28721</v>
      </c>
      <c r="J152" s="152">
        <f t="shared" si="2"/>
        <v>8.574422896138714</v>
      </c>
      <c r="K152" s="123"/>
      <c r="L152" s="106"/>
      <c r="M152" s="107"/>
      <c r="N152" s="108"/>
    </row>
    <row r="153" spans="1:14" s="38" customFormat="1" ht="15">
      <c r="A153" s="286">
        <v>150</v>
      </c>
      <c r="B153" s="83" t="s">
        <v>366</v>
      </c>
      <c r="C153" s="50">
        <v>39094</v>
      </c>
      <c r="D153" s="149" t="s">
        <v>452</v>
      </c>
      <c r="E153" s="149" t="s">
        <v>459</v>
      </c>
      <c r="F153" s="79">
        <v>30</v>
      </c>
      <c r="G153" s="79">
        <v>9</v>
      </c>
      <c r="H153" s="144">
        <v>243592</v>
      </c>
      <c r="I153" s="237">
        <v>24190</v>
      </c>
      <c r="J153" s="74">
        <f t="shared" si="2"/>
        <v>10.069946258784622</v>
      </c>
      <c r="K153" s="123"/>
      <c r="L153" s="106"/>
      <c r="M153" s="107"/>
      <c r="N153" s="108"/>
    </row>
    <row r="154" spans="1:14" s="38" customFormat="1" ht="15">
      <c r="A154" s="286">
        <v>151</v>
      </c>
      <c r="B154" s="67" t="s">
        <v>593</v>
      </c>
      <c r="C154" s="52">
        <v>39360</v>
      </c>
      <c r="D154" s="57" t="s">
        <v>460</v>
      </c>
      <c r="E154" s="57" t="s">
        <v>333</v>
      </c>
      <c r="F154" s="102">
        <v>27</v>
      </c>
      <c r="G154" s="102">
        <v>9</v>
      </c>
      <c r="H154" s="146">
        <v>243126</v>
      </c>
      <c r="I154" s="243">
        <v>29513</v>
      </c>
      <c r="J154" s="152">
        <f t="shared" si="2"/>
        <v>8.23792904821604</v>
      </c>
      <c r="K154" s="123"/>
      <c r="L154" s="106"/>
      <c r="M154" s="107"/>
      <c r="N154" s="108"/>
    </row>
    <row r="155" spans="1:14" s="38" customFormat="1" ht="15">
      <c r="A155" s="286">
        <v>152</v>
      </c>
      <c r="B155" s="69" t="s">
        <v>417</v>
      </c>
      <c r="C155" s="50">
        <v>39332</v>
      </c>
      <c r="D155" s="56" t="s">
        <v>277</v>
      </c>
      <c r="E155" s="56" t="s">
        <v>464</v>
      </c>
      <c r="F155" s="161">
        <v>23</v>
      </c>
      <c r="G155" s="161">
        <v>11</v>
      </c>
      <c r="H155" s="145">
        <v>237177</v>
      </c>
      <c r="I155" s="238">
        <v>26969</v>
      </c>
      <c r="J155" s="74">
        <f t="shared" si="2"/>
        <v>8.79443064258964</v>
      </c>
      <c r="K155" s="123"/>
      <c r="L155" s="106"/>
      <c r="M155" s="107"/>
      <c r="N155" s="108"/>
    </row>
    <row r="156" spans="1:14" s="38" customFormat="1" ht="15">
      <c r="A156" s="286">
        <v>153</v>
      </c>
      <c r="B156" s="69" t="s">
        <v>381</v>
      </c>
      <c r="C156" s="52">
        <v>39150</v>
      </c>
      <c r="D156" s="57" t="s">
        <v>460</v>
      </c>
      <c r="E156" s="57" t="s">
        <v>653</v>
      </c>
      <c r="F156" s="102">
        <v>10</v>
      </c>
      <c r="G156" s="102">
        <v>25</v>
      </c>
      <c r="H156" s="232">
        <v>226704</v>
      </c>
      <c r="I156" s="243">
        <v>25714</v>
      </c>
      <c r="J156" s="152">
        <f t="shared" si="2"/>
        <v>8.816364626273625</v>
      </c>
      <c r="K156" s="123"/>
      <c r="L156" s="106"/>
      <c r="M156" s="107"/>
      <c r="N156" s="108"/>
    </row>
    <row r="157" spans="1:14" s="38" customFormat="1" ht="15">
      <c r="A157" s="286">
        <v>154</v>
      </c>
      <c r="B157" s="83" t="s">
        <v>482</v>
      </c>
      <c r="C157" s="50">
        <v>39122</v>
      </c>
      <c r="D157" s="149" t="s">
        <v>462</v>
      </c>
      <c r="E157" s="149" t="s">
        <v>462</v>
      </c>
      <c r="F157" s="79">
        <v>27</v>
      </c>
      <c r="G157" s="334">
        <v>10</v>
      </c>
      <c r="H157" s="335">
        <f>119870.5+70279+18401+10562+5558+801+365+35+139+467</f>
        <v>226477.5</v>
      </c>
      <c r="I157" s="336">
        <f>12204+6994+1908+1977+1125+173+73+5+21+82</f>
        <v>24562</v>
      </c>
      <c r="J157" s="74">
        <f t="shared" si="2"/>
        <v>9.22064571288983</v>
      </c>
      <c r="K157" s="123"/>
      <c r="L157" s="106"/>
      <c r="M157" s="107"/>
      <c r="N157" s="108"/>
    </row>
    <row r="158" spans="1:14" s="38" customFormat="1" ht="15">
      <c r="A158" s="286">
        <v>155</v>
      </c>
      <c r="B158" s="69" t="s">
        <v>340</v>
      </c>
      <c r="C158" s="50">
        <v>39381</v>
      </c>
      <c r="D158" s="56" t="s">
        <v>277</v>
      </c>
      <c r="E158" s="56" t="s">
        <v>341</v>
      </c>
      <c r="F158" s="161">
        <v>11</v>
      </c>
      <c r="G158" s="161">
        <v>10</v>
      </c>
      <c r="H158" s="145">
        <v>217438.7</v>
      </c>
      <c r="I158" s="238">
        <v>24247</v>
      </c>
      <c r="J158" s="152">
        <f t="shared" si="2"/>
        <v>8.967653730358395</v>
      </c>
      <c r="K158" s="123"/>
      <c r="L158" s="106"/>
      <c r="M158" s="107"/>
      <c r="N158" s="108"/>
    </row>
    <row r="159" spans="1:14" s="38" customFormat="1" ht="15">
      <c r="A159" s="286">
        <v>156</v>
      </c>
      <c r="B159" s="68" t="s">
        <v>382</v>
      </c>
      <c r="C159" s="50">
        <v>39185</v>
      </c>
      <c r="D159" s="160" t="s">
        <v>455</v>
      </c>
      <c r="E159" s="55" t="s">
        <v>462</v>
      </c>
      <c r="F159" s="87">
        <v>32</v>
      </c>
      <c r="G159" s="51">
        <v>18</v>
      </c>
      <c r="H159" s="159">
        <f>108639+53175.5+20297+10110.5+6588.5+4718.5+25+932+2938+1916+223+2532+318+210+570+501+200+201</f>
        <v>214095</v>
      </c>
      <c r="I159" s="230">
        <f>11660+5688+2612+1694+1121+867+5+284+987+479+44+624+64+70+95+167+67+67</f>
        <v>26595</v>
      </c>
      <c r="J159" s="152">
        <f t="shared" si="2"/>
        <v>8.050197405527355</v>
      </c>
      <c r="K159" s="123"/>
      <c r="L159" s="106"/>
      <c r="M159" s="107"/>
      <c r="N159" s="108"/>
    </row>
    <row r="160" spans="1:14" s="38" customFormat="1" ht="15">
      <c r="A160" s="286">
        <v>157</v>
      </c>
      <c r="B160" s="67" t="s">
        <v>700</v>
      </c>
      <c r="C160" s="49">
        <v>39444</v>
      </c>
      <c r="D160" s="54" t="s">
        <v>453</v>
      </c>
      <c r="E160" s="53" t="s">
        <v>466</v>
      </c>
      <c r="F160" s="87">
        <v>60</v>
      </c>
      <c r="G160" s="87">
        <v>1</v>
      </c>
      <c r="H160" s="145">
        <v>211429</v>
      </c>
      <c r="I160" s="238">
        <v>22982</v>
      </c>
      <c r="J160" s="152">
        <f t="shared" si="2"/>
        <v>9.199765033504482</v>
      </c>
      <c r="K160" s="123"/>
      <c r="L160" s="106"/>
      <c r="M160" s="107"/>
      <c r="N160" s="108"/>
    </row>
    <row r="161" spans="1:14" s="38" customFormat="1" ht="15">
      <c r="A161" s="286">
        <v>158</v>
      </c>
      <c r="B161" s="68" t="s">
        <v>549</v>
      </c>
      <c r="C161" s="50">
        <v>39255</v>
      </c>
      <c r="D161" s="53" t="s">
        <v>525</v>
      </c>
      <c r="E161" s="53" t="s">
        <v>525</v>
      </c>
      <c r="F161" s="51">
        <v>39</v>
      </c>
      <c r="G161" s="51">
        <v>10</v>
      </c>
      <c r="H161" s="144">
        <f>81018+54551+29525+20071+15869-16+6710.5+1673+594+200+466.5</f>
        <v>210662</v>
      </c>
      <c r="I161" s="237">
        <f>9778+6732+4213+3680+2882-4+1171+280+91+67+111</f>
        <v>29001</v>
      </c>
      <c r="J161" s="152">
        <f t="shared" si="2"/>
        <v>7.2639564152960245</v>
      </c>
      <c r="K161" s="123"/>
      <c r="L161" s="106"/>
      <c r="M161" s="107"/>
      <c r="N161" s="108"/>
    </row>
    <row r="162" spans="1:14" s="38" customFormat="1" ht="15">
      <c r="A162" s="286">
        <v>159</v>
      </c>
      <c r="B162" s="69" t="s">
        <v>563</v>
      </c>
      <c r="C162" s="49">
        <v>39269</v>
      </c>
      <c r="D162" s="56" t="s">
        <v>468</v>
      </c>
      <c r="E162" s="56" t="s">
        <v>468</v>
      </c>
      <c r="F162" s="88" t="s">
        <v>292</v>
      </c>
      <c r="G162" s="88" t="s">
        <v>668</v>
      </c>
      <c r="H162" s="145">
        <v>204011.19</v>
      </c>
      <c r="I162" s="238">
        <v>30444</v>
      </c>
      <c r="J162" s="152">
        <f t="shared" si="2"/>
        <v>6.701195309420576</v>
      </c>
      <c r="K162" s="123"/>
      <c r="L162" s="106"/>
      <c r="M162" s="107"/>
      <c r="N162" s="108"/>
    </row>
    <row r="163" spans="1:14" s="38" customFormat="1" ht="15">
      <c r="A163" s="286">
        <v>160</v>
      </c>
      <c r="B163" s="104" t="s">
        <v>479</v>
      </c>
      <c r="C163" s="80">
        <v>39283</v>
      </c>
      <c r="D163" s="148" t="s">
        <v>514</v>
      </c>
      <c r="E163" s="148" t="s">
        <v>295</v>
      </c>
      <c r="F163" s="142">
        <v>27</v>
      </c>
      <c r="G163" s="143">
        <v>15</v>
      </c>
      <c r="H163" s="231">
        <v>197299</v>
      </c>
      <c r="I163" s="240">
        <v>27809</v>
      </c>
      <c r="J163" s="74">
        <f t="shared" si="2"/>
        <v>7.094789456650725</v>
      </c>
      <c r="K163" s="123"/>
      <c r="L163" s="106"/>
      <c r="M163" s="107"/>
      <c r="N163" s="108"/>
    </row>
    <row r="164" spans="1:14" s="38" customFormat="1" ht="15">
      <c r="A164" s="286">
        <v>161</v>
      </c>
      <c r="B164" s="69" t="s">
        <v>556</v>
      </c>
      <c r="C164" s="50">
        <v>39262</v>
      </c>
      <c r="D164" s="56" t="s">
        <v>277</v>
      </c>
      <c r="E164" s="56" t="s">
        <v>557</v>
      </c>
      <c r="F164" s="161">
        <v>21</v>
      </c>
      <c r="G164" s="161">
        <v>20</v>
      </c>
      <c r="H164" s="145">
        <v>191934.9</v>
      </c>
      <c r="I164" s="238">
        <v>28934</v>
      </c>
      <c r="J164" s="152">
        <f t="shared" si="2"/>
        <v>6.633541853874335</v>
      </c>
      <c r="K164" s="123"/>
      <c r="L164" s="106"/>
      <c r="M164" s="107"/>
      <c r="N164" s="108"/>
    </row>
    <row r="165" spans="1:14" s="38" customFormat="1" ht="15">
      <c r="A165" s="286">
        <v>162</v>
      </c>
      <c r="B165" s="69" t="s">
        <v>554</v>
      </c>
      <c r="C165" s="50">
        <v>39262</v>
      </c>
      <c r="D165" s="56" t="s">
        <v>277</v>
      </c>
      <c r="E165" s="56" t="s">
        <v>555</v>
      </c>
      <c r="F165" s="161">
        <v>15</v>
      </c>
      <c r="G165" s="161">
        <v>15</v>
      </c>
      <c r="H165" s="145">
        <v>189536</v>
      </c>
      <c r="I165" s="238">
        <v>21713</v>
      </c>
      <c r="J165" s="74">
        <f t="shared" si="2"/>
        <v>8.729148436420578</v>
      </c>
      <c r="K165" s="123"/>
      <c r="L165" s="106"/>
      <c r="M165" s="107"/>
      <c r="N165" s="108"/>
    </row>
    <row r="166" spans="1:14" s="38" customFormat="1" ht="15">
      <c r="A166" s="286">
        <v>163</v>
      </c>
      <c r="B166" s="69" t="s">
        <v>599</v>
      </c>
      <c r="C166" s="50">
        <v>39367</v>
      </c>
      <c r="D166" s="56" t="s">
        <v>277</v>
      </c>
      <c r="E166" s="56" t="s">
        <v>464</v>
      </c>
      <c r="F166" s="161">
        <v>21</v>
      </c>
      <c r="G166" s="161">
        <v>7</v>
      </c>
      <c r="H166" s="145">
        <v>174166.5</v>
      </c>
      <c r="I166" s="238">
        <v>17620</v>
      </c>
      <c r="J166" s="152">
        <f t="shared" si="2"/>
        <v>9.884591373439273</v>
      </c>
      <c r="K166" s="123"/>
      <c r="L166" s="106"/>
      <c r="M166" s="107"/>
      <c r="N166" s="108"/>
    </row>
    <row r="167" spans="1:14" s="38" customFormat="1" ht="15">
      <c r="A167" s="286">
        <v>164</v>
      </c>
      <c r="B167" s="82" t="s">
        <v>284</v>
      </c>
      <c r="C167" s="49">
        <v>39157</v>
      </c>
      <c r="D167" s="150" t="s">
        <v>468</v>
      </c>
      <c r="E167" s="150" t="s">
        <v>398</v>
      </c>
      <c r="F167" s="72" t="s">
        <v>365</v>
      </c>
      <c r="G167" s="72" t="s">
        <v>506</v>
      </c>
      <c r="H167" s="145">
        <v>173994.5</v>
      </c>
      <c r="I167" s="238">
        <v>25945</v>
      </c>
      <c r="J167" s="74">
        <f t="shared" si="2"/>
        <v>6.7062825207169015</v>
      </c>
      <c r="K167" s="123"/>
      <c r="L167" s="106"/>
      <c r="M167" s="107"/>
      <c r="N167" s="108"/>
    </row>
    <row r="168" spans="1:14" s="38" customFormat="1" ht="15">
      <c r="A168" s="286">
        <v>165</v>
      </c>
      <c r="B168" s="69" t="s">
        <v>495</v>
      </c>
      <c r="C168" s="49">
        <v>39199</v>
      </c>
      <c r="D168" s="71" t="s">
        <v>468</v>
      </c>
      <c r="E168" s="71" t="s">
        <v>398</v>
      </c>
      <c r="F168" s="88" t="s">
        <v>289</v>
      </c>
      <c r="G168" s="88" t="s">
        <v>406</v>
      </c>
      <c r="H168" s="145">
        <v>173321.5</v>
      </c>
      <c r="I168" s="238">
        <v>17218</v>
      </c>
      <c r="J168" s="74">
        <f t="shared" si="2"/>
        <v>10.066296898594494</v>
      </c>
      <c r="K168" s="123"/>
      <c r="L168" s="106"/>
      <c r="M168" s="107"/>
      <c r="N168" s="108"/>
    </row>
    <row r="169" spans="1:14" s="38" customFormat="1" ht="15">
      <c r="A169" s="286">
        <v>166</v>
      </c>
      <c r="B169" s="104" t="s">
        <v>47</v>
      </c>
      <c r="C169" s="80">
        <v>39357</v>
      </c>
      <c r="D169" s="148" t="s">
        <v>514</v>
      </c>
      <c r="E169" s="148" t="s">
        <v>48</v>
      </c>
      <c r="F169" s="142">
        <v>70</v>
      </c>
      <c r="G169" s="143">
        <v>8</v>
      </c>
      <c r="H169" s="325">
        <v>168148.5</v>
      </c>
      <c r="I169" s="326">
        <v>23442</v>
      </c>
      <c r="J169" s="74">
        <f t="shared" si="2"/>
        <v>7.172958791911953</v>
      </c>
      <c r="K169" s="123"/>
      <c r="L169" s="106"/>
      <c r="M169" s="107"/>
      <c r="N169" s="108"/>
    </row>
    <row r="170" spans="1:14" s="38" customFormat="1" ht="15">
      <c r="A170" s="286">
        <v>167</v>
      </c>
      <c r="B170" s="83" t="s">
        <v>494</v>
      </c>
      <c r="C170" s="50">
        <v>39199</v>
      </c>
      <c r="D170" s="163" t="s">
        <v>455</v>
      </c>
      <c r="E170" s="163" t="s">
        <v>456</v>
      </c>
      <c r="F170" s="51">
        <v>12</v>
      </c>
      <c r="G170" s="51">
        <v>17</v>
      </c>
      <c r="H170" s="159">
        <f>65278+43624+18025+11913.5+8482+5984+2783+1516+591+802+176+51+185+155+1007+3021+2376+630</f>
        <v>166599.5</v>
      </c>
      <c r="I170" s="230">
        <f>6781+4516+2043+1620+1413+932+527+294+132+80+21+9+37+31+252+755+594+157</f>
        <v>20194</v>
      </c>
      <c r="J170" s="74">
        <f t="shared" si="2"/>
        <v>8.249950480340695</v>
      </c>
      <c r="K170" s="123"/>
      <c r="L170" s="106"/>
      <c r="M170" s="107"/>
      <c r="N170" s="108"/>
    </row>
    <row r="171" spans="1:14" s="38" customFormat="1" ht="15">
      <c r="A171" s="286">
        <v>168</v>
      </c>
      <c r="B171" s="68" t="s">
        <v>701</v>
      </c>
      <c r="C171" s="50">
        <v>39444</v>
      </c>
      <c r="D171" s="55" t="s">
        <v>277</v>
      </c>
      <c r="E171" s="55" t="s">
        <v>235</v>
      </c>
      <c r="F171" s="162">
        <v>25</v>
      </c>
      <c r="G171" s="162">
        <v>1</v>
      </c>
      <c r="H171" s="145">
        <v>165460.25</v>
      </c>
      <c r="I171" s="238">
        <v>16080</v>
      </c>
      <c r="J171" s="74">
        <f t="shared" si="2"/>
        <v>10.289816542288557</v>
      </c>
      <c r="K171" s="123"/>
      <c r="L171" s="106"/>
      <c r="M171" s="107"/>
      <c r="N171" s="108"/>
    </row>
    <row r="172" spans="1:14" s="38" customFormat="1" ht="15">
      <c r="A172" s="286">
        <v>169</v>
      </c>
      <c r="B172" s="104" t="s">
        <v>540</v>
      </c>
      <c r="C172" s="80">
        <v>39416</v>
      </c>
      <c r="D172" s="148" t="s">
        <v>514</v>
      </c>
      <c r="E172" s="148" t="s">
        <v>424</v>
      </c>
      <c r="F172" s="142">
        <v>45</v>
      </c>
      <c r="G172" s="143">
        <v>5</v>
      </c>
      <c r="H172" s="461">
        <v>165232</v>
      </c>
      <c r="I172" s="462">
        <v>23701</v>
      </c>
      <c r="J172" s="152">
        <f t="shared" si="2"/>
        <v>6.97152018902156</v>
      </c>
      <c r="K172" s="123"/>
      <c r="L172" s="106"/>
      <c r="M172" s="107"/>
      <c r="N172" s="108"/>
    </row>
    <row r="173" spans="1:14" s="38" customFormat="1" ht="15">
      <c r="A173" s="286">
        <v>170</v>
      </c>
      <c r="B173" s="69" t="s">
        <v>308</v>
      </c>
      <c r="C173" s="49">
        <v>39297</v>
      </c>
      <c r="D173" s="56" t="s">
        <v>468</v>
      </c>
      <c r="E173" s="56" t="s">
        <v>398</v>
      </c>
      <c r="F173" s="88" t="s">
        <v>289</v>
      </c>
      <c r="G173" s="88" t="s">
        <v>419</v>
      </c>
      <c r="H173" s="158">
        <v>162341.57</v>
      </c>
      <c r="I173" s="228">
        <v>16440</v>
      </c>
      <c r="J173" s="74">
        <f t="shared" si="2"/>
        <v>9.874791362530415</v>
      </c>
      <c r="K173" s="123"/>
      <c r="L173" s="106"/>
      <c r="M173" s="107"/>
      <c r="N173" s="108"/>
    </row>
    <row r="174" spans="1:14" s="38" customFormat="1" ht="15">
      <c r="A174" s="286">
        <v>171</v>
      </c>
      <c r="B174" s="69" t="s">
        <v>598</v>
      </c>
      <c r="C174" s="49">
        <v>39367</v>
      </c>
      <c r="D174" s="56" t="s">
        <v>302</v>
      </c>
      <c r="E174" s="56" t="s">
        <v>342</v>
      </c>
      <c r="F174" s="88" t="s">
        <v>365</v>
      </c>
      <c r="G174" s="88" t="s">
        <v>672</v>
      </c>
      <c r="H174" s="145">
        <v>157094.55</v>
      </c>
      <c r="I174" s="228">
        <v>21595</v>
      </c>
      <c r="J174" s="74">
        <f t="shared" si="2"/>
        <v>7.27457976383422</v>
      </c>
      <c r="K174" s="123"/>
      <c r="L174" s="106"/>
      <c r="M174" s="107"/>
      <c r="N174" s="108"/>
    </row>
    <row r="175" spans="1:14" s="38" customFormat="1" ht="15">
      <c r="A175" s="286">
        <v>172</v>
      </c>
      <c r="B175" s="82" t="s">
        <v>480</v>
      </c>
      <c r="C175" s="49">
        <v>39283</v>
      </c>
      <c r="D175" s="150" t="s">
        <v>452</v>
      </c>
      <c r="E175" s="150" t="s">
        <v>398</v>
      </c>
      <c r="F175" s="72">
        <v>20</v>
      </c>
      <c r="G175" s="72">
        <v>7</v>
      </c>
      <c r="H175" s="145">
        <v>152030</v>
      </c>
      <c r="I175" s="238">
        <v>15846</v>
      </c>
      <c r="J175" s="152">
        <f t="shared" si="2"/>
        <v>9.594219361353023</v>
      </c>
      <c r="K175" s="123"/>
      <c r="L175" s="106"/>
      <c r="M175" s="107"/>
      <c r="N175" s="108"/>
    </row>
    <row r="176" spans="1:14" s="38" customFormat="1" ht="15">
      <c r="A176" s="286">
        <v>173</v>
      </c>
      <c r="B176" s="83" t="s">
        <v>622</v>
      </c>
      <c r="C176" s="50">
        <v>39192</v>
      </c>
      <c r="D176" s="149" t="s">
        <v>455</v>
      </c>
      <c r="E176" s="149" t="s">
        <v>610</v>
      </c>
      <c r="F176" s="79" t="s">
        <v>365</v>
      </c>
      <c r="G176" s="79">
        <v>15</v>
      </c>
      <c r="H176" s="144">
        <f>71030+32901.5+17721.5+14872+9513+2979+1242+198+150+198+140+162+204+122+93</f>
        <v>151526</v>
      </c>
      <c r="I176" s="237">
        <f>8415+4258+2684+2483+1579+589+251+33+25+33+23+27+34+17+12</f>
        <v>20463</v>
      </c>
      <c r="J176" s="74">
        <f t="shared" si="2"/>
        <v>7.404877095245077</v>
      </c>
      <c r="K176" s="123"/>
      <c r="L176" s="106"/>
      <c r="M176" s="107"/>
      <c r="N176" s="108"/>
    </row>
    <row r="177" spans="1:14" s="38" customFormat="1" ht="15">
      <c r="A177" s="286">
        <v>174</v>
      </c>
      <c r="B177" s="69" t="s">
        <v>702</v>
      </c>
      <c r="C177" s="49">
        <v>39444</v>
      </c>
      <c r="D177" s="56" t="s">
        <v>637</v>
      </c>
      <c r="E177" s="56" t="s">
        <v>560</v>
      </c>
      <c r="F177" s="72">
        <v>14</v>
      </c>
      <c r="G177" s="72">
        <v>1</v>
      </c>
      <c r="H177" s="145">
        <v>151459</v>
      </c>
      <c r="I177" s="238">
        <v>14052</v>
      </c>
      <c r="J177" s="152">
        <f t="shared" si="2"/>
        <v>10.778465698832907</v>
      </c>
      <c r="K177" s="123"/>
      <c r="L177" s="106"/>
      <c r="M177" s="107"/>
      <c r="N177" s="108"/>
    </row>
    <row r="178" spans="1:14" s="38" customFormat="1" ht="15">
      <c r="A178" s="286">
        <v>175</v>
      </c>
      <c r="B178" s="82" t="s">
        <v>575</v>
      </c>
      <c r="C178" s="49">
        <v>39136</v>
      </c>
      <c r="D178" s="150" t="s">
        <v>453</v>
      </c>
      <c r="E178" s="150" t="s">
        <v>322</v>
      </c>
      <c r="F178" s="72">
        <v>9</v>
      </c>
      <c r="G178" s="72">
        <v>12</v>
      </c>
      <c r="H178" s="145">
        <f>84092+44359+5685+3842+1159+3888+3317+785+1412+150+1090+269+1188</f>
        <v>151236</v>
      </c>
      <c r="I178" s="238">
        <f>8135+4281+660+612+195+1157+638+80+217+18+215+198</f>
        <v>16406</v>
      </c>
      <c r="J178" s="74">
        <f t="shared" si="2"/>
        <v>9.218334755577228</v>
      </c>
      <c r="K178" s="123"/>
      <c r="L178" s="106"/>
      <c r="M178" s="107"/>
      <c r="N178" s="108"/>
    </row>
    <row r="179" spans="1:14" s="38" customFormat="1" ht="15">
      <c r="A179" s="286">
        <v>176</v>
      </c>
      <c r="B179" s="82" t="s">
        <v>400</v>
      </c>
      <c r="C179" s="49">
        <v>39087</v>
      </c>
      <c r="D179" s="150" t="s">
        <v>453</v>
      </c>
      <c r="E179" s="150" t="s">
        <v>401</v>
      </c>
      <c r="F179" s="72">
        <v>42</v>
      </c>
      <c r="G179" s="72">
        <v>12</v>
      </c>
      <c r="H179" s="145">
        <f>108159+32855+2558+200+742+210+540+754+527+677+829+139</f>
        <v>148190</v>
      </c>
      <c r="I179" s="238">
        <f>12118+3977+379+20+153+40+103+182+108+118+146+22</f>
        <v>17366</v>
      </c>
      <c r="J179" s="152">
        <f t="shared" si="2"/>
        <v>8.533341011171254</v>
      </c>
      <c r="K179" s="123"/>
      <c r="L179" s="106"/>
      <c r="M179" s="107"/>
      <c r="N179" s="108"/>
    </row>
    <row r="180" spans="1:14" s="38" customFormat="1" ht="15">
      <c r="A180" s="286">
        <v>177</v>
      </c>
      <c r="B180" s="68" t="s">
        <v>600</v>
      </c>
      <c r="C180" s="50">
        <v>39367</v>
      </c>
      <c r="D180" s="55" t="s">
        <v>455</v>
      </c>
      <c r="E180" s="55" t="s">
        <v>456</v>
      </c>
      <c r="F180" s="87">
        <v>45</v>
      </c>
      <c r="G180" s="51">
        <v>6</v>
      </c>
      <c r="H180" s="144">
        <f>89537+22763.5+14404+12396.5+6049+454</f>
        <v>145604</v>
      </c>
      <c r="I180" s="230">
        <f>10673+2965+2194+2242+1091+86</f>
        <v>19251</v>
      </c>
      <c r="J180" s="74">
        <f t="shared" si="2"/>
        <v>7.563451249285752</v>
      </c>
      <c r="K180" s="123"/>
      <c r="L180" s="106"/>
      <c r="M180" s="107"/>
      <c r="N180" s="108"/>
    </row>
    <row r="181" spans="1:14" s="38" customFormat="1" ht="15">
      <c r="A181" s="286">
        <v>178</v>
      </c>
      <c r="B181" s="68" t="s">
        <v>541</v>
      </c>
      <c r="C181" s="50">
        <v>39416</v>
      </c>
      <c r="D181" s="55" t="s">
        <v>455</v>
      </c>
      <c r="E181" s="55" t="s">
        <v>52</v>
      </c>
      <c r="F181" s="51">
        <v>20</v>
      </c>
      <c r="G181" s="51">
        <v>5</v>
      </c>
      <c r="H181" s="144">
        <f>75692.5+51302+12584.5+2036+2909.5</f>
        <v>144524.5</v>
      </c>
      <c r="I181" s="237">
        <f>7291+5230+1727+233+363</f>
        <v>14844</v>
      </c>
      <c r="J181" s="152">
        <f t="shared" si="2"/>
        <v>9.736223389921854</v>
      </c>
      <c r="K181" s="123"/>
      <c r="L181" s="106"/>
      <c r="M181" s="107"/>
      <c r="N181" s="108"/>
    </row>
    <row r="182" spans="1:14" s="38" customFormat="1" ht="15">
      <c r="A182" s="286">
        <v>179</v>
      </c>
      <c r="B182" s="69" t="s">
        <v>63</v>
      </c>
      <c r="C182" s="49">
        <v>39395</v>
      </c>
      <c r="D182" s="56" t="s">
        <v>468</v>
      </c>
      <c r="E182" s="56" t="s">
        <v>710</v>
      </c>
      <c r="F182" s="88" t="s">
        <v>373</v>
      </c>
      <c r="G182" s="88" t="s">
        <v>368</v>
      </c>
      <c r="H182" s="145">
        <v>137749.98</v>
      </c>
      <c r="I182" s="238">
        <v>22234</v>
      </c>
      <c r="J182" s="74">
        <f t="shared" si="2"/>
        <v>6.19546550328326</v>
      </c>
      <c r="K182" s="123"/>
      <c r="L182" s="106"/>
      <c r="M182" s="107"/>
      <c r="N182" s="108"/>
    </row>
    <row r="183" spans="1:14" s="38" customFormat="1" ht="15">
      <c r="A183" s="286">
        <v>180</v>
      </c>
      <c r="B183" s="82" t="s">
        <v>504</v>
      </c>
      <c r="C183" s="49">
        <v>39213</v>
      </c>
      <c r="D183" s="150" t="s">
        <v>452</v>
      </c>
      <c r="E183" s="150" t="s">
        <v>459</v>
      </c>
      <c r="F183" s="72">
        <v>36</v>
      </c>
      <c r="G183" s="72">
        <v>9</v>
      </c>
      <c r="H183" s="145">
        <v>137061</v>
      </c>
      <c r="I183" s="238">
        <v>16400</v>
      </c>
      <c r="J183" s="74">
        <f t="shared" si="2"/>
        <v>8.357378048780488</v>
      </c>
      <c r="K183" s="123"/>
      <c r="L183" s="106"/>
      <c r="M183" s="107"/>
      <c r="N183" s="108"/>
    </row>
    <row r="184" spans="1:14" s="38" customFormat="1" ht="15">
      <c r="A184" s="286">
        <v>181</v>
      </c>
      <c r="B184" s="69" t="s">
        <v>408</v>
      </c>
      <c r="C184" s="50">
        <v>39318</v>
      </c>
      <c r="D184" s="56" t="s">
        <v>277</v>
      </c>
      <c r="E184" s="56" t="s">
        <v>357</v>
      </c>
      <c r="F184" s="161">
        <v>8</v>
      </c>
      <c r="G184" s="161">
        <v>14</v>
      </c>
      <c r="H184" s="158">
        <v>134347.5</v>
      </c>
      <c r="I184" s="228">
        <v>14325</v>
      </c>
      <c r="J184" s="74">
        <f t="shared" si="2"/>
        <v>9.378534031413613</v>
      </c>
      <c r="K184" s="123"/>
      <c r="L184" s="106"/>
      <c r="M184" s="107"/>
      <c r="N184" s="108"/>
    </row>
    <row r="185" spans="1:14" s="38" customFormat="1" ht="15">
      <c r="A185" s="286">
        <v>182</v>
      </c>
      <c r="B185" s="69" t="s">
        <v>352</v>
      </c>
      <c r="C185" s="49">
        <v>39374</v>
      </c>
      <c r="D185" s="55" t="s">
        <v>468</v>
      </c>
      <c r="E185" s="176" t="s">
        <v>398</v>
      </c>
      <c r="F185" s="88" t="s">
        <v>353</v>
      </c>
      <c r="G185" s="88" t="s">
        <v>368</v>
      </c>
      <c r="H185" s="158">
        <v>131327.01</v>
      </c>
      <c r="I185" s="228">
        <v>16088</v>
      </c>
      <c r="J185" s="152">
        <f t="shared" si="2"/>
        <v>8.16304139731477</v>
      </c>
      <c r="K185" s="123"/>
      <c r="L185" s="106"/>
      <c r="M185" s="107"/>
      <c r="N185" s="108"/>
    </row>
    <row r="186" spans="1:14" s="38" customFormat="1" ht="15">
      <c r="A186" s="286">
        <v>183</v>
      </c>
      <c r="B186" s="68" t="s">
        <v>586</v>
      </c>
      <c r="C186" s="50">
        <v>39353</v>
      </c>
      <c r="D186" s="55" t="s">
        <v>455</v>
      </c>
      <c r="E186" s="55" t="s">
        <v>300</v>
      </c>
      <c r="F186" s="87">
        <v>40</v>
      </c>
      <c r="G186" s="51">
        <v>7</v>
      </c>
      <c r="H186" s="159">
        <f>66699.5+31713+17573.5+8087.5+4830+713.5+401</f>
        <v>130018</v>
      </c>
      <c r="I186" s="237">
        <f>7382+3538+2650+1611+834+137+53</f>
        <v>16205</v>
      </c>
      <c r="J186" s="152">
        <f t="shared" si="2"/>
        <v>8.023326133909288</v>
      </c>
      <c r="K186" s="123"/>
      <c r="L186" s="106"/>
      <c r="M186" s="107"/>
      <c r="N186" s="108"/>
    </row>
    <row r="187" spans="1:14" s="38" customFormat="1" ht="15">
      <c r="A187" s="286">
        <v>184</v>
      </c>
      <c r="B187" s="69" t="s">
        <v>372</v>
      </c>
      <c r="C187" s="50">
        <v>39241</v>
      </c>
      <c r="D187" s="56" t="s">
        <v>277</v>
      </c>
      <c r="E187" s="56" t="s">
        <v>404</v>
      </c>
      <c r="F187" s="161">
        <v>20</v>
      </c>
      <c r="G187" s="161">
        <v>17</v>
      </c>
      <c r="H187" s="158">
        <v>127431.7</v>
      </c>
      <c r="I187" s="238">
        <v>17518</v>
      </c>
      <c r="J187" s="74">
        <f t="shared" si="2"/>
        <v>7.274329261331202</v>
      </c>
      <c r="K187" s="123"/>
      <c r="L187" s="106"/>
      <c r="M187" s="107"/>
      <c r="N187" s="108"/>
    </row>
    <row r="188" spans="1:14" s="38" customFormat="1" ht="15">
      <c r="A188" s="286">
        <v>185</v>
      </c>
      <c r="B188" s="69" t="s">
        <v>50</v>
      </c>
      <c r="C188" s="49">
        <v>39388</v>
      </c>
      <c r="D188" s="56" t="s">
        <v>468</v>
      </c>
      <c r="E188" s="56" t="s">
        <v>398</v>
      </c>
      <c r="F188" s="88" t="s">
        <v>406</v>
      </c>
      <c r="G188" s="88" t="s">
        <v>488</v>
      </c>
      <c r="H188" s="158">
        <v>124966.7</v>
      </c>
      <c r="I188" s="228">
        <v>12572</v>
      </c>
      <c r="J188" s="74">
        <f t="shared" si="2"/>
        <v>9.940081132675788</v>
      </c>
      <c r="K188" s="123"/>
      <c r="L188" s="106"/>
      <c r="M188" s="107"/>
      <c r="N188" s="108"/>
    </row>
    <row r="189" spans="1:14" s="38" customFormat="1" ht="15">
      <c r="A189" s="286">
        <v>186</v>
      </c>
      <c r="B189" s="82" t="s">
        <v>383</v>
      </c>
      <c r="C189" s="49">
        <v>39213</v>
      </c>
      <c r="D189" s="56" t="s">
        <v>468</v>
      </c>
      <c r="E189" s="56" t="s">
        <v>468</v>
      </c>
      <c r="F189" s="88" t="s">
        <v>502</v>
      </c>
      <c r="G189" s="88" t="s">
        <v>406</v>
      </c>
      <c r="H189" s="145">
        <v>124681.5</v>
      </c>
      <c r="I189" s="238">
        <v>18278</v>
      </c>
      <c r="J189" s="74">
        <f t="shared" si="2"/>
        <v>6.821397308239414</v>
      </c>
      <c r="K189" s="123"/>
      <c r="L189" s="106"/>
      <c r="M189" s="107"/>
      <c r="N189" s="108"/>
    </row>
    <row r="190" spans="1:14" s="38" customFormat="1" ht="15">
      <c r="A190" s="286">
        <v>187</v>
      </c>
      <c r="B190" s="67" t="s">
        <v>270</v>
      </c>
      <c r="C190" s="49">
        <v>39346</v>
      </c>
      <c r="D190" s="53" t="s">
        <v>447</v>
      </c>
      <c r="E190" s="53" t="s">
        <v>405</v>
      </c>
      <c r="F190" s="87">
        <v>43</v>
      </c>
      <c r="G190" s="87">
        <v>10</v>
      </c>
      <c r="H190" s="147">
        <f>120156+0</f>
        <v>120156</v>
      </c>
      <c r="I190" s="237">
        <f>15799+0</f>
        <v>15799</v>
      </c>
      <c r="J190" s="74">
        <f t="shared" si="2"/>
        <v>7.605291474143933</v>
      </c>
      <c r="K190" s="123"/>
      <c r="L190" s="106"/>
      <c r="M190" s="107"/>
      <c r="N190" s="108"/>
    </row>
    <row r="191" spans="1:14" s="38" customFormat="1" ht="15">
      <c r="A191" s="286">
        <v>188</v>
      </c>
      <c r="B191" s="83" t="s">
        <v>285</v>
      </c>
      <c r="C191" s="50">
        <v>39157</v>
      </c>
      <c r="D191" s="149" t="s">
        <v>455</v>
      </c>
      <c r="E191" s="149" t="s">
        <v>286</v>
      </c>
      <c r="F191" s="79">
        <v>56</v>
      </c>
      <c r="G191" s="79">
        <v>13</v>
      </c>
      <c r="H191" s="144">
        <f>58610+26460.5+16261.5+6759+4608+1822+1190+451+98+184+371+221</f>
        <v>117036</v>
      </c>
      <c r="I191" s="237">
        <f>8805+4170+2948+1373+809+330+236+64+14+44+84+50</f>
        <v>18927</v>
      </c>
      <c r="J191" s="74">
        <f t="shared" si="2"/>
        <v>6.183547313361864</v>
      </c>
      <c r="K191" s="123"/>
      <c r="L191" s="106"/>
      <c r="M191" s="107"/>
      <c r="N191" s="108"/>
    </row>
    <row r="192" spans="1:14" s="38" customFormat="1" ht="15">
      <c r="A192" s="286">
        <v>189</v>
      </c>
      <c r="B192" s="69" t="s">
        <v>483</v>
      </c>
      <c r="C192" s="50">
        <v>39283</v>
      </c>
      <c r="D192" s="56" t="s">
        <v>277</v>
      </c>
      <c r="E192" s="56" t="s">
        <v>357</v>
      </c>
      <c r="F192" s="161">
        <v>30</v>
      </c>
      <c r="G192" s="161">
        <v>20</v>
      </c>
      <c r="H192" s="145">
        <v>115556.5</v>
      </c>
      <c r="I192" s="238">
        <v>17439</v>
      </c>
      <c r="J192" s="74">
        <f t="shared" si="2"/>
        <v>6.626326050805665</v>
      </c>
      <c r="K192" s="123"/>
      <c r="L192" s="106"/>
      <c r="M192" s="107"/>
      <c r="N192" s="108"/>
    </row>
    <row r="193" spans="1:14" s="38" customFormat="1" ht="15">
      <c r="A193" s="286">
        <v>190</v>
      </c>
      <c r="B193" s="82" t="s">
        <v>402</v>
      </c>
      <c r="C193" s="49">
        <v>39087</v>
      </c>
      <c r="D193" s="150" t="s">
        <v>327</v>
      </c>
      <c r="E193" s="150" t="s">
        <v>327</v>
      </c>
      <c r="F193" s="72">
        <v>11</v>
      </c>
      <c r="G193" s="79">
        <v>13</v>
      </c>
      <c r="H193" s="144">
        <v>108797.79</v>
      </c>
      <c r="I193" s="237">
        <v>11442</v>
      </c>
      <c r="J193" s="74">
        <f t="shared" si="2"/>
        <v>9.508633980073412</v>
      </c>
      <c r="K193" s="123"/>
      <c r="L193" s="106"/>
      <c r="M193" s="107"/>
      <c r="N193" s="108"/>
    </row>
    <row r="194" spans="1:14" s="38" customFormat="1" ht="15">
      <c r="A194" s="286">
        <v>191</v>
      </c>
      <c r="B194" s="83" t="s">
        <v>478</v>
      </c>
      <c r="C194" s="50">
        <v>39276</v>
      </c>
      <c r="D194" s="149" t="s">
        <v>454</v>
      </c>
      <c r="E194" s="149" t="s">
        <v>459</v>
      </c>
      <c r="F194" s="79">
        <v>20</v>
      </c>
      <c r="G194" s="79">
        <v>10</v>
      </c>
      <c r="H194" s="144">
        <v>106179</v>
      </c>
      <c r="I194" s="237">
        <v>13198</v>
      </c>
      <c r="J194" s="74">
        <f t="shared" si="2"/>
        <v>8.045082588270951</v>
      </c>
      <c r="K194" s="123"/>
      <c r="L194" s="106"/>
      <c r="M194" s="107"/>
      <c r="N194" s="108"/>
    </row>
    <row r="195" spans="1:14" s="38" customFormat="1" ht="15">
      <c r="A195" s="286">
        <v>192</v>
      </c>
      <c r="B195" s="68" t="s">
        <v>486</v>
      </c>
      <c r="C195" s="50">
        <v>39290</v>
      </c>
      <c r="D195" s="55" t="s">
        <v>454</v>
      </c>
      <c r="E195" s="55" t="s">
        <v>461</v>
      </c>
      <c r="F195" s="51">
        <v>20</v>
      </c>
      <c r="G195" s="51">
        <v>12</v>
      </c>
      <c r="H195" s="144">
        <v>104766</v>
      </c>
      <c r="I195" s="237">
        <v>12627</v>
      </c>
      <c r="J195" s="152">
        <f t="shared" si="2"/>
        <v>8.296982656212878</v>
      </c>
      <c r="K195" s="123"/>
      <c r="L195" s="106"/>
      <c r="M195" s="107"/>
      <c r="N195" s="108"/>
    </row>
    <row r="196" spans="1:14" s="38" customFormat="1" ht="15">
      <c r="A196" s="286">
        <v>193</v>
      </c>
      <c r="B196" s="69" t="s">
        <v>587</v>
      </c>
      <c r="C196" s="50">
        <v>39353</v>
      </c>
      <c r="D196" s="56" t="s">
        <v>277</v>
      </c>
      <c r="E196" s="56" t="s">
        <v>364</v>
      </c>
      <c r="F196" s="161">
        <v>11</v>
      </c>
      <c r="G196" s="161">
        <v>10</v>
      </c>
      <c r="H196" s="145">
        <v>92397</v>
      </c>
      <c r="I196" s="238">
        <v>9143</v>
      </c>
      <c r="J196" s="152">
        <f aca="true" t="shared" si="3" ref="J196:J255">+H196/I196</f>
        <v>10.10576397243793</v>
      </c>
      <c r="K196" s="123"/>
      <c r="L196" s="106"/>
      <c r="M196" s="107"/>
      <c r="N196" s="108"/>
    </row>
    <row r="197" spans="1:14" s="38" customFormat="1" ht="15">
      <c r="A197" s="286">
        <v>194</v>
      </c>
      <c r="B197" s="69" t="s">
        <v>487</v>
      </c>
      <c r="C197" s="50">
        <v>39290</v>
      </c>
      <c r="D197" s="56" t="s">
        <v>277</v>
      </c>
      <c r="E197" s="56" t="s">
        <v>557</v>
      </c>
      <c r="F197" s="161">
        <v>10</v>
      </c>
      <c r="G197" s="161">
        <v>21</v>
      </c>
      <c r="H197" s="145">
        <v>90163.5</v>
      </c>
      <c r="I197" s="238">
        <v>11852</v>
      </c>
      <c r="J197" s="152">
        <f t="shared" si="3"/>
        <v>7.607450219372258</v>
      </c>
      <c r="K197" s="123"/>
      <c r="L197" s="106"/>
      <c r="M197" s="107"/>
      <c r="N197" s="108"/>
    </row>
    <row r="198" spans="1:14" s="38" customFormat="1" ht="15">
      <c r="A198" s="286">
        <v>195</v>
      </c>
      <c r="B198" s="69" t="s">
        <v>54</v>
      </c>
      <c r="C198" s="49">
        <v>39346</v>
      </c>
      <c r="D198" s="56" t="s">
        <v>302</v>
      </c>
      <c r="E198" s="56" t="s">
        <v>271</v>
      </c>
      <c r="F198" s="88" t="s">
        <v>365</v>
      </c>
      <c r="G198" s="88" t="s">
        <v>368</v>
      </c>
      <c r="H198" s="158">
        <v>88741</v>
      </c>
      <c r="I198" s="238">
        <v>12385</v>
      </c>
      <c r="J198" s="74">
        <f t="shared" si="3"/>
        <v>7.165199838514332</v>
      </c>
      <c r="K198" s="123"/>
      <c r="L198" s="106"/>
      <c r="M198" s="107"/>
      <c r="N198" s="108"/>
    </row>
    <row r="199" spans="1:14" s="38" customFormat="1" ht="15">
      <c r="A199" s="286">
        <v>196</v>
      </c>
      <c r="B199" s="85" t="s">
        <v>328</v>
      </c>
      <c r="C199" s="52">
        <v>39101</v>
      </c>
      <c r="D199" s="151" t="s">
        <v>460</v>
      </c>
      <c r="E199" s="151" t="s">
        <v>329</v>
      </c>
      <c r="F199" s="84">
        <v>14</v>
      </c>
      <c r="G199" s="84">
        <v>9</v>
      </c>
      <c r="H199" s="146">
        <v>75233</v>
      </c>
      <c r="I199" s="239">
        <v>7816</v>
      </c>
      <c r="J199" s="74">
        <f t="shared" si="3"/>
        <v>9.625511770726714</v>
      </c>
      <c r="K199" s="123"/>
      <c r="L199" s="106"/>
      <c r="M199" s="107"/>
      <c r="N199" s="108"/>
    </row>
    <row r="200" spans="1:14" s="38" customFormat="1" ht="15">
      <c r="A200" s="286">
        <v>197</v>
      </c>
      <c r="B200" s="83" t="s">
        <v>385</v>
      </c>
      <c r="C200" s="50">
        <v>39115</v>
      </c>
      <c r="D200" s="150" t="s">
        <v>277</v>
      </c>
      <c r="E200" s="150" t="s">
        <v>298</v>
      </c>
      <c r="F200" s="72" t="s">
        <v>488</v>
      </c>
      <c r="G200" s="72" t="s">
        <v>407</v>
      </c>
      <c r="H200" s="145">
        <v>74553.5</v>
      </c>
      <c r="I200" s="238">
        <v>11561</v>
      </c>
      <c r="J200" s="74">
        <f t="shared" si="3"/>
        <v>6.4487068592682295</v>
      </c>
      <c r="K200" s="123"/>
      <c r="L200" s="106"/>
      <c r="M200" s="107"/>
      <c r="N200" s="108"/>
    </row>
    <row r="201" spans="1:14" s="38" customFormat="1" ht="15">
      <c r="A201" s="286">
        <v>198</v>
      </c>
      <c r="B201" s="69" t="s">
        <v>663</v>
      </c>
      <c r="C201" s="49">
        <v>39437</v>
      </c>
      <c r="D201" s="56" t="s">
        <v>468</v>
      </c>
      <c r="E201" s="56" t="s">
        <v>398</v>
      </c>
      <c r="F201" s="88" t="s">
        <v>664</v>
      </c>
      <c r="G201" s="88" t="s">
        <v>299</v>
      </c>
      <c r="H201" s="145">
        <v>74201</v>
      </c>
      <c r="I201" s="238">
        <v>7533</v>
      </c>
      <c r="J201" s="152">
        <f t="shared" si="3"/>
        <v>9.850126111774857</v>
      </c>
      <c r="K201" s="123"/>
      <c r="L201" s="106"/>
      <c r="M201" s="107"/>
      <c r="N201" s="108"/>
    </row>
    <row r="202" spans="1:14" s="38" customFormat="1" ht="15">
      <c r="A202" s="286">
        <v>199</v>
      </c>
      <c r="B202" s="68" t="s">
        <v>646</v>
      </c>
      <c r="C202" s="50">
        <v>39430</v>
      </c>
      <c r="D202" s="55" t="s">
        <v>455</v>
      </c>
      <c r="E202" s="55" t="s">
        <v>647</v>
      </c>
      <c r="F202" s="51">
        <v>43</v>
      </c>
      <c r="G202" s="51">
        <v>3</v>
      </c>
      <c r="H202" s="144">
        <f>43240+25728.5+5226.5</f>
        <v>74195</v>
      </c>
      <c r="I202" s="237">
        <f>5272+3593+870</f>
        <v>9735</v>
      </c>
      <c r="J202" s="74">
        <f t="shared" si="3"/>
        <v>7.621468926553672</v>
      </c>
      <c r="K202" s="123"/>
      <c r="L202" s="106"/>
      <c r="M202" s="107"/>
      <c r="N202" s="108"/>
    </row>
    <row r="203" spans="1:14" s="38" customFormat="1" ht="15">
      <c r="A203" s="286">
        <v>200</v>
      </c>
      <c r="B203" s="83" t="s">
        <v>474</v>
      </c>
      <c r="C203" s="50">
        <v>39150</v>
      </c>
      <c r="D203" s="149" t="s">
        <v>455</v>
      </c>
      <c r="E203" s="149" t="s">
        <v>515</v>
      </c>
      <c r="F203" s="79">
        <v>36</v>
      </c>
      <c r="G203" s="79">
        <v>9</v>
      </c>
      <c r="H203" s="144">
        <f>36532.5+12598.5+9503.5+3866+3675.5+2036.5+2184+698+213</f>
        <v>71307.5</v>
      </c>
      <c r="I203" s="237">
        <f>5376+1964+1865+741+753+478+609+121+41</f>
        <v>11948</v>
      </c>
      <c r="J203" s="74">
        <f t="shared" si="3"/>
        <v>5.968153665885504</v>
      </c>
      <c r="K203" s="123"/>
      <c r="L203" s="106"/>
      <c r="M203" s="107"/>
      <c r="N203" s="108"/>
    </row>
    <row r="204" spans="1:14" s="38" customFormat="1" ht="15">
      <c r="A204" s="286">
        <v>201</v>
      </c>
      <c r="B204" s="82" t="s">
        <v>392</v>
      </c>
      <c r="C204" s="49">
        <v>39248</v>
      </c>
      <c r="D204" s="150" t="s">
        <v>453</v>
      </c>
      <c r="E204" s="150" t="s">
        <v>466</v>
      </c>
      <c r="F204" s="72">
        <v>43</v>
      </c>
      <c r="G204" s="72">
        <v>11</v>
      </c>
      <c r="H204" s="145">
        <f>42123+14013+3348+3474+2860+1453+1145+277+347+298+641</f>
        <v>69979</v>
      </c>
      <c r="I204" s="238">
        <f>5045+1702+479+644+570+297+204+89+71+65+110</f>
        <v>9276</v>
      </c>
      <c r="J204" s="152">
        <f t="shared" si="3"/>
        <v>7.54409228115567</v>
      </c>
      <c r="K204" s="123"/>
      <c r="L204" s="106"/>
      <c r="M204" s="107"/>
      <c r="N204" s="108"/>
    </row>
    <row r="205" spans="1:14" s="38" customFormat="1" ht="15">
      <c r="A205" s="286">
        <v>202</v>
      </c>
      <c r="B205" s="67" t="s">
        <v>56</v>
      </c>
      <c r="C205" s="52">
        <v>39297</v>
      </c>
      <c r="D205" s="57" t="s">
        <v>460</v>
      </c>
      <c r="E205" s="57" t="s">
        <v>576</v>
      </c>
      <c r="F205" s="102">
        <v>10</v>
      </c>
      <c r="G205" s="102">
        <v>13</v>
      </c>
      <c r="H205" s="232">
        <v>69536</v>
      </c>
      <c r="I205" s="230">
        <v>7336</v>
      </c>
      <c r="J205" s="152">
        <f t="shared" si="3"/>
        <v>9.478735005452563</v>
      </c>
      <c r="K205" s="123"/>
      <c r="L205" s="106"/>
      <c r="M205" s="107"/>
      <c r="N205" s="108"/>
    </row>
    <row r="206" spans="1:14" s="38" customFormat="1" ht="15">
      <c r="A206" s="286">
        <v>203</v>
      </c>
      <c r="B206" s="69" t="s">
        <v>517</v>
      </c>
      <c r="C206" s="50">
        <v>39227</v>
      </c>
      <c r="D206" s="56" t="s">
        <v>277</v>
      </c>
      <c r="E206" s="56" t="s">
        <v>67</v>
      </c>
      <c r="F206" s="161">
        <v>5</v>
      </c>
      <c r="G206" s="161">
        <v>19</v>
      </c>
      <c r="H206" s="145">
        <v>68777.5</v>
      </c>
      <c r="I206" s="228">
        <v>9245</v>
      </c>
      <c r="J206" s="74">
        <f t="shared" si="3"/>
        <v>7.439426717144403</v>
      </c>
      <c r="K206" s="123"/>
      <c r="L206" s="106"/>
      <c r="M206" s="107"/>
      <c r="N206" s="108"/>
    </row>
    <row r="207" spans="1:14" s="38" customFormat="1" ht="15">
      <c r="A207" s="286">
        <v>204</v>
      </c>
      <c r="B207" s="83" t="s">
        <v>403</v>
      </c>
      <c r="C207" s="50">
        <v>39087</v>
      </c>
      <c r="D207" s="163" t="s">
        <v>277</v>
      </c>
      <c r="E207" s="163" t="s">
        <v>404</v>
      </c>
      <c r="F207" s="161">
        <v>1</v>
      </c>
      <c r="G207" s="161">
        <v>20</v>
      </c>
      <c r="H207" s="145">
        <v>68575</v>
      </c>
      <c r="I207" s="228">
        <v>9918</v>
      </c>
      <c r="J207" s="74">
        <f t="shared" si="3"/>
        <v>6.914196410566647</v>
      </c>
      <c r="K207" s="123"/>
      <c r="L207" s="106"/>
      <c r="M207" s="107"/>
      <c r="N207" s="108"/>
    </row>
    <row r="208" spans="1:14" s="38" customFormat="1" ht="15">
      <c r="A208" s="286">
        <v>205</v>
      </c>
      <c r="B208" s="67" t="s">
        <v>527</v>
      </c>
      <c r="C208" s="49">
        <v>39234</v>
      </c>
      <c r="D208" s="53" t="s">
        <v>447</v>
      </c>
      <c r="E208" s="53" t="s">
        <v>405</v>
      </c>
      <c r="F208" s="87">
        <v>27</v>
      </c>
      <c r="G208" s="87">
        <v>17</v>
      </c>
      <c r="H208" s="229">
        <f>66397.5+0</f>
        <v>66397.5</v>
      </c>
      <c r="I208" s="230">
        <f>8917+0</f>
        <v>8917</v>
      </c>
      <c r="J208" s="74">
        <f t="shared" si="3"/>
        <v>7.446170236626668</v>
      </c>
      <c r="K208" s="123"/>
      <c r="L208" s="106"/>
      <c r="M208" s="107"/>
      <c r="N208" s="108"/>
    </row>
    <row r="209" spans="1:14" s="38" customFormat="1" ht="15">
      <c r="A209" s="286">
        <v>206</v>
      </c>
      <c r="B209" s="83" t="s">
        <v>584</v>
      </c>
      <c r="C209" s="50">
        <v>39136</v>
      </c>
      <c r="D209" s="149" t="s">
        <v>455</v>
      </c>
      <c r="E209" s="149" t="s">
        <v>456</v>
      </c>
      <c r="F209" s="72">
        <v>7</v>
      </c>
      <c r="G209" s="79">
        <v>10</v>
      </c>
      <c r="H209" s="144">
        <f>23106.5+15905+4970.5+4958+2337+5206+2114+6120.5+60+855</f>
        <v>65632.5</v>
      </c>
      <c r="I209" s="237">
        <f>2469+1725+813+546+379+1021+442+1372+6+109</f>
        <v>8882</v>
      </c>
      <c r="J209" s="152">
        <f t="shared" si="3"/>
        <v>7.389383021841928</v>
      </c>
      <c r="K209" s="123"/>
      <c r="L209" s="106"/>
      <c r="M209" s="107"/>
      <c r="N209" s="108"/>
    </row>
    <row r="210" spans="1:14" s="38" customFormat="1" ht="15">
      <c r="A210" s="286">
        <v>207</v>
      </c>
      <c r="B210" s="83" t="s">
        <v>505</v>
      </c>
      <c r="C210" s="50">
        <v>39213</v>
      </c>
      <c r="D210" s="149" t="s">
        <v>455</v>
      </c>
      <c r="E210" s="149" t="s">
        <v>456</v>
      </c>
      <c r="F210" s="79">
        <v>5</v>
      </c>
      <c r="G210" s="79">
        <v>16</v>
      </c>
      <c r="H210" s="144">
        <f>25052+11949.5+3201+4494+4686.5+1784.5+1964.5+1245.5+867+2745+1517+779+696+2285.5+108+1918.5</f>
        <v>65293.5</v>
      </c>
      <c r="I210" s="237">
        <f>2528+1205+383+567+687+312+364+233+144+405+270+163+148+551+19+514</f>
        <v>8493</v>
      </c>
      <c r="J210" s="74">
        <f t="shared" si="3"/>
        <v>7.6879194630872485</v>
      </c>
      <c r="K210" s="123"/>
      <c r="L210" s="106"/>
      <c r="M210" s="107"/>
      <c r="N210" s="108"/>
    </row>
    <row r="211" spans="1:14" s="38" customFormat="1" ht="15">
      <c r="A211" s="286">
        <v>208</v>
      </c>
      <c r="B211" s="85" t="s">
        <v>384</v>
      </c>
      <c r="C211" s="52">
        <v>39178</v>
      </c>
      <c r="D211" s="151" t="s">
        <v>460</v>
      </c>
      <c r="E211" s="151" t="s">
        <v>576</v>
      </c>
      <c r="F211" s="84">
        <v>20</v>
      </c>
      <c r="G211" s="84">
        <v>16</v>
      </c>
      <c r="H211" s="145">
        <v>61736</v>
      </c>
      <c r="I211" s="238">
        <v>7906</v>
      </c>
      <c r="J211" s="152">
        <f t="shared" si="3"/>
        <v>7.808752845939792</v>
      </c>
      <c r="K211" s="123"/>
      <c r="L211" s="106"/>
      <c r="M211" s="107"/>
      <c r="N211" s="108"/>
    </row>
    <row r="212" spans="1:14" s="38" customFormat="1" ht="15">
      <c r="A212" s="286">
        <v>209</v>
      </c>
      <c r="B212" s="67" t="s">
        <v>53</v>
      </c>
      <c r="C212" s="52">
        <v>39353</v>
      </c>
      <c r="D212" s="57" t="s">
        <v>460</v>
      </c>
      <c r="E212" s="57" t="s">
        <v>576</v>
      </c>
      <c r="F212" s="102">
        <v>10</v>
      </c>
      <c r="G212" s="102">
        <v>10</v>
      </c>
      <c r="H212" s="232">
        <v>59066</v>
      </c>
      <c r="I212" s="243">
        <v>6342</v>
      </c>
      <c r="J212" s="152">
        <f t="shared" si="3"/>
        <v>9.313465783664459</v>
      </c>
      <c r="K212" s="123"/>
      <c r="L212" s="106"/>
      <c r="M212" s="107"/>
      <c r="N212" s="108"/>
    </row>
    <row r="213" spans="1:14" s="38" customFormat="1" ht="15">
      <c r="A213" s="286">
        <v>210</v>
      </c>
      <c r="B213" s="83" t="s">
        <v>605</v>
      </c>
      <c r="C213" s="50">
        <v>39178</v>
      </c>
      <c r="D213" s="149" t="s">
        <v>455</v>
      </c>
      <c r="E213" s="149" t="s">
        <v>496</v>
      </c>
      <c r="F213" s="79">
        <v>32</v>
      </c>
      <c r="G213" s="79">
        <v>10</v>
      </c>
      <c r="H213" s="144">
        <f>36030.5+15107+2947+2226.5+1741.5+368+21+178.5+160+10</f>
        <v>58790</v>
      </c>
      <c r="I213" s="237">
        <f>5756+2532+606+524+412+75+6+23+51+2</f>
        <v>9987</v>
      </c>
      <c r="J213" s="152">
        <f t="shared" si="3"/>
        <v>5.8866526484429755</v>
      </c>
      <c r="K213" s="123"/>
      <c r="L213" s="106"/>
      <c r="M213" s="107"/>
      <c r="N213" s="108"/>
    </row>
    <row r="214" spans="1:14" s="38" customFormat="1" ht="15">
      <c r="A214" s="286">
        <v>211</v>
      </c>
      <c r="B214" s="68" t="s">
        <v>51</v>
      </c>
      <c r="C214" s="50">
        <v>39388</v>
      </c>
      <c r="D214" s="55" t="s">
        <v>455</v>
      </c>
      <c r="E214" s="55" t="s">
        <v>52</v>
      </c>
      <c r="F214" s="51">
        <v>22</v>
      </c>
      <c r="G214" s="51">
        <v>7</v>
      </c>
      <c r="H214" s="144">
        <f>31108.5+12339+4008+1827+3573.5+1219.5+765.5</f>
        <v>54841</v>
      </c>
      <c r="I214" s="230">
        <f>3175+1380+493+264+592+165+99</f>
        <v>6168</v>
      </c>
      <c r="J214" s="74">
        <f t="shared" si="3"/>
        <v>8.89121271076524</v>
      </c>
      <c r="K214" s="123"/>
      <c r="L214" s="106"/>
      <c r="M214" s="107"/>
      <c r="N214" s="108"/>
    </row>
    <row r="215" spans="1:14" s="38" customFormat="1" ht="15">
      <c r="A215" s="286">
        <v>212</v>
      </c>
      <c r="B215" s="69" t="s">
        <v>530</v>
      </c>
      <c r="C215" s="50">
        <v>39311</v>
      </c>
      <c r="D215" s="56" t="s">
        <v>277</v>
      </c>
      <c r="E215" s="56" t="s">
        <v>464</v>
      </c>
      <c r="F215" s="161">
        <v>10</v>
      </c>
      <c r="G215" s="161">
        <v>15</v>
      </c>
      <c r="H215" s="145">
        <v>53596</v>
      </c>
      <c r="I215" s="238">
        <v>6483</v>
      </c>
      <c r="J215" s="74">
        <f t="shared" si="3"/>
        <v>8.26716026530927</v>
      </c>
      <c r="K215" s="123"/>
      <c r="L215" s="106"/>
      <c r="M215" s="107"/>
      <c r="N215" s="108"/>
    </row>
    <row r="216" spans="1:14" s="38" customFormat="1" ht="15">
      <c r="A216" s="286">
        <v>213</v>
      </c>
      <c r="B216" s="69" t="s">
        <v>628</v>
      </c>
      <c r="C216" s="52">
        <v>39409</v>
      </c>
      <c r="D216" s="57" t="s">
        <v>460</v>
      </c>
      <c r="E216" s="57" t="s">
        <v>278</v>
      </c>
      <c r="F216" s="102">
        <v>13</v>
      </c>
      <c r="G216" s="102">
        <v>5</v>
      </c>
      <c r="H216" s="146">
        <v>51208</v>
      </c>
      <c r="I216" s="239">
        <v>5038</v>
      </c>
      <c r="J216" s="152">
        <f t="shared" si="3"/>
        <v>10.164350932909885</v>
      </c>
      <c r="K216" s="123"/>
      <c r="L216" s="106"/>
      <c r="M216" s="107"/>
      <c r="N216" s="108"/>
    </row>
    <row r="217" spans="1:14" s="38" customFormat="1" ht="15">
      <c r="A217" s="286">
        <v>214</v>
      </c>
      <c r="B217" s="82" t="s">
        <v>393</v>
      </c>
      <c r="C217" s="49">
        <v>39248</v>
      </c>
      <c r="D217" s="150" t="s">
        <v>468</v>
      </c>
      <c r="E217" s="150" t="s">
        <v>398</v>
      </c>
      <c r="F217" s="72" t="s">
        <v>394</v>
      </c>
      <c r="G217" s="72" t="s">
        <v>368</v>
      </c>
      <c r="H217" s="145">
        <v>50308</v>
      </c>
      <c r="I217" s="238">
        <v>6490</v>
      </c>
      <c r="J217" s="74">
        <f t="shared" si="3"/>
        <v>7.751617873651772</v>
      </c>
      <c r="K217" s="123"/>
      <c r="L217" s="106"/>
      <c r="M217" s="107"/>
      <c r="N217" s="108"/>
    </row>
    <row r="218" spans="1:14" s="38" customFormat="1" ht="15">
      <c r="A218" s="286">
        <v>215</v>
      </c>
      <c r="B218" s="69" t="s">
        <v>629</v>
      </c>
      <c r="C218" s="50">
        <v>39409</v>
      </c>
      <c r="D218" s="56" t="s">
        <v>277</v>
      </c>
      <c r="E218" s="56" t="s">
        <v>711</v>
      </c>
      <c r="F218" s="161">
        <v>37</v>
      </c>
      <c r="G218" s="161">
        <v>6</v>
      </c>
      <c r="H218" s="145">
        <v>50201</v>
      </c>
      <c r="I218" s="238">
        <v>9032</v>
      </c>
      <c r="J218" s="152">
        <f t="shared" si="3"/>
        <v>5.558126660761736</v>
      </c>
      <c r="K218" s="123"/>
      <c r="L218" s="106"/>
      <c r="M218" s="107"/>
      <c r="N218" s="108"/>
    </row>
    <row r="219" spans="1:14" s="38" customFormat="1" ht="15">
      <c r="A219" s="286">
        <v>216</v>
      </c>
      <c r="B219" s="69" t="s">
        <v>550</v>
      </c>
      <c r="C219" s="50">
        <v>39255</v>
      </c>
      <c r="D219" s="56" t="s">
        <v>277</v>
      </c>
      <c r="E219" s="56" t="s">
        <v>278</v>
      </c>
      <c r="F219" s="161">
        <v>1</v>
      </c>
      <c r="G219" s="161">
        <v>14</v>
      </c>
      <c r="H219" s="145">
        <v>41015.25</v>
      </c>
      <c r="I219" s="228">
        <v>5434</v>
      </c>
      <c r="J219" s="152">
        <f t="shared" si="3"/>
        <v>7.547892896577107</v>
      </c>
      <c r="K219" s="123"/>
      <c r="L219" s="106"/>
      <c r="M219" s="107"/>
      <c r="N219" s="108"/>
    </row>
    <row r="220" spans="1:14" s="38" customFormat="1" ht="15">
      <c r="A220" s="286">
        <v>217</v>
      </c>
      <c r="B220" s="82" t="s">
        <v>617</v>
      </c>
      <c r="C220" s="49">
        <v>39185</v>
      </c>
      <c r="D220" s="150" t="s">
        <v>453</v>
      </c>
      <c r="E220" s="150" t="s">
        <v>309</v>
      </c>
      <c r="F220" s="72">
        <v>18</v>
      </c>
      <c r="G220" s="72">
        <v>13</v>
      </c>
      <c r="H220" s="145">
        <f>30174+1530+1183+615+267+1789+987+401+549+1013+1120+376+867</f>
        <v>40871</v>
      </c>
      <c r="I220" s="238">
        <f>3096+224+261+123+52+470+182+51+89+211+227+77+161</f>
        <v>5224</v>
      </c>
      <c r="J220" s="152">
        <f t="shared" si="3"/>
        <v>7.823698315467075</v>
      </c>
      <c r="K220" s="123"/>
      <c r="L220" s="106"/>
      <c r="M220" s="107"/>
      <c r="N220" s="108"/>
    </row>
    <row r="221" spans="1:14" s="38" customFormat="1" ht="15">
      <c r="A221" s="286">
        <v>218</v>
      </c>
      <c r="B221" s="69" t="s">
        <v>544</v>
      </c>
      <c r="C221" s="50">
        <v>39416</v>
      </c>
      <c r="D221" s="56" t="s">
        <v>277</v>
      </c>
      <c r="E221" s="56" t="s">
        <v>364</v>
      </c>
      <c r="F221" s="161">
        <v>4</v>
      </c>
      <c r="G221" s="161">
        <v>5</v>
      </c>
      <c r="H221" s="145">
        <v>40174</v>
      </c>
      <c r="I221" s="238">
        <v>4086</v>
      </c>
      <c r="J221" s="152">
        <f t="shared" si="3"/>
        <v>9.83210964268233</v>
      </c>
      <c r="K221" s="123"/>
      <c r="L221" s="106"/>
      <c r="M221" s="107"/>
      <c r="N221" s="108"/>
    </row>
    <row r="222" spans="1:14" s="38" customFormat="1" ht="15">
      <c r="A222" s="286">
        <v>219</v>
      </c>
      <c r="B222" s="69" t="s">
        <v>673</v>
      </c>
      <c r="C222" s="50">
        <v>39437</v>
      </c>
      <c r="D222" s="56" t="s">
        <v>277</v>
      </c>
      <c r="E222" s="56" t="s">
        <v>665</v>
      </c>
      <c r="F222" s="161">
        <v>7</v>
      </c>
      <c r="G222" s="161">
        <v>2</v>
      </c>
      <c r="H222" s="145">
        <v>37011</v>
      </c>
      <c r="I222" s="238">
        <v>4624</v>
      </c>
      <c r="J222" s="74">
        <f t="shared" si="3"/>
        <v>8.004108996539792</v>
      </c>
      <c r="K222" s="123"/>
      <c r="L222" s="106"/>
      <c r="M222" s="107"/>
      <c r="N222" s="108"/>
    </row>
    <row r="223" spans="1:14" s="38" customFormat="1" ht="15">
      <c r="A223" s="286">
        <v>220</v>
      </c>
      <c r="B223" s="68" t="s">
        <v>491</v>
      </c>
      <c r="C223" s="50">
        <v>39213</v>
      </c>
      <c r="D223" s="55" t="s">
        <v>455</v>
      </c>
      <c r="E223" s="55" t="s">
        <v>456</v>
      </c>
      <c r="F223" s="51">
        <v>1</v>
      </c>
      <c r="G223" s="51">
        <v>21</v>
      </c>
      <c r="H223" s="144">
        <f>23022+3295+935+946+734+524+260+264+324+228+783+301+702+1006+917+325+206+139+122+85+140</f>
        <v>35258</v>
      </c>
      <c r="I223" s="237">
        <f>3601+659+187+99+75+55+28+30+35+44+117+60+110+134+121+74+48+21+18+15+20</f>
        <v>5551</v>
      </c>
      <c r="J223" s="152">
        <f t="shared" si="3"/>
        <v>6.351648351648351</v>
      </c>
      <c r="K223" s="123"/>
      <c r="L223" s="106"/>
      <c r="M223" s="107"/>
      <c r="N223" s="108"/>
    </row>
    <row r="224" spans="1:14" s="38" customFormat="1" ht="15">
      <c r="A224" s="286">
        <v>221</v>
      </c>
      <c r="B224" s="69" t="s">
        <v>545</v>
      </c>
      <c r="C224" s="50">
        <v>39381</v>
      </c>
      <c r="D224" s="56" t="s">
        <v>277</v>
      </c>
      <c r="E224" s="56" t="s">
        <v>404</v>
      </c>
      <c r="F224" s="161">
        <v>2</v>
      </c>
      <c r="G224" s="161">
        <v>9</v>
      </c>
      <c r="H224" s="145">
        <v>35198.5</v>
      </c>
      <c r="I224" s="238">
        <v>5471</v>
      </c>
      <c r="J224" s="74">
        <f t="shared" si="3"/>
        <v>6.43365015536465</v>
      </c>
      <c r="K224" s="123"/>
      <c r="L224" s="106"/>
      <c r="M224" s="107"/>
      <c r="N224" s="108"/>
    </row>
    <row r="225" spans="1:14" s="38" customFormat="1" ht="15">
      <c r="A225" s="286">
        <v>222</v>
      </c>
      <c r="B225" s="67" t="s">
        <v>354</v>
      </c>
      <c r="C225" s="49">
        <v>39388</v>
      </c>
      <c r="D225" s="54" t="s">
        <v>453</v>
      </c>
      <c r="E225" s="53" t="s">
        <v>458</v>
      </c>
      <c r="F225" s="87">
        <v>4</v>
      </c>
      <c r="G225" s="87">
        <v>4</v>
      </c>
      <c r="H225" s="158">
        <f>2870+17781+10585+2582+1127</f>
        <v>34945</v>
      </c>
      <c r="I225" s="228">
        <f>287+1390+821+373+155</f>
        <v>3026</v>
      </c>
      <c r="J225" s="152">
        <f t="shared" si="3"/>
        <v>11.548248512888302</v>
      </c>
      <c r="K225" s="123"/>
      <c r="L225" s="106"/>
      <c r="M225" s="107"/>
      <c r="N225" s="108"/>
    </row>
    <row r="226" spans="1:14" s="38" customFormat="1" ht="15">
      <c r="A226" s="286">
        <v>223</v>
      </c>
      <c r="B226" s="69" t="s">
        <v>588</v>
      </c>
      <c r="C226" s="49">
        <v>39353</v>
      </c>
      <c r="D226" s="56" t="s">
        <v>452</v>
      </c>
      <c r="E226" s="56" t="s">
        <v>670</v>
      </c>
      <c r="F226" s="72">
        <v>1</v>
      </c>
      <c r="G226" s="72">
        <v>12</v>
      </c>
      <c r="H226" s="145">
        <v>33180</v>
      </c>
      <c r="I226" s="228">
        <v>3037</v>
      </c>
      <c r="J226" s="74">
        <f t="shared" si="3"/>
        <v>10.925255186038854</v>
      </c>
      <c r="K226" s="123"/>
      <c r="L226" s="106"/>
      <c r="M226" s="107"/>
      <c r="N226" s="108"/>
    </row>
    <row r="227" spans="1:14" s="38" customFormat="1" ht="15">
      <c r="A227" s="286">
        <v>224</v>
      </c>
      <c r="B227" s="68" t="s">
        <v>709</v>
      </c>
      <c r="C227" s="50">
        <v>39416</v>
      </c>
      <c r="D227" s="160" t="s">
        <v>454</v>
      </c>
      <c r="E227" s="160" t="s">
        <v>475</v>
      </c>
      <c r="F227" s="51">
        <v>11</v>
      </c>
      <c r="G227" s="51">
        <v>5</v>
      </c>
      <c r="H227" s="144">
        <v>31366</v>
      </c>
      <c r="I227" s="237">
        <v>3614</v>
      </c>
      <c r="J227" s="74">
        <f t="shared" si="3"/>
        <v>8.679026009961262</v>
      </c>
      <c r="K227" s="123"/>
      <c r="L227" s="106"/>
      <c r="M227" s="107"/>
      <c r="N227" s="108"/>
    </row>
    <row r="228" spans="1:14" s="38" customFormat="1" ht="15">
      <c r="A228" s="286">
        <v>225</v>
      </c>
      <c r="B228" s="82" t="s">
        <v>523</v>
      </c>
      <c r="C228" s="50">
        <v>39234</v>
      </c>
      <c r="D228" s="56" t="s">
        <v>277</v>
      </c>
      <c r="E228" s="56" t="s">
        <v>336</v>
      </c>
      <c r="F228" s="161">
        <v>15</v>
      </c>
      <c r="G228" s="161">
        <v>13</v>
      </c>
      <c r="H228" s="158">
        <v>29304</v>
      </c>
      <c r="I228" s="228">
        <v>4218</v>
      </c>
      <c r="J228" s="152">
        <f t="shared" si="3"/>
        <v>6.947368421052632</v>
      </c>
      <c r="K228" s="123"/>
      <c r="L228" s="106"/>
      <c r="M228" s="107"/>
      <c r="N228" s="108"/>
    </row>
    <row r="229" spans="1:14" s="38" customFormat="1" ht="15">
      <c r="A229" s="286">
        <v>226</v>
      </c>
      <c r="B229" s="83" t="s">
        <v>387</v>
      </c>
      <c r="C229" s="50">
        <v>39094</v>
      </c>
      <c r="D229" s="56" t="s">
        <v>277</v>
      </c>
      <c r="E229" s="56" t="s">
        <v>364</v>
      </c>
      <c r="F229" s="161">
        <v>2</v>
      </c>
      <c r="G229" s="161">
        <v>12</v>
      </c>
      <c r="H229" s="145">
        <v>28518.5</v>
      </c>
      <c r="I229" s="238">
        <v>5516</v>
      </c>
      <c r="J229" s="152">
        <f t="shared" si="3"/>
        <v>5.1701414068165334</v>
      </c>
      <c r="K229" s="123"/>
      <c r="L229" s="106"/>
      <c r="M229" s="107"/>
      <c r="N229" s="108"/>
    </row>
    <row r="230" spans="1:14" s="38" customFormat="1" ht="15">
      <c r="A230" s="286">
        <v>227</v>
      </c>
      <c r="B230" s="69" t="s">
        <v>542</v>
      </c>
      <c r="C230" s="49">
        <v>39416</v>
      </c>
      <c r="D230" s="56" t="s">
        <v>302</v>
      </c>
      <c r="E230" s="56" t="s">
        <v>619</v>
      </c>
      <c r="F230" s="88" t="s">
        <v>543</v>
      </c>
      <c r="G230" s="88" t="s">
        <v>650</v>
      </c>
      <c r="H230" s="145">
        <v>28266</v>
      </c>
      <c r="I230" s="228">
        <v>3676</v>
      </c>
      <c r="J230" s="152">
        <f t="shared" si="3"/>
        <v>7.689336235038085</v>
      </c>
      <c r="K230" s="123"/>
      <c r="L230" s="106"/>
      <c r="M230" s="107"/>
      <c r="N230" s="108"/>
    </row>
    <row r="231" spans="1:14" s="38" customFormat="1" ht="15">
      <c r="A231" s="286">
        <v>228</v>
      </c>
      <c r="B231" s="83" t="s">
        <v>507</v>
      </c>
      <c r="C231" s="50">
        <v>39213</v>
      </c>
      <c r="D231" s="56" t="s">
        <v>277</v>
      </c>
      <c r="E231" s="56" t="s">
        <v>332</v>
      </c>
      <c r="F231" s="161">
        <v>4</v>
      </c>
      <c r="G231" s="161">
        <v>17</v>
      </c>
      <c r="H231" s="158">
        <v>26844.5</v>
      </c>
      <c r="I231" s="238">
        <v>4161</v>
      </c>
      <c r="J231" s="152">
        <f t="shared" si="3"/>
        <v>6.451453977409277</v>
      </c>
      <c r="K231" s="123"/>
      <c r="L231" s="106"/>
      <c r="M231" s="107"/>
      <c r="N231" s="108"/>
    </row>
    <row r="232" spans="1:14" s="38" customFormat="1" ht="15">
      <c r="A232" s="286">
        <v>229</v>
      </c>
      <c r="B232" s="69" t="s">
        <v>388</v>
      </c>
      <c r="C232" s="49">
        <v>39206</v>
      </c>
      <c r="D232" s="56" t="s">
        <v>468</v>
      </c>
      <c r="E232" s="56" t="s">
        <v>500</v>
      </c>
      <c r="F232" s="88" t="s">
        <v>289</v>
      </c>
      <c r="G232" s="88" t="s">
        <v>552</v>
      </c>
      <c r="H232" s="158">
        <v>26045.11</v>
      </c>
      <c r="I232" s="228">
        <v>3462</v>
      </c>
      <c r="J232" s="74">
        <f t="shared" si="3"/>
        <v>7.523139803581745</v>
      </c>
      <c r="K232" s="123"/>
      <c r="L232" s="106"/>
      <c r="M232" s="107"/>
      <c r="N232" s="108"/>
    </row>
    <row r="233" spans="1:14" s="38" customFormat="1" ht="15">
      <c r="A233" s="286">
        <v>230</v>
      </c>
      <c r="B233" s="69" t="s">
        <v>564</v>
      </c>
      <c r="C233" s="49">
        <v>39269</v>
      </c>
      <c r="D233" s="71" t="s">
        <v>468</v>
      </c>
      <c r="E233" s="71" t="s">
        <v>398</v>
      </c>
      <c r="F233" s="88" t="s">
        <v>276</v>
      </c>
      <c r="G233" s="88" t="s">
        <v>419</v>
      </c>
      <c r="H233" s="145">
        <v>25567.88</v>
      </c>
      <c r="I233" s="238">
        <v>4075</v>
      </c>
      <c r="J233" s="74">
        <f t="shared" si="3"/>
        <v>6.274326380368098</v>
      </c>
      <c r="K233" s="123"/>
      <c r="L233" s="106"/>
      <c r="M233" s="107"/>
      <c r="N233" s="108"/>
    </row>
    <row r="234" spans="1:14" s="38" customFormat="1" ht="15">
      <c r="A234" s="286">
        <v>231</v>
      </c>
      <c r="B234" s="83" t="s">
        <v>386</v>
      </c>
      <c r="C234" s="50">
        <v>39115</v>
      </c>
      <c r="D234" s="149" t="s">
        <v>455</v>
      </c>
      <c r="E234" s="149" t="s">
        <v>300</v>
      </c>
      <c r="F234" s="79">
        <v>10</v>
      </c>
      <c r="G234" s="79">
        <v>9</v>
      </c>
      <c r="H234" s="144">
        <f>17496+3884+1469+240+311+404+472+286+106-100</f>
        <v>24568</v>
      </c>
      <c r="I234" s="237">
        <f>1763+417+239+30+72+92+105+29+22</f>
        <v>2769</v>
      </c>
      <c r="J234" s="74">
        <f t="shared" si="3"/>
        <v>8.872517154207294</v>
      </c>
      <c r="K234" s="123"/>
      <c r="L234" s="106"/>
      <c r="M234" s="107"/>
      <c r="N234" s="108"/>
    </row>
    <row r="235" spans="1:14" s="38" customFormat="1" ht="15">
      <c r="A235" s="286">
        <v>232</v>
      </c>
      <c r="B235" s="69" t="s">
        <v>609</v>
      </c>
      <c r="C235" s="50">
        <v>39178</v>
      </c>
      <c r="D235" s="56" t="s">
        <v>277</v>
      </c>
      <c r="E235" s="56" t="s">
        <v>610</v>
      </c>
      <c r="F235" s="161">
        <v>2</v>
      </c>
      <c r="G235" s="161">
        <v>22</v>
      </c>
      <c r="H235" s="144">
        <v>24168.5</v>
      </c>
      <c r="I235" s="237">
        <v>3930</v>
      </c>
      <c r="J235" s="152">
        <f t="shared" si="3"/>
        <v>6.149745547073791</v>
      </c>
      <c r="K235" s="123"/>
      <c r="L235" s="106"/>
      <c r="M235" s="107"/>
      <c r="N235" s="108"/>
    </row>
    <row r="236" spans="1:14" s="38" customFormat="1" ht="15">
      <c r="A236" s="286">
        <v>233</v>
      </c>
      <c r="B236" s="69" t="s">
        <v>425</v>
      </c>
      <c r="C236" s="49">
        <v>39339</v>
      </c>
      <c r="D236" s="56" t="s">
        <v>468</v>
      </c>
      <c r="E236" s="56" t="s">
        <v>398</v>
      </c>
      <c r="F236" s="88" t="s">
        <v>368</v>
      </c>
      <c r="G236" s="88" t="s">
        <v>488</v>
      </c>
      <c r="H236" s="145">
        <v>21948</v>
      </c>
      <c r="I236" s="238">
        <v>2426</v>
      </c>
      <c r="J236" s="74">
        <f t="shared" si="3"/>
        <v>9.046990931574609</v>
      </c>
      <c r="K236" s="123"/>
      <c r="L236" s="106"/>
      <c r="M236" s="107"/>
      <c r="N236" s="108"/>
    </row>
    <row r="237" spans="1:14" s="38" customFormat="1" ht="15">
      <c r="A237" s="286">
        <v>234</v>
      </c>
      <c r="B237" s="69" t="s">
        <v>666</v>
      </c>
      <c r="C237" s="50">
        <v>39437</v>
      </c>
      <c r="D237" s="56" t="s">
        <v>277</v>
      </c>
      <c r="E237" s="56" t="s">
        <v>404</v>
      </c>
      <c r="F237" s="161">
        <v>1</v>
      </c>
      <c r="G237" s="161">
        <v>2</v>
      </c>
      <c r="H237" s="145">
        <v>21036.2</v>
      </c>
      <c r="I237" s="238">
        <v>2956</v>
      </c>
      <c r="J237" s="152">
        <f t="shared" si="3"/>
        <v>7.1164411366711775</v>
      </c>
      <c r="K237" s="123"/>
      <c r="L237" s="106"/>
      <c r="M237" s="107"/>
      <c r="N237" s="108"/>
    </row>
    <row r="238" spans="1:14" s="38" customFormat="1" ht="15">
      <c r="A238" s="286">
        <v>235</v>
      </c>
      <c r="B238" s="68" t="s">
        <v>630</v>
      </c>
      <c r="C238" s="50">
        <v>39409</v>
      </c>
      <c r="D238" s="55" t="s">
        <v>455</v>
      </c>
      <c r="E238" s="55" t="s">
        <v>652</v>
      </c>
      <c r="F238" s="51">
        <v>13</v>
      </c>
      <c r="G238" s="51">
        <v>5</v>
      </c>
      <c r="H238" s="327">
        <f>12464+5333-100+2072+1025+199</f>
        <v>20993</v>
      </c>
      <c r="I238" s="328">
        <f>1407+644-8+342+204+38</f>
        <v>2627</v>
      </c>
      <c r="J238" s="152">
        <f t="shared" si="3"/>
        <v>7.991244765892653</v>
      </c>
      <c r="K238" s="123"/>
      <c r="L238" s="106"/>
      <c r="M238" s="107"/>
      <c r="N238" s="108"/>
    </row>
    <row r="239" spans="1:14" s="38" customFormat="1" ht="15">
      <c r="A239" s="286">
        <v>236</v>
      </c>
      <c r="B239" s="69" t="s">
        <v>418</v>
      </c>
      <c r="C239" s="50">
        <v>39332</v>
      </c>
      <c r="D239" s="56" t="s">
        <v>277</v>
      </c>
      <c r="E239" s="56" t="s">
        <v>364</v>
      </c>
      <c r="F239" s="161">
        <v>2</v>
      </c>
      <c r="G239" s="161">
        <v>13</v>
      </c>
      <c r="H239" s="145">
        <v>19834</v>
      </c>
      <c r="I239" s="238">
        <v>2819</v>
      </c>
      <c r="J239" s="74">
        <f t="shared" si="3"/>
        <v>7.035828307910607</v>
      </c>
      <c r="K239" s="123"/>
      <c r="L239" s="106"/>
      <c r="M239" s="107"/>
      <c r="N239" s="108"/>
    </row>
    <row r="240" spans="1:14" s="38" customFormat="1" ht="15">
      <c r="A240" s="286">
        <v>237</v>
      </c>
      <c r="B240" s="69" t="s">
        <v>618</v>
      </c>
      <c r="C240" s="50">
        <v>39185</v>
      </c>
      <c r="D240" s="56" t="s">
        <v>277</v>
      </c>
      <c r="E240" s="56" t="s">
        <v>464</v>
      </c>
      <c r="F240" s="161">
        <v>4</v>
      </c>
      <c r="G240" s="161">
        <v>12</v>
      </c>
      <c r="H240" s="158">
        <v>19282.5</v>
      </c>
      <c r="I240" s="238">
        <v>3301</v>
      </c>
      <c r="J240" s="152">
        <f t="shared" si="3"/>
        <v>5.841411693426235</v>
      </c>
      <c r="K240" s="123"/>
      <c r="L240" s="106"/>
      <c r="M240" s="107"/>
      <c r="N240" s="108"/>
    </row>
    <row r="241" spans="1:14" s="38" customFormat="1" ht="15">
      <c r="A241" s="286">
        <v>238</v>
      </c>
      <c r="B241" s="69" t="s">
        <v>715</v>
      </c>
      <c r="C241" s="49">
        <v>39423</v>
      </c>
      <c r="D241" s="56" t="s">
        <v>637</v>
      </c>
      <c r="E241" s="56" t="s">
        <v>716</v>
      </c>
      <c r="F241" s="72">
        <v>1</v>
      </c>
      <c r="G241" s="72">
        <v>4</v>
      </c>
      <c r="H241" s="145">
        <v>18911</v>
      </c>
      <c r="I241" s="238">
        <v>1619</v>
      </c>
      <c r="J241" s="74">
        <f t="shared" si="3"/>
        <v>11.680667078443484</v>
      </c>
      <c r="K241" s="123"/>
      <c r="L241" s="106"/>
      <c r="M241" s="107"/>
      <c r="N241" s="108"/>
    </row>
    <row r="242" spans="1:14" s="38" customFormat="1" ht="15">
      <c r="A242" s="286">
        <v>239</v>
      </c>
      <c r="B242" s="69" t="s">
        <v>608</v>
      </c>
      <c r="C242" s="50">
        <v>39178</v>
      </c>
      <c r="D242" s="56" t="s">
        <v>277</v>
      </c>
      <c r="E242" s="56" t="s">
        <v>426</v>
      </c>
      <c r="F242" s="88" t="s">
        <v>289</v>
      </c>
      <c r="G242" s="88" t="s">
        <v>419</v>
      </c>
      <c r="H242" s="145">
        <v>17447</v>
      </c>
      <c r="I242" s="238">
        <v>2873</v>
      </c>
      <c r="J242" s="152">
        <f t="shared" si="3"/>
        <v>6.07274625826662</v>
      </c>
      <c r="K242" s="123"/>
      <c r="L242" s="106"/>
      <c r="M242" s="107"/>
      <c r="N242" s="108"/>
    </row>
    <row r="243" spans="1:14" s="38" customFormat="1" ht="15">
      <c r="A243" s="286">
        <v>240</v>
      </c>
      <c r="B243" s="82" t="s">
        <v>288</v>
      </c>
      <c r="C243" s="50">
        <v>39157</v>
      </c>
      <c r="D243" s="150" t="s">
        <v>277</v>
      </c>
      <c r="E243" s="150" t="s">
        <v>364</v>
      </c>
      <c r="F243" s="72">
        <v>1</v>
      </c>
      <c r="G243" s="72" t="s">
        <v>406</v>
      </c>
      <c r="H243" s="145">
        <v>16461</v>
      </c>
      <c r="I243" s="238">
        <v>2786</v>
      </c>
      <c r="J243" s="152">
        <f t="shared" si="3"/>
        <v>5.9084709260588655</v>
      </c>
      <c r="K243" s="123"/>
      <c r="L243" s="106"/>
      <c r="M243" s="107"/>
      <c r="N243" s="108"/>
    </row>
    <row r="244" spans="1:14" s="38" customFormat="1" ht="15">
      <c r="A244" s="286">
        <v>241</v>
      </c>
      <c r="B244" s="83" t="s">
        <v>492</v>
      </c>
      <c r="C244" s="50">
        <v>39187</v>
      </c>
      <c r="D244" s="149" t="s">
        <v>455</v>
      </c>
      <c r="E244" s="149" t="s">
        <v>456</v>
      </c>
      <c r="F244" s="79">
        <v>1</v>
      </c>
      <c r="G244" s="79">
        <v>15</v>
      </c>
      <c r="H244" s="144">
        <f>11158+1340+625+166+94+174+151+140+120+76+150+37+129+165+102+1510.5</f>
        <v>16137.5</v>
      </c>
      <c r="I244" s="237">
        <f>1408+268+125+19+11+20+28+15+13+9+30+7+22+32+23+378</f>
        <v>2408</v>
      </c>
      <c r="J244" s="152">
        <f t="shared" si="3"/>
        <v>6.701619601328904</v>
      </c>
      <c r="K244" s="123"/>
      <c r="L244" s="106"/>
      <c r="M244" s="107"/>
      <c r="N244" s="108"/>
    </row>
    <row r="245" spans="1:14" s="38" customFormat="1" ht="15">
      <c r="A245" s="286">
        <v>242</v>
      </c>
      <c r="B245" s="69" t="s">
        <v>704</v>
      </c>
      <c r="C245" s="49">
        <v>39444</v>
      </c>
      <c r="D245" s="56" t="s">
        <v>302</v>
      </c>
      <c r="E245" s="56" t="s">
        <v>705</v>
      </c>
      <c r="F245" s="88" t="s">
        <v>672</v>
      </c>
      <c r="G245" s="88" t="s">
        <v>276</v>
      </c>
      <c r="H245" s="145">
        <v>15186.5</v>
      </c>
      <c r="I245" s="238">
        <v>1751</v>
      </c>
      <c r="J245" s="152">
        <f t="shared" si="3"/>
        <v>8.673043974871502</v>
      </c>
      <c r="K245" s="123"/>
      <c r="L245" s="106"/>
      <c r="M245" s="107"/>
      <c r="N245" s="108"/>
    </row>
    <row r="246" spans="1:14" s="38" customFormat="1" ht="15">
      <c r="A246" s="286">
        <v>243</v>
      </c>
      <c r="B246" s="82" t="s">
        <v>389</v>
      </c>
      <c r="C246" s="49">
        <v>39178</v>
      </c>
      <c r="D246" s="150" t="s">
        <v>468</v>
      </c>
      <c r="E246" s="150" t="s">
        <v>619</v>
      </c>
      <c r="F246" s="72" t="s">
        <v>292</v>
      </c>
      <c r="G246" s="72" t="s">
        <v>299</v>
      </c>
      <c r="H246" s="145">
        <v>13081</v>
      </c>
      <c r="I246" s="238">
        <v>1608</v>
      </c>
      <c r="J246" s="74">
        <f t="shared" si="3"/>
        <v>8.134950248756219</v>
      </c>
      <c r="K246" s="123"/>
      <c r="L246" s="106"/>
      <c r="M246" s="107"/>
      <c r="N246" s="108"/>
    </row>
    <row r="247" spans="1:14" s="38" customFormat="1" ht="15">
      <c r="A247" s="286">
        <v>244</v>
      </c>
      <c r="B247" s="69" t="s">
        <v>631</v>
      </c>
      <c r="C247" s="50">
        <v>39409</v>
      </c>
      <c r="D247" s="56" t="s">
        <v>277</v>
      </c>
      <c r="E247" s="56" t="s">
        <v>101</v>
      </c>
      <c r="F247" s="161">
        <v>1</v>
      </c>
      <c r="G247" s="161">
        <v>6</v>
      </c>
      <c r="H247" s="145">
        <v>12436</v>
      </c>
      <c r="I247" s="238">
        <v>1933</v>
      </c>
      <c r="J247" s="152">
        <f t="shared" si="3"/>
        <v>6.433523021210553</v>
      </c>
      <c r="K247" s="123"/>
      <c r="L247" s="106"/>
      <c r="M247" s="107"/>
      <c r="N247" s="108"/>
    </row>
    <row r="248" spans="1:14" s="38" customFormat="1" ht="15">
      <c r="A248" s="286">
        <v>245</v>
      </c>
      <c r="B248" s="83" t="s">
        <v>490</v>
      </c>
      <c r="C248" s="50">
        <v>39199</v>
      </c>
      <c r="D248" s="149" t="s">
        <v>455</v>
      </c>
      <c r="E248" s="149" t="s">
        <v>456</v>
      </c>
      <c r="F248" s="79">
        <v>1</v>
      </c>
      <c r="G248" s="79">
        <v>11</v>
      </c>
      <c r="H248" s="144">
        <f>7483+988+550+332+134+125+150+50+71+420+500+145</f>
        <v>10948</v>
      </c>
      <c r="I248" s="237">
        <f>956+111+62+33+15+31+22+10+11+54+68+32</f>
        <v>1405</v>
      </c>
      <c r="J248" s="74">
        <f t="shared" si="3"/>
        <v>7.792170818505338</v>
      </c>
      <c r="K248" s="123"/>
      <c r="L248" s="106"/>
      <c r="M248" s="107"/>
      <c r="N248" s="108"/>
    </row>
    <row r="249" spans="1:14" s="38" customFormat="1" ht="15">
      <c r="A249" s="286">
        <v>246</v>
      </c>
      <c r="B249" s="82" t="s">
        <v>558</v>
      </c>
      <c r="C249" s="49">
        <v>39262</v>
      </c>
      <c r="D249" s="150" t="s">
        <v>475</v>
      </c>
      <c r="E249" s="150" t="s">
        <v>559</v>
      </c>
      <c r="F249" s="72" t="s">
        <v>299</v>
      </c>
      <c r="G249" s="72" t="s">
        <v>419</v>
      </c>
      <c r="H249" s="145">
        <v>10250</v>
      </c>
      <c r="I249" s="238">
        <v>1417</v>
      </c>
      <c r="J249" s="74">
        <f t="shared" si="3"/>
        <v>7.233592095977417</v>
      </c>
      <c r="K249" s="123"/>
      <c r="L249" s="106"/>
      <c r="M249" s="107"/>
      <c r="N249" s="108"/>
    </row>
    <row r="250" spans="1:14" s="38" customFormat="1" ht="15">
      <c r="A250" s="286">
        <v>247</v>
      </c>
      <c r="B250" s="69" t="s">
        <v>272</v>
      </c>
      <c r="C250" s="49">
        <v>39346</v>
      </c>
      <c r="D250" s="56" t="s">
        <v>302</v>
      </c>
      <c r="E250" s="56" t="s">
        <v>273</v>
      </c>
      <c r="F250" s="88" t="s">
        <v>552</v>
      </c>
      <c r="G250" s="88" t="s">
        <v>368</v>
      </c>
      <c r="H250" s="158">
        <v>10237</v>
      </c>
      <c r="I250" s="228">
        <v>1303</v>
      </c>
      <c r="J250" s="152">
        <f t="shared" si="3"/>
        <v>7.8564850345356865</v>
      </c>
      <c r="K250" s="123"/>
      <c r="L250" s="106"/>
      <c r="M250" s="107"/>
      <c r="N250" s="108"/>
    </row>
    <row r="251" spans="1:14" s="38" customFormat="1" ht="15">
      <c r="A251" s="286">
        <v>248</v>
      </c>
      <c r="B251" s="68" t="s">
        <v>706</v>
      </c>
      <c r="C251" s="50">
        <v>39444</v>
      </c>
      <c r="D251" s="55" t="s">
        <v>455</v>
      </c>
      <c r="E251" s="55" t="s">
        <v>707</v>
      </c>
      <c r="F251" s="87">
        <v>10</v>
      </c>
      <c r="G251" s="51">
        <v>1</v>
      </c>
      <c r="H251" s="144">
        <f>8804</f>
        <v>8804</v>
      </c>
      <c r="I251" s="237">
        <f>970</f>
        <v>970</v>
      </c>
      <c r="J251" s="152">
        <f t="shared" si="3"/>
        <v>9.076288659793814</v>
      </c>
      <c r="K251" s="123"/>
      <c r="L251" s="106"/>
      <c r="M251" s="107"/>
      <c r="N251" s="108"/>
    </row>
    <row r="252" spans="1:14" s="38" customFormat="1" ht="15">
      <c r="A252" s="286">
        <v>249</v>
      </c>
      <c r="B252" s="68" t="s">
        <v>481</v>
      </c>
      <c r="C252" s="50">
        <v>39283</v>
      </c>
      <c r="D252" s="71" t="s">
        <v>468</v>
      </c>
      <c r="E252" s="73" t="s">
        <v>398</v>
      </c>
      <c r="F252" s="51">
        <v>1</v>
      </c>
      <c r="G252" s="51">
        <v>6</v>
      </c>
      <c r="H252" s="144">
        <v>7584.25</v>
      </c>
      <c r="I252" s="237">
        <v>1329</v>
      </c>
      <c r="J252" s="152">
        <f t="shared" si="3"/>
        <v>5.70673438675696</v>
      </c>
      <c r="K252" s="123"/>
      <c r="L252" s="106"/>
      <c r="M252" s="107"/>
      <c r="N252" s="108"/>
    </row>
    <row r="253" spans="1:14" s="38" customFormat="1" ht="15">
      <c r="A253" s="286">
        <v>250</v>
      </c>
      <c r="B253" s="82" t="s">
        <v>518</v>
      </c>
      <c r="C253" s="49">
        <v>39227</v>
      </c>
      <c r="D253" s="150" t="s">
        <v>475</v>
      </c>
      <c r="E253" s="150" t="s">
        <v>519</v>
      </c>
      <c r="F253" s="72" t="s">
        <v>299</v>
      </c>
      <c r="G253" s="72" t="s">
        <v>551</v>
      </c>
      <c r="H253" s="145">
        <v>7089.5</v>
      </c>
      <c r="I253" s="238">
        <v>940</v>
      </c>
      <c r="J253" s="152">
        <f t="shared" si="3"/>
        <v>7.542021276595745</v>
      </c>
      <c r="K253" s="123"/>
      <c r="L253" s="106"/>
      <c r="M253" s="107"/>
      <c r="N253" s="108"/>
    </row>
    <row r="254" spans="1:14" s="38" customFormat="1" ht="15">
      <c r="A254" s="286">
        <v>251</v>
      </c>
      <c r="B254" s="69" t="s">
        <v>343</v>
      </c>
      <c r="C254" s="50">
        <v>39381</v>
      </c>
      <c r="D254" s="56" t="s">
        <v>277</v>
      </c>
      <c r="E254" s="56" t="s">
        <v>404</v>
      </c>
      <c r="F254" s="161">
        <v>1</v>
      </c>
      <c r="G254" s="161">
        <v>4</v>
      </c>
      <c r="H254" s="145">
        <v>5088</v>
      </c>
      <c r="I254" s="238">
        <v>840</v>
      </c>
      <c r="J254" s="74">
        <f t="shared" si="3"/>
        <v>6.057142857142857</v>
      </c>
      <c r="K254" s="123"/>
      <c r="L254" s="106"/>
      <c r="M254" s="107"/>
      <c r="N254" s="108"/>
    </row>
    <row r="255" spans="1:14" s="38" customFormat="1" ht="15.75" thickBot="1">
      <c r="A255" s="286">
        <v>252</v>
      </c>
      <c r="B255" s="233" t="s">
        <v>65</v>
      </c>
      <c r="C255" s="234">
        <v>39395</v>
      </c>
      <c r="D255" s="235" t="s">
        <v>277</v>
      </c>
      <c r="E255" s="235" t="s">
        <v>66</v>
      </c>
      <c r="F255" s="236">
        <v>5</v>
      </c>
      <c r="G255" s="236">
        <v>3</v>
      </c>
      <c r="H255" s="246">
        <v>3068.5</v>
      </c>
      <c r="I255" s="244">
        <v>384</v>
      </c>
      <c r="J255" s="321">
        <f t="shared" si="3"/>
        <v>7.990885416666667</v>
      </c>
      <c r="K255" s="123"/>
      <c r="L255" s="106"/>
      <c r="M255" s="107"/>
      <c r="N255" s="108"/>
    </row>
    <row r="256" spans="1:14" s="58" customFormat="1" ht="15">
      <c r="A256" s="520" t="s">
        <v>449</v>
      </c>
      <c r="B256" s="521"/>
      <c r="C256" s="62"/>
      <c r="D256" s="62"/>
      <c r="E256" s="62"/>
      <c r="F256" s="63"/>
      <c r="G256" s="62"/>
      <c r="H256" s="453">
        <f>SUM(H4:H255)</f>
        <v>233285470.78999996</v>
      </c>
      <c r="I256" s="454">
        <f>SUM(I4:I255)</f>
        <v>29697432.666666668</v>
      </c>
      <c r="J256" s="64">
        <f>H256/I256</f>
        <v>7.855408695036689</v>
      </c>
      <c r="K256" s="93"/>
      <c r="L256" s="90"/>
      <c r="M256" s="93"/>
      <c r="N256" s="90"/>
    </row>
  </sheetData>
  <sheetProtection/>
  <mergeCells count="10">
    <mergeCell ref="J2:J3"/>
    <mergeCell ref="A1:J1"/>
    <mergeCell ref="E2:E3"/>
    <mergeCell ref="F2:F3"/>
    <mergeCell ref="A256:B256"/>
    <mergeCell ref="B2:B3"/>
    <mergeCell ref="C2:C3"/>
    <mergeCell ref="D2:D3"/>
    <mergeCell ref="G2:G3"/>
    <mergeCell ref="H2:I2"/>
  </mergeCells>
  <printOptions/>
  <pageMargins left="0.87" right="0.58" top="0.63" bottom="0.76" header="0.11811023622047245" footer="0.5"/>
  <pageSetup orientation="portrait" paperSize="9" scale="50" r:id="rId1"/>
  <ignoredErrors>
    <ignoredError sqref="K69 K86:K90 K58:K68 K102:K105 K7 K106:K117 K9:K13 K57 K17:K56 K8 K14:K16 K70:K85 K91:K101 H14:H131 L172:L173 L174:L182 K172:K173 L183:L184 H143:I240 K118:K137 K174:K184 K255 K138:K142 K155 K185:K206 K207:K235 K252:K254 K143:K154" formula="1" unlockedFormula="1"/>
    <ignoredError sqref="F14:G132 H132 L185:L194 K159:K171 L195:L254 M143:M254 K156:K158 K236:K251 L143:L171 F143:G254 J143:J254 H241:I254" numberStoredAsText="1"/>
    <ignoredError sqref="K6 J256" formula="1"/>
    <ignoredError sqref="H9:H13 I9:I131 H141:I142" unlockedFormula="1"/>
    <ignoredError sqref="H14:H131 L172:L173 L174:L182 K172:K173 L183:L184 H143:I240" numberStoredAsText="1" unlockedFormula="1"/>
    <ignoredError sqref="K118:K137 K174:K184" numberStoredAsText="1" formula="1" unlockedFormula="1"/>
    <ignoredError sqref="K255 K138:K142 K155 K185:K206 K207:K235 K252:K254 K143:K154" numberStoredAsText="1" formula="1"/>
  </ignoredErrors>
</worksheet>
</file>

<file path=xl/worksheets/sheet3.xml><?xml version="1.0" encoding="utf-8"?>
<worksheet xmlns="http://schemas.openxmlformats.org/spreadsheetml/2006/main" xmlns:r="http://schemas.openxmlformats.org/officeDocument/2006/relationships">
  <dimension ref="A1:P805"/>
  <sheetViews>
    <sheetView zoomScale="90" zoomScaleNormal="90" zoomScalePageLayoutView="0" workbookViewId="0" topLeftCell="B1">
      <selection activeCell="B2" sqref="B2:B3"/>
    </sheetView>
  </sheetViews>
  <sheetFormatPr defaultColWidth="8.8515625" defaultRowHeight="12.75"/>
  <cols>
    <col min="1" max="1" width="3.8515625" style="0" bestFit="1" customWidth="1"/>
    <col min="2" max="2" width="44.00390625" style="0" bestFit="1" customWidth="1"/>
    <col min="3" max="3" width="9.57421875" style="154" bestFit="1" customWidth="1"/>
    <col min="4" max="4" width="12.8515625" style="0" bestFit="1" customWidth="1"/>
    <col min="5" max="5" width="20.421875" style="0" bestFit="1" customWidth="1"/>
    <col min="6" max="6" width="6.421875" style="306" bestFit="1" customWidth="1"/>
    <col min="7" max="7" width="8.57421875" style="307" bestFit="1" customWidth="1"/>
    <col min="8" max="8" width="10.140625" style="0" customWidth="1"/>
    <col min="9" max="9" width="13.8515625" style="0" bestFit="1" customWidth="1"/>
    <col min="10" max="10" width="10.00390625" style="0" bestFit="1" customWidth="1"/>
    <col min="11" max="11" width="10.57421875" style="0" customWidth="1"/>
    <col min="12" max="12" width="7.140625" style="0" bestFit="1" customWidth="1"/>
    <col min="13" max="13" width="14.7109375" style="0" bestFit="1" customWidth="1"/>
    <col min="14" max="14" width="10.57421875" style="0" bestFit="1" customWidth="1"/>
    <col min="15" max="15" width="7.140625" style="0" bestFit="1" customWidth="1"/>
  </cols>
  <sheetData>
    <row r="1" spans="1:15" ht="33.75" thickBot="1">
      <c r="A1" s="524" t="s">
        <v>657</v>
      </c>
      <c r="B1" s="525"/>
      <c r="C1" s="525"/>
      <c r="D1" s="525"/>
      <c r="E1" s="525"/>
      <c r="F1" s="525"/>
      <c r="G1" s="525"/>
      <c r="H1" s="526"/>
      <c r="I1" s="526"/>
      <c r="J1" s="526"/>
      <c r="K1" s="526"/>
      <c r="L1" s="526"/>
      <c r="M1" s="526"/>
      <c r="N1" s="526"/>
      <c r="O1" s="526"/>
    </row>
    <row r="2" spans="1:16" s="25" customFormat="1" ht="16.5">
      <c r="A2" s="35"/>
      <c r="B2" s="506" t="s">
        <v>312</v>
      </c>
      <c r="C2" s="511" t="s">
        <v>313</v>
      </c>
      <c r="D2" s="507" t="s">
        <v>451</v>
      </c>
      <c r="E2" s="507" t="s">
        <v>450</v>
      </c>
      <c r="F2" s="504" t="s">
        <v>314</v>
      </c>
      <c r="G2" s="504" t="s">
        <v>321</v>
      </c>
      <c r="H2" s="508" t="s">
        <v>323</v>
      </c>
      <c r="I2" s="510" t="s">
        <v>315</v>
      </c>
      <c r="J2" s="510"/>
      <c r="K2" s="510"/>
      <c r="L2" s="510"/>
      <c r="M2" s="502" t="s">
        <v>316</v>
      </c>
      <c r="N2" s="502"/>
      <c r="O2" s="503"/>
      <c r="P2" s="101"/>
    </row>
    <row r="3" spans="1:16" s="25" customFormat="1" ht="46.5" customHeight="1" thickBot="1">
      <c r="A3" s="292"/>
      <c r="B3" s="505"/>
      <c r="C3" s="512"/>
      <c r="D3" s="505"/>
      <c r="E3" s="505"/>
      <c r="F3" s="505"/>
      <c r="G3" s="505"/>
      <c r="H3" s="509"/>
      <c r="I3" s="248" t="s">
        <v>317</v>
      </c>
      <c r="J3" s="267" t="s">
        <v>318</v>
      </c>
      <c r="K3" s="136" t="s">
        <v>358</v>
      </c>
      <c r="L3" s="75" t="s">
        <v>319</v>
      </c>
      <c r="M3" s="258" t="s">
        <v>317</v>
      </c>
      <c r="N3" s="267" t="s">
        <v>318</v>
      </c>
      <c r="O3" s="76" t="s">
        <v>320</v>
      </c>
      <c r="P3" s="101"/>
    </row>
    <row r="4" spans="1:15" ht="15">
      <c r="A4" s="174">
        <v>1</v>
      </c>
      <c r="B4" s="403" t="s">
        <v>73</v>
      </c>
      <c r="C4" s="404">
        <v>37246</v>
      </c>
      <c r="D4" s="405" t="s">
        <v>216</v>
      </c>
      <c r="E4" s="405" t="s">
        <v>405</v>
      </c>
      <c r="F4" s="406">
        <v>75</v>
      </c>
      <c r="G4" s="407" t="s">
        <v>648</v>
      </c>
      <c r="H4" s="407" t="s">
        <v>675</v>
      </c>
      <c r="I4" s="408">
        <v>6255</v>
      </c>
      <c r="J4" s="409">
        <v>2085</v>
      </c>
      <c r="K4" s="410">
        <f>IF(I4&lt;&gt;0,J4/G4,"")</f>
        <v>695</v>
      </c>
      <c r="L4" s="411">
        <f>IF(I4&lt;&gt;0,I4/J4,"")</f>
        <v>3</v>
      </c>
      <c r="M4" s="412">
        <v>5902157.3</v>
      </c>
      <c r="N4" s="413">
        <v>1759705</v>
      </c>
      <c r="O4" s="414">
        <f>+M4/N4</f>
        <v>3.3540606522115923</v>
      </c>
    </row>
    <row r="5" spans="1:15" ht="15">
      <c r="A5" s="175">
        <v>2</v>
      </c>
      <c r="B5" s="415" t="s">
        <v>57</v>
      </c>
      <c r="C5" s="338">
        <v>37512</v>
      </c>
      <c r="D5" s="345" t="s">
        <v>216</v>
      </c>
      <c r="E5" s="345" t="s">
        <v>58</v>
      </c>
      <c r="F5" s="346">
        <v>8</v>
      </c>
      <c r="G5" s="333">
        <v>1</v>
      </c>
      <c r="H5" s="333">
        <v>53</v>
      </c>
      <c r="I5" s="331">
        <v>594</v>
      </c>
      <c r="J5" s="332">
        <v>149</v>
      </c>
      <c r="K5" s="340">
        <f>+J5/G5</f>
        <v>149</v>
      </c>
      <c r="L5" s="341">
        <f>+I5/J5</f>
        <v>3.9865771812080535</v>
      </c>
      <c r="M5" s="347">
        <v>298925</v>
      </c>
      <c r="N5" s="348">
        <v>73991</v>
      </c>
      <c r="O5" s="416">
        <f>+M5/N5</f>
        <v>4.0400183806138585</v>
      </c>
    </row>
    <row r="6" spans="1:15" ht="15">
      <c r="A6" s="175">
        <v>3</v>
      </c>
      <c r="B6" s="415" t="s">
        <v>232</v>
      </c>
      <c r="C6" s="338">
        <v>37589</v>
      </c>
      <c r="D6" s="349" t="s">
        <v>216</v>
      </c>
      <c r="E6" s="349" t="s">
        <v>233</v>
      </c>
      <c r="F6" s="346">
        <v>14</v>
      </c>
      <c r="G6" s="346">
        <v>1</v>
      </c>
      <c r="H6" s="346">
        <v>42</v>
      </c>
      <c r="I6" s="335">
        <v>354</v>
      </c>
      <c r="J6" s="336">
        <v>118</v>
      </c>
      <c r="K6" s="340">
        <f>+J6/G6</f>
        <v>118</v>
      </c>
      <c r="L6" s="341">
        <f>+I6/J6</f>
        <v>3</v>
      </c>
      <c r="M6" s="347">
        <v>968993.75</v>
      </c>
      <c r="N6" s="348">
        <v>213244</v>
      </c>
      <c r="O6" s="416">
        <f>+M6/N6</f>
        <v>4.54406102868076</v>
      </c>
    </row>
    <row r="7" spans="1:15" ht="15">
      <c r="A7" s="175">
        <v>4</v>
      </c>
      <c r="B7" s="417" t="s">
        <v>74</v>
      </c>
      <c r="C7" s="338">
        <v>37610</v>
      </c>
      <c r="D7" s="339" t="s">
        <v>216</v>
      </c>
      <c r="E7" s="339" t="s">
        <v>405</v>
      </c>
      <c r="F7" s="334">
        <v>108</v>
      </c>
      <c r="G7" s="334">
        <v>3</v>
      </c>
      <c r="H7" s="334">
        <v>42</v>
      </c>
      <c r="I7" s="335">
        <v>6255</v>
      </c>
      <c r="J7" s="336">
        <v>2085</v>
      </c>
      <c r="K7" s="350">
        <f aca="true" t="shared" si="0" ref="K7:K12">J7/G7</f>
        <v>695</v>
      </c>
      <c r="L7" s="351">
        <f aca="true" t="shared" si="1" ref="L7:L12">I7/J7</f>
        <v>3</v>
      </c>
      <c r="M7" s="347">
        <v>6520783.5</v>
      </c>
      <c r="N7" s="348">
        <v>1459205</v>
      </c>
      <c r="O7" s="416">
        <f>+M7/N7</f>
        <v>4.468723380196751</v>
      </c>
    </row>
    <row r="8" spans="1:15" ht="15">
      <c r="A8" s="175">
        <v>5</v>
      </c>
      <c r="B8" s="418" t="s">
        <v>676</v>
      </c>
      <c r="C8" s="338">
        <v>37701</v>
      </c>
      <c r="D8" s="352" t="s">
        <v>216</v>
      </c>
      <c r="E8" s="352" t="s">
        <v>463</v>
      </c>
      <c r="F8" s="346">
        <v>13</v>
      </c>
      <c r="G8" s="346">
        <v>1</v>
      </c>
      <c r="H8" s="346">
        <v>24</v>
      </c>
      <c r="I8" s="335">
        <v>594</v>
      </c>
      <c r="J8" s="336">
        <v>198</v>
      </c>
      <c r="K8" s="348">
        <f t="shared" si="0"/>
        <v>198</v>
      </c>
      <c r="L8" s="353">
        <f t="shared" si="1"/>
        <v>3</v>
      </c>
      <c r="M8" s="347">
        <v>144340.5</v>
      </c>
      <c r="N8" s="348">
        <v>27326</v>
      </c>
      <c r="O8" s="419">
        <f>+M8/N8</f>
        <v>5.282167166800849</v>
      </c>
    </row>
    <row r="9" spans="1:15" ht="15">
      <c r="A9" s="175">
        <v>6</v>
      </c>
      <c r="B9" s="418" t="s">
        <v>189</v>
      </c>
      <c r="C9" s="338">
        <v>37771</v>
      </c>
      <c r="D9" s="354" t="s">
        <v>277</v>
      </c>
      <c r="E9" s="354" t="s">
        <v>341</v>
      </c>
      <c r="F9" s="355">
        <v>4</v>
      </c>
      <c r="G9" s="355">
        <v>1</v>
      </c>
      <c r="H9" s="355">
        <v>47</v>
      </c>
      <c r="I9" s="335">
        <v>476</v>
      </c>
      <c r="J9" s="336">
        <v>119</v>
      </c>
      <c r="K9" s="356">
        <f t="shared" si="0"/>
        <v>119</v>
      </c>
      <c r="L9" s="344">
        <f t="shared" si="1"/>
        <v>4</v>
      </c>
      <c r="M9" s="347">
        <f>89290+1782+951+891+891+174+40+476</f>
        <v>94495</v>
      </c>
      <c r="N9" s="348">
        <f>17173+594+317+297+297+21+8+119</f>
        <v>18826</v>
      </c>
      <c r="O9" s="416">
        <f>IF(M9&lt;&gt;0,M9/N9,"")</f>
        <v>5.019388080314458</v>
      </c>
    </row>
    <row r="10" spans="1:15" ht="15">
      <c r="A10" s="175">
        <v>7</v>
      </c>
      <c r="B10" s="418" t="s">
        <v>192</v>
      </c>
      <c r="C10" s="338">
        <v>37785</v>
      </c>
      <c r="D10" s="357" t="s">
        <v>277</v>
      </c>
      <c r="E10" s="352" t="s">
        <v>193</v>
      </c>
      <c r="F10" s="358">
        <v>8</v>
      </c>
      <c r="G10" s="358">
        <v>1</v>
      </c>
      <c r="H10" s="358">
        <v>52</v>
      </c>
      <c r="I10" s="335">
        <v>592</v>
      </c>
      <c r="J10" s="336">
        <v>148</v>
      </c>
      <c r="K10" s="348">
        <f t="shared" si="0"/>
        <v>148</v>
      </c>
      <c r="L10" s="353">
        <f t="shared" si="1"/>
        <v>4</v>
      </c>
      <c r="M10" s="347">
        <f>166723+610+542.5+424+831+170+177+592</f>
        <v>170069.5</v>
      </c>
      <c r="N10" s="348">
        <f>34433+92+91+51+277+34+59+148</f>
        <v>35185</v>
      </c>
      <c r="O10" s="420">
        <f>M10/N10</f>
        <v>4.833579650419213</v>
      </c>
    </row>
    <row r="11" spans="1:15" ht="15">
      <c r="A11" s="175">
        <v>8</v>
      </c>
      <c r="B11" s="415" t="s">
        <v>105</v>
      </c>
      <c r="C11" s="338">
        <v>37862</v>
      </c>
      <c r="D11" s="349" t="s">
        <v>216</v>
      </c>
      <c r="E11" s="349" t="s">
        <v>106</v>
      </c>
      <c r="F11" s="346">
        <v>79</v>
      </c>
      <c r="G11" s="333">
        <v>1</v>
      </c>
      <c r="H11" s="333">
        <v>23</v>
      </c>
      <c r="I11" s="331">
        <v>354</v>
      </c>
      <c r="J11" s="332">
        <v>118</v>
      </c>
      <c r="K11" s="356">
        <f t="shared" si="0"/>
        <v>118</v>
      </c>
      <c r="L11" s="344">
        <f t="shared" si="1"/>
        <v>3</v>
      </c>
      <c r="M11" s="342">
        <v>1061210.9</v>
      </c>
      <c r="N11" s="343">
        <v>195906</v>
      </c>
      <c r="O11" s="419">
        <f>+M11/N11</f>
        <v>5.41693924637326</v>
      </c>
    </row>
    <row r="12" spans="1:15" ht="15">
      <c r="A12" s="175">
        <v>9</v>
      </c>
      <c r="B12" s="418" t="s">
        <v>265</v>
      </c>
      <c r="C12" s="338">
        <v>37869</v>
      </c>
      <c r="D12" s="357" t="s">
        <v>277</v>
      </c>
      <c r="E12" s="352" t="s">
        <v>278</v>
      </c>
      <c r="F12" s="358">
        <v>8</v>
      </c>
      <c r="G12" s="358">
        <v>1</v>
      </c>
      <c r="H12" s="358">
        <v>26</v>
      </c>
      <c r="I12" s="335">
        <v>952</v>
      </c>
      <c r="J12" s="336">
        <v>238</v>
      </c>
      <c r="K12" s="348">
        <f t="shared" si="0"/>
        <v>238</v>
      </c>
      <c r="L12" s="353">
        <f t="shared" si="1"/>
        <v>4</v>
      </c>
      <c r="M12" s="347">
        <f>89641.3+831+474+952</f>
        <v>91898.3</v>
      </c>
      <c r="N12" s="348">
        <f>17019+277+158+238</f>
        <v>17692</v>
      </c>
      <c r="O12" s="416">
        <f>IF(M12&lt;&gt;0,M12/N12,"")</f>
        <v>5.194342075514357</v>
      </c>
    </row>
    <row r="13" spans="1:15" ht="15">
      <c r="A13" s="175">
        <v>10</v>
      </c>
      <c r="B13" s="421" t="s">
        <v>75</v>
      </c>
      <c r="C13" s="359">
        <v>37974</v>
      </c>
      <c r="D13" s="339" t="s">
        <v>216</v>
      </c>
      <c r="E13" s="339" t="s">
        <v>405</v>
      </c>
      <c r="F13" s="333">
        <v>156</v>
      </c>
      <c r="G13" s="333">
        <v>3</v>
      </c>
      <c r="H13" s="333">
        <v>38</v>
      </c>
      <c r="I13" s="331">
        <v>6255</v>
      </c>
      <c r="J13" s="332">
        <v>2085</v>
      </c>
      <c r="K13" s="340">
        <f>IF(I13&lt;&gt;0,J13/G13,"")</f>
        <v>695</v>
      </c>
      <c r="L13" s="341">
        <f>IF(I13&lt;&gt;0,I13/J13,"")</f>
        <v>3</v>
      </c>
      <c r="M13" s="347">
        <v>7489417.75</v>
      </c>
      <c r="N13" s="348">
        <v>1252640</v>
      </c>
      <c r="O13" s="416">
        <f aca="true" t="shared" si="2" ref="O13:O18">+M13/N13</f>
        <v>5.978906748946225</v>
      </c>
    </row>
    <row r="14" spans="1:15" ht="15">
      <c r="A14" s="175">
        <v>11</v>
      </c>
      <c r="B14" s="415" t="s">
        <v>634</v>
      </c>
      <c r="C14" s="338">
        <v>38051</v>
      </c>
      <c r="D14" s="345" t="s">
        <v>454</v>
      </c>
      <c r="E14" s="345" t="s">
        <v>457</v>
      </c>
      <c r="F14" s="346">
        <v>42</v>
      </c>
      <c r="G14" s="346">
        <v>1</v>
      </c>
      <c r="H14" s="346">
        <v>25</v>
      </c>
      <c r="I14" s="335">
        <v>105</v>
      </c>
      <c r="J14" s="336">
        <v>18</v>
      </c>
      <c r="K14" s="348">
        <f>J14/G14</f>
        <v>18</v>
      </c>
      <c r="L14" s="360">
        <f>I14/J14</f>
        <v>5.833333333333333</v>
      </c>
      <c r="M14" s="347">
        <v>999036</v>
      </c>
      <c r="N14" s="348">
        <v>163459</v>
      </c>
      <c r="O14" s="420">
        <f t="shared" si="2"/>
        <v>6.111844560409644</v>
      </c>
    </row>
    <row r="15" spans="1:15" ht="15">
      <c r="A15" s="175">
        <v>12</v>
      </c>
      <c r="B15" s="415" t="s">
        <v>634</v>
      </c>
      <c r="C15" s="359">
        <v>38051</v>
      </c>
      <c r="D15" s="345" t="s">
        <v>454</v>
      </c>
      <c r="E15" s="345" t="s">
        <v>457</v>
      </c>
      <c r="F15" s="346">
        <v>42</v>
      </c>
      <c r="G15" s="346">
        <v>1</v>
      </c>
      <c r="H15" s="346">
        <v>26</v>
      </c>
      <c r="I15" s="335">
        <v>102</v>
      </c>
      <c r="J15" s="336">
        <v>16</v>
      </c>
      <c r="K15" s="340">
        <f>IF(I15&lt;&gt;0,J15/G15,"")</f>
        <v>16</v>
      </c>
      <c r="L15" s="353">
        <f>+I15/J15</f>
        <v>6.375</v>
      </c>
      <c r="M15" s="347">
        <v>999138</v>
      </c>
      <c r="N15" s="348">
        <v>163475</v>
      </c>
      <c r="O15" s="420">
        <f t="shared" si="2"/>
        <v>6.1118703165621655</v>
      </c>
    </row>
    <row r="16" spans="1:15" ht="15">
      <c r="A16" s="175">
        <v>13</v>
      </c>
      <c r="B16" s="415" t="s">
        <v>195</v>
      </c>
      <c r="C16" s="338">
        <v>38072</v>
      </c>
      <c r="D16" s="349" t="s">
        <v>196</v>
      </c>
      <c r="E16" s="349" t="s">
        <v>432</v>
      </c>
      <c r="F16" s="346">
        <v>33</v>
      </c>
      <c r="G16" s="346">
        <v>1</v>
      </c>
      <c r="H16" s="346">
        <v>22</v>
      </c>
      <c r="I16" s="335">
        <v>354</v>
      </c>
      <c r="J16" s="336">
        <v>118</v>
      </c>
      <c r="K16" s="340">
        <f>+J16/G16</f>
        <v>118</v>
      </c>
      <c r="L16" s="341">
        <f>+I16/J16</f>
        <v>3</v>
      </c>
      <c r="M16" s="347">
        <v>465188.7</v>
      </c>
      <c r="N16" s="348">
        <v>72760</v>
      </c>
      <c r="O16" s="416">
        <f t="shared" si="2"/>
        <v>6.393467564595932</v>
      </c>
    </row>
    <row r="17" spans="1:15" ht="15">
      <c r="A17" s="175">
        <v>14</v>
      </c>
      <c r="B17" s="418" t="s">
        <v>128</v>
      </c>
      <c r="C17" s="338">
        <v>38170</v>
      </c>
      <c r="D17" s="354" t="s">
        <v>277</v>
      </c>
      <c r="E17" s="354" t="s">
        <v>335</v>
      </c>
      <c r="F17" s="355">
        <v>3</v>
      </c>
      <c r="G17" s="355">
        <v>1</v>
      </c>
      <c r="H17" s="355">
        <v>39</v>
      </c>
      <c r="I17" s="335">
        <v>476</v>
      </c>
      <c r="J17" s="336">
        <v>119</v>
      </c>
      <c r="K17" s="356">
        <f aca="true" t="shared" si="3" ref="K17:K31">J17/G17</f>
        <v>119</v>
      </c>
      <c r="L17" s="344">
        <f aca="true" t="shared" si="4" ref="L17:L31">I17/J17</f>
        <v>4</v>
      </c>
      <c r="M17" s="347">
        <f>67224+778+171+668+5412.5+1944+830.5+978+162.5+2255+664+118+164+168+168+397+1094+673+199+964+403+799+235+1125+155+96+951+1188+476</f>
        <v>90460.5</v>
      </c>
      <c r="N17" s="348">
        <f>9944+210+55+155+859+475+146+223+45+493+167+23+35+33+35+131+363+160+41+235+83+219+72+220+54+12+317+396+119</f>
        <v>15320</v>
      </c>
      <c r="O17" s="419">
        <f t="shared" si="2"/>
        <v>5.904732375979112</v>
      </c>
    </row>
    <row r="18" spans="1:15" ht="15">
      <c r="A18" s="175">
        <v>15</v>
      </c>
      <c r="B18" s="418" t="s">
        <v>264</v>
      </c>
      <c r="C18" s="338">
        <v>38191</v>
      </c>
      <c r="D18" s="357" t="s">
        <v>277</v>
      </c>
      <c r="E18" s="352" t="s">
        <v>143</v>
      </c>
      <c r="F18" s="358">
        <v>3</v>
      </c>
      <c r="G18" s="358">
        <v>1</v>
      </c>
      <c r="H18" s="358">
        <v>35</v>
      </c>
      <c r="I18" s="335">
        <v>803.2</v>
      </c>
      <c r="J18" s="336">
        <v>502</v>
      </c>
      <c r="K18" s="356">
        <f t="shared" si="3"/>
        <v>502</v>
      </c>
      <c r="L18" s="344">
        <f t="shared" si="4"/>
        <v>1.6</v>
      </c>
      <c r="M18" s="347">
        <f>44809+939+1634+438+363+435+381+3327+826+257+76+414+70+126+1425+2370+1830+247+1881+1257+293+158+874+1298+210+125+120+803.2</f>
        <v>66986.2</v>
      </c>
      <c r="N18" s="348">
        <f>6652+184+308+91+121+145+107+608+160+57+19+117+20+36+475+414+320+44+284+194+77+21+125+216+42+25+24+502</f>
        <v>11388</v>
      </c>
      <c r="O18" s="419">
        <f t="shared" si="2"/>
        <v>5.882174218475588</v>
      </c>
    </row>
    <row r="19" spans="1:15" ht="15">
      <c r="A19" s="175">
        <v>16</v>
      </c>
      <c r="B19" s="418" t="s">
        <v>264</v>
      </c>
      <c r="C19" s="338">
        <v>38191</v>
      </c>
      <c r="D19" s="357" t="s">
        <v>277</v>
      </c>
      <c r="E19" s="352" t="s">
        <v>143</v>
      </c>
      <c r="F19" s="358">
        <v>3</v>
      </c>
      <c r="G19" s="358">
        <v>1</v>
      </c>
      <c r="H19" s="358">
        <v>36</v>
      </c>
      <c r="I19" s="335">
        <v>476</v>
      </c>
      <c r="J19" s="336">
        <v>119</v>
      </c>
      <c r="K19" s="356">
        <f t="shared" si="3"/>
        <v>119</v>
      </c>
      <c r="L19" s="344">
        <f t="shared" si="4"/>
        <v>4</v>
      </c>
      <c r="M19" s="347">
        <f>44809+939+1634+438+363+435+381+3327+826+257+76+414+70+126+1425+2370+1830+247+1881+1257+293+158+874+1298+210+125+120+803.2+476</f>
        <v>67462.2</v>
      </c>
      <c r="N19" s="348">
        <f>6652+184+308+91+121+145+107+608+160+57+19+117+20+36+475+414+320+44+284+194+77+21+125+216+42+25+24+502+119</f>
        <v>11507</v>
      </c>
      <c r="O19" s="420">
        <f>M19/N19</f>
        <v>5.862709654992613</v>
      </c>
    </row>
    <row r="20" spans="1:15" ht="15">
      <c r="A20" s="175">
        <v>17</v>
      </c>
      <c r="B20" s="417" t="s">
        <v>264</v>
      </c>
      <c r="C20" s="338">
        <v>38191</v>
      </c>
      <c r="D20" s="337" t="s">
        <v>277</v>
      </c>
      <c r="E20" s="337" t="s">
        <v>143</v>
      </c>
      <c r="F20" s="334">
        <v>3</v>
      </c>
      <c r="G20" s="334">
        <v>1</v>
      </c>
      <c r="H20" s="334">
        <v>37</v>
      </c>
      <c r="I20" s="335">
        <v>435.2</v>
      </c>
      <c r="J20" s="336">
        <v>272</v>
      </c>
      <c r="K20" s="348">
        <f t="shared" si="3"/>
        <v>272</v>
      </c>
      <c r="L20" s="353">
        <f t="shared" si="4"/>
        <v>1.5999999999999999</v>
      </c>
      <c r="M20" s="347">
        <f>44809+939+1634+438+363+435+381+3327+826+257+76+414+70+126+1425+2370+1830+247+1881+1257+293+158+874+1298+210+125+120+803.2+476+435.2</f>
        <v>67897.4</v>
      </c>
      <c r="N20" s="348">
        <f>6652+184+308+91+121+145+107+608+160+57+19+117+20+36+475+414+320+44+284+194+77+21+125+216+42+25+24+502+119+272</f>
        <v>11779</v>
      </c>
      <c r="O20" s="420">
        <f>M20/N20</f>
        <v>5.76427540538246</v>
      </c>
    </row>
    <row r="21" spans="1:15" ht="15">
      <c r="A21" s="175">
        <v>18</v>
      </c>
      <c r="B21" s="418" t="s">
        <v>264</v>
      </c>
      <c r="C21" s="338">
        <v>38191</v>
      </c>
      <c r="D21" s="357" t="s">
        <v>277</v>
      </c>
      <c r="E21" s="352" t="s">
        <v>143</v>
      </c>
      <c r="F21" s="358">
        <v>3</v>
      </c>
      <c r="G21" s="358">
        <v>1</v>
      </c>
      <c r="H21" s="358">
        <v>39</v>
      </c>
      <c r="I21" s="335">
        <v>328</v>
      </c>
      <c r="J21" s="336">
        <v>50</v>
      </c>
      <c r="K21" s="348">
        <f t="shared" si="3"/>
        <v>50</v>
      </c>
      <c r="L21" s="353">
        <f t="shared" si="4"/>
        <v>6.56</v>
      </c>
      <c r="M21" s="347">
        <f>44809+939+1634+438+363+435+381+3327+826+257+76+414+70+126+1425+2370+1830+247+1881+1257+293+158+874+1298+210+125+120+803.2+476+435.2+266+328</f>
        <v>68491.4</v>
      </c>
      <c r="N21" s="348">
        <f>6652+184+308+91+121+145+107+608+160+57+19+117+20+36+475+414+320+44+284+194+77+21+125+216+42+25+24+502+119+272+42+50</f>
        <v>11871</v>
      </c>
      <c r="O21" s="420">
        <f>M21/N21</f>
        <v>5.769640299890489</v>
      </c>
    </row>
    <row r="22" spans="1:15" ht="15">
      <c r="A22" s="175">
        <v>19</v>
      </c>
      <c r="B22" s="418" t="s">
        <v>264</v>
      </c>
      <c r="C22" s="338">
        <v>38191</v>
      </c>
      <c r="D22" s="357" t="s">
        <v>277</v>
      </c>
      <c r="E22" s="352" t="s">
        <v>143</v>
      </c>
      <c r="F22" s="358">
        <v>3</v>
      </c>
      <c r="G22" s="358">
        <v>1</v>
      </c>
      <c r="H22" s="358">
        <v>38</v>
      </c>
      <c r="I22" s="335">
        <v>266</v>
      </c>
      <c r="J22" s="336">
        <v>42</v>
      </c>
      <c r="K22" s="348">
        <f t="shared" si="3"/>
        <v>42</v>
      </c>
      <c r="L22" s="353">
        <f t="shared" si="4"/>
        <v>6.333333333333333</v>
      </c>
      <c r="M22" s="347">
        <f>44809+939+1634+438+363+435+381+3327+826+257+76+414+70+126+1425+2370+1830+247+1881+1257+293+158+874+1298+210+125+120+803.2+476+435.2+266</f>
        <v>68163.4</v>
      </c>
      <c r="N22" s="348">
        <f>6652+184+308+91+121+145+107+608+160+57+19+117+20+36+475+414+320+44+284+194+77+21+125+216+42+25+24+502+119+272+42</f>
        <v>11821</v>
      </c>
      <c r="O22" s="420">
        <f>M22/N22</f>
        <v>5.766297267574655</v>
      </c>
    </row>
    <row r="23" spans="1:15" ht="15">
      <c r="A23" s="175">
        <v>20</v>
      </c>
      <c r="B23" s="421" t="s">
        <v>264</v>
      </c>
      <c r="C23" s="359">
        <v>38191</v>
      </c>
      <c r="D23" s="339" t="s">
        <v>277</v>
      </c>
      <c r="E23" s="352" t="s">
        <v>143</v>
      </c>
      <c r="F23" s="333">
        <v>3</v>
      </c>
      <c r="G23" s="333">
        <v>1</v>
      </c>
      <c r="H23" s="333">
        <v>40</v>
      </c>
      <c r="I23" s="331">
        <v>251</v>
      </c>
      <c r="J23" s="332">
        <v>45</v>
      </c>
      <c r="K23" s="356">
        <f t="shared" si="3"/>
        <v>45</v>
      </c>
      <c r="L23" s="344">
        <f t="shared" si="4"/>
        <v>5.5777777777777775</v>
      </c>
      <c r="M23" s="342">
        <v>68742.4</v>
      </c>
      <c r="N23" s="343">
        <v>11916</v>
      </c>
      <c r="O23" s="419">
        <f aca="true" t="shared" si="5" ref="O23:O30">+M23/N23</f>
        <v>5.768915743538099</v>
      </c>
    </row>
    <row r="24" spans="1:15" ht="15">
      <c r="A24" s="175">
        <v>21</v>
      </c>
      <c r="B24" s="415" t="s">
        <v>251</v>
      </c>
      <c r="C24" s="338">
        <v>38261</v>
      </c>
      <c r="D24" s="349" t="s">
        <v>216</v>
      </c>
      <c r="E24" s="349" t="s">
        <v>217</v>
      </c>
      <c r="F24" s="346">
        <v>17</v>
      </c>
      <c r="G24" s="346">
        <v>1</v>
      </c>
      <c r="H24" s="346">
        <v>25</v>
      </c>
      <c r="I24" s="335">
        <v>831</v>
      </c>
      <c r="J24" s="336">
        <v>277</v>
      </c>
      <c r="K24" s="356">
        <f t="shared" si="3"/>
        <v>277</v>
      </c>
      <c r="L24" s="344">
        <f t="shared" si="4"/>
        <v>3</v>
      </c>
      <c r="M24" s="347">
        <v>197779.5</v>
      </c>
      <c r="N24" s="348">
        <v>29372</v>
      </c>
      <c r="O24" s="419">
        <f t="shared" si="5"/>
        <v>6.7336068364428705</v>
      </c>
    </row>
    <row r="25" spans="1:15" ht="15">
      <c r="A25" s="175">
        <v>22</v>
      </c>
      <c r="B25" s="415" t="s">
        <v>251</v>
      </c>
      <c r="C25" s="338">
        <v>38261</v>
      </c>
      <c r="D25" s="349" t="s">
        <v>72</v>
      </c>
      <c r="E25" s="349" t="s">
        <v>217</v>
      </c>
      <c r="F25" s="346">
        <v>17</v>
      </c>
      <c r="G25" s="346">
        <v>1</v>
      </c>
      <c r="H25" s="346">
        <v>26</v>
      </c>
      <c r="I25" s="335">
        <v>594</v>
      </c>
      <c r="J25" s="336">
        <v>198</v>
      </c>
      <c r="K25" s="348">
        <f t="shared" si="3"/>
        <v>198</v>
      </c>
      <c r="L25" s="353">
        <f t="shared" si="4"/>
        <v>3</v>
      </c>
      <c r="M25" s="347">
        <v>198373.5</v>
      </c>
      <c r="N25" s="348">
        <v>29570</v>
      </c>
      <c r="O25" s="419">
        <f t="shared" si="5"/>
        <v>6.708606695975651</v>
      </c>
    </row>
    <row r="26" spans="1:15" ht="15">
      <c r="A26" s="175">
        <v>23</v>
      </c>
      <c r="B26" s="422" t="s">
        <v>83</v>
      </c>
      <c r="C26" s="359">
        <v>38296</v>
      </c>
      <c r="D26" s="349" t="s">
        <v>216</v>
      </c>
      <c r="E26" s="339" t="s">
        <v>141</v>
      </c>
      <c r="F26" s="333">
        <v>20</v>
      </c>
      <c r="G26" s="333">
        <v>3</v>
      </c>
      <c r="H26" s="333">
        <v>37</v>
      </c>
      <c r="I26" s="331">
        <v>5346</v>
      </c>
      <c r="J26" s="332">
        <v>1782</v>
      </c>
      <c r="K26" s="356">
        <f t="shared" si="3"/>
        <v>594</v>
      </c>
      <c r="L26" s="344">
        <f t="shared" si="4"/>
        <v>3</v>
      </c>
      <c r="M26" s="342">
        <v>331454</v>
      </c>
      <c r="N26" s="343">
        <v>50645</v>
      </c>
      <c r="O26" s="419">
        <f t="shared" si="5"/>
        <v>6.544653963866127</v>
      </c>
    </row>
    <row r="27" spans="1:15" ht="15">
      <c r="A27" s="175">
        <v>24</v>
      </c>
      <c r="B27" s="418" t="s">
        <v>677</v>
      </c>
      <c r="C27" s="338">
        <v>38359</v>
      </c>
      <c r="D27" s="354" t="s">
        <v>277</v>
      </c>
      <c r="E27" s="354" t="s">
        <v>182</v>
      </c>
      <c r="F27" s="355">
        <v>4</v>
      </c>
      <c r="G27" s="355">
        <v>1</v>
      </c>
      <c r="H27" s="355">
        <v>18</v>
      </c>
      <c r="I27" s="335">
        <v>712</v>
      </c>
      <c r="J27" s="336">
        <v>178</v>
      </c>
      <c r="K27" s="356">
        <f t="shared" si="3"/>
        <v>178</v>
      </c>
      <c r="L27" s="344">
        <f t="shared" si="4"/>
        <v>4</v>
      </c>
      <c r="M27" s="347">
        <f>4221+3387+120+3667.5+1040.5+428.5+454+347+66+17+3114.5+891+282+35+165+113+177+712</f>
        <v>19238</v>
      </c>
      <c r="N27" s="348">
        <f>526+435+20+608+180+78+93+91+14+4+974+297+57+8+27+22+59+178</f>
        <v>3671</v>
      </c>
      <c r="O27" s="419">
        <f t="shared" si="5"/>
        <v>5.240533914464724</v>
      </c>
    </row>
    <row r="28" spans="1:15" ht="15">
      <c r="A28" s="175">
        <v>25</v>
      </c>
      <c r="B28" s="415" t="s">
        <v>214</v>
      </c>
      <c r="C28" s="338">
        <v>38429</v>
      </c>
      <c r="D28" s="337" t="s">
        <v>455</v>
      </c>
      <c r="E28" s="337" t="s">
        <v>213</v>
      </c>
      <c r="F28" s="334">
        <v>97</v>
      </c>
      <c r="G28" s="334">
        <v>1</v>
      </c>
      <c r="H28" s="334">
        <v>32</v>
      </c>
      <c r="I28" s="335">
        <v>2376</v>
      </c>
      <c r="J28" s="336">
        <v>594</v>
      </c>
      <c r="K28" s="350">
        <f t="shared" si="3"/>
        <v>594</v>
      </c>
      <c r="L28" s="351">
        <f t="shared" si="4"/>
        <v>4</v>
      </c>
      <c r="M28" s="347">
        <f>1563268+855702+435680+239868+184373+155484+80039+13183+3888+6069+566+3823+1707+429+435+1546+955+1426+3564+1452+123+4444+1500+920+1007+5342+810+1188+1188+2013.5+2376</f>
        <v>3574368.5</v>
      </c>
      <c r="N28" s="348">
        <f>657685+2611+111+2188+817+74+81+646+169+713+1782+363+40+2222+528+264+504+2218+540+297+297+503+594</f>
        <v>675247</v>
      </c>
      <c r="O28" s="416">
        <f t="shared" si="5"/>
        <v>5.2934237397574515</v>
      </c>
    </row>
    <row r="29" spans="1:15" ht="15">
      <c r="A29" s="175">
        <v>26</v>
      </c>
      <c r="B29" s="415" t="s">
        <v>214</v>
      </c>
      <c r="C29" s="338">
        <v>38429</v>
      </c>
      <c r="D29" s="345" t="s">
        <v>455</v>
      </c>
      <c r="E29" s="345" t="s">
        <v>213</v>
      </c>
      <c r="F29" s="346">
        <v>97</v>
      </c>
      <c r="G29" s="346">
        <v>1</v>
      </c>
      <c r="H29" s="346">
        <v>33</v>
      </c>
      <c r="I29" s="335">
        <v>2376</v>
      </c>
      <c r="J29" s="336">
        <v>567</v>
      </c>
      <c r="K29" s="356">
        <f t="shared" si="3"/>
        <v>567</v>
      </c>
      <c r="L29" s="344">
        <f t="shared" si="4"/>
        <v>4.190476190476191</v>
      </c>
      <c r="M29" s="347">
        <f>1563268+855702+435680+239868+184373+155484+80039+13183+3888+6069+566+3823+1707+429+435+1546+955+1426+3564+1452+123+4444+1500+920+1007+5342+810+1188+1188+2013.5+2376+2376</f>
        <v>3576744.5</v>
      </c>
      <c r="N29" s="348">
        <f>657685+2611+111+2188+817+74+81+646+169+713+1782+363+40+2222+528+264+504+2218+540+297+297+503+594+594</f>
        <v>675841</v>
      </c>
      <c r="O29" s="419">
        <f t="shared" si="5"/>
        <v>5.292286943230731</v>
      </c>
    </row>
    <row r="30" spans="1:15" ht="15">
      <c r="A30" s="175">
        <v>27</v>
      </c>
      <c r="B30" s="415" t="s">
        <v>214</v>
      </c>
      <c r="C30" s="338">
        <v>38429</v>
      </c>
      <c r="D30" s="349" t="s">
        <v>455</v>
      </c>
      <c r="E30" s="345" t="s">
        <v>213</v>
      </c>
      <c r="F30" s="346">
        <v>97</v>
      </c>
      <c r="G30" s="346">
        <v>1</v>
      </c>
      <c r="H30" s="346">
        <v>36</v>
      </c>
      <c r="I30" s="335">
        <v>2376</v>
      </c>
      <c r="J30" s="336">
        <v>594</v>
      </c>
      <c r="K30" s="348">
        <f t="shared" si="3"/>
        <v>594</v>
      </c>
      <c r="L30" s="353">
        <f t="shared" si="4"/>
        <v>4</v>
      </c>
      <c r="M30" s="347">
        <f>1563268+855702+435680+239868+184373+155484+80039+13183+3888+6069+566+3823+1707+429+435+1546+955+1426+3564+1452+123+4444+1500+920+1007+5342+810+1188+1188+2013.5+2376+2376+2376+2013.5+2376</f>
        <v>3583510</v>
      </c>
      <c r="N30" s="348">
        <f>657685+2611+111+2188+817+74+81+646+169+713+1782+363+40+2222+528+264+504+2218+540+297+297+503+594+594+594+503+594</f>
        <v>677532</v>
      </c>
      <c r="O30" s="419">
        <f t="shared" si="5"/>
        <v>5.289063837575199</v>
      </c>
    </row>
    <row r="31" spans="1:15" ht="15">
      <c r="A31" s="175">
        <v>28</v>
      </c>
      <c r="B31" s="415" t="s">
        <v>214</v>
      </c>
      <c r="C31" s="338">
        <v>38429</v>
      </c>
      <c r="D31" s="345" t="s">
        <v>455</v>
      </c>
      <c r="E31" s="345" t="s">
        <v>213</v>
      </c>
      <c r="F31" s="346">
        <v>97</v>
      </c>
      <c r="G31" s="346">
        <v>1</v>
      </c>
      <c r="H31" s="346">
        <v>34</v>
      </c>
      <c r="I31" s="335">
        <v>2376</v>
      </c>
      <c r="J31" s="336">
        <v>594</v>
      </c>
      <c r="K31" s="350">
        <f t="shared" si="3"/>
        <v>594</v>
      </c>
      <c r="L31" s="351">
        <f t="shared" si="4"/>
        <v>4</v>
      </c>
      <c r="M31" s="347">
        <f>1563268+855702+435680+239868+184373+155484+80039+13183+3888+6069+566+3823+1707+429+435+1546+955+1426+3564+1452+123+4444+1500+920+1007+5342+810+1188+1188+2013.5+2376+2376+2376</f>
        <v>3579120.5</v>
      </c>
      <c r="N31" s="348">
        <f>657685+2611+111+2188+817+74+81+646+169+713+1782+363+40+2222+528+264+504+2218+540+297+297+503+594+594+594</f>
        <v>676435</v>
      </c>
      <c r="O31" s="420">
        <f>M31/N31</f>
        <v>5.2911521432214474</v>
      </c>
    </row>
    <row r="32" spans="1:15" ht="15">
      <c r="A32" s="175">
        <v>29</v>
      </c>
      <c r="B32" s="415" t="s">
        <v>214</v>
      </c>
      <c r="C32" s="338">
        <v>38429</v>
      </c>
      <c r="D32" s="345" t="s">
        <v>455</v>
      </c>
      <c r="E32" s="345" t="s">
        <v>213</v>
      </c>
      <c r="F32" s="346">
        <v>97</v>
      </c>
      <c r="G32" s="346">
        <v>1</v>
      </c>
      <c r="H32" s="346">
        <v>31</v>
      </c>
      <c r="I32" s="335">
        <v>2013.5</v>
      </c>
      <c r="J32" s="336">
        <v>503</v>
      </c>
      <c r="K32" s="340">
        <f>+J32/G32</f>
        <v>503</v>
      </c>
      <c r="L32" s="341">
        <f>+I32/J32</f>
        <v>4.002982107355865</v>
      </c>
      <c r="M32" s="347">
        <f>1563268+855702+435680+239868+184373+155484+80039+13183+3888+6069+566+3823+1707+429+435+1546+955+1426+3564+1452+123+4444+1500+920+1007+5342+810+1188+1188+2013.5</f>
        <v>3571992.5</v>
      </c>
      <c r="N32" s="348">
        <f>657685+2611+111+2188+817+74+81+646+169+713+1782+363+40+2222+528+264+504+2218+540+297+297+503</f>
        <v>674653</v>
      </c>
      <c r="O32" s="423">
        <f>M32/N32</f>
        <v>5.294562538075129</v>
      </c>
    </row>
    <row r="33" spans="1:15" ht="15">
      <c r="A33" s="175">
        <v>30</v>
      </c>
      <c r="B33" s="415" t="s">
        <v>214</v>
      </c>
      <c r="C33" s="338">
        <v>38429</v>
      </c>
      <c r="D33" s="345" t="s">
        <v>455</v>
      </c>
      <c r="E33" s="345" t="s">
        <v>213</v>
      </c>
      <c r="F33" s="361">
        <v>97</v>
      </c>
      <c r="G33" s="346">
        <v>1</v>
      </c>
      <c r="H33" s="346">
        <v>35</v>
      </c>
      <c r="I33" s="335">
        <v>2013.5</v>
      </c>
      <c r="J33" s="336">
        <v>503</v>
      </c>
      <c r="K33" s="340">
        <f aca="true" t="shared" si="6" ref="K33:K43">J33/G33</f>
        <v>503</v>
      </c>
      <c r="L33" s="341">
        <f aca="true" t="shared" si="7" ref="L33:L43">I33/J33</f>
        <v>4.002982107355865</v>
      </c>
      <c r="M33" s="347">
        <f>1563268+855702+435680+239868+184373+155484+80039+13183+3888+6069+566+3823+1707+429+435+1546+955+1426+3564+1452+123+4444+1500+920+1007+5342+810+1188+1188+2013.5+2376+2376+2376+2013.5</f>
        <v>3581134</v>
      </c>
      <c r="N33" s="348">
        <f>657685+2611+111+2188+817+74+81+646+169+713+1782+363+40+2222+528+264+504+2218+540+297+297+503+594+594+594+503</f>
        <v>676938</v>
      </c>
      <c r="O33" s="423">
        <f>M33/N33</f>
        <v>5.290194966156428</v>
      </c>
    </row>
    <row r="34" spans="1:15" ht="15">
      <c r="A34" s="175">
        <v>31</v>
      </c>
      <c r="B34" s="415" t="s">
        <v>194</v>
      </c>
      <c r="C34" s="338">
        <v>38436</v>
      </c>
      <c r="D34" s="345" t="s">
        <v>455</v>
      </c>
      <c r="E34" s="345" t="s">
        <v>525</v>
      </c>
      <c r="F34" s="346">
        <v>35</v>
      </c>
      <c r="G34" s="346">
        <v>3</v>
      </c>
      <c r="H34" s="346">
        <v>30</v>
      </c>
      <c r="I34" s="335">
        <v>4533</v>
      </c>
      <c r="J34" s="336">
        <v>906</v>
      </c>
      <c r="K34" s="356">
        <f t="shared" si="6"/>
        <v>302</v>
      </c>
      <c r="L34" s="344">
        <f t="shared" si="7"/>
        <v>5.003311258278146</v>
      </c>
      <c r="M34" s="347">
        <f>596848+3938+4417+2392+2822+567+225+103+165+1511+2376+1511+408+132+4533</f>
        <v>621948</v>
      </c>
      <c r="N34" s="348">
        <f>24360+20872+11689+9066+8279+7706+2114+1540+812+181+18+631+512+608+756+71+616+682+368+45+1339+82+33+33+756+1188+756+54+44+906</f>
        <v>96117</v>
      </c>
      <c r="O34" s="419">
        <f>+M34/N34</f>
        <v>6.470738787103218</v>
      </c>
    </row>
    <row r="35" spans="1:15" ht="15">
      <c r="A35" s="175">
        <v>32</v>
      </c>
      <c r="B35" s="415" t="s">
        <v>260</v>
      </c>
      <c r="C35" s="338">
        <v>38436</v>
      </c>
      <c r="D35" s="345" t="s">
        <v>455</v>
      </c>
      <c r="E35" s="345" t="s">
        <v>456</v>
      </c>
      <c r="F35" s="346">
        <v>70</v>
      </c>
      <c r="G35" s="346">
        <v>1</v>
      </c>
      <c r="H35" s="346">
        <v>43</v>
      </c>
      <c r="I35" s="335">
        <v>1510</v>
      </c>
      <c r="J35" s="336">
        <v>302</v>
      </c>
      <c r="K35" s="356">
        <f t="shared" si="6"/>
        <v>302</v>
      </c>
      <c r="L35" s="344">
        <f t="shared" si="7"/>
        <v>5</v>
      </c>
      <c r="M35" s="347">
        <f>289757+159405+88845+36465+38912+15196+7585+2765+500+2257+343+402+40+63+154+1395+123+1342+200+1329+288+718+423+1014+102+36+380+486+876+252+220+355+16+40+806+102+806+24+1511+39+148+64+1188+1510</f>
        <v>658482</v>
      </c>
      <c r="N35" s="348">
        <f>44660+22722+13621+7540+9496+3288+1744+550+102+637+69+8+102+11+29+636+24+84+388+56+317+36+150+77+263+17+6+87+81+205+42+37+53+2+5+403+17+403+4+756+6+24+10+396+302</f>
        <v>109466</v>
      </c>
      <c r="O35" s="419">
        <f>+M35/N35</f>
        <v>6.015402042643378</v>
      </c>
    </row>
    <row r="36" spans="1:15" ht="15">
      <c r="A36" s="175">
        <v>33</v>
      </c>
      <c r="B36" s="415" t="s">
        <v>260</v>
      </c>
      <c r="C36" s="338">
        <v>38436</v>
      </c>
      <c r="D36" s="345" t="s">
        <v>455</v>
      </c>
      <c r="E36" s="345" t="s">
        <v>456</v>
      </c>
      <c r="F36" s="346">
        <v>70</v>
      </c>
      <c r="G36" s="346">
        <v>1</v>
      </c>
      <c r="H36" s="346">
        <v>44</v>
      </c>
      <c r="I36" s="335">
        <v>201</v>
      </c>
      <c r="J36" s="336">
        <v>47</v>
      </c>
      <c r="K36" s="348">
        <f t="shared" si="6"/>
        <v>47</v>
      </c>
      <c r="L36" s="353">
        <f t="shared" si="7"/>
        <v>4.276595744680851</v>
      </c>
      <c r="M36" s="347">
        <f>289757+159405+88845+36465+38912+15196+7585+2765+500+2257+343+402+40+63+154+1395+123+1342+200+1329+288+718+423+1014+102+36+380+486+876+252+220+355+16+40+806+102+806+24+1511+39+148+64+1188+1510+201</f>
        <v>658683</v>
      </c>
      <c r="N36" s="348">
        <f>44660+22722+13621+7540+9496+3288+1744+550+102+637+69+8+102+11+29+636+24+84+388+56+317+36+150+77+263+17+6+87+81+205+42+37+53+2+5+403+17+403+4+756+6+24+10+396+302+47</f>
        <v>109513</v>
      </c>
      <c r="O36" s="420">
        <f>M36/N36</f>
        <v>6.014655794289262</v>
      </c>
    </row>
    <row r="37" spans="1:15" ht="15">
      <c r="A37" s="175">
        <v>34</v>
      </c>
      <c r="B37" s="415" t="s">
        <v>260</v>
      </c>
      <c r="C37" s="338">
        <v>38436</v>
      </c>
      <c r="D37" s="345" t="s">
        <v>455</v>
      </c>
      <c r="E37" s="345" t="s">
        <v>456</v>
      </c>
      <c r="F37" s="346">
        <v>70</v>
      </c>
      <c r="G37" s="346">
        <v>1</v>
      </c>
      <c r="H37" s="346">
        <v>44</v>
      </c>
      <c r="I37" s="335">
        <v>201</v>
      </c>
      <c r="J37" s="336">
        <v>47</v>
      </c>
      <c r="K37" s="356">
        <f t="shared" si="6"/>
        <v>47</v>
      </c>
      <c r="L37" s="344">
        <f t="shared" si="7"/>
        <v>4.276595744680851</v>
      </c>
      <c r="M37" s="347">
        <f>289757+159405+88845+36465+38912+15196+7585+2765+500+2257+343+402+40+63+154+1395+123+1342+200+1329+288+718+423+1014+102+36+380+486+876+252+220+355+16+40+806+102+806+24+1511+39+148+64+1188+1510+201</f>
        <v>658683</v>
      </c>
      <c r="N37" s="348">
        <f>44660+22722+13621+7540+9496+3288+1744+550+102+637+69+8+102+11+29+636+24+84+388+56+317+36+150+77+263+17+6+87+81+205+42+37+53+2+5+403+17+403+4+756+6+24+10+396+302+47</f>
        <v>109513</v>
      </c>
      <c r="O37" s="419">
        <f>+M37/N37</f>
        <v>6.014655794289262</v>
      </c>
    </row>
    <row r="38" spans="1:15" ht="15">
      <c r="A38" s="175">
        <v>35</v>
      </c>
      <c r="B38" s="422" t="s">
        <v>215</v>
      </c>
      <c r="C38" s="359">
        <v>38464</v>
      </c>
      <c r="D38" s="349" t="s">
        <v>216</v>
      </c>
      <c r="E38" s="349" t="s">
        <v>217</v>
      </c>
      <c r="F38" s="333">
        <v>8</v>
      </c>
      <c r="G38" s="333">
        <v>3</v>
      </c>
      <c r="H38" s="333">
        <v>17</v>
      </c>
      <c r="I38" s="331">
        <v>5346</v>
      </c>
      <c r="J38" s="332">
        <v>1782</v>
      </c>
      <c r="K38" s="356">
        <f t="shared" si="6"/>
        <v>594</v>
      </c>
      <c r="L38" s="344">
        <f t="shared" si="7"/>
        <v>3</v>
      </c>
      <c r="M38" s="347">
        <v>70711.46</v>
      </c>
      <c r="N38" s="348">
        <v>11449</v>
      </c>
      <c r="O38" s="419">
        <f>+M38/N38</f>
        <v>6.1762127696742075</v>
      </c>
    </row>
    <row r="39" spans="1:15" ht="15">
      <c r="A39" s="175">
        <v>36</v>
      </c>
      <c r="B39" s="415" t="s">
        <v>241</v>
      </c>
      <c r="C39" s="338">
        <v>38478</v>
      </c>
      <c r="D39" s="345" t="s">
        <v>455</v>
      </c>
      <c r="E39" s="345" t="s">
        <v>456</v>
      </c>
      <c r="F39" s="346">
        <v>110</v>
      </c>
      <c r="G39" s="346">
        <v>4</v>
      </c>
      <c r="H39" s="346">
        <v>29</v>
      </c>
      <c r="I39" s="335">
        <v>8367</v>
      </c>
      <c r="J39" s="336">
        <v>1675</v>
      </c>
      <c r="K39" s="356">
        <f t="shared" si="6"/>
        <v>418.75</v>
      </c>
      <c r="L39" s="344">
        <f t="shared" si="7"/>
        <v>4.995223880597015</v>
      </c>
      <c r="M39" s="347">
        <f>1552852+1129569+552235+360641+234885+137799+79583+30890+14053+7690+12825+4646+6751+11373+3335+2064+4541+1649+1466+1760+289+1516+291+806+2014+2376+8367+3021+1188</f>
        <v>4170475</v>
      </c>
      <c r="N39" s="348">
        <f>228080+162991+81553+54801+44296+29831+18292+6926+2921+2635+4885+1700+1195+2429+631+396+1815+397+316+417+57+757+58+403+1007+1188+396+1007+1675</f>
        <v>653055</v>
      </c>
      <c r="O39" s="419">
        <f>+M39/N39</f>
        <v>6.386100711272404</v>
      </c>
    </row>
    <row r="40" spans="1:15" ht="15">
      <c r="A40" s="175">
        <v>37</v>
      </c>
      <c r="B40" s="415" t="s">
        <v>260</v>
      </c>
      <c r="C40" s="338">
        <v>38497</v>
      </c>
      <c r="D40" s="349" t="s">
        <v>455</v>
      </c>
      <c r="E40" s="345" t="s">
        <v>456</v>
      </c>
      <c r="F40" s="346">
        <v>70</v>
      </c>
      <c r="G40" s="346">
        <v>1</v>
      </c>
      <c r="H40" s="346">
        <v>45</v>
      </c>
      <c r="I40" s="335">
        <v>2013.5</v>
      </c>
      <c r="J40" s="336">
        <v>503</v>
      </c>
      <c r="K40" s="348">
        <f t="shared" si="6"/>
        <v>503</v>
      </c>
      <c r="L40" s="353">
        <f t="shared" si="7"/>
        <v>4.002982107355865</v>
      </c>
      <c r="M40" s="347">
        <f>289757+159405+88845+36465+38912+15196+7585+2765+500+2257+343+402+40+63+154+1395+123+1342+200+1329+288+718+423+1014+102+36+380+486+876+252+220+355+16+40+806+102+806+24+1511+39+148+64+1188+1510+201+2013.5</f>
        <v>660696.5</v>
      </c>
      <c r="N40" s="348">
        <f>44660+22722+13621+7540+9496+3288+1744+550+102+637+69+8+102+11+29+636+24+84+388+56+317+36+150+77+263+17+6+87+81+205+42+37+53+2+5+403+17+403+4+756+6+24+10+396+302+47+503</f>
        <v>110016</v>
      </c>
      <c r="O40" s="419">
        <f>+M40/N40</f>
        <v>6.005458296974986</v>
      </c>
    </row>
    <row r="41" spans="1:15" ht="15">
      <c r="A41" s="175">
        <v>38</v>
      </c>
      <c r="B41" s="415" t="s">
        <v>76</v>
      </c>
      <c r="C41" s="338">
        <v>38506</v>
      </c>
      <c r="D41" s="345" t="s">
        <v>454</v>
      </c>
      <c r="E41" s="345" t="s">
        <v>461</v>
      </c>
      <c r="F41" s="346">
        <v>106</v>
      </c>
      <c r="G41" s="346">
        <v>1</v>
      </c>
      <c r="H41" s="346">
        <v>113</v>
      </c>
      <c r="I41" s="335">
        <v>1354</v>
      </c>
      <c r="J41" s="336">
        <v>212</v>
      </c>
      <c r="K41" s="356">
        <f t="shared" si="6"/>
        <v>212</v>
      </c>
      <c r="L41" s="344">
        <f t="shared" si="7"/>
        <v>6.386792452830188</v>
      </c>
      <c r="M41" s="347">
        <v>1521307</v>
      </c>
      <c r="N41" s="348">
        <v>237219</v>
      </c>
      <c r="O41" s="419">
        <f>+M41/N41</f>
        <v>6.413090856971828</v>
      </c>
    </row>
    <row r="42" spans="1:15" ht="15">
      <c r="A42" s="175">
        <v>39</v>
      </c>
      <c r="B42" s="417" t="s">
        <v>76</v>
      </c>
      <c r="C42" s="338">
        <v>38506</v>
      </c>
      <c r="D42" s="337" t="s">
        <v>454</v>
      </c>
      <c r="E42" s="337" t="s">
        <v>461</v>
      </c>
      <c r="F42" s="334">
        <v>106</v>
      </c>
      <c r="G42" s="334">
        <v>1</v>
      </c>
      <c r="H42" s="334">
        <v>112</v>
      </c>
      <c r="I42" s="335">
        <v>978</v>
      </c>
      <c r="J42" s="336">
        <v>157</v>
      </c>
      <c r="K42" s="350">
        <f t="shared" si="6"/>
        <v>157</v>
      </c>
      <c r="L42" s="351">
        <f t="shared" si="7"/>
        <v>6.229299363057325</v>
      </c>
      <c r="M42" s="347">
        <v>1519953</v>
      </c>
      <c r="N42" s="348">
        <v>237007</v>
      </c>
      <c r="O42" s="423">
        <f>M42/N42</f>
        <v>6.413114380587915</v>
      </c>
    </row>
    <row r="43" spans="1:15" ht="15">
      <c r="A43" s="175">
        <v>40</v>
      </c>
      <c r="B43" s="418" t="s">
        <v>250</v>
      </c>
      <c r="C43" s="338">
        <v>38548</v>
      </c>
      <c r="D43" s="357" t="s">
        <v>277</v>
      </c>
      <c r="E43" s="352" t="s">
        <v>678</v>
      </c>
      <c r="F43" s="358">
        <v>5</v>
      </c>
      <c r="G43" s="358">
        <v>1</v>
      </c>
      <c r="H43" s="358">
        <v>19</v>
      </c>
      <c r="I43" s="335">
        <v>236</v>
      </c>
      <c r="J43" s="336">
        <v>59</v>
      </c>
      <c r="K43" s="356">
        <f t="shared" si="6"/>
        <v>59</v>
      </c>
      <c r="L43" s="344">
        <f t="shared" si="7"/>
        <v>4</v>
      </c>
      <c r="M43" s="347">
        <f>12907+8305+3709+9521+5595+4291.5+2313.5+2410+2771+3491+829+102+364+256+314+461+277+276+236</f>
        <v>58429</v>
      </c>
      <c r="N43" s="348">
        <f>1417+942+490+1547+820+734+453+492+521+723+171+34+68+64+56+79+46+48+59</f>
        <v>8764</v>
      </c>
      <c r="O43" s="420">
        <f>M43/N43</f>
        <v>6.666932907348243</v>
      </c>
    </row>
    <row r="44" spans="1:15" ht="15">
      <c r="A44" s="175">
        <v>41</v>
      </c>
      <c r="B44" s="424" t="s">
        <v>226</v>
      </c>
      <c r="C44" s="359">
        <v>38618</v>
      </c>
      <c r="D44" s="362" t="s">
        <v>447</v>
      </c>
      <c r="E44" s="362" t="s">
        <v>333</v>
      </c>
      <c r="F44" s="361">
        <v>14</v>
      </c>
      <c r="G44" s="361">
        <v>1</v>
      </c>
      <c r="H44" s="361">
        <v>16</v>
      </c>
      <c r="I44" s="363">
        <v>1188</v>
      </c>
      <c r="J44" s="364">
        <v>396</v>
      </c>
      <c r="K44" s="340">
        <f>IF(I44&lt;&gt;0,J44/G44,"")</f>
        <v>396</v>
      </c>
      <c r="L44" s="341">
        <f>IF(I44&lt;&gt;0,I44/J44,"")</f>
        <v>3</v>
      </c>
      <c r="M44" s="365">
        <f>116721.5+0</f>
        <v>116721.5</v>
      </c>
      <c r="N44" s="348">
        <f>16861+0</f>
        <v>16861</v>
      </c>
      <c r="O44" s="416">
        <f>IF(M44&lt;&gt;0,M44/N44,"")</f>
        <v>6.922572801138722</v>
      </c>
    </row>
    <row r="45" spans="1:15" ht="15">
      <c r="A45" s="175">
        <v>42</v>
      </c>
      <c r="B45" s="422" t="s">
        <v>140</v>
      </c>
      <c r="C45" s="359">
        <v>38639</v>
      </c>
      <c r="D45" s="349" t="s">
        <v>141</v>
      </c>
      <c r="E45" s="345" t="s">
        <v>525</v>
      </c>
      <c r="F45" s="333">
        <v>13</v>
      </c>
      <c r="G45" s="333">
        <v>1</v>
      </c>
      <c r="H45" s="333">
        <v>22</v>
      </c>
      <c r="I45" s="331">
        <v>831</v>
      </c>
      <c r="J45" s="332">
        <v>277</v>
      </c>
      <c r="K45" s="356">
        <f>J45/G45</f>
        <v>277</v>
      </c>
      <c r="L45" s="344">
        <f>I45/J45</f>
        <v>3</v>
      </c>
      <c r="M45" s="342">
        <v>209408</v>
      </c>
      <c r="N45" s="343">
        <v>28730</v>
      </c>
      <c r="O45" s="419">
        <f>+M45/N45</f>
        <v>7.2888270100939785</v>
      </c>
    </row>
    <row r="46" spans="1:15" ht="15">
      <c r="A46" s="175">
        <v>43</v>
      </c>
      <c r="B46" s="422" t="s">
        <v>140</v>
      </c>
      <c r="C46" s="359">
        <v>38639</v>
      </c>
      <c r="D46" s="349" t="s">
        <v>141</v>
      </c>
      <c r="E46" s="339" t="s">
        <v>141</v>
      </c>
      <c r="F46" s="333">
        <v>13</v>
      </c>
      <c r="G46" s="333">
        <v>1</v>
      </c>
      <c r="H46" s="333">
        <v>23</v>
      </c>
      <c r="I46" s="331">
        <v>15</v>
      </c>
      <c r="J46" s="332">
        <v>4</v>
      </c>
      <c r="K46" s="340">
        <f>+J46/G46</f>
        <v>4</v>
      </c>
      <c r="L46" s="341">
        <f>+I46/J46</f>
        <v>3.75</v>
      </c>
      <c r="M46" s="347">
        <v>209423</v>
      </c>
      <c r="N46" s="348">
        <v>28734</v>
      </c>
      <c r="O46" s="419">
        <f>+M46/N46</f>
        <v>7.288334377392636</v>
      </c>
    </row>
    <row r="47" spans="1:15" ht="15">
      <c r="A47" s="175">
        <v>44</v>
      </c>
      <c r="B47" s="415" t="s">
        <v>140</v>
      </c>
      <c r="C47" s="338">
        <v>38639</v>
      </c>
      <c r="D47" s="349" t="s">
        <v>216</v>
      </c>
      <c r="E47" s="339" t="s">
        <v>141</v>
      </c>
      <c r="F47" s="346">
        <v>13</v>
      </c>
      <c r="G47" s="333">
        <v>1</v>
      </c>
      <c r="H47" s="333">
        <v>24</v>
      </c>
      <c r="I47" s="331">
        <v>5</v>
      </c>
      <c r="J47" s="332">
        <v>1</v>
      </c>
      <c r="K47" s="340">
        <f>+J47/G47</f>
        <v>1</v>
      </c>
      <c r="L47" s="341">
        <f>+I47/J47</f>
        <v>5</v>
      </c>
      <c r="M47" s="347">
        <v>209428</v>
      </c>
      <c r="N47" s="348">
        <v>28735</v>
      </c>
      <c r="O47" s="416">
        <f>+M47/N47</f>
        <v>7.288254741604315</v>
      </c>
    </row>
    <row r="48" spans="1:15" ht="15">
      <c r="A48" s="175">
        <v>45</v>
      </c>
      <c r="B48" s="424" t="s">
        <v>252</v>
      </c>
      <c r="C48" s="359">
        <v>38639</v>
      </c>
      <c r="D48" s="362" t="s">
        <v>447</v>
      </c>
      <c r="E48" s="345" t="s">
        <v>341</v>
      </c>
      <c r="F48" s="361">
        <v>4</v>
      </c>
      <c r="G48" s="361">
        <v>1</v>
      </c>
      <c r="H48" s="361">
        <v>15</v>
      </c>
      <c r="I48" s="363">
        <v>1946</v>
      </c>
      <c r="J48" s="364">
        <v>278</v>
      </c>
      <c r="K48" s="356">
        <f aca="true" t="shared" si="8" ref="K48:K60">J48/G48</f>
        <v>278</v>
      </c>
      <c r="L48" s="344">
        <f aca="true" t="shared" si="9" ref="L48:L60">I48/J48</f>
        <v>7</v>
      </c>
      <c r="M48" s="365">
        <f>34510+1946</f>
        <v>36456</v>
      </c>
      <c r="N48" s="348">
        <f>5735+278</f>
        <v>6013</v>
      </c>
      <c r="O48" s="419">
        <f>+M48/N48</f>
        <v>6.0628637951105935</v>
      </c>
    </row>
    <row r="49" spans="1:15" ht="15">
      <c r="A49" s="175">
        <v>46</v>
      </c>
      <c r="B49" s="418" t="s">
        <v>111</v>
      </c>
      <c r="C49" s="338">
        <v>38639</v>
      </c>
      <c r="D49" s="357" t="s">
        <v>277</v>
      </c>
      <c r="E49" s="352" t="s">
        <v>678</v>
      </c>
      <c r="F49" s="358">
        <v>7</v>
      </c>
      <c r="G49" s="358">
        <v>2</v>
      </c>
      <c r="H49" s="358">
        <v>26</v>
      </c>
      <c r="I49" s="335">
        <v>3560</v>
      </c>
      <c r="J49" s="336">
        <v>890</v>
      </c>
      <c r="K49" s="348">
        <f t="shared" si="8"/>
        <v>445</v>
      </c>
      <c r="L49" s="353">
        <f t="shared" si="9"/>
        <v>4</v>
      </c>
      <c r="M49" s="347">
        <f>28963.5+28618+20693+7789.5+4183+3517+224+3660+150+741+315+957+2019+413+1509+66+992+237+714+844+264+951+3027+594+594+3560</f>
        <v>115595</v>
      </c>
      <c r="N49" s="348">
        <f>3714+3514+2496+1322+559+1053+41+881+30+141+105+319+673+69+503+22+124+79+238+256+33+317+1009+198+198+890</f>
        <v>18784</v>
      </c>
      <c r="O49" s="420">
        <f>M49/N49</f>
        <v>6.153907580919932</v>
      </c>
    </row>
    <row r="50" spans="1:15" ht="15">
      <c r="A50" s="175">
        <v>47</v>
      </c>
      <c r="B50" s="418" t="s">
        <v>111</v>
      </c>
      <c r="C50" s="338">
        <v>38639</v>
      </c>
      <c r="D50" s="366" t="s">
        <v>277</v>
      </c>
      <c r="E50" s="352" t="s">
        <v>678</v>
      </c>
      <c r="F50" s="358">
        <v>7</v>
      </c>
      <c r="G50" s="358">
        <v>1</v>
      </c>
      <c r="H50" s="358">
        <v>27</v>
      </c>
      <c r="I50" s="335">
        <v>1780</v>
      </c>
      <c r="J50" s="336">
        <v>445</v>
      </c>
      <c r="K50" s="348">
        <f t="shared" si="8"/>
        <v>445</v>
      </c>
      <c r="L50" s="353">
        <f t="shared" si="9"/>
        <v>4</v>
      </c>
      <c r="M50" s="347">
        <f>28963.5+28618+20693+7789.5+4183+3517+224+3660+150+741+315+957+2019+413+1509+66+992+237+714+844+264+951+3027+594+594+3560+1780</f>
        <v>117375</v>
      </c>
      <c r="N50" s="348">
        <f>3714+3514+2496+1322+559+1053+41+881+30+141+105+319+673+69+503+22+124+79+238+256+33+317+1009+198+198+890+445</f>
        <v>19229</v>
      </c>
      <c r="O50" s="420">
        <f>M50/N50</f>
        <v>6.104061573664777</v>
      </c>
    </row>
    <row r="51" spans="1:15" ht="15">
      <c r="A51" s="175">
        <v>48</v>
      </c>
      <c r="B51" s="417" t="s">
        <v>77</v>
      </c>
      <c r="C51" s="338">
        <v>38660</v>
      </c>
      <c r="D51" s="337" t="s">
        <v>277</v>
      </c>
      <c r="E51" s="352" t="s">
        <v>678</v>
      </c>
      <c r="F51" s="334">
        <v>8</v>
      </c>
      <c r="G51" s="334">
        <v>3</v>
      </c>
      <c r="H51" s="334">
        <v>18</v>
      </c>
      <c r="I51" s="335">
        <v>4276</v>
      </c>
      <c r="J51" s="336">
        <v>1069</v>
      </c>
      <c r="K51" s="348">
        <f t="shared" si="8"/>
        <v>356.3333333333333</v>
      </c>
      <c r="L51" s="353">
        <f t="shared" si="9"/>
        <v>4</v>
      </c>
      <c r="M51" s="347">
        <f>37589.5+21430+10735+7513+3397+2698.5+1694+1188+1068+61+66+192+2376+831+15+403+55+4276</f>
        <v>95588</v>
      </c>
      <c r="N51" s="348">
        <f>4953+2834+1525+1678+808+620+471+396+356+11+12+30+792+277+5+53+11+1069</f>
        <v>15901</v>
      </c>
      <c r="O51" s="420">
        <f>M51/N51</f>
        <v>6.011445821017546</v>
      </c>
    </row>
    <row r="52" spans="1:15" ht="15">
      <c r="A52" s="175">
        <v>49</v>
      </c>
      <c r="B52" s="417" t="s">
        <v>80</v>
      </c>
      <c r="C52" s="338">
        <v>38660</v>
      </c>
      <c r="D52" s="337" t="s">
        <v>455</v>
      </c>
      <c r="E52" s="337" t="s">
        <v>81</v>
      </c>
      <c r="F52" s="334">
        <v>50</v>
      </c>
      <c r="G52" s="334">
        <v>1</v>
      </c>
      <c r="H52" s="334">
        <v>15</v>
      </c>
      <c r="I52" s="335">
        <v>2014</v>
      </c>
      <c r="J52" s="336">
        <v>504</v>
      </c>
      <c r="K52" s="356">
        <f t="shared" si="8"/>
        <v>504</v>
      </c>
      <c r="L52" s="344">
        <f t="shared" si="9"/>
        <v>3.996031746031746</v>
      </c>
      <c r="M52" s="347">
        <f>269702+101504+60027+19588+27775.5+12144.5+7585.5+330+4+1421+1006+761+293+6+14-6+14+2014</f>
        <v>504183.5</v>
      </c>
      <c r="N52" s="348">
        <f>35425+13799+8593+3695+6440+2685+1581+82+279+217+102+37+2+2+504</f>
        <v>73443</v>
      </c>
      <c r="O52" s="423">
        <f>M52/N52</f>
        <v>6.86496330487589</v>
      </c>
    </row>
    <row r="53" spans="1:15" ht="15">
      <c r="A53" s="175">
        <v>50</v>
      </c>
      <c r="B53" s="417" t="s">
        <v>129</v>
      </c>
      <c r="C53" s="338">
        <v>38674</v>
      </c>
      <c r="D53" s="345" t="s">
        <v>455</v>
      </c>
      <c r="E53" s="345" t="s">
        <v>475</v>
      </c>
      <c r="F53" s="346">
        <v>135</v>
      </c>
      <c r="G53" s="346">
        <v>1</v>
      </c>
      <c r="H53" s="346">
        <v>53</v>
      </c>
      <c r="I53" s="335">
        <v>5035</v>
      </c>
      <c r="J53" s="336">
        <v>1007</v>
      </c>
      <c r="K53" s="356">
        <f t="shared" si="8"/>
        <v>1007</v>
      </c>
      <c r="L53" s="344">
        <f t="shared" si="9"/>
        <v>5</v>
      </c>
      <c r="M53" s="347">
        <f>574568+1404261+2751877+3258896.5+2619095+1721177.5+1470030+1888546+1731654+1414026+1497050.5+996634+787201+777126+643480+509219.5+398974.5+275448+165366.5+73833.5+34414.5+18373+9776.5+10959.5+18948+5394+25647+638+416+7529+65562+23630+27062+8047+12612+19334+5461+21448+6611+467+80543+28795+5328+149+4598+326+2893+603+2376+315+1189+493+5035</f>
        <v>25413437</v>
      </c>
      <c r="N53" s="348">
        <f>74406+182802+367017+453161+369242+239307+216443+244832+235512+212084+230729+167361+134787+155924+132040+97910+71996+60438+31787+16691+9973+5959+2986+3569+5752+1319+6383+116+74+2435+21718+7677+8998+2322+3842+5954+1789+5799+2025+141+20137+7199+1304+37+1142+84+717+103+476+105+238+96+1007</f>
        <v>3825945</v>
      </c>
      <c r="O53" s="419">
        <f>+M53/N53</f>
        <v>6.642394754759935</v>
      </c>
    </row>
    <row r="54" spans="1:15" ht="15">
      <c r="A54" s="175">
        <v>51</v>
      </c>
      <c r="B54" s="415" t="s">
        <v>129</v>
      </c>
      <c r="C54" s="338">
        <v>38674</v>
      </c>
      <c r="D54" s="337" t="s">
        <v>455</v>
      </c>
      <c r="E54" s="337" t="s">
        <v>475</v>
      </c>
      <c r="F54" s="334">
        <v>134</v>
      </c>
      <c r="G54" s="334">
        <v>1</v>
      </c>
      <c r="H54" s="334">
        <v>54</v>
      </c>
      <c r="I54" s="335">
        <v>4027.5</v>
      </c>
      <c r="J54" s="336">
        <v>806</v>
      </c>
      <c r="K54" s="356">
        <f t="shared" si="8"/>
        <v>806</v>
      </c>
      <c r="L54" s="344">
        <f t="shared" si="9"/>
        <v>4.996898263027295</v>
      </c>
      <c r="M54" s="347">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f>
        <v>25417464.5</v>
      </c>
      <c r="N54" s="348">
        <f>74406+182802+367017+453161+369242+239307+216443+244832+235512+212084+230729+167361+134787+155924+132040+97910+71996+60438+31787+16691+9973+5959+2986+3569+5752+1319+6383+116+74+2435+21718+7677+8998+2322+3842+5954+1789+5799+2025+141+20137+7199+1304+37+1142+84+717+103+476+105+238+96+1007+806</f>
        <v>3826751</v>
      </c>
      <c r="O54" s="419">
        <f>+M54/N54</f>
        <v>6.6420481761159795</v>
      </c>
    </row>
    <row r="55" spans="1:15" ht="15">
      <c r="A55" s="175">
        <v>52</v>
      </c>
      <c r="B55" s="417" t="s">
        <v>129</v>
      </c>
      <c r="C55" s="338">
        <v>38674</v>
      </c>
      <c r="D55" s="337" t="s">
        <v>455</v>
      </c>
      <c r="E55" s="337" t="s">
        <v>475</v>
      </c>
      <c r="F55" s="334">
        <v>135</v>
      </c>
      <c r="G55" s="334">
        <v>2</v>
      </c>
      <c r="H55" s="334">
        <v>58</v>
      </c>
      <c r="I55" s="335">
        <v>3565</v>
      </c>
      <c r="J55" s="336">
        <v>891</v>
      </c>
      <c r="K55" s="350">
        <f t="shared" si="8"/>
        <v>445.5</v>
      </c>
      <c r="L55" s="351">
        <f t="shared" si="9"/>
        <v>4.001122334455668</v>
      </c>
      <c r="M55" s="347">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+2013.5+1188+3565</f>
        <v>25426013</v>
      </c>
      <c r="N55" s="348">
        <f>74406+182802+367017+453161+369242+239307+216443+244832+235512+212084+230729+167361+134787+155924+132040+97910+71996+60438+31787+16691+9973+5959+2986+3569+5752+1319+6383+116+74+2435+21718+7677+8998+2322+3842+5954+1789+5799+2025+141+20137+7199+1304+37+1142+84+717+103+476+105+238+96+1007+806+357+503+297+891</f>
        <v>3828799</v>
      </c>
      <c r="O55" s="423">
        <f>M55/N55</f>
        <v>6.640728071648577</v>
      </c>
    </row>
    <row r="56" spans="1:15" ht="15">
      <c r="A56" s="175">
        <v>53</v>
      </c>
      <c r="B56" s="417" t="s">
        <v>129</v>
      </c>
      <c r="C56" s="338">
        <v>38674</v>
      </c>
      <c r="D56" s="337" t="s">
        <v>455</v>
      </c>
      <c r="E56" s="337" t="s">
        <v>475</v>
      </c>
      <c r="F56" s="334">
        <v>135</v>
      </c>
      <c r="G56" s="334">
        <v>1</v>
      </c>
      <c r="H56" s="334">
        <v>59</v>
      </c>
      <c r="I56" s="335">
        <v>3564</v>
      </c>
      <c r="J56" s="336">
        <v>891</v>
      </c>
      <c r="K56" s="356">
        <f t="shared" si="8"/>
        <v>891</v>
      </c>
      <c r="L56" s="344">
        <f t="shared" si="9"/>
        <v>4</v>
      </c>
      <c r="M56" s="347">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+2013.5+1188+3565+3564</f>
        <v>25429577</v>
      </c>
      <c r="N56" s="348">
        <f>74406+182802+367017+453161+369242+239307+216443+244832+235512+212084+230729+167361+134787+155924+132040+97910+71996+60438+31787+16691+9973+5959+2986+3569+5752+1319+6383+116+74+2435+21718+7677+8998+2322+3842+5954+1789+5799+2025+141+20137+7199+1304+37+1142+84+717+103+476+105+238+96+1007+806+357+503+297+891+891</f>
        <v>3829690</v>
      </c>
      <c r="O56" s="423">
        <f>M56/N56</f>
        <v>6.640113690664258</v>
      </c>
    </row>
    <row r="57" spans="1:15" ht="15">
      <c r="A57" s="175">
        <v>54</v>
      </c>
      <c r="B57" s="345" t="s">
        <v>129</v>
      </c>
      <c r="C57" s="338">
        <v>38674</v>
      </c>
      <c r="D57" s="345" t="s">
        <v>455</v>
      </c>
      <c r="E57" s="382" t="s">
        <v>475</v>
      </c>
      <c r="F57" s="361">
        <v>138</v>
      </c>
      <c r="G57" s="346">
        <v>1</v>
      </c>
      <c r="H57" s="346">
        <v>68</v>
      </c>
      <c r="I57" s="335">
        <v>2376</v>
      </c>
      <c r="J57" s="336">
        <v>594</v>
      </c>
      <c r="K57" s="356">
        <f>J57/G57</f>
        <v>594</v>
      </c>
      <c r="L57" s="344">
        <f>I57/J57</f>
        <v>4</v>
      </c>
      <c r="M57" s="347">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+2013.5+1188+3565+3564+2376+50+40+1540.5+1510.5+2013.5+1510.5+2376</f>
        <v>25440994</v>
      </c>
      <c r="N57" s="348">
        <f>74406+182802+367017+453161+369242+239307+216443+244832+235512+212084+230729+167361+134787+155924+132040+97910+71996+60438+31787+16691+9973+5959+2986+3569+5752+1319+6383+116+74+2435+21718+7677+8998+2322+3842+5954+1789+5799+2025+141+20137+7199+1304+37+1142+84+717+103+476+105+238+96+1007+806+357+503+297+891+891+594+10+8+384+378+503+378+594</f>
        <v>3832539</v>
      </c>
      <c r="O57" s="344">
        <f>+M57/N57</f>
        <v>6.6381565849688675</v>
      </c>
    </row>
    <row r="58" spans="1:15" ht="15">
      <c r="A58" s="175">
        <v>55</v>
      </c>
      <c r="B58" s="415" t="s">
        <v>129</v>
      </c>
      <c r="C58" s="338">
        <v>38674</v>
      </c>
      <c r="D58" s="345" t="s">
        <v>455</v>
      </c>
      <c r="E58" s="345" t="s">
        <v>475</v>
      </c>
      <c r="F58" s="346">
        <v>135</v>
      </c>
      <c r="G58" s="346">
        <v>1</v>
      </c>
      <c r="H58" s="346">
        <v>60</v>
      </c>
      <c r="I58" s="335">
        <v>2376</v>
      </c>
      <c r="J58" s="336">
        <v>594</v>
      </c>
      <c r="K58" s="356">
        <f t="shared" si="8"/>
        <v>594</v>
      </c>
      <c r="L58" s="344">
        <f t="shared" si="9"/>
        <v>4</v>
      </c>
      <c r="M58" s="347">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+2013.5+1188+3565+3564+2376</f>
        <v>25431953</v>
      </c>
      <c r="N58" s="348">
        <f>74406+182802+367017+453161+369242+239307+216443+244832+235512+212084+230729+167361+134787+155924+132040+97910+71996+60438+31787+16691+9973+5959+2986+3569+5752+1319+6383+116+74+2435+21718+7677+8998+2322+3842+5954+1789+5799+2025+141+20137+7199+1304+37+1142+84+717+103+476+105+238+96+1007+806+357+503+297+891+891+594</f>
        <v>3830284</v>
      </c>
      <c r="O58" s="419">
        <f>+M58/N58</f>
        <v>6.639704262138264</v>
      </c>
    </row>
    <row r="59" spans="1:15" ht="15">
      <c r="A59" s="175">
        <v>56</v>
      </c>
      <c r="B59" s="415" t="s">
        <v>129</v>
      </c>
      <c r="C59" s="338">
        <v>38674</v>
      </c>
      <c r="D59" s="345" t="s">
        <v>455</v>
      </c>
      <c r="E59" s="345" t="s">
        <v>475</v>
      </c>
      <c r="F59" s="346">
        <v>135</v>
      </c>
      <c r="G59" s="346">
        <v>1</v>
      </c>
      <c r="H59" s="346">
        <v>56</v>
      </c>
      <c r="I59" s="335">
        <v>2013.5</v>
      </c>
      <c r="J59" s="336">
        <v>503</v>
      </c>
      <c r="K59" s="348">
        <f t="shared" si="8"/>
        <v>503</v>
      </c>
      <c r="L59" s="353">
        <f t="shared" si="9"/>
        <v>4.002982107355865</v>
      </c>
      <c r="M59" s="347">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+2013.5</f>
        <v>25421260</v>
      </c>
      <c r="N59" s="348">
        <f>74406+182802+367017+453161+369242+239307+216443+244832+235512+212084+230729+167361+134787+155924+132040+97910+71996+60438+31787+16691+9973+5959+2986+3569+5752+1319+6383+116+74+2435+21718+7677+8998+2322+3842+5954+1789+5799+2025+141+20137+7199+1304+37+1142+84+717+103+476+105+238+96+1007+806+357+503</f>
        <v>3827611</v>
      </c>
      <c r="O59" s="419">
        <f>+M59/N59</f>
        <v>6.641547429976558</v>
      </c>
    </row>
    <row r="60" spans="1:15" ht="15">
      <c r="A60" s="175">
        <v>57</v>
      </c>
      <c r="B60" s="415" t="s">
        <v>129</v>
      </c>
      <c r="C60" s="338">
        <v>38674</v>
      </c>
      <c r="D60" s="345" t="s">
        <v>455</v>
      </c>
      <c r="E60" s="345" t="s">
        <v>475</v>
      </c>
      <c r="F60" s="361">
        <v>135</v>
      </c>
      <c r="G60" s="346">
        <v>1</v>
      </c>
      <c r="H60" s="346">
        <v>66</v>
      </c>
      <c r="I60" s="335">
        <v>2013.5</v>
      </c>
      <c r="J60" s="336">
        <v>503</v>
      </c>
      <c r="K60" s="340">
        <f t="shared" si="8"/>
        <v>503</v>
      </c>
      <c r="L60" s="341">
        <f t="shared" si="9"/>
        <v>4.002982107355865</v>
      </c>
      <c r="M60" s="347">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+2013.5+1188+3565+3564+2376+50+40+1540.5+1510.5+2013.5</f>
        <v>25437107.5</v>
      </c>
      <c r="N60" s="348">
        <f>74406+182802+367017+453161+369242+239307+216443+244832+235512+212084+230729+167361+134787+155924+132040+97910+71996+60438+31787+16691+9973+5959+2986+3569+5752+1319+6383+116+74+2435+21718+7677+8998+2322+3842+5954+1789+5799+2025+141+20137+7199+1304+37+1142+84+717+103+476+105+238+96+1007+806+357+503+297+891+891+594+10+8+384+378+503</f>
        <v>3831567</v>
      </c>
      <c r="O60" s="423">
        <f>M60/N60</f>
        <v>6.638826229581787</v>
      </c>
    </row>
    <row r="61" spans="1:15" ht="15">
      <c r="A61" s="175">
        <v>58</v>
      </c>
      <c r="B61" s="417" t="s">
        <v>129</v>
      </c>
      <c r="C61" s="338">
        <v>38674</v>
      </c>
      <c r="D61" s="345" t="s">
        <v>455</v>
      </c>
      <c r="E61" s="345" t="s">
        <v>475</v>
      </c>
      <c r="F61" s="346">
        <v>134</v>
      </c>
      <c r="G61" s="346">
        <v>1</v>
      </c>
      <c r="H61" s="346">
        <v>55</v>
      </c>
      <c r="I61" s="335">
        <v>1782</v>
      </c>
      <c r="J61" s="336">
        <v>357</v>
      </c>
      <c r="K61" s="340">
        <f>+J61/G61</f>
        <v>357</v>
      </c>
      <c r="L61" s="341">
        <f>+I61/J61</f>
        <v>4.991596638655462</v>
      </c>
      <c r="M61" s="347">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f>
        <v>25419246.5</v>
      </c>
      <c r="N61" s="348">
        <f>74406+182802+367017+453161+369242+239307+216443+244832+235512+212084+230729+167361+134787+155924+132040+97910+71996+60438+31787+16691+9973+5959+2986+3569+5752+1319+6383+116+74+2435+21718+7677+8998+2322+3842+5954+1789+5799+2025+141+20137+7199+1304+37+1142+84+717+103+476+105+238+96+1007+806+357</f>
        <v>3827108</v>
      </c>
      <c r="O61" s="419">
        <f>+M61/N61</f>
        <v>6.64189421882006</v>
      </c>
    </row>
    <row r="62" spans="1:15" ht="15">
      <c r="A62" s="175">
        <v>59</v>
      </c>
      <c r="B62" s="415" t="s">
        <v>129</v>
      </c>
      <c r="C62" s="338">
        <v>38674</v>
      </c>
      <c r="D62" s="345" t="s">
        <v>455</v>
      </c>
      <c r="E62" s="345" t="s">
        <v>475</v>
      </c>
      <c r="F62" s="346">
        <v>135</v>
      </c>
      <c r="G62" s="346">
        <v>1</v>
      </c>
      <c r="H62" s="346">
        <v>64</v>
      </c>
      <c r="I62" s="335">
        <v>1540.5</v>
      </c>
      <c r="J62" s="336">
        <v>384</v>
      </c>
      <c r="K62" s="350">
        <f>J62/G62</f>
        <v>384</v>
      </c>
      <c r="L62" s="351">
        <f>I62/J62</f>
        <v>4.01171875</v>
      </c>
      <c r="M62" s="347">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+2013.5+1188+3565+3564+2376+50+40+1540.5</f>
        <v>25433583.5</v>
      </c>
      <c r="N62" s="348">
        <f>74406+182802+367017+453161+369242+239307+216443+244832+235512+212084+230729+167361+134787+155924+132040+97910+71996+60438+31787+16691+9973+5959+2986+3569+5752+1319+6383+116+74+2435+21718+7677+8998+2322+3842+5954+1789+5799+2025+141+20137+7199+1304+37+1142+84+717+103+476+105+238+96+1007+806+357+503+297+891+891+594+10+8+384</f>
        <v>3830686</v>
      </c>
      <c r="O62" s="423">
        <f>M62/N62</f>
        <v>6.639433119811961</v>
      </c>
    </row>
    <row r="63" spans="1:15" ht="15">
      <c r="A63" s="175">
        <v>60</v>
      </c>
      <c r="B63" s="415" t="s">
        <v>129</v>
      </c>
      <c r="C63" s="338">
        <v>38674</v>
      </c>
      <c r="D63" s="345" t="s">
        <v>455</v>
      </c>
      <c r="E63" s="345" t="s">
        <v>475</v>
      </c>
      <c r="F63" s="346">
        <v>135</v>
      </c>
      <c r="G63" s="346">
        <v>1</v>
      </c>
      <c r="H63" s="346">
        <v>67</v>
      </c>
      <c r="I63" s="335">
        <v>1510.5</v>
      </c>
      <c r="J63" s="336">
        <v>378</v>
      </c>
      <c r="K63" s="340">
        <f>IF(I63&lt;&gt;0,J63/G63,"")</f>
        <v>378</v>
      </c>
      <c r="L63" s="341">
        <f>IF(I63&lt;&gt;0,I63/J63,"")</f>
        <v>3.996031746031746</v>
      </c>
      <c r="M63" s="347">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+2013.5+1188+3565+3564+2376+50+40+1540.5+1510.5+2013.5+1510.5</f>
        <v>25438618</v>
      </c>
      <c r="N63" s="348">
        <f>74406+182802+367017+453161+369242+239307+216443+244832+235512+212084+230729+167361+134787+155924+132040+97910+71996+60438+31787+16691+9973+5959+2986+3569+5752+1319+6383+116+74+2435+21718+7677+8998+2322+3842+5954+1789+5799+2025+141+20137+7199+1304+37+1142+84+717+103+476+105+238+96+1007+806+357+503+297+891+891+594+10+8+384+378+503+378</f>
        <v>3831945</v>
      </c>
      <c r="O63" s="416">
        <f>IF(M63&lt;&gt;0,M63/N63,"")</f>
        <v>6.638565532647259</v>
      </c>
    </row>
    <row r="64" spans="1:15" ht="15">
      <c r="A64" s="175">
        <v>61</v>
      </c>
      <c r="B64" s="415" t="s">
        <v>129</v>
      </c>
      <c r="C64" s="338">
        <v>38674</v>
      </c>
      <c r="D64" s="345" t="s">
        <v>455</v>
      </c>
      <c r="E64" s="345" t="s">
        <v>475</v>
      </c>
      <c r="F64" s="346">
        <v>135</v>
      </c>
      <c r="G64" s="346">
        <v>1</v>
      </c>
      <c r="H64" s="346">
        <v>65</v>
      </c>
      <c r="I64" s="335">
        <v>1510.5</v>
      </c>
      <c r="J64" s="336">
        <v>378</v>
      </c>
      <c r="K64" s="367">
        <f aca="true" t="shared" si="10" ref="K64:K75">J64/G64</f>
        <v>378</v>
      </c>
      <c r="L64" s="360">
        <f aca="true" t="shared" si="11" ref="L64:L75">I64/J64</f>
        <v>3.996031746031746</v>
      </c>
      <c r="M64" s="347">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+2013.5+1188+3565+3564+2376+50+40+1540.5+1510.5</f>
        <v>25435094</v>
      </c>
      <c r="N64" s="348">
        <f>74406+182802+367017+453161+369242+239307+216443+244832+235512+212084+230729+167361+134787+155924+132040+97910+71996+60438+31787+16691+9973+5959+2986+3569+5752+1319+6383+116+74+2435+21718+7677+8998+2322+3842+5954+1789+5799+2025+141+20137+7199+1304+37+1142+84+717+103+476+105+238+96+1007+806+357+503+297+891+891+594+10+8+384+378</f>
        <v>3831064</v>
      </c>
      <c r="O64" s="425">
        <f>M64/N64</f>
        <v>6.639172303046882</v>
      </c>
    </row>
    <row r="65" spans="1:15" ht="15">
      <c r="A65" s="175">
        <v>62</v>
      </c>
      <c r="B65" s="415" t="s">
        <v>129</v>
      </c>
      <c r="C65" s="338">
        <v>38674</v>
      </c>
      <c r="D65" s="345" t="s">
        <v>455</v>
      </c>
      <c r="E65" s="345" t="s">
        <v>475</v>
      </c>
      <c r="F65" s="346">
        <v>135</v>
      </c>
      <c r="G65" s="346">
        <v>1</v>
      </c>
      <c r="H65" s="346">
        <v>57</v>
      </c>
      <c r="I65" s="335">
        <v>1188</v>
      </c>
      <c r="J65" s="336">
        <v>297</v>
      </c>
      <c r="K65" s="356">
        <f t="shared" si="10"/>
        <v>297</v>
      </c>
      <c r="L65" s="344">
        <f t="shared" si="11"/>
        <v>4</v>
      </c>
      <c r="M65" s="347">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+2013.5+1188</f>
        <v>25422448</v>
      </c>
      <c r="N65" s="348">
        <f>74406+182802+367017+453161+369242+239307+216443+244832+235512+212084+230729+167361+134787+155924+132040+97910+71996+60438+31787+16691+9973+5959+2986+3569+5752+1319+6383+116+74+2435+21718+7677+8998+2322+3842+5954+1789+5799+2025+141+20137+7199+1304+37+1142+84+717+103+476+105+238+96+1007+806+357+503+297</f>
        <v>3827908</v>
      </c>
      <c r="O65" s="423">
        <f>M65/N65</f>
        <v>6.641342477405413</v>
      </c>
    </row>
    <row r="66" spans="1:15" ht="15">
      <c r="A66" s="175">
        <v>63</v>
      </c>
      <c r="B66" s="417" t="s">
        <v>129</v>
      </c>
      <c r="C66" s="338">
        <v>38674</v>
      </c>
      <c r="D66" s="345" t="s">
        <v>455</v>
      </c>
      <c r="E66" s="345" t="s">
        <v>475</v>
      </c>
      <c r="F66" s="346">
        <v>131</v>
      </c>
      <c r="G66" s="346">
        <v>1</v>
      </c>
      <c r="H66" s="346">
        <v>52</v>
      </c>
      <c r="I66" s="335">
        <v>493</v>
      </c>
      <c r="J66" s="336">
        <v>96</v>
      </c>
      <c r="K66" s="356">
        <f t="shared" si="10"/>
        <v>96</v>
      </c>
      <c r="L66" s="344">
        <f t="shared" si="11"/>
        <v>5.135416666666667</v>
      </c>
      <c r="M66" s="347">
        <f>574568+1404261+2751877+3258896.5+2619095+1721177.5+1470030+1888546+1731654+1414026+1497050.5+996634+787201+777126+643480+509219.5+398974.5+275448+165366.5+73833.5+34414.5+18373+9776.5+10959.5+18948+5394+25647+638+416+7529+65562+23630+27062+8047+12612+19334+5461+21448+6611+467+80543+28795+5328+149+4598+326+2893+603+2376+315+1189+493</f>
        <v>25408402</v>
      </c>
      <c r="N66" s="348">
        <f>74406+182802+367017+453161+369242+239307+216443+244832+235512+212084+230729+167361+134787+155924+132040+97910+71996+60438+31787+16691+9973+5959+2986+3569+5752+1319+6383+116+74+2435+21718+7677+8998+2322+3842+5954+1789+5799+2025+141+20137+7199+1304+37+1142+84+717+103+476+105+238+96</f>
        <v>3824938</v>
      </c>
      <c r="O66" s="416">
        <f>IF(M66&lt;&gt;0,M66/N66,"")</f>
        <v>6.64282715170808</v>
      </c>
    </row>
    <row r="67" spans="1:15" ht="15">
      <c r="A67" s="175">
        <v>64</v>
      </c>
      <c r="B67" s="415" t="s">
        <v>129</v>
      </c>
      <c r="C67" s="338">
        <v>38674</v>
      </c>
      <c r="D67" s="345" t="s">
        <v>455</v>
      </c>
      <c r="E67" s="345" t="s">
        <v>475</v>
      </c>
      <c r="F67" s="346">
        <v>135</v>
      </c>
      <c r="G67" s="346">
        <v>1</v>
      </c>
      <c r="H67" s="346">
        <v>61</v>
      </c>
      <c r="I67" s="335">
        <v>50</v>
      </c>
      <c r="J67" s="336">
        <v>10</v>
      </c>
      <c r="K67" s="356">
        <f t="shared" si="10"/>
        <v>10</v>
      </c>
      <c r="L67" s="344">
        <f t="shared" si="11"/>
        <v>5</v>
      </c>
      <c r="M67" s="347">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+2013.5+1188+3565+3564+2376+50</f>
        <v>25432003</v>
      </c>
      <c r="N67" s="348">
        <f>74406+182802+367017+453161+369242+239307+216443+244832+235512+212084+230729+167361+134787+155924+132040+97910+71996+60438+31787+16691+9973+5959+2986+3569+5752+1319+6383+116+74+2435+21718+7677+8998+2322+3842+5954+1789+5799+2025+141+20137+7199+1304+37+1142+84+717+103+476+105+238+96+1007+806+357+503+297+891+891+594+10</f>
        <v>3830294</v>
      </c>
      <c r="O67" s="419">
        <f aca="true" t="shared" si="12" ref="O67:O72">+M67/N67</f>
        <v>6.639699981254703</v>
      </c>
    </row>
    <row r="68" spans="1:15" ht="15">
      <c r="A68" s="175">
        <v>65</v>
      </c>
      <c r="B68" s="415" t="s">
        <v>129</v>
      </c>
      <c r="C68" s="338">
        <v>38674</v>
      </c>
      <c r="D68" s="345" t="s">
        <v>455</v>
      </c>
      <c r="E68" s="345" t="s">
        <v>475</v>
      </c>
      <c r="F68" s="346">
        <v>135</v>
      </c>
      <c r="G68" s="346">
        <v>1</v>
      </c>
      <c r="H68" s="346">
        <v>63</v>
      </c>
      <c r="I68" s="335">
        <v>40</v>
      </c>
      <c r="J68" s="336">
        <v>8</v>
      </c>
      <c r="K68" s="350">
        <f t="shared" si="10"/>
        <v>8</v>
      </c>
      <c r="L68" s="351">
        <f t="shared" si="11"/>
        <v>5</v>
      </c>
      <c r="M68" s="347">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+2013.5+1188+3565+3564+2376+50+40</f>
        <v>25432043</v>
      </c>
      <c r="N68" s="348">
        <f>74406+182802+367017+453161+369242+239307+216443+244832+235512+212084+230729+167361+134787+155924+132040+97910+71996+60438+31787+16691+9973+5959+2986+3569+5752+1319+6383+116+74+2435+21718+7677+8998+2322+3842+5954+1789+5799+2025+141+20137+7199+1304+37+1142+84+717+103+476+105+238+96+1007+806+357+503+297+891+891+594+10+8</f>
        <v>3830302</v>
      </c>
      <c r="O68" s="419">
        <f t="shared" si="12"/>
        <v>6.639696556563947</v>
      </c>
    </row>
    <row r="69" spans="1:15" ht="15">
      <c r="A69" s="175">
        <v>66</v>
      </c>
      <c r="B69" s="422" t="s">
        <v>639</v>
      </c>
      <c r="C69" s="338">
        <v>38688</v>
      </c>
      <c r="D69" s="349" t="s">
        <v>277</v>
      </c>
      <c r="E69" s="349" t="s">
        <v>404</v>
      </c>
      <c r="F69" s="368">
        <v>2</v>
      </c>
      <c r="G69" s="355">
        <v>1</v>
      </c>
      <c r="H69" s="368">
        <v>19</v>
      </c>
      <c r="I69" s="331">
        <v>952</v>
      </c>
      <c r="J69" s="332">
        <v>238</v>
      </c>
      <c r="K69" s="356">
        <f t="shared" si="10"/>
        <v>238</v>
      </c>
      <c r="L69" s="344">
        <f t="shared" si="11"/>
        <v>4</v>
      </c>
      <c r="M69" s="342">
        <v>34876.5</v>
      </c>
      <c r="N69" s="343">
        <v>6352</v>
      </c>
      <c r="O69" s="419">
        <f t="shared" si="12"/>
        <v>5.490632871536524</v>
      </c>
    </row>
    <row r="70" spans="1:15" ht="15">
      <c r="A70" s="175">
        <v>67</v>
      </c>
      <c r="B70" s="418" t="s">
        <v>78</v>
      </c>
      <c r="C70" s="338">
        <v>38688</v>
      </c>
      <c r="D70" s="357" t="s">
        <v>277</v>
      </c>
      <c r="E70" s="352" t="s">
        <v>79</v>
      </c>
      <c r="F70" s="358">
        <v>10</v>
      </c>
      <c r="G70" s="358">
        <v>1</v>
      </c>
      <c r="H70" s="358">
        <v>20</v>
      </c>
      <c r="I70" s="335">
        <v>1664</v>
      </c>
      <c r="J70" s="336">
        <v>416</v>
      </c>
      <c r="K70" s="356">
        <f t="shared" si="10"/>
        <v>416</v>
      </c>
      <c r="L70" s="344">
        <f t="shared" si="11"/>
        <v>4</v>
      </c>
      <c r="M70" s="347">
        <f>15934.5+5962.5+2065.5+65+247.5+98+1068+250+1662+351+295+714+855+64+180+1509+1188+2376+1068+1664</f>
        <v>37617</v>
      </c>
      <c r="N70" s="348">
        <f>1984+886+304+13+45+22+356+25+554+45+31+238+285+15+45+503+396+792+356+416</f>
        <v>7311</v>
      </c>
      <c r="O70" s="419">
        <f t="shared" si="12"/>
        <v>5.145260566270004</v>
      </c>
    </row>
    <row r="71" spans="1:15" ht="15">
      <c r="A71" s="175">
        <v>68</v>
      </c>
      <c r="B71" s="418" t="s">
        <v>78</v>
      </c>
      <c r="C71" s="338">
        <v>38688</v>
      </c>
      <c r="D71" s="357" t="s">
        <v>277</v>
      </c>
      <c r="E71" s="352" t="s">
        <v>79</v>
      </c>
      <c r="F71" s="358">
        <v>10</v>
      </c>
      <c r="G71" s="358">
        <v>1</v>
      </c>
      <c r="H71" s="358">
        <v>21</v>
      </c>
      <c r="I71" s="335">
        <v>1188</v>
      </c>
      <c r="J71" s="336">
        <v>297</v>
      </c>
      <c r="K71" s="356">
        <f t="shared" si="10"/>
        <v>297</v>
      </c>
      <c r="L71" s="344">
        <f t="shared" si="11"/>
        <v>4</v>
      </c>
      <c r="M71" s="347">
        <f>15934.5+5962.5+2065.5+65+247.5+98+1068+250+1662+351+295+714+855+64+180+1509+1188+2376+1068+1664+1188</f>
        <v>38805</v>
      </c>
      <c r="N71" s="348">
        <f>1984+886+304+13+45+22+356+25+554+45+31+238+285+15+45+503+396+792+356+416+297</f>
        <v>7608</v>
      </c>
      <c r="O71" s="419">
        <f t="shared" si="12"/>
        <v>5.100552050473186</v>
      </c>
    </row>
    <row r="72" spans="1:15" ht="15">
      <c r="A72" s="175">
        <v>69</v>
      </c>
      <c r="B72" s="418" t="s">
        <v>78</v>
      </c>
      <c r="C72" s="338">
        <v>38688</v>
      </c>
      <c r="D72" s="357" t="s">
        <v>277</v>
      </c>
      <c r="E72" s="352" t="s">
        <v>79</v>
      </c>
      <c r="F72" s="358">
        <v>10</v>
      </c>
      <c r="G72" s="358">
        <v>1</v>
      </c>
      <c r="H72" s="358">
        <v>22</v>
      </c>
      <c r="I72" s="335">
        <v>952</v>
      </c>
      <c r="J72" s="336">
        <v>238</v>
      </c>
      <c r="K72" s="356">
        <f t="shared" si="10"/>
        <v>238</v>
      </c>
      <c r="L72" s="353">
        <f t="shared" si="11"/>
        <v>4</v>
      </c>
      <c r="M72" s="347">
        <f>15934.5+5962.5+2065.5+65+247.5+98+1068+250+1662+351+295+714+855+64+180+1509+1188+2376+1068+1664+1188+952</f>
        <v>39757</v>
      </c>
      <c r="N72" s="348">
        <f>1984+886+304+13+45+22+356+25+554+45+31+238+285+15+45+503+396+792+356+416+297+238</f>
        <v>7846</v>
      </c>
      <c r="O72" s="419">
        <f t="shared" si="12"/>
        <v>5.0671679836859544</v>
      </c>
    </row>
    <row r="73" spans="1:15" ht="15">
      <c r="A73" s="175">
        <v>70</v>
      </c>
      <c r="B73" s="418" t="s">
        <v>78</v>
      </c>
      <c r="C73" s="338">
        <v>38688</v>
      </c>
      <c r="D73" s="357" t="s">
        <v>277</v>
      </c>
      <c r="E73" s="352" t="s">
        <v>79</v>
      </c>
      <c r="F73" s="358">
        <v>10</v>
      </c>
      <c r="G73" s="358">
        <v>1</v>
      </c>
      <c r="H73" s="358">
        <v>23</v>
      </c>
      <c r="I73" s="335">
        <v>596</v>
      </c>
      <c r="J73" s="336">
        <v>149</v>
      </c>
      <c r="K73" s="348">
        <f t="shared" si="10"/>
        <v>149</v>
      </c>
      <c r="L73" s="353">
        <f t="shared" si="11"/>
        <v>4</v>
      </c>
      <c r="M73" s="347">
        <f>15934.5+5962.5+2065.5+65+247.5+98+1068+250+1662+351+295+714+855+64+180+1509+1188+2376+1068+1664+1188+952+596</f>
        <v>40353</v>
      </c>
      <c r="N73" s="348">
        <f>1984+886+304+13+45+22+356+25+554+45+31+238+285+15+45+503+396+792+356+416+297+238+149</f>
        <v>7995</v>
      </c>
      <c r="O73" s="420">
        <f>M73/N73</f>
        <v>5.047279549718574</v>
      </c>
    </row>
    <row r="74" spans="1:15" ht="15">
      <c r="A74" s="175">
        <v>71</v>
      </c>
      <c r="B74" s="418" t="s">
        <v>94</v>
      </c>
      <c r="C74" s="338">
        <v>38709</v>
      </c>
      <c r="D74" s="357" t="s">
        <v>277</v>
      </c>
      <c r="E74" s="352" t="s">
        <v>298</v>
      </c>
      <c r="F74" s="358">
        <v>2</v>
      </c>
      <c r="G74" s="358">
        <v>2</v>
      </c>
      <c r="H74" s="358">
        <v>18</v>
      </c>
      <c r="I74" s="335">
        <v>3560</v>
      </c>
      <c r="J74" s="336">
        <v>890</v>
      </c>
      <c r="K74" s="356">
        <f t="shared" si="10"/>
        <v>445</v>
      </c>
      <c r="L74" s="344">
        <f t="shared" si="11"/>
        <v>4</v>
      </c>
      <c r="M74" s="347">
        <f>3016+2037+320+565+129+831+855+594+1425+1188+1144+47+2340+33+750+77.5+60+3560</f>
        <v>18971.5</v>
      </c>
      <c r="N74" s="348">
        <f>411+260+76+113+17+277+285+198+475+396+370+9+780+11+115+12+9+890</f>
        <v>4704</v>
      </c>
      <c r="O74" s="419">
        <f>+M74/N74</f>
        <v>4.033056972789115</v>
      </c>
    </row>
    <row r="75" spans="1:15" ht="15">
      <c r="A75" s="175">
        <v>72</v>
      </c>
      <c r="B75" s="417" t="s">
        <v>220</v>
      </c>
      <c r="C75" s="338">
        <v>38723</v>
      </c>
      <c r="D75" s="337" t="s">
        <v>455</v>
      </c>
      <c r="E75" s="345" t="s">
        <v>526</v>
      </c>
      <c r="F75" s="334">
        <v>280</v>
      </c>
      <c r="G75" s="334">
        <v>1</v>
      </c>
      <c r="H75" s="334">
        <v>24</v>
      </c>
      <c r="I75" s="335">
        <v>2013.5</v>
      </c>
      <c r="J75" s="336">
        <v>504</v>
      </c>
      <c r="K75" s="356">
        <f t="shared" si="10"/>
        <v>504</v>
      </c>
      <c r="L75" s="344">
        <f t="shared" si="11"/>
        <v>3.9950396825396823</v>
      </c>
      <c r="M75" s="347">
        <f>5592380+3880622.5+1673082.62+1119075.5+434517.5+130151.5+6347.5+744.5+27+2593+460+255+1561+9584+3764+14256+725+8416+4752+4839+2376+14820+45306+2013.5</f>
        <v>12952669.120000001</v>
      </c>
      <c r="N75" s="348">
        <f>871283+621889+270076+179456+67736+23058+1452+132+6+608+92+51+376+3188+1672+3564+242+2806+1584+1331+792+4940+11327+504</f>
        <v>2068165</v>
      </c>
      <c r="O75" s="423">
        <f>M75/N75</f>
        <v>6.262879953968857</v>
      </c>
    </row>
    <row r="76" spans="1:15" ht="15">
      <c r="A76" s="175">
        <v>73</v>
      </c>
      <c r="B76" s="415" t="s">
        <v>104</v>
      </c>
      <c r="C76" s="338">
        <v>38737</v>
      </c>
      <c r="D76" s="345" t="s">
        <v>525</v>
      </c>
      <c r="E76" s="345" t="s">
        <v>525</v>
      </c>
      <c r="F76" s="346">
        <v>43</v>
      </c>
      <c r="G76" s="346">
        <v>1</v>
      </c>
      <c r="H76" s="346">
        <v>22</v>
      </c>
      <c r="I76" s="335">
        <v>2013.5</v>
      </c>
      <c r="J76" s="336">
        <v>504</v>
      </c>
      <c r="K76" s="340">
        <f>+J76/G76</f>
        <v>504</v>
      </c>
      <c r="L76" s="341">
        <f>+I76/J76</f>
        <v>3.9950396825396823</v>
      </c>
      <c r="M76" s="347">
        <f>396203.5+294727+144308+39007.5+20845+13381+3440+5237.5+6333+2618+1285+5683+2376+297+2376+1345+535+147+1574+530+1188+2013.5</f>
        <v>945450</v>
      </c>
      <c r="N76" s="348">
        <f>47896+35851+17460+6558+3746+4007+1374+1611+1950+556+169+1830+1188+72+792+240+107+49+397+106+297+504</f>
        <v>126760</v>
      </c>
      <c r="O76" s="416">
        <f>IF(M76&lt;&gt;0,M76/N76,"")</f>
        <v>7.458583149258441</v>
      </c>
    </row>
    <row r="77" spans="1:15" ht="15">
      <c r="A77" s="175">
        <v>74</v>
      </c>
      <c r="B77" s="418" t="s">
        <v>266</v>
      </c>
      <c r="C77" s="338">
        <v>38751</v>
      </c>
      <c r="D77" s="357" t="s">
        <v>277</v>
      </c>
      <c r="E77" s="352" t="s">
        <v>278</v>
      </c>
      <c r="F77" s="358">
        <v>1</v>
      </c>
      <c r="G77" s="358">
        <v>1</v>
      </c>
      <c r="H77" s="358">
        <v>13</v>
      </c>
      <c r="I77" s="335">
        <v>245.5</v>
      </c>
      <c r="J77" s="336">
        <v>97</v>
      </c>
      <c r="K77" s="348">
        <f>J77/G77</f>
        <v>97</v>
      </c>
      <c r="L77" s="353">
        <f>I77/J77</f>
        <v>2.5309278350515463</v>
      </c>
      <c r="M77" s="347">
        <f>6339+5656+3753+2609+448+675+1816+2430+1068+117+22+31+245.5</f>
        <v>25209.5</v>
      </c>
      <c r="N77" s="348">
        <f>796+708+467+329+60+87+264+364+356+20+4+6+97</f>
        <v>3558</v>
      </c>
      <c r="O77" s="416">
        <f>IF(M77&lt;&gt;0,M77/N77,"")</f>
        <v>7.085300730747611</v>
      </c>
    </row>
    <row r="78" spans="1:15" ht="15">
      <c r="A78" s="175">
        <v>75</v>
      </c>
      <c r="B78" s="415" t="s">
        <v>498</v>
      </c>
      <c r="C78" s="359">
        <v>38758</v>
      </c>
      <c r="D78" s="345" t="s">
        <v>463</v>
      </c>
      <c r="E78" s="345" t="s">
        <v>499</v>
      </c>
      <c r="F78" s="361">
        <v>4</v>
      </c>
      <c r="G78" s="361">
        <v>1</v>
      </c>
      <c r="H78" s="361">
        <v>11</v>
      </c>
      <c r="I78" s="335">
        <v>175</v>
      </c>
      <c r="J78" s="369">
        <v>32</v>
      </c>
      <c r="K78" s="348">
        <v>32</v>
      </c>
      <c r="L78" s="353">
        <v>5.46875</v>
      </c>
      <c r="M78" s="347">
        <v>6318</v>
      </c>
      <c r="N78" s="348">
        <v>1008</v>
      </c>
      <c r="O78" s="420">
        <v>6.267857142857142</v>
      </c>
    </row>
    <row r="79" spans="1:15" ht="15">
      <c r="A79" s="175">
        <v>76</v>
      </c>
      <c r="B79" s="418" t="s">
        <v>269</v>
      </c>
      <c r="C79" s="338">
        <v>38758</v>
      </c>
      <c r="D79" s="357" t="s">
        <v>277</v>
      </c>
      <c r="E79" s="352" t="s">
        <v>91</v>
      </c>
      <c r="F79" s="358">
        <v>4</v>
      </c>
      <c r="G79" s="358">
        <v>3</v>
      </c>
      <c r="H79" s="358">
        <v>27</v>
      </c>
      <c r="I79" s="335">
        <v>4276</v>
      </c>
      <c r="J79" s="336">
        <v>1069</v>
      </c>
      <c r="K79" s="348">
        <f>J79/G79</f>
        <v>356.3333333333333</v>
      </c>
      <c r="L79" s="353">
        <f>I79/J79</f>
        <v>4</v>
      </c>
      <c r="M79" s="347">
        <f>12456+7990+4147+1031+2942.5+1687.5+5526.5+3841.5+1352.5+925+2425+2735+1963+2610.5+374+1948+1054+1475.5+196+636+243+4015+1428+427+594+3560+4276</f>
        <v>71859.5</v>
      </c>
      <c r="N79" s="348">
        <f>1552+1090+669+166+430+252+1516+804+308+163+443+768+612+467+81+595+318+329+55+115+81+1046+248+68+198+890+1069</f>
        <v>14333</v>
      </c>
      <c r="O79" s="420">
        <f>M79/N79</f>
        <v>5.013570083025186</v>
      </c>
    </row>
    <row r="80" spans="1:15" ht="15">
      <c r="A80" s="175">
        <v>77</v>
      </c>
      <c r="B80" s="418" t="s">
        <v>269</v>
      </c>
      <c r="C80" s="338">
        <v>38758</v>
      </c>
      <c r="D80" s="357" t="s">
        <v>277</v>
      </c>
      <c r="E80" s="352" t="s">
        <v>91</v>
      </c>
      <c r="F80" s="358">
        <v>4</v>
      </c>
      <c r="G80" s="358">
        <v>2</v>
      </c>
      <c r="H80" s="358">
        <v>26</v>
      </c>
      <c r="I80" s="335">
        <v>3560</v>
      </c>
      <c r="J80" s="336">
        <v>890</v>
      </c>
      <c r="K80" s="356">
        <f>J80/G80</f>
        <v>445</v>
      </c>
      <c r="L80" s="344">
        <f>I80/J80</f>
        <v>4</v>
      </c>
      <c r="M80" s="347">
        <f>12456+7990+4147+1031+2942.5+1687.5+5526.5+3841.5+1352.5+925+2425+2735+1963+2610.5+374+1948+1054+1475.5+196+636+243+4015+1428+427+594+3560</f>
        <v>67583.5</v>
      </c>
      <c r="N80" s="348">
        <f>1552+1090+669+166+430+252+1516+804+308+163+443+768+612+467+81+595+318+329+55+115+81+1046+248+68+198+890</f>
        <v>13264</v>
      </c>
      <c r="O80" s="420">
        <f>M80/N80</f>
        <v>5.095257840772015</v>
      </c>
    </row>
    <row r="81" spans="1:15" ht="15">
      <c r="A81" s="175">
        <v>78</v>
      </c>
      <c r="B81" s="418" t="s">
        <v>269</v>
      </c>
      <c r="C81" s="338">
        <v>38758</v>
      </c>
      <c r="D81" s="357" t="s">
        <v>277</v>
      </c>
      <c r="E81" s="352" t="s">
        <v>91</v>
      </c>
      <c r="F81" s="358">
        <v>4</v>
      </c>
      <c r="G81" s="358">
        <v>1</v>
      </c>
      <c r="H81" s="358">
        <v>28</v>
      </c>
      <c r="I81" s="335">
        <v>1008</v>
      </c>
      <c r="J81" s="336">
        <v>252</v>
      </c>
      <c r="K81" s="348">
        <f>J81/G81</f>
        <v>252</v>
      </c>
      <c r="L81" s="353">
        <f>I81/J81</f>
        <v>4</v>
      </c>
      <c r="M81" s="347">
        <f>12456+7990+4147+1031+2942.5+1687.5+5526.5+3841.5+1352.5+925+2425+2735+1963+2610.5+374+1948+1054+1475.5+196+636+243+4015+1428+427+594+3560+4276+1008</f>
        <v>72867.5</v>
      </c>
      <c r="N81" s="348">
        <f>1552+1090+669+166+430+252+1516+804+308+163+443+768+612+467+81+595+318+329+55+115+81+1046+248+68+198+890+1069+252</f>
        <v>14585</v>
      </c>
      <c r="O81" s="420">
        <f>M81/N81</f>
        <v>4.996057593417895</v>
      </c>
    </row>
    <row r="82" spans="1:15" ht="15">
      <c r="A82" s="175">
        <v>79</v>
      </c>
      <c r="B82" s="418" t="s">
        <v>269</v>
      </c>
      <c r="C82" s="338">
        <v>38758</v>
      </c>
      <c r="D82" s="357" t="s">
        <v>277</v>
      </c>
      <c r="E82" s="352" t="s">
        <v>91</v>
      </c>
      <c r="F82" s="358">
        <v>4</v>
      </c>
      <c r="G82" s="358">
        <v>1</v>
      </c>
      <c r="H82" s="358">
        <v>29</v>
      </c>
      <c r="I82" s="335">
        <v>952</v>
      </c>
      <c r="J82" s="336">
        <v>238</v>
      </c>
      <c r="K82" s="356">
        <f>J82/G82</f>
        <v>238</v>
      </c>
      <c r="L82" s="353">
        <f>I82/J82</f>
        <v>4</v>
      </c>
      <c r="M82" s="347">
        <f>12456+7990+4147+1031+2942.5+1687.5+5526.5+3841.5+1352.5+925+2425+2735+1963+2610.5+374+1948+1054+1475.5+196+636+243+4015+1428+427+594+3560+4276+1008+952</f>
        <v>73819.5</v>
      </c>
      <c r="N82" s="348">
        <f>1552+1090+669+166+430+252+1516+804+308+163+443+768+612+467+81+595+318+329+55+115+81+1046+248+68+198+890+1069+252+238</f>
        <v>14823</v>
      </c>
      <c r="O82" s="419">
        <f>+M82/N82</f>
        <v>4.98006476421777</v>
      </c>
    </row>
    <row r="83" spans="1:15" ht="15">
      <c r="A83" s="175">
        <v>80</v>
      </c>
      <c r="B83" s="415" t="s">
        <v>433</v>
      </c>
      <c r="C83" s="338">
        <v>38779</v>
      </c>
      <c r="D83" s="345" t="s">
        <v>454</v>
      </c>
      <c r="E83" s="362" t="s">
        <v>457</v>
      </c>
      <c r="F83" s="346">
        <v>72</v>
      </c>
      <c r="G83" s="346">
        <v>1</v>
      </c>
      <c r="H83" s="346">
        <v>87</v>
      </c>
      <c r="I83" s="335">
        <v>1227</v>
      </c>
      <c r="J83" s="336">
        <v>99</v>
      </c>
      <c r="K83" s="340">
        <f>IF(I83&lt;&gt;0,J83/G83,"")</f>
        <v>99</v>
      </c>
      <c r="L83" s="341">
        <f>IF(I83&lt;&gt;0,I83/J83,"")</f>
        <v>12.393939393939394</v>
      </c>
      <c r="M83" s="347">
        <v>978898</v>
      </c>
      <c r="N83" s="348">
        <v>146002</v>
      </c>
      <c r="O83" s="416">
        <f>IF(M83&lt;&gt;0,M83/N83,"")</f>
        <v>6.704688976863331</v>
      </c>
    </row>
    <row r="84" spans="1:15" ht="15">
      <c r="A84" s="175">
        <v>81</v>
      </c>
      <c r="B84" s="415" t="s">
        <v>433</v>
      </c>
      <c r="C84" s="338">
        <v>38779</v>
      </c>
      <c r="D84" s="345" t="s">
        <v>454</v>
      </c>
      <c r="E84" s="345" t="s">
        <v>457</v>
      </c>
      <c r="F84" s="346">
        <v>72</v>
      </c>
      <c r="G84" s="346">
        <v>1</v>
      </c>
      <c r="H84" s="346">
        <v>48</v>
      </c>
      <c r="I84" s="335">
        <v>1156</v>
      </c>
      <c r="J84" s="336">
        <v>350</v>
      </c>
      <c r="K84" s="356">
        <f>J84/G84</f>
        <v>350</v>
      </c>
      <c r="L84" s="344">
        <f>I84/J84</f>
        <v>3.302857142857143</v>
      </c>
      <c r="M84" s="347">
        <v>977195</v>
      </c>
      <c r="N84" s="348">
        <v>145835</v>
      </c>
      <c r="O84" s="419">
        <f>+M84/N84</f>
        <v>6.700689134981315</v>
      </c>
    </row>
    <row r="85" spans="1:15" ht="15">
      <c r="A85" s="175">
        <v>82</v>
      </c>
      <c r="B85" s="415" t="s">
        <v>433</v>
      </c>
      <c r="C85" s="338">
        <v>38779</v>
      </c>
      <c r="D85" s="345" t="s">
        <v>454</v>
      </c>
      <c r="E85" s="345" t="s">
        <v>457</v>
      </c>
      <c r="F85" s="346">
        <v>72</v>
      </c>
      <c r="G85" s="346">
        <v>1</v>
      </c>
      <c r="H85" s="346">
        <v>86</v>
      </c>
      <c r="I85" s="335">
        <v>476</v>
      </c>
      <c r="J85" s="336">
        <v>68</v>
      </c>
      <c r="K85" s="348">
        <v>68</v>
      </c>
      <c r="L85" s="353">
        <v>7</v>
      </c>
      <c r="M85" s="347">
        <v>977671</v>
      </c>
      <c r="N85" s="348">
        <v>145903</v>
      </c>
      <c r="O85" s="420">
        <v>6.7008286327217395</v>
      </c>
    </row>
    <row r="86" spans="1:15" ht="15">
      <c r="A86" s="175">
        <v>83</v>
      </c>
      <c r="B86" s="418" t="s">
        <v>204</v>
      </c>
      <c r="C86" s="338">
        <v>38779</v>
      </c>
      <c r="D86" s="357" t="s">
        <v>277</v>
      </c>
      <c r="E86" s="352" t="s">
        <v>205</v>
      </c>
      <c r="F86" s="358">
        <v>6</v>
      </c>
      <c r="G86" s="358">
        <v>1</v>
      </c>
      <c r="H86" s="358">
        <v>13</v>
      </c>
      <c r="I86" s="335">
        <v>952</v>
      </c>
      <c r="J86" s="336">
        <v>238</v>
      </c>
      <c r="K86" s="356">
        <f aca="true" t="shared" si="13" ref="K86:K96">J86/G86</f>
        <v>238</v>
      </c>
      <c r="L86" s="344">
        <f aca="true" t="shared" si="14" ref="L86:L96">I86/J86</f>
        <v>4</v>
      </c>
      <c r="M86" s="347">
        <f>9397.5+2137+188+1545+1416+96+2312+762+753+42+160+450+952</f>
        <v>20210.5</v>
      </c>
      <c r="N86" s="348">
        <f>1039+275+26+515+419+32+332+112+137+7+28+150+238</f>
        <v>3310</v>
      </c>
      <c r="O86" s="419">
        <f>+M86/N86</f>
        <v>6.1058912386706945</v>
      </c>
    </row>
    <row r="87" spans="1:15" ht="15">
      <c r="A87" s="175">
        <v>84</v>
      </c>
      <c r="B87" s="418" t="s">
        <v>679</v>
      </c>
      <c r="C87" s="338">
        <v>38779</v>
      </c>
      <c r="D87" s="357" t="s">
        <v>277</v>
      </c>
      <c r="E87" s="352" t="s">
        <v>332</v>
      </c>
      <c r="F87" s="358">
        <v>10</v>
      </c>
      <c r="G87" s="358">
        <v>1</v>
      </c>
      <c r="H87" s="358">
        <v>27</v>
      </c>
      <c r="I87" s="335">
        <v>952</v>
      </c>
      <c r="J87" s="336">
        <v>238</v>
      </c>
      <c r="K87" s="348">
        <f t="shared" si="13"/>
        <v>238</v>
      </c>
      <c r="L87" s="353">
        <f t="shared" si="14"/>
        <v>4</v>
      </c>
      <c r="M87" s="347">
        <f>19635+7029.5+1939.5+1932.5+1425+2285+846+5995.5+272.5+3026+831+1782+1425+2693.5+831+321+104+2033+455+780+635+1020+66+201+102+177+952</f>
        <v>58795</v>
      </c>
      <c r="N87" s="348">
        <f>2548+994+309+438+475+587+190+1491+27+979+277+594+475+870+277+75+26+361+82+165+100+310+22+67+34+59+238</f>
        <v>12070</v>
      </c>
      <c r="O87" s="420">
        <f aca="true" t="shared" si="15" ref="O87:O93">M87/N87</f>
        <v>4.871168185584093</v>
      </c>
    </row>
    <row r="88" spans="1:15" ht="15">
      <c r="A88" s="175">
        <v>85</v>
      </c>
      <c r="B88" s="418" t="s">
        <v>248</v>
      </c>
      <c r="C88" s="338">
        <v>38779</v>
      </c>
      <c r="D88" s="357" t="s">
        <v>277</v>
      </c>
      <c r="E88" s="352" t="s">
        <v>332</v>
      </c>
      <c r="F88" s="358">
        <v>10</v>
      </c>
      <c r="G88" s="358">
        <v>2</v>
      </c>
      <c r="H88" s="358">
        <v>28</v>
      </c>
      <c r="I88" s="335">
        <v>3560</v>
      </c>
      <c r="J88" s="336">
        <v>890</v>
      </c>
      <c r="K88" s="348">
        <f t="shared" si="13"/>
        <v>445</v>
      </c>
      <c r="L88" s="353">
        <f t="shared" si="14"/>
        <v>4</v>
      </c>
      <c r="M88" s="347">
        <f>19635+7029.5+1939.5+1932.5+1425+2285+846+5995.5+272.5+3026+831+1782+1425+2693.5+831+321+104+2033+455+780+635+1020+66+201+102+177+952+3560</f>
        <v>62355</v>
      </c>
      <c r="N88" s="348">
        <f>2548+994+309+438+475+587+190+1491+27+979+277+594+475+870+277+75+26+361+82+165+100+310+22+67+34+59+238+890</f>
        <v>12960</v>
      </c>
      <c r="O88" s="420">
        <f t="shared" si="15"/>
        <v>4.811342592592593</v>
      </c>
    </row>
    <row r="89" spans="1:15" ht="15">
      <c r="A89" s="175">
        <v>86</v>
      </c>
      <c r="B89" s="418" t="s">
        <v>248</v>
      </c>
      <c r="C89" s="338">
        <v>38779</v>
      </c>
      <c r="D89" s="357" t="s">
        <v>277</v>
      </c>
      <c r="E89" s="352" t="s">
        <v>680</v>
      </c>
      <c r="F89" s="358">
        <v>10</v>
      </c>
      <c r="G89" s="358">
        <v>3</v>
      </c>
      <c r="H89" s="358">
        <v>32</v>
      </c>
      <c r="I89" s="335">
        <v>1843</v>
      </c>
      <c r="J89" s="336">
        <v>295</v>
      </c>
      <c r="K89" s="348">
        <f t="shared" si="13"/>
        <v>98.33333333333333</v>
      </c>
      <c r="L89" s="353">
        <f t="shared" si="14"/>
        <v>6.247457627118644</v>
      </c>
      <c r="M89" s="347">
        <f>19635+7029.5+1939.5+1932.5+1425+2285+846+5995.5+272.5+3026+831+1782+1425+2693.5+831+321+104+2033+455+780+635+1020+66+201+102+177+952+3560+1780+1780+311+1843</f>
        <v>68069</v>
      </c>
      <c r="N89" s="348">
        <f>2548+994+309+438+475+587+190+1491+27+979+277+594+475+870+277+75+26+361+82+165+100+310+22+67+34+59+238+890+445+445+64+295</f>
        <v>14209</v>
      </c>
      <c r="O89" s="420">
        <f t="shared" si="15"/>
        <v>4.7905552818636075</v>
      </c>
    </row>
    <row r="90" spans="1:15" ht="15">
      <c r="A90" s="175">
        <v>87</v>
      </c>
      <c r="B90" s="418" t="s">
        <v>248</v>
      </c>
      <c r="C90" s="338">
        <v>38779</v>
      </c>
      <c r="D90" s="366" t="s">
        <v>277</v>
      </c>
      <c r="E90" s="352" t="s">
        <v>680</v>
      </c>
      <c r="F90" s="358">
        <v>10</v>
      </c>
      <c r="G90" s="358">
        <v>1</v>
      </c>
      <c r="H90" s="358">
        <v>29</v>
      </c>
      <c r="I90" s="335">
        <v>1780</v>
      </c>
      <c r="J90" s="336">
        <v>445</v>
      </c>
      <c r="K90" s="348">
        <f t="shared" si="13"/>
        <v>445</v>
      </c>
      <c r="L90" s="353">
        <f t="shared" si="14"/>
        <v>4</v>
      </c>
      <c r="M90" s="347">
        <f>19635+7029.5+1939.5+1932.5+1425+2285+846+5995.5+272.5+3026+831+1782+1425+2693.5+831+321+104+2033+455+780+635+1020+66+201+102+177+952+3560+1780</f>
        <v>64135</v>
      </c>
      <c r="N90" s="348">
        <f>2548+994+309+438+475+587+190+1491+27+979+277+594+475+870+277+75+26+361+82+165+100+310+22+67+34+59+238+890+445</f>
        <v>13405</v>
      </c>
      <c r="O90" s="420">
        <f t="shared" si="15"/>
        <v>4.784408802685565</v>
      </c>
    </row>
    <row r="91" spans="1:15" ht="15">
      <c r="A91" s="175">
        <v>88</v>
      </c>
      <c r="B91" s="418" t="s">
        <v>248</v>
      </c>
      <c r="C91" s="338">
        <v>38779</v>
      </c>
      <c r="D91" s="357" t="s">
        <v>277</v>
      </c>
      <c r="E91" s="352" t="s">
        <v>680</v>
      </c>
      <c r="F91" s="358">
        <v>10</v>
      </c>
      <c r="G91" s="358">
        <v>1</v>
      </c>
      <c r="H91" s="358">
        <v>30</v>
      </c>
      <c r="I91" s="335">
        <v>1780</v>
      </c>
      <c r="J91" s="336">
        <v>445</v>
      </c>
      <c r="K91" s="356">
        <f t="shared" si="13"/>
        <v>445</v>
      </c>
      <c r="L91" s="344">
        <f t="shared" si="14"/>
        <v>4</v>
      </c>
      <c r="M91" s="347">
        <f>19635+7029.5+1939.5+1932.5+1425+2285+846+5995.5+272.5+3026+831+1782+1425+2693.5+831+321+104+2033+455+780+635+1020+66+201+102+177+952+3560+1780+1780</f>
        <v>65915</v>
      </c>
      <c r="N91" s="348">
        <f>2548+994+309+438+475+587+190+1491+27+979+277+594+475+870+277+75+26+361+82+165+100+310+22+67+34+59+238+890+445+445</f>
        <v>13850</v>
      </c>
      <c r="O91" s="420">
        <f t="shared" si="15"/>
        <v>4.759205776173285</v>
      </c>
    </row>
    <row r="92" spans="1:15" ht="15">
      <c r="A92" s="175">
        <v>89</v>
      </c>
      <c r="B92" s="418" t="s">
        <v>248</v>
      </c>
      <c r="C92" s="338">
        <v>38779</v>
      </c>
      <c r="D92" s="357" t="s">
        <v>277</v>
      </c>
      <c r="E92" s="352" t="s">
        <v>680</v>
      </c>
      <c r="F92" s="358">
        <v>10</v>
      </c>
      <c r="G92" s="358">
        <v>4</v>
      </c>
      <c r="H92" s="358">
        <v>33</v>
      </c>
      <c r="I92" s="335">
        <v>1704</v>
      </c>
      <c r="J92" s="336">
        <v>270</v>
      </c>
      <c r="K92" s="356">
        <f t="shared" si="13"/>
        <v>67.5</v>
      </c>
      <c r="L92" s="344">
        <f t="shared" si="14"/>
        <v>6.311111111111111</v>
      </c>
      <c r="M92" s="347">
        <f>19635+7029.5+1939.5+1932.5+1425+2285+846+5995.5+272.5+3026+831+1782+1425+2693.5+831+321+104+2033+455+780+635+1020+66+201+102+177+952+3560+1780+1780+311+1843+1704</f>
        <v>69773</v>
      </c>
      <c r="N92" s="348">
        <f>2548+994+309+438+475+587+190+1491+27+979+277+594+475+870+277+75+26+361+82+165+100+310+22+67+34+59+238+890+445+445+64+295+270</f>
        <v>14479</v>
      </c>
      <c r="O92" s="420">
        <f t="shared" si="15"/>
        <v>4.818910145728296</v>
      </c>
    </row>
    <row r="93" spans="1:15" ht="15">
      <c r="A93" s="175">
        <v>90</v>
      </c>
      <c r="B93" s="418" t="s">
        <v>248</v>
      </c>
      <c r="C93" s="338">
        <v>38779</v>
      </c>
      <c r="D93" s="357" t="s">
        <v>277</v>
      </c>
      <c r="E93" s="352" t="s">
        <v>680</v>
      </c>
      <c r="F93" s="358">
        <v>10</v>
      </c>
      <c r="G93" s="358">
        <v>1</v>
      </c>
      <c r="H93" s="358">
        <v>31</v>
      </c>
      <c r="I93" s="335">
        <v>311</v>
      </c>
      <c r="J93" s="336">
        <v>64</v>
      </c>
      <c r="K93" s="348">
        <f t="shared" si="13"/>
        <v>64</v>
      </c>
      <c r="L93" s="353">
        <f t="shared" si="14"/>
        <v>4.859375</v>
      </c>
      <c r="M93" s="347">
        <f>19635+7029.5+1939.5+1932.5+1425+2285+846+5995.5+272.5+3026+831+1782+1425+2693.5+831+321+104+2033+455+780+635+1020+66+201+102+177+952+3560+1780+1780+311</f>
        <v>66226</v>
      </c>
      <c r="N93" s="348">
        <f>2548+994+309+438+475+587+190+1491+27+979+277+594+475+870+277+75+26+361+82+165+100+310+22+67+34+59+238+890+445+445+64</f>
        <v>13914</v>
      </c>
      <c r="O93" s="420">
        <f t="shared" si="15"/>
        <v>4.7596665229265485</v>
      </c>
    </row>
    <row r="94" spans="1:15" ht="15">
      <c r="A94" s="175">
        <v>91</v>
      </c>
      <c r="B94" s="415" t="s">
        <v>88</v>
      </c>
      <c r="C94" s="338">
        <v>38786</v>
      </c>
      <c r="D94" s="345" t="s">
        <v>89</v>
      </c>
      <c r="E94" s="345" t="s">
        <v>90</v>
      </c>
      <c r="F94" s="346">
        <v>7</v>
      </c>
      <c r="G94" s="333">
        <v>1</v>
      </c>
      <c r="H94" s="346">
        <v>19</v>
      </c>
      <c r="I94" s="331">
        <v>828</v>
      </c>
      <c r="J94" s="332">
        <v>207</v>
      </c>
      <c r="K94" s="356">
        <f t="shared" si="13"/>
        <v>207</v>
      </c>
      <c r="L94" s="344">
        <f t="shared" si="14"/>
        <v>4</v>
      </c>
      <c r="M94" s="342">
        <v>34848.5</v>
      </c>
      <c r="N94" s="343">
        <v>7962</v>
      </c>
      <c r="O94" s="419">
        <f>+M94/N94</f>
        <v>4.376852549610651</v>
      </c>
    </row>
    <row r="95" spans="1:15" ht="15">
      <c r="A95" s="175">
        <v>92</v>
      </c>
      <c r="B95" s="424" t="s">
        <v>88</v>
      </c>
      <c r="C95" s="359">
        <v>38786</v>
      </c>
      <c r="D95" s="362" t="s">
        <v>216</v>
      </c>
      <c r="E95" s="345" t="s">
        <v>90</v>
      </c>
      <c r="F95" s="361">
        <v>7</v>
      </c>
      <c r="G95" s="361">
        <v>1</v>
      </c>
      <c r="H95" s="361">
        <v>18</v>
      </c>
      <c r="I95" s="370">
        <v>144</v>
      </c>
      <c r="J95" s="369">
        <v>36</v>
      </c>
      <c r="K95" s="350">
        <f t="shared" si="13"/>
        <v>36</v>
      </c>
      <c r="L95" s="351">
        <f t="shared" si="14"/>
        <v>4</v>
      </c>
      <c r="M95" s="371">
        <v>34020.5</v>
      </c>
      <c r="N95" s="372">
        <v>7755</v>
      </c>
      <c r="O95" s="419">
        <f>+M95/N95</f>
        <v>4.386911669890393</v>
      </c>
    </row>
    <row r="96" spans="1:15" ht="18" customHeight="1">
      <c r="A96" s="175">
        <v>93</v>
      </c>
      <c r="B96" s="417" t="s">
        <v>345</v>
      </c>
      <c r="C96" s="338">
        <v>38793</v>
      </c>
      <c r="D96" s="337" t="s">
        <v>455</v>
      </c>
      <c r="E96" s="337" t="s">
        <v>346</v>
      </c>
      <c r="F96" s="334">
        <v>50</v>
      </c>
      <c r="G96" s="334">
        <v>1</v>
      </c>
      <c r="H96" s="334">
        <v>13</v>
      </c>
      <c r="I96" s="335">
        <v>1007</v>
      </c>
      <c r="J96" s="336">
        <v>252</v>
      </c>
      <c r="K96" s="350">
        <f t="shared" si="13"/>
        <v>252</v>
      </c>
      <c r="L96" s="351">
        <f t="shared" si="14"/>
        <v>3.996031746031746</v>
      </c>
      <c r="M96" s="347">
        <f>196913+123210+45760+23987+14825+9931+11940+5017.5+2178+911+318.5+3020+1007</f>
        <v>439018</v>
      </c>
      <c r="N96" s="348">
        <f>26732+15006+5997+4114+3495+3333+3072+1744+485+414+91+1007+252</f>
        <v>65742</v>
      </c>
      <c r="O96" s="416">
        <f>+M96/N96</f>
        <v>6.677892367132123</v>
      </c>
    </row>
    <row r="97" spans="1:15" ht="15">
      <c r="A97" s="175">
        <v>94</v>
      </c>
      <c r="B97" s="424" t="s">
        <v>245</v>
      </c>
      <c r="C97" s="359">
        <v>38793</v>
      </c>
      <c r="D97" s="362" t="s">
        <v>447</v>
      </c>
      <c r="E97" s="362" t="s">
        <v>246</v>
      </c>
      <c r="F97" s="361">
        <v>2</v>
      </c>
      <c r="G97" s="361">
        <v>1</v>
      </c>
      <c r="H97" s="361">
        <v>16</v>
      </c>
      <c r="I97" s="363">
        <v>397</v>
      </c>
      <c r="J97" s="364">
        <v>36</v>
      </c>
      <c r="K97" s="340">
        <f>IF(I97&lt;&gt;0,J97/G97,"")</f>
        <v>36</v>
      </c>
      <c r="L97" s="341">
        <f>IF(I97&lt;&gt;0,I97/J97,"")</f>
        <v>11.027777777777779</v>
      </c>
      <c r="M97" s="365">
        <f>39334.5</f>
        <v>39334.5</v>
      </c>
      <c r="N97" s="348">
        <f>5364</f>
        <v>5364</v>
      </c>
      <c r="O97" s="416">
        <f>IF(M97&lt;&gt;0,M97/N97,"")</f>
        <v>7.333053691275167</v>
      </c>
    </row>
    <row r="98" spans="1:15" ht="15">
      <c r="A98" s="175">
        <v>95</v>
      </c>
      <c r="B98" s="424" t="s">
        <v>225</v>
      </c>
      <c r="C98" s="359">
        <v>38800</v>
      </c>
      <c r="D98" s="362" t="s">
        <v>447</v>
      </c>
      <c r="E98" s="362" t="s">
        <v>465</v>
      </c>
      <c r="F98" s="361">
        <v>58</v>
      </c>
      <c r="G98" s="361">
        <v>1</v>
      </c>
      <c r="H98" s="361">
        <v>32</v>
      </c>
      <c r="I98" s="363">
        <v>712</v>
      </c>
      <c r="J98" s="364">
        <v>102</v>
      </c>
      <c r="K98" s="356">
        <f>J98/G98</f>
        <v>102</v>
      </c>
      <c r="L98" s="344">
        <f>I98/J98</f>
        <v>6.980392156862745</v>
      </c>
      <c r="M98" s="365">
        <f>881644.4+0</f>
        <v>881644.4</v>
      </c>
      <c r="N98" s="348">
        <f>135253+0</f>
        <v>135253</v>
      </c>
      <c r="O98" s="425">
        <f>M98/N98</f>
        <v>6.518483139006159</v>
      </c>
    </row>
    <row r="99" spans="1:15" ht="15">
      <c r="A99" s="175">
        <v>96</v>
      </c>
      <c r="B99" s="424" t="s">
        <v>225</v>
      </c>
      <c r="C99" s="359">
        <v>38800</v>
      </c>
      <c r="D99" s="362" t="s">
        <v>447</v>
      </c>
      <c r="E99" s="362" t="s">
        <v>465</v>
      </c>
      <c r="F99" s="361">
        <v>58</v>
      </c>
      <c r="G99" s="361">
        <v>3</v>
      </c>
      <c r="H99" s="361">
        <v>29</v>
      </c>
      <c r="I99" s="363">
        <v>551</v>
      </c>
      <c r="J99" s="364">
        <v>90</v>
      </c>
      <c r="K99" s="340">
        <f>IF(I99&lt;&gt;0,J99/G99,"")</f>
        <v>30</v>
      </c>
      <c r="L99" s="341">
        <f>IF(I99&lt;&gt;0,I99/J99,"")</f>
        <v>6.122222222222222</v>
      </c>
      <c r="M99" s="365">
        <f>869504+389+416+3564+3801+460+503+551</f>
        <v>879188</v>
      </c>
      <c r="N99" s="348">
        <f>132607+88+98+891+896+90+84+90</f>
        <v>134844</v>
      </c>
      <c r="O99" s="416">
        <f>IF(M99&lt;&gt;0,M99/N99,"")</f>
        <v>6.520037969802142</v>
      </c>
    </row>
    <row r="100" spans="1:15" ht="15">
      <c r="A100" s="175">
        <v>97</v>
      </c>
      <c r="B100" s="424" t="s">
        <v>225</v>
      </c>
      <c r="C100" s="359">
        <v>38800</v>
      </c>
      <c r="D100" s="362" t="s">
        <v>447</v>
      </c>
      <c r="E100" s="362" t="s">
        <v>465</v>
      </c>
      <c r="F100" s="361">
        <v>58</v>
      </c>
      <c r="G100" s="361">
        <v>1</v>
      </c>
      <c r="H100" s="361">
        <v>30</v>
      </c>
      <c r="I100" s="363">
        <v>200</v>
      </c>
      <c r="J100" s="364">
        <v>50</v>
      </c>
      <c r="K100" s="356">
        <f>J100/G100</f>
        <v>50</v>
      </c>
      <c r="L100" s="344">
        <f>I100/J100</f>
        <v>4</v>
      </c>
      <c r="M100" s="365">
        <f>869504+389+416+3564+3801+460+503+551+200</f>
        <v>879388</v>
      </c>
      <c r="N100" s="348">
        <f>132607+88+98+891+896+90+84+90+50</f>
        <v>134894</v>
      </c>
      <c r="O100" s="420">
        <f>M100/N100</f>
        <v>6.519103888979495</v>
      </c>
    </row>
    <row r="101" spans="1:15" ht="15">
      <c r="A101" s="175">
        <v>98</v>
      </c>
      <c r="B101" s="424" t="s">
        <v>225</v>
      </c>
      <c r="C101" s="359">
        <v>38800</v>
      </c>
      <c r="D101" s="362" t="s">
        <v>447</v>
      </c>
      <c r="E101" s="362" t="s">
        <v>465</v>
      </c>
      <c r="F101" s="361">
        <v>58</v>
      </c>
      <c r="G101" s="361">
        <v>1</v>
      </c>
      <c r="H101" s="361">
        <v>33</v>
      </c>
      <c r="I101" s="363">
        <v>95</v>
      </c>
      <c r="J101" s="364">
        <v>19</v>
      </c>
      <c r="K101" s="340">
        <f>IF(I101&lt;&gt;0,J101/G101,"")</f>
        <v>19</v>
      </c>
      <c r="L101" s="341">
        <f>IF(I101&lt;&gt;0,I101/J101,"")</f>
        <v>5</v>
      </c>
      <c r="M101" s="365">
        <f>881739.4+0</f>
        <v>881739.4</v>
      </c>
      <c r="N101" s="348">
        <f>135272+0</f>
        <v>135272</v>
      </c>
      <c r="O101" s="416">
        <f>IF(M101&lt;&gt;0,M101/N101,"")</f>
        <v>6.5182698562895505</v>
      </c>
    </row>
    <row r="102" spans="1:15" ht="15">
      <c r="A102" s="175">
        <v>99</v>
      </c>
      <c r="B102" s="415" t="s">
        <v>253</v>
      </c>
      <c r="C102" s="338">
        <v>38800</v>
      </c>
      <c r="D102" s="345" t="s">
        <v>455</v>
      </c>
      <c r="E102" s="345" t="s">
        <v>456</v>
      </c>
      <c r="F102" s="346">
        <v>92</v>
      </c>
      <c r="G102" s="346">
        <v>1</v>
      </c>
      <c r="H102" s="346">
        <v>21</v>
      </c>
      <c r="I102" s="335">
        <v>3021</v>
      </c>
      <c r="J102" s="336">
        <v>604</v>
      </c>
      <c r="K102" s="356">
        <f>J102/G102</f>
        <v>604</v>
      </c>
      <c r="L102" s="344">
        <f>I102/J102</f>
        <v>5.001655629139073</v>
      </c>
      <c r="M102" s="347">
        <f>481751.5+308419.5+242119.5+52953+38471.5+16408.5+18127+1517+5096+60+3053+445.5+482+889+3926+253+277+3575+1310+1510+3021</f>
        <v>1183665</v>
      </c>
      <c r="N102" s="348">
        <f>67910+40806+32344+8727+9142+4213+4473+313+1639+13+1011+76+110+151+1151+49+51+867+328+302+604</f>
        <v>174280</v>
      </c>
      <c r="O102" s="423">
        <f>M102/N102</f>
        <v>6.791743171907275</v>
      </c>
    </row>
    <row r="103" spans="1:15" ht="15">
      <c r="A103" s="175">
        <v>100</v>
      </c>
      <c r="B103" s="415" t="s">
        <v>253</v>
      </c>
      <c r="C103" s="338">
        <v>38800</v>
      </c>
      <c r="D103" s="345" t="s">
        <v>455</v>
      </c>
      <c r="E103" s="345" t="s">
        <v>456</v>
      </c>
      <c r="F103" s="346">
        <v>92</v>
      </c>
      <c r="G103" s="346">
        <v>1</v>
      </c>
      <c r="H103" s="346">
        <v>20</v>
      </c>
      <c r="I103" s="335">
        <v>1510</v>
      </c>
      <c r="J103" s="336">
        <v>302</v>
      </c>
      <c r="K103" s="340">
        <f>+J103/G103</f>
        <v>302</v>
      </c>
      <c r="L103" s="344">
        <f>I103/J103</f>
        <v>5</v>
      </c>
      <c r="M103" s="347">
        <f>481751.5+308419.5+242119.5+52953+38471.5+16408.5+18127+1517+5096+60+3053+445.5+482+889+3926+253+277+3575+1310+1510</f>
        <v>1180644</v>
      </c>
      <c r="N103" s="348">
        <f>67910+40806+32344+8727+9142+4213+4473+313+1639+13+1011+76+110+151+1151+49+51+867+328+302</f>
        <v>173676</v>
      </c>
      <c r="O103" s="419">
        <f>+M103/N103</f>
        <v>6.797968631244386</v>
      </c>
    </row>
    <row r="104" spans="1:15" ht="15">
      <c r="A104" s="175">
        <v>101</v>
      </c>
      <c r="B104" s="415" t="s">
        <v>174</v>
      </c>
      <c r="C104" s="338">
        <v>38807</v>
      </c>
      <c r="D104" s="345" t="s">
        <v>468</v>
      </c>
      <c r="E104" s="339" t="s">
        <v>175</v>
      </c>
      <c r="F104" s="346">
        <v>2</v>
      </c>
      <c r="G104" s="346">
        <v>1</v>
      </c>
      <c r="H104" s="346">
        <v>6</v>
      </c>
      <c r="I104" s="335">
        <v>1430</v>
      </c>
      <c r="J104" s="336">
        <v>286</v>
      </c>
      <c r="K104" s="340">
        <f>IF(I104&lt;&gt;0,J104/G104,"")</f>
        <v>286</v>
      </c>
      <c r="L104" s="341">
        <f>IF(I104&lt;&gt;0,I104/J104,"")</f>
        <v>5</v>
      </c>
      <c r="M104" s="347">
        <v>6058.5</v>
      </c>
      <c r="N104" s="348">
        <v>993</v>
      </c>
      <c r="O104" s="416">
        <f>IF(M104&lt;&gt;0,M104/N104,"")</f>
        <v>6.101208459214502</v>
      </c>
    </row>
    <row r="105" spans="1:15" ht="15">
      <c r="A105" s="175">
        <v>102</v>
      </c>
      <c r="B105" s="418" t="s">
        <v>236</v>
      </c>
      <c r="C105" s="338">
        <v>38814</v>
      </c>
      <c r="D105" s="357" t="s">
        <v>277</v>
      </c>
      <c r="E105" s="352" t="s">
        <v>143</v>
      </c>
      <c r="F105" s="358">
        <v>14</v>
      </c>
      <c r="G105" s="358">
        <v>3</v>
      </c>
      <c r="H105" s="358">
        <v>22</v>
      </c>
      <c r="I105" s="335">
        <v>4276</v>
      </c>
      <c r="J105" s="336">
        <v>1069</v>
      </c>
      <c r="K105" s="356">
        <f>J105/G105</f>
        <v>356.3333333333333</v>
      </c>
      <c r="L105" s="344">
        <f>I105/J105</f>
        <v>4</v>
      </c>
      <c r="M105" s="347">
        <f>43111+13278+6067.5+7325+7474+6516.5+154+328+3068+571+1240+894+596+476+168+213+1188+1784+180+592+592+4276</f>
        <v>100092</v>
      </c>
      <c r="N105" s="348">
        <f>4620+1821+1003+1445+1813+1225+30+68+737+144+310+211+149+119+21+46+297+446+45+148+148+1069</f>
        <v>15915</v>
      </c>
      <c r="O105" s="420">
        <f>M105/N105</f>
        <v>6.289161168708765</v>
      </c>
    </row>
    <row r="106" spans="1:15" ht="16.5" customHeight="1">
      <c r="A106" s="175">
        <v>103</v>
      </c>
      <c r="B106" s="418" t="s">
        <v>236</v>
      </c>
      <c r="C106" s="338">
        <v>38814</v>
      </c>
      <c r="D106" s="357" t="s">
        <v>277</v>
      </c>
      <c r="E106" s="352" t="s">
        <v>143</v>
      </c>
      <c r="F106" s="358">
        <v>14</v>
      </c>
      <c r="G106" s="358">
        <v>1</v>
      </c>
      <c r="H106" s="358">
        <v>23</v>
      </c>
      <c r="I106" s="335">
        <v>952</v>
      </c>
      <c r="J106" s="336">
        <v>238</v>
      </c>
      <c r="K106" s="356">
        <f>J106/G106</f>
        <v>238</v>
      </c>
      <c r="L106" s="353">
        <f>I106/J106</f>
        <v>4</v>
      </c>
      <c r="M106" s="347">
        <f>43111+13278+6067.5+7325+7474+6516.5+154+328+3068+571+1240+894+596+476+168+213+1188+1784+180+592+592+4276+952</f>
        <v>101044</v>
      </c>
      <c r="N106" s="348">
        <f>4620+1821+1003+1445+1813+1225+30+68+737+144+310+211+149+119+21+46+297+446+45+148+148+1069+238</f>
        <v>16153</v>
      </c>
      <c r="O106" s="419">
        <f>+M106/N106</f>
        <v>6.255432427412864</v>
      </c>
    </row>
    <row r="107" spans="1:15" ht="16.5" customHeight="1">
      <c r="A107" s="175">
        <v>104</v>
      </c>
      <c r="B107" s="424" t="s">
        <v>116</v>
      </c>
      <c r="C107" s="359">
        <v>38814</v>
      </c>
      <c r="D107" s="362" t="s">
        <v>447</v>
      </c>
      <c r="E107" s="362" t="s">
        <v>465</v>
      </c>
      <c r="F107" s="361">
        <v>56</v>
      </c>
      <c r="G107" s="361">
        <v>2</v>
      </c>
      <c r="H107" s="361">
        <v>17</v>
      </c>
      <c r="I107" s="363">
        <v>960</v>
      </c>
      <c r="J107" s="364">
        <v>192</v>
      </c>
      <c r="K107" s="356">
        <f>J107/G107</f>
        <v>96</v>
      </c>
      <c r="L107" s="344">
        <f>I107/J107</f>
        <v>5</v>
      </c>
      <c r="M107" s="365">
        <f>388873.5+960</f>
        <v>389833.5</v>
      </c>
      <c r="N107" s="348">
        <f>59196+192</f>
        <v>59388</v>
      </c>
      <c r="O107" s="419">
        <f>+M107/N107</f>
        <v>6.564179632248939</v>
      </c>
    </row>
    <row r="108" spans="1:15" ht="15">
      <c r="A108" s="175">
        <v>105</v>
      </c>
      <c r="B108" s="415" t="s">
        <v>228</v>
      </c>
      <c r="C108" s="338">
        <v>38821</v>
      </c>
      <c r="D108" s="345" t="s">
        <v>455</v>
      </c>
      <c r="E108" s="345" t="s">
        <v>456</v>
      </c>
      <c r="F108" s="346">
        <v>118</v>
      </c>
      <c r="G108" s="346">
        <v>1</v>
      </c>
      <c r="H108" s="346">
        <v>34</v>
      </c>
      <c r="I108" s="335">
        <v>5035</v>
      </c>
      <c r="J108" s="336">
        <v>1007</v>
      </c>
      <c r="K108" s="340">
        <f>IF(I108&lt;&gt;0,J108/G108,"")</f>
        <v>1007</v>
      </c>
      <c r="L108" s="341">
        <f>IF(I108&lt;&gt;0,I108/J108,"")</f>
        <v>5</v>
      </c>
      <c r="M108" s="347">
        <f>1908861+1583540+976953.5+606582.5+358386.5+257458.5+154619+107195+70567+37968.5+18157.5+11925.5+12529.5+11442+10137.5+11279.5+11047+23092+6089.5+13588+1331+1245+48+90+312+4271+1314+128+1008+10+610+1572+5035-409</f>
        <v>6207984.5</v>
      </c>
      <c r="N108" s="348">
        <f>267837+226672+141343+93283+56706+48660+34140+24736+15604+6640+3341+2116+2223+1865+2002+2375+2554+5432+1329+3323+245+218+8+15+52+1073+314+16+252+116+261+1007-77</f>
        <v>945681</v>
      </c>
      <c r="O108" s="423">
        <f>M108/N108</f>
        <v>6.564565112337036</v>
      </c>
    </row>
    <row r="109" spans="1:15" ht="15">
      <c r="A109" s="175">
        <v>106</v>
      </c>
      <c r="B109" s="415" t="s">
        <v>228</v>
      </c>
      <c r="C109" s="338">
        <v>38821</v>
      </c>
      <c r="D109" s="345" t="s">
        <v>455</v>
      </c>
      <c r="E109" s="345" t="s">
        <v>456</v>
      </c>
      <c r="F109" s="346">
        <v>118</v>
      </c>
      <c r="G109" s="346">
        <v>3</v>
      </c>
      <c r="H109" s="346">
        <v>35</v>
      </c>
      <c r="I109" s="335">
        <v>4651.5</v>
      </c>
      <c r="J109" s="336">
        <v>884</v>
      </c>
      <c r="K109" s="356">
        <f>J109/G109</f>
        <v>294.6666666666667</v>
      </c>
      <c r="L109" s="344">
        <f>I109/J109</f>
        <v>5.261877828054299</v>
      </c>
      <c r="M109" s="347">
        <f>1908861+1583540+976953.5+606582.5+358386.5+257458.5+154619+107195+70567+37968.5+18157.5+11925.5+12529.5+11442+10137.5+11279.5+11047+23092+6089.5+13588+1331+1245+48+90+312+4271+1314+128+1008+10+610+1572+5035-409+4651.5</f>
        <v>6212636</v>
      </c>
      <c r="N109" s="348">
        <f>267837+226672+141343+93283+56706+48660+34140+24736+15604+6640+3341+2116+2223+1865+2002+2375+2554+5432+1329+3323+245+218+8+15+52+1073+314+16+252+116+261+1007-77+884</f>
        <v>946565</v>
      </c>
      <c r="O109" s="423">
        <f>M109/N109</f>
        <v>6.563348528627194</v>
      </c>
    </row>
    <row r="110" spans="1:15" ht="15">
      <c r="A110" s="175">
        <v>107</v>
      </c>
      <c r="B110" s="417" t="s">
        <v>228</v>
      </c>
      <c r="C110" s="338">
        <v>38821</v>
      </c>
      <c r="D110" s="337" t="s">
        <v>455</v>
      </c>
      <c r="E110" s="337" t="s">
        <v>456</v>
      </c>
      <c r="F110" s="333">
        <v>118</v>
      </c>
      <c r="G110" s="334">
        <v>3</v>
      </c>
      <c r="H110" s="334">
        <v>36</v>
      </c>
      <c r="I110" s="335">
        <v>3349</v>
      </c>
      <c r="J110" s="336">
        <v>645</v>
      </c>
      <c r="K110" s="356">
        <f>J110/G110</f>
        <v>215</v>
      </c>
      <c r="L110" s="344">
        <f>I110/J110</f>
        <v>5.192248062015504</v>
      </c>
      <c r="M110" s="347">
        <f>1908861+1583540+976953.5+606582.5+358386.5+257458.5+154619+107195+70567+37968.5+18157.5+11925.5+12529.5+11442+10137.5+11279.5+11047+23092+6089.5+13588+1331+1245+48+90+312+4271+1314+128+1008+10+610+1572+5035-409+4651.5+3349</f>
        <v>6215985</v>
      </c>
      <c r="N110" s="348">
        <f>267837+226672+141343+93283+56706+48660+34140+24736+15604+6640+3341+2116+2223+1865+2002+2375+2554+5432+1329+3323+245+218+8+15+52+1073+314+16+252+116+261+1007-77+884+645</f>
        <v>947210</v>
      </c>
      <c r="O110" s="419">
        <f>+M110/N110</f>
        <v>6.562414881599645</v>
      </c>
    </row>
    <row r="111" spans="1:15" ht="15">
      <c r="A111" s="175">
        <v>108</v>
      </c>
      <c r="B111" s="417" t="s">
        <v>228</v>
      </c>
      <c r="C111" s="338">
        <v>38821</v>
      </c>
      <c r="D111" s="337" t="s">
        <v>455</v>
      </c>
      <c r="E111" s="337" t="s">
        <v>456</v>
      </c>
      <c r="F111" s="334">
        <v>118</v>
      </c>
      <c r="G111" s="334">
        <v>2</v>
      </c>
      <c r="H111" s="334">
        <v>38</v>
      </c>
      <c r="I111" s="335">
        <v>2852</v>
      </c>
      <c r="J111" s="336">
        <v>712</v>
      </c>
      <c r="K111" s="340">
        <f>+J111/G111</f>
        <v>356</v>
      </c>
      <c r="L111" s="341">
        <f>+I111/J111</f>
        <v>4.00561797752809</v>
      </c>
      <c r="M111" s="347">
        <f>1908861+1583540+976953.5+606582.5+358386.5+257458.5+154619+107195+70567+37968.5+18157.5+11925.5+12529.5+11442+10137.5+11279.5+11047+23092+6089.5+13588+1331+1245+48+90+312+4271+1314+128+1008+10+610+1572+5035-409+4651.5+3349+2013.5+2852</f>
        <v>6220850.5</v>
      </c>
      <c r="N111" s="348">
        <f>267837+226672+141343+93283+56706+48660+34140+24736+15604+6640+3341+2116+2223+1865+2002+2375+2554+5432+1329+3323+245+218+8+15+52+1073+314+16+252+116+261+1007-77+884+645+503+712</f>
        <v>948425</v>
      </c>
      <c r="O111" s="423">
        <f>M111/N111</f>
        <v>6.559138044652977</v>
      </c>
    </row>
    <row r="112" spans="1:15" ht="15">
      <c r="A112" s="175">
        <v>109</v>
      </c>
      <c r="B112" s="415" t="s">
        <v>228</v>
      </c>
      <c r="C112" s="338">
        <v>38821</v>
      </c>
      <c r="D112" s="345" t="s">
        <v>455</v>
      </c>
      <c r="E112" s="345" t="s">
        <v>456</v>
      </c>
      <c r="F112" s="346">
        <v>118</v>
      </c>
      <c r="G112" s="346">
        <v>1</v>
      </c>
      <c r="H112" s="346">
        <v>37</v>
      </c>
      <c r="I112" s="335">
        <v>2013.5</v>
      </c>
      <c r="J112" s="336">
        <v>503</v>
      </c>
      <c r="K112" s="356">
        <f>J112/G112</f>
        <v>503</v>
      </c>
      <c r="L112" s="344">
        <f>I112/J112</f>
        <v>4.002982107355865</v>
      </c>
      <c r="M112" s="347">
        <f>1908861+1583540+976953.5+606582.5+358386.5+257458.5+154619+107195+70567+37968.5+18157.5+11925.5+12529.5+11442+10137.5+11279.5+11047+23092+6089.5+13588+1331+1245+48+90+312+4271+1314+128+1008+10+610+1572+5035-409+4651.5+3349+2013.5</f>
        <v>6217998.5</v>
      </c>
      <c r="N112" s="348">
        <f>267837+226672+141343+93283+56706+48660+34140+24736+15604+6640+3341+2116+2223+1865+2002+2375+2554+5432+1329+3323+245+218+8+15+52+1073+314+16+252+116+261+1007-77+884+645+503</f>
        <v>947713</v>
      </c>
      <c r="O112" s="423">
        <f>M112/N112</f>
        <v>6.561056459075691</v>
      </c>
    </row>
    <row r="113" spans="1:15" ht="15">
      <c r="A113" s="175">
        <v>110</v>
      </c>
      <c r="B113" s="415" t="s">
        <v>228</v>
      </c>
      <c r="C113" s="338">
        <v>38821</v>
      </c>
      <c r="D113" s="345" t="s">
        <v>455</v>
      </c>
      <c r="E113" s="345" t="s">
        <v>456</v>
      </c>
      <c r="F113" s="346">
        <v>118</v>
      </c>
      <c r="G113" s="346">
        <v>1</v>
      </c>
      <c r="H113" s="346">
        <v>33</v>
      </c>
      <c r="I113" s="335">
        <v>610</v>
      </c>
      <c r="J113" s="336">
        <v>116</v>
      </c>
      <c r="K113" s="340">
        <f>IF(I113&lt;&gt;0,J113/G113,"")</f>
        <v>116</v>
      </c>
      <c r="L113" s="341">
        <f>IF(I113&lt;&gt;0,I113/J113,"")</f>
        <v>5.258620689655173</v>
      </c>
      <c r="M113" s="347">
        <f>1908861+1583540+976953.5+606582.5+358386.5+257458.5+154619+107195+70567+37968.5+18157.5+11925.5+12529.5+11442+10137.5+11279.5+11047+23092+6089.5+13588+1331+1245+48+90+312+4271+1314+128+1008+10+610+1572</f>
        <v>6203358.5</v>
      </c>
      <c r="N113" s="348">
        <f>267837+226672+141343+93283+56706+48660+34140+24736+15604+6640+3341+2116+2223+1865+2002+2375+2554+5432+1329+3323+245+218+8+15+52+1073+314+16+252+116+261</f>
        <v>944751</v>
      </c>
      <c r="O113" s="416">
        <f>IF(M113&lt;&gt;0,M113/N113,"")</f>
        <v>6.566130652415293</v>
      </c>
    </row>
    <row r="114" spans="1:15" ht="15">
      <c r="A114" s="175">
        <v>111</v>
      </c>
      <c r="B114" s="415" t="s">
        <v>114</v>
      </c>
      <c r="C114" s="338">
        <v>38821</v>
      </c>
      <c r="D114" s="345" t="s">
        <v>454</v>
      </c>
      <c r="E114" s="345" t="s">
        <v>457</v>
      </c>
      <c r="F114" s="346">
        <v>94</v>
      </c>
      <c r="G114" s="346">
        <v>1</v>
      </c>
      <c r="H114" s="346">
        <v>77</v>
      </c>
      <c r="I114" s="335">
        <v>90</v>
      </c>
      <c r="J114" s="336">
        <v>12</v>
      </c>
      <c r="K114" s="340">
        <f>IF(I114&lt;&gt;0,J114/G114,"")</f>
        <v>12</v>
      </c>
      <c r="L114" s="341">
        <f>IF(I114&lt;&gt;0,I114/J114,"")</f>
        <v>7.5</v>
      </c>
      <c r="M114" s="347">
        <v>1014265</v>
      </c>
      <c r="N114" s="348">
        <v>150686</v>
      </c>
      <c r="O114" s="419">
        <f>+M114/N114</f>
        <v>6.730983634843317</v>
      </c>
    </row>
    <row r="115" spans="1:15" ht="15">
      <c r="A115" s="175">
        <v>112</v>
      </c>
      <c r="B115" s="417" t="s">
        <v>187</v>
      </c>
      <c r="C115" s="338">
        <v>38828</v>
      </c>
      <c r="D115" s="337" t="s">
        <v>525</v>
      </c>
      <c r="E115" s="337" t="s">
        <v>525</v>
      </c>
      <c r="F115" s="334">
        <v>43</v>
      </c>
      <c r="G115" s="334">
        <v>2</v>
      </c>
      <c r="H115" s="334">
        <v>25</v>
      </c>
      <c r="I115" s="335">
        <v>1246</v>
      </c>
      <c r="J115" s="336">
        <v>220</v>
      </c>
      <c r="K115" s="350">
        <f aca="true" t="shared" si="16" ref="K115:K122">J115/G115</f>
        <v>110</v>
      </c>
      <c r="L115" s="351">
        <f aca="true" t="shared" si="17" ref="L115:L122">I115/J115</f>
        <v>5.663636363636364</v>
      </c>
      <c r="M115" s="347">
        <f>221837.5+151726+100334.5+58293.5+26175.5+11161+17463.5+3291+21578+7312+4262.5+2303+855+1116+823+670+220+160+110+100+718+440+614+612+1246</f>
        <v>633422</v>
      </c>
      <c r="N115" s="348">
        <f>31465+21243+15047+11409+5192+2380+3862+919+4153+1349+750+401+171+250+160+133+44+32+22+20+179+110+87+102+220</f>
        <v>99700</v>
      </c>
      <c r="O115" s="416">
        <f>+M115/N115</f>
        <v>6.353279839518556</v>
      </c>
    </row>
    <row r="116" spans="1:15" ht="15">
      <c r="A116" s="175">
        <v>113</v>
      </c>
      <c r="B116" s="415" t="s">
        <v>187</v>
      </c>
      <c r="C116" s="338">
        <v>38828</v>
      </c>
      <c r="D116" s="345" t="s">
        <v>525</v>
      </c>
      <c r="E116" s="345" t="s">
        <v>525</v>
      </c>
      <c r="F116" s="346">
        <v>34</v>
      </c>
      <c r="G116" s="346">
        <v>1</v>
      </c>
      <c r="H116" s="346">
        <v>28</v>
      </c>
      <c r="I116" s="335">
        <v>798</v>
      </c>
      <c r="J116" s="336">
        <v>146</v>
      </c>
      <c r="K116" s="350">
        <f t="shared" si="16"/>
        <v>146</v>
      </c>
      <c r="L116" s="351">
        <f t="shared" si="17"/>
        <v>5.465753424657534</v>
      </c>
      <c r="M116" s="347">
        <f>221837.5+151726+100334.5+58293.5+26175.5+11161+17463.5+3291+21578+7312+4262.5+2303+855+1116+823+670+220+160+110+100+718+440+614+612+1246+672+771+798</f>
        <v>635663</v>
      </c>
      <c r="N116" s="348">
        <f>31465+21243+15047+11409+5192+2380+3862+919+4153+1349+750+401+171+250+160+133+44+32+22+20+179+110+87+102+220+110+124+146</f>
        <v>100080</v>
      </c>
      <c r="O116" s="420">
        <f>M116/N116</f>
        <v>6.351548760991207</v>
      </c>
    </row>
    <row r="117" spans="1:15" ht="15">
      <c r="A117" s="175">
        <v>114</v>
      </c>
      <c r="B117" s="415" t="s">
        <v>187</v>
      </c>
      <c r="C117" s="338">
        <v>38828</v>
      </c>
      <c r="D117" s="345" t="s">
        <v>525</v>
      </c>
      <c r="E117" s="345" t="s">
        <v>525</v>
      </c>
      <c r="F117" s="346">
        <v>34</v>
      </c>
      <c r="G117" s="346">
        <v>1</v>
      </c>
      <c r="H117" s="346">
        <v>27</v>
      </c>
      <c r="I117" s="335">
        <v>771</v>
      </c>
      <c r="J117" s="336">
        <v>124</v>
      </c>
      <c r="K117" s="356">
        <f t="shared" si="16"/>
        <v>124</v>
      </c>
      <c r="L117" s="344">
        <f t="shared" si="17"/>
        <v>6.217741935483871</v>
      </c>
      <c r="M117" s="347">
        <f>221837.5+151726+100334.5+58293.5+26175.5+11161+17463.5+3291+21578+7312+4262.5+2303+855+1116+823+670+220+160+110+100+718+440+614+612+1246+672+771</f>
        <v>634865</v>
      </c>
      <c r="N117" s="348">
        <f>31465+21243+15047+11409+5192+2380+3862+919+4153+1349+750+401+171+250+160+133+44+32+22+20+179+110+87+102+220+110+124</f>
        <v>99934</v>
      </c>
      <c r="O117" s="419">
        <f>+M117/N117</f>
        <v>6.352842876298357</v>
      </c>
    </row>
    <row r="118" spans="1:15" ht="15">
      <c r="A118" s="175">
        <v>115</v>
      </c>
      <c r="B118" s="415" t="s">
        <v>187</v>
      </c>
      <c r="C118" s="338">
        <v>38828</v>
      </c>
      <c r="D118" s="345" t="s">
        <v>455</v>
      </c>
      <c r="E118" s="345" t="s">
        <v>525</v>
      </c>
      <c r="F118" s="346">
        <v>43</v>
      </c>
      <c r="G118" s="346">
        <v>1</v>
      </c>
      <c r="H118" s="346">
        <v>21</v>
      </c>
      <c r="I118" s="335">
        <v>718</v>
      </c>
      <c r="J118" s="336">
        <v>179</v>
      </c>
      <c r="K118" s="356">
        <f t="shared" si="16"/>
        <v>179</v>
      </c>
      <c r="L118" s="344">
        <f t="shared" si="17"/>
        <v>4.011173184357542</v>
      </c>
      <c r="M118" s="347">
        <f>221837.5+151726+100334.5+58293.5+26175.5+11161+17463.5+3291+21578+7312+4262.5+2303+855+1116+823+670+220+160+110+100+718</f>
        <v>630510</v>
      </c>
      <c r="N118" s="348">
        <f>31465+21243+15047+11409+5192+2380+3862+919+4153+1349+750+401+171+250+160+133+44+32+22+20+179</f>
        <v>99181</v>
      </c>
      <c r="O118" s="419">
        <f>+M118/N118</f>
        <v>6.357165182847521</v>
      </c>
    </row>
    <row r="119" spans="1:15" ht="15">
      <c r="A119" s="175">
        <v>116</v>
      </c>
      <c r="B119" s="417" t="s">
        <v>187</v>
      </c>
      <c r="C119" s="338">
        <v>38828</v>
      </c>
      <c r="D119" s="345" t="s">
        <v>525</v>
      </c>
      <c r="E119" s="345" t="s">
        <v>525</v>
      </c>
      <c r="F119" s="334">
        <v>43</v>
      </c>
      <c r="G119" s="334">
        <v>1</v>
      </c>
      <c r="H119" s="334">
        <v>26</v>
      </c>
      <c r="I119" s="335">
        <v>672</v>
      </c>
      <c r="J119" s="336">
        <v>110</v>
      </c>
      <c r="K119" s="356">
        <f t="shared" si="16"/>
        <v>110</v>
      </c>
      <c r="L119" s="344">
        <f t="shared" si="17"/>
        <v>6.109090909090909</v>
      </c>
      <c r="M119" s="347">
        <f>221837.5+151726+100334.5+58293.5+26175.5+11161+17463.5+3291+21578+7312+4262.5+2303+855+1116+823+670+220+160+110+100+718+440+614+612+1246+672</f>
        <v>634094</v>
      </c>
      <c r="N119" s="348">
        <f>31465+21243+15047+11409+5192+2380+3862+919+4153+1349+750+401+171+250+160+133+44+32+22+20+179+110+87+102+220+110</f>
        <v>99810</v>
      </c>
      <c r="O119" s="423">
        <f>M119/N119</f>
        <v>6.353010720368701</v>
      </c>
    </row>
    <row r="120" spans="1:15" ht="15">
      <c r="A120" s="175">
        <v>117</v>
      </c>
      <c r="B120" s="415" t="s">
        <v>187</v>
      </c>
      <c r="C120" s="338">
        <v>38828</v>
      </c>
      <c r="D120" s="345" t="s">
        <v>525</v>
      </c>
      <c r="E120" s="345" t="s">
        <v>525</v>
      </c>
      <c r="F120" s="373" t="s">
        <v>681</v>
      </c>
      <c r="G120" s="346">
        <v>2</v>
      </c>
      <c r="H120" s="346">
        <v>23</v>
      </c>
      <c r="I120" s="335">
        <v>614</v>
      </c>
      <c r="J120" s="336">
        <v>87</v>
      </c>
      <c r="K120" s="356">
        <f t="shared" si="16"/>
        <v>43.5</v>
      </c>
      <c r="L120" s="344">
        <f t="shared" si="17"/>
        <v>7.057471264367816</v>
      </c>
      <c r="M120" s="347">
        <f>221837.5+151726+100334.5+58293.5+26175.5+11161+17463.5+3291+21578+7312+4262.5+2303+855+1116+823+670+220+160+110+100+718+440+614</f>
        <v>631564</v>
      </c>
      <c r="N120" s="348">
        <f>31465+21243+15047+11409+5192+2380+3862+919+4153+1349+750+401+171+250+160+133+44+32+22+20+179+110+87</f>
        <v>99378</v>
      </c>
      <c r="O120" s="419">
        <f>+M120/N120</f>
        <v>6.3551691521262255</v>
      </c>
    </row>
    <row r="121" spans="1:15" ht="15">
      <c r="A121" s="175">
        <v>118</v>
      </c>
      <c r="B121" s="415" t="s">
        <v>187</v>
      </c>
      <c r="C121" s="338">
        <v>38828</v>
      </c>
      <c r="D121" s="345" t="s">
        <v>525</v>
      </c>
      <c r="E121" s="345" t="s">
        <v>525</v>
      </c>
      <c r="F121" s="346">
        <v>43</v>
      </c>
      <c r="G121" s="346">
        <v>1</v>
      </c>
      <c r="H121" s="346">
        <v>24</v>
      </c>
      <c r="I121" s="335">
        <v>612</v>
      </c>
      <c r="J121" s="336">
        <v>102</v>
      </c>
      <c r="K121" s="356">
        <f t="shared" si="16"/>
        <v>102</v>
      </c>
      <c r="L121" s="344">
        <f t="shared" si="17"/>
        <v>6</v>
      </c>
      <c r="M121" s="347">
        <f>221837.5+151726+100334.5+58293.5+26175.5+11161+17463.5+3291+21578+7312+4262.5+2303+855+1116+823+670+220+160+110+100+718+440+614+612</f>
        <v>632176</v>
      </c>
      <c r="N121" s="348">
        <f>31465+21243+15047+11409+5192+2380+3862+919+4153+1349+750+401+171+250+160+133+44+32+22+20+179+110+87+102</f>
        <v>99480</v>
      </c>
      <c r="O121" s="423">
        <f>M121/N121</f>
        <v>6.35480498592682</v>
      </c>
    </row>
    <row r="122" spans="1:15" ht="15">
      <c r="A122" s="175">
        <v>119</v>
      </c>
      <c r="B122" s="415" t="s">
        <v>187</v>
      </c>
      <c r="C122" s="338">
        <v>38828</v>
      </c>
      <c r="D122" s="345" t="s">
        <v>525</v>
      </c>
      <c r="E122" s="345" t="s">
        <v>525</v>
      </c>
      <c r="F122" s="346">
        <v>43</v>
      </c>
      <c r="G122" s="346">
        <v>1</v>
      </c>
      <c r="H122" s="346">
        <v>22</v>
      </c>
      <c r="I122" s="335">
        <v>440</v>
      </c>
      <c r="J122" s="336">
        <v>110</v>
      </c>
      <c r="K122" s="356">
        <f t="shared" si="16"/>
        <v>110</v>
      </c>
      <c r="L122" s="344">
        <f t="shared" si="17"/>
        <v>4</v>
      </c>
      <c r="M122" s="347">
        <f>221837.5+151726+100334.5+58293.5+26175.5+11161+17463.5+3291+21578+7312+4262.5+2303+855+1116+823+670+220+160+110+100+718+440</f>
        <v>630950</v>
      </c>
      <c r="N122" s="348">
        <f>31465+21243+15047+11409+5192+2380+3862+919+4153+1349+750+401+171+250+160+133+44+32+22+20+179+110</f>
        <v>99291</v>
      </c>
      <c r="O122" s="419">
        <f>+M122/N122</f>
        <v>6.354553786345187</v>
      </c>
    </row>
    <row r="123" spans="1:15" ht="15">
      <c r="A123" s="175">
        <v>120</v>
      </c>
      <c r="B123" s="415" t="s">
        <v>187</v>
      </c>
      <c r="C123" s="338">
        <v>38828</v>
      </c>
      <c r="D123" s="345" t="s">
        <v>525</v>
      </c>
      <c r="E123" s="345" t="s">
        <v>525</v>
      </c>
      <c r="F123" s="346">
        <v>34</v>
      </c>
      <c r="G123" s="346">
        <v>1</v>
      </c>
      <c r="H123" s="346">
        <v>29</v>
      </c>
      <c r="I123" s="335">
        <v>55</v>
      </c>
      <c r="J123" s="336">
        <v>11</v>
      </c>
      <c r="K123" s="340">
        <f>+J123/G123</f>
        <v>11</v>
      </c>
      <c r="L123" s="341">
        <f>+I123/J123</f>
        <v>5</v>
      </c>
      <c r="M123" s="347">
        <f>221837.5+151726+100334.5+58293.5+26175.5+11161+17463.5+3291+21578+7312+4262.5+2303+855+1116+823+670+220+160+110+100+718+440+614+612+1246+672+771+798+55</f>
        <v>635718</v>
      </c>
      <c r="N123" s="348">
        <f>31465+21243+15047+11409+5192+2380+3862+919+4153+1349+750+401+171+250+160+133+44+32+22+20+179+110+87+102+220+110+124+146+11</f>
        <v>100091</v>
      </c>
      <c r="O123" s="419">
        <f>+M123/N123</f>
        <v>6.351400225794527</v>
      </c>
    </row>
    <row r="124" spans="1:15" ht="15">
      <c r="A124" s="175">
        <v>121</v>
      </c>
      <c r="B124" s="415" t="s">
        <v>234</v>
      </c>
      <c r="C124" s="374">
        <v>38828</v>
      </c>
      <c r="D124" s="345" t="s">
        <v>460</v>
      </c>
      <c r="E124" s="349" t="s">
        <v>235</v>
      </c>
      <c r="F124" s="346">
        <v>5</v>
      </c>
      <c r="G124" s="375">
        <v>1</v>
      </c>
      <c r="H124" s="375">
        <v>17</v>
      </c>
      <c r="I124" s="376">
        <v>949</v>
      </c>
      <c r="J124" s="377">
        <v>190</v>
      </c>
      <c r="K124" s="356">
        <f>J124/G124</f>
        <v>190</v>
      </c>
      <c r="L124" s="344">
        <f>I124/J124</f>
        <v>4.994736842105263</v>
      </c>
      <c r="M124" s="378">
        <v>61395</v>
      </c>
      <c r="N124" s="350">
        <v>10002</v>
      </c>
      <c r="O124" s="419">
        <f>+M124/N124</f>
        <v>6.138272345530893</v>
      </c>
    </row>
    <row r="125" spans="1:15" ht="15">
      <c r="A125" s="175">
        <v>122</v>
      </c>
      <c r="B125" s="417" t="s">
        <v>82</v>
      </c>
      <c r="C125" s="338">
        <v>38842</v>
      </c>
      <c r="D125" s="337" t="s">
        <v>454</v>
      </c>
      <c r="E125" s="337" t="s">
        <v>457</v>
      </c>
      <c r="F125" s="334">
        <v>173</v>
      </c>
      <c r="G125" s="334">
        <v>1</v>
      </c>
      <c r="H125" s="334">
        <v>36</v>
      </c>
      <c r="I125" s="335">
        <v>1155</v>
      </c>
      <c r="J125" s="336">
        <v>350</v>
      </c>
      <c r="K125" s="340">
        <f>IF(I125&lt;&gt;0,J125/G125,"")</f>
        <v>350</v>
      </c>
      <c r="L125" s="341">
        <f>IF(I125&lt;&gt;0,I125/J125,"")</f>
        <v>3.3</v>
      </c>
      <c r="M125" s="347">
        <v>2836359</v>
      </c>
      <c r="N125" s="348">
        <v>382553</v>
      </c>
      <c r="O125" s="420">
        <f>M125/N125</f>
        <v>7.414290307486806</v>
      </c>
    </row>
    <row r="126" spans="1:15" ht="15">
      <c r="A126" s="175">
        <v>123</v>
      </c>
      <c r="B126" s="418" t="s">
        <v>170</v>
      </c>
      <c r="C126" s="338">
        <v>38849</v>
      </c>
      <c r="D126" s="357" t="s">
        <v>277</v>
      </c>
      <c r="E126" s="352" t="s">
        <v>341</v>
      </c>
      <c r="F126" s="358">
        <v>4</v>
      </c>
      <c r="G126" s="358">
        <v>1</v>
      </c>
      <c r="H126" s="358">
        <v>16</v>
      </c>
      <c r="I126" s="335">
        <v>2852</v>
      </c>
      <c r="J126" s="336">
        <v>713</v>
      </c>
      <c r="K126" s="348">
        <f>J126/G126</f>
        <v>713</v>
      </c>
      <c r="L126" s="353">
        <f>I126/J126</f>
        <v>4</v>
      </c>
      <c r="M126" s="347">
        <f>12183.25+8569+5406+1833+4570+3387+1518.5+434.5+616.5+714+1068+450+27+36+75.5+1664+2852</f>
        <v>45404.25</v>
      </c>
      <c r="N126" s="348">
        <f>1678+1149+734+247+1506+495+228+65+102+238+356+150+5+7+29+416+713</f>
        <v>8118</v>
      </c>
      <c r="O126" s="420">
        <f>M126/N126</f>
        <v>5.593033998521803</v>
      </c>
    </row>
    <row r="127" spans="1:15" ht="15">
      <c r="A127" s="175">
        <v>124</v>
      </c>
      <c r="B127" s="418" t="s">
        <v>170</v>
      </c>
      <c r="C127" s="338">
        <v>38849</v>
      </c>
      <c r="D127" s="357" t="s">
        <v>277</v>
      </c>
      <c r="E127" s="352" t="s">
        <v>341</v>
      </c>
      <c r="F127" s="358">
        <v>4</v>
      </c>
      <c r="G127" s="358">
        <v>1</v>
      </c>
      <c r="H127" s="358">
        <v>15</v>
      </c>
      <c r="I127" s="335">
        <v>1664</v>
      </c>
      <c r="J127" s="336">
        <v>416</v>
      </c>
      <c r="K127" s="356">
        <f>J127/G127</f>
        <v>416</v>
      </c>
      <c r="L127" s="344">
        <f>I127/J127</f>
        <v>4</v>
      </c>
      <c r="M127" s="347">
        <f>12183.25+8569+5406+1833+4570+3387+1518.5+434.5+616.5+714+1068+450+27+36+75.5+1664</f>
        <v>42552.25</v>
      </c>
      <c r="N127" s="348">
        <f>1678+1149+734+247+1506+495+228+65+102+238+356+150+5+7+29+416</f>
        <v>7405</v>
      </c>
      <c r="O127" s="419">
        <f>+M127/N127</f>
        <v>5.746421336934504</v>
      </c>
    </row>
    <row r="128" spans="1:15" ht="15">
      <c r="A128" s="175">
        <v>125</v>
      </c>
      <c r="B128" s="418" t="s">
        <v>170</v>
      </c>
      <c r="C128" s="338">
        <v>38849</v>
      </c>
      <c r="D128" s="357" t="s">
        <v>277</v>
      </c>
      <c r="E128" s="352" t="s">
        <v>341</v>
      </c>
      <c r="F128" s="358">
        <v>4</v>
      </c>
      <c r="G128" s="358">
        <v>1</v>
      </c>
      <c r="H128" s="358">
        <v>17</v>
      </c>
      <c r="I128" s="335">
        <v>832</v>
      </c>
      <c r="J128" s="336">
        <v>208</v>
      </c>
      <c r="K128" s="340">
        <f>+J128/G128</f>
        <v>208</v>
      </c>
      <c r="L128" s="341">
        <f>+I128/J128</f>
        <v>4</v>
      </c>
      <c r="M128" s="347">
        <f>12183.25+8569+5406+1833+4570+3387+1518.5+434.5+616.5+714+1068+450+27+36+75.5+1664+2852+832</f>
        <v>46236.25</v>
      </c>
      <c r="N128" s="348">
        <f>1678+1149+734+247+1506+495+228+65+102+238+356+150+5+7+29+416+713+208</f>
        <v>8326</v>
      </c>
      <c r="O128" s="419">
        <f>+M128/N128</f>
        <v>5.553236848426615</v>
      </c>
    </row>
    <row r="129" spans="1:15" ht="15">
      <c r="A129" s="175">
        <v>126</v>
      </c>
      <c r="B129" s="418" t="s">
        <v>170</v>
      </c>
      <c r="C129" s="338">
        <v>38849</v>
      </c>
      <c r="D129" s="357" t="s">
        <v>277</v>
      </c>
      <c r="E129" s="352" t="s">
        <v>341</v>
      </c>
      <c r="F129" s="358">
        <v>4</v>
      </c>
      <c r="G129" s="358">
        <v>1</v>
      </c>
      <c r="H129" s="358">
        <v>14</v>
      </c>
      <c r="I129" s="335">
        <v>75.5</v>
      </c>
      <c r="J129" s="336">
        <v>29</v>
      </c>
      <c r="K129" s="356">
        <f>J129/G129</f>
        <v>29</v>
      </c>
      <c r="L129" s="344">
        <f>I129/J129</f>
        <v>2.603448275862069</v>
      </c>
      <c r="M129" s="347">
        <f>12183.25+8569+5406+1833+4570+3387+1518.5+434.5+616.5+714+1068+450+27+36+75.5</f>
        <v>40888.25</v>
      </c>
      <c r="N129" s="348">
        <f>1678+1149+734+247+1506+495+228+65+102+238+356+150+5+7+29</f>
        <v>6989</v>
      </c>
      <c r="O129" s="419">
        <f>+M129/N129</f>
        <v>5.850372013163542</v>
      </c>
    </row>
    <row r="130" spans="1:15" ht="15">
      <c r="A130" s="175">
        <v>127</v>
      </c>
      <c r="B130" s="417" t="s">
        <v>170</v>
      </c>
      <c r="C130" s="338">
        <v>38849</v>
      </c>
      <c r="D130" s="337" t="s">
        <v>277</v>
      </c>
      <c r="E130" s="337" t="s">
        <v>341</v>
      </c>
      <c r="F130" s="334">
        <v>4</v>
      </c>
      <c r="G130" s="334">
        <v>1</v>
      </c>
      <c r="H130" s="334">
        <v>13</v>
      </c>
      <c r="I130" s="335">
        <v>36</v>
      </c>
      <c r="J130" s="336">
        <v>7</v>
      </c>
      <c r="K130" s="340">
        <f>IF(I130&lt;&gt;0,J130/G130,"")</f>
        <v>7</v>
      </c>
      <c r="L130" s="341">
        <f>IF(I130&lt;&gt;0,I130/J130,"")</f>
        <v>5.142857142857143</v>
      </c>
      <c r="M130" s="347">
        <f>12183.25+8569+5406+1833+4570+3387+1518.5+434.5+616.5+714+1068+450+27+36</f>
        <v>40812.75</v>
      </c>
      <c r="N130" s="348">
        <f>1678+1149+734+247+1506+495+228+65+102+238+356+150+5+7</f>
        <v>6960</v>
      </c>
      <c r="O130" s="420">
        <f>M130/N130</f>
        <v>5.863900862068966</v>
      </c>
    </row>
    <row r="131" spans="1:15" ht="15">
      <c r="A131" s="175">
        <v>128</v>
      </c>
      <c r="B131" s="418" t="s">
        <v>170</v>
      </c>
      <c r="C131" s="338">
        <v>38849</v>
      </c>
      <c r="D131" s="357" t="s">
        <v>277</v>
      </c>
      <c r="E131" s="352" t="s">
        <v>341</v>
      </c>
      <c r="F131" s="358">
        <v>4</v>
      </c>
      <c r="G131" s="358">
        <v>1</v>
      </c>
      <c r="H131" s="358">
        <v>12</v>
      </c>
      <c r="I131" s="335">
        <v>27</v>
      </c>
      <c r="J131" s="336">
        <v>5</v>
      </c>
      <c r="K131" s="348">
        <f>J131/G131</f>
        <v>5</v>
      </c>
      <c r="L131" s="353">
        <f>I131/J131</f>
        <v>5.4</v>
      </c>
      <c r="M131" s="347">
        <f>12183.25+8569+5406+1833+4570+3387+1518.5+434.5+616.5+714+1068+450+27</f>
        <v>40776.75</v>
      </c>
      <c r="N131" s="348">
        <f>1678+1149+734+247+1506+495+228+65+102+238+356+150+5</f>
        <v>6953</v>
      </c>
      <c r="O131" s="416">
        <f>IF(M131&lt;&gt;0,M131/N131,"")</f>
        <v>5.864626779807278</v>
      </c>
    </row>
    <row r="132" spans="1:15" ht="15">
      <c r="A132" s="175">
        <v>129</v>
      </c>
      <c r="B132" s="417" t="s">
        <v>178</v>
      </c>
      <c r="C132" s="338">
        <v>38849</v>
      </c>
      <c r="D132" s="349" t="s">
        <v>141</v>
      </c>
      <c r="E132" s="339" t="s">
        <v>141</v>
      </c>
      <c r="F132" s="334">
        <v>21</v>
      </c>
      <c r="G132" s="333">
        <v>1</v>
      </c>
      <c r="H132" s="334">
        <v>19</v>
      </c>
      <c r="I132" s="331">
        <v>758</v>
      </c>
      <c r="J132" s="332">
        <v>131</v>
      </c>
      <c r="K132" s="356">
        <f>J132/G132</f>
        <v>131</v>
      </c>
      <c r="L132" s="344">
        <f>I132/J132</f>
        <v>5.786259541984733</v>
      </c>
      <c r="M132" s="342">
        <v>231128.79</v>
      </c>
      <c r="N132" s="343">
        <v>30422</v>
      </c>
      <c r="O132" s="423">
        <f>M132/N132</f>
        <v>7.597422588915917</v>
      </c>
    </row>
    <row r="133" spans="1:15" ht="15">
      <c r="A133" s="175">
        <v>130</v>
      </c>
      <c r="B133" s="421" t="s">
        <v>178</v>
      </c>
      <c r="C133" s="359">
        <v>38849</v>
      </c>
      <c r="D133" s="349" t="s">
        <v>141</v>
      </c>
      <c r="E133" s="339" t="s">
        <v>141</v>
      </c>
      <c r="F133" s="333">
        <v>21</v>
      </c>
      <c r="G133" s="334">
        <v>1</v>
      </c>
      <c r="H133" s="334">
        <v>18</v>
      </c>
      <c r="I133" s="335">
        <v>594</v>
      </c>
      <c r="J133" s="336">
        <v>198</v>
      </c>
      <c r="K133" s="350">
        <f>J133/G133</f>
        <v>198</v>
      </c>
      <c r="L133" s="351">
        <f>I133/J133</f>
        <v>3</v>
      </c>
      <c r="M133" s="347">
        <v>230370.79</v>
      </c>
      <c r="N133" s="348">
        <v>30291</v>
      </c>
      <c r="O133" s="423">
        <f>M133/N133</f>
        <v>7.605255356376482</v>
      </c>
    </row>
    <row r="134" spans="1:15" ht="15">
      <c r="A134" s="175">
        <v>131</v>
      </c>
      <c r="B134" s="422" t="s">
        <v>178</v>
      </c>
      <c r="C134" s="359">
        <v>38849</v>
      </c>
      <c r="D134" s="349" t="s">
        <v>141</v>
      </c>
      <c r="E134" s="345" t="s">
        <v>525</v>
      </c>
      <c r="F134" s="333">
        <v>21</v>
      </c>
      <c r="G134" s="333">
        <v>1</v>
      </c>
      <c r="H134" s="333">
        <v>17</v>
      </c>
      <c r="I134" s="331">
        <v>354</v>
      </c>
      <c r="J134" s="332">
        <v>118</v>
      </c>
      <c r="K134" s="340">
        <f>+J134/G134</f>
        <v>118</v>
      </c>
      <c r="L134" s="341">
        <f>+I134/J134</f>
        <v>3</v>
      </c>
      <c r="M134" s="347">
        <v>229776.79</v>
      </c>
      <c r="N134" s="348">
        <v>30093</v>
      </c>
      <c r="O134" s="419">
        <f>+M134/N134</f>
        <v>7.635556109394211</v>
      </c>
    </row>
    <row r="135" spans="1:15" ht="15">
      <c r="A135" s="175">
        <v>132</v>
      </c>
      <c r="B135" s="418" t="s">
        <v>249</v>
      </c>
      <c r="C135" s="338">
        <v>38856</v>
      </c>
      <c r="D135" s="357" t="s">
        <v>277</v>
      </c>
      <c r="E135" s="352" t="s">
        <v>341</v>
      </c>
      <c r="F135" s="358">
        <v>10</v>
      </c>
      <c r="G135" s="358">
        <v>1</v>
      </c>
      <c r="H135" s="358">
        <v>14</v>
      </c>
      <c r="I135" s="335">
        <v>1664</v>
      </c>
      <c r="J135" s="336">
        <v>416</v>
      </c>
      <c r="K135" s="356">
        <f aca="true" t="shared" si="18" ref="K135:K146">J135/G135</f>
        <v>416</v>
      </c>
      <c r="L135" s="344">
        <f aca="true" t="shared" si="19" ref="L135:L146">I135/J135</f>
        <v>4</v>
      </c>
      <c r="M135" s="347">
        <f>21534.5+7198.5+1602+1559+1382+474+1068+104+284+450+594+594+1664+1664</f>
        <v>40172</v>
      </c>
      <c r="N135" s="348">
        <f>3022+1231+222+243+253+158+356+15+44+150+198+198+416+416</f>
        <v>6922</v>
      </c>
      <c r="O135" s="419">
        <f>+M135/N135</f>
        <v>5.803524992776654</v>
      </c>
    </row>
    <row r="136" spans="1:15" ht="15">
      <c r="A136" s="175">
        <v>133</v>
      </c>
      <c r="B136" s="418" t="s">
        <v>249</v>
      </c>
      <c r="C136" s="338">
        <v>38856</v>
      </c>
      <c r="D136" s="357" t="s">
        <v>277</v>
      </c>
      <c r="E136" s="352" t="s">
        <v>682</v>
      </c>
      <c r="F136" s="358">
        <v>10</v>
      </c>
      <c r="G136" s="358">
        <v>1</v>
      </c>
      <c r="H136" s="358">
        <v>13</v>
      </c>
      <c r="I136" s="335">
        <v>1664</v>
      </c>
      <c r="J136" s="336">
        <v>416</v>
      </c>
      <c r="K136" s="348">
        <f t="shared" si="18"/>
        <v>416</v>
      </c>
      <c r="L136" s="353">
        <f t="shared" si="19"/>
        <v>4</v>
      </c>
      <c r="M136" s="347">
        <f>21534.5+7198.5+1602+1559+1382+474+1068+104+284+450+594+594+1664</f>
        <v>38508</v>
      </c>
      <c r="N136" s="348">
        <f>3022+1231+222+243+253+158+356+15+44+150+198+198+416</f>
        <v>6506</v>
      </c>
      <c r="O136" s="420">
        <f>M136/N136</f>
        <v>5.9188441438672</v>
      </c>
    </row>
    <row r="137" spans="1:15" ht="15">
      <c r="A137" s="175">
        <v>134</v>
      </c>
      <c r="B137" s="418" t="s">
        <v>200</v>
      </c>
      <c r="C137" s="338">
        <v>38863</v>
      </c>
      <c r="D137" s="354" t="s">
        <v>277</v>
      </c>
      <c r="E137" s="354" t="s">
        <v>201</v>
      </c>
      <c r="F137" s="355">
        <v>35</v>
      </c>
      <c r="G137" s="355">
        <v>1</v>
      </c>
      <c r="H137" s="355">
        <v>29</v>
      </c>
      <c r="I137" s="335">
        <v>1780</v>
      </c>
      <c r="J137" s="336">
        <v>445</v>
      </c>
      <c r="K137" s="356">
        <f t="shared" si="18"/>
        <v>445</v>
      </c>
      <c r="L137" s="344">
        <f t="shared" si="19"/>
        <v>4</v>
      </c>
      <c r="M137" s="347">
        <f>149883.5+135641.5+82301.5+72589.5+39819+39540+36570.5+16522+7667.5+7505+3512+4803+1880+716+4840+2288+337.5+291+2062+303+1509+197+2862+711+1068+594+952+353.6+1780</f>
        <v>619099.1</v>
      </c>
      <c r="N137" s="348">
        <f>19608+17668+11309+10378+6088+6513+6684+3212+1345+1482+722+1193+358+130+881+616+56+49+654+101+267+49+953+237+356+198+238+221+445</f>
        <v>92011</v>
      </c>
      <c r="O137" s="419">
        <f>+M137/N137</f>
        <v>6.728533544902239</v>
      </c>
    </row>
    <row r="138" spans="1:15" ht="15">
      <c r="A138" s="175">
        <v>135</v>
      </c>
      <c r="B138" s="418" t="s">
        <v>200</v>
      </c>
      <c r="C138" s="338">
        <v>38863</v>
      </c>
      <c r="D138" s="357" t="s">
        <v>277</v>
      </c>
      <c r="E138" s="352" t="s">
        <v>201</v>
      </c>
      <c r="F138" s="358">
        <v>35</v>
      </c>
      <c r="G138" s="358">
        <v>1</v>
      </c>
      <c r="H138" s="358">
        <v>27</v>
      </c>
      <c r="I138" s="335">
        <v>952</v>
      </c>
      <c r="J138" s="336">
        <v>238</v>
      </c>
      <c r="K138" s="348">
        <f t="shared" si="18"/>
        <v>238</v>
      </c>
      <c r="L138" s="353">
        <f t="shared" si="19"/>
        <v>4</v>
      </c>
      <c r="M138" s="347">
        <f>149883.5+135641.5+82301.5+72589.5+39819+39540+36570.5+16522+7667.5+7505+3512+4803+1880+716+4840+2288+337.5+291+2062+303+1509+197+2862+711+1068+594+952</f>
        <v>616965.5</v>
      </c>
      <c r="N138" s="348">
        <f>19608+17668+11309+10378+6088+6513+6684+3212+1345+1482+722+1193+358+130+881+616+56+49+654+101+267+49+953+237+356+198+238</f>
        <v>91345</v>
      </c>
      <c r="O138" s="420">
        <f>M138/N138</f>
        <v>6.754233948218293</v>
      </c>
    </row>
    <row r="139" spans="1:15" ht="15">
      <c r="A139" s="175">
        <v>136</v>
      </c>
      <c r="B139" s="418" t="s">
        <v>200</v>
      </c>
      <c r="C139" s="338">
        <v>38863</v>
      </c>
      <c r="D139" s="357" t="s">
        <v>277</v>
      </c>
      <c r="E139" s="352" t="s">
        <v>201</v>
      </c>
      <c r="F139" s="358">
        <v>35</v>
      </c>
      <c r="G139" s="358">
        <v>1</v>
      </c>
      <c r="H139" s="358">
        <v>30</v>
      </c>
      <c r="I139" s="335">
        <v>952</v>
      </c>
      <c r="J139" s="336">
        <v>238</v>
      </c>
      <c r="K139" s="356">
        <f t="shared" si="18"/>
        <v>238</v>
      </c>
      <c r="L139" s="353">
        <f t="shared" si="19"/>
        <v>4</v>
      </c>
      <c r="M139" s="347">
        <f>149883.5+135641.5+82301.5+72589.5+39819+39540+36570.5+16522+7667.5+7505+3512+4803+1880+716+4840+2288+337.5+291+2062+303+1509+197+2862+711+1068+594+952+353.6+1780+952</f>
        <v>620051.1</v>
      </c>
      <c r="N139" s="348">
        <f>19608+17668+11309+10378+6088+6513+6684+3212+1345+1482+722+1193+358+130+881+616+56+49+654+101+267+49+953+237+356+198+238+221+445+238</f>
        <v>92249</v>
      </c>
      <c r="O139" s="419">
        <f>+M139/N139</f>
        <v>6.7214939999349586</v>
      </c>
    </row>
    <row r="140" spans="1:15" ht="15">
      <c r="A140" s="175">
        <v>137</v>
      </c>
      <c r="B140" s="418" t="s">
        <v>200</v>
      </c>
      <c r="C140" s="338">
        <v>38863</v>
      </c>
      <c r="D140" s="357" t="s">
        <v>277</v>
      </c>
      <c r="E140" s="352" t="s">
        <v>201</v>
      </c>
      <c r="F140" s="358">
        <v>35</v>
      </c>
      <c r="G140" s="358">
        <v>1</v>
      </c>
      <c r="H140" s="358">
        <v>28</v>
      </c>
      <c r="I140" s="335">
        <v>353.6</v>
      </c>
      <c r="J140" s="336">
        <v>221</v>
      </c>
      <c r="K140" s="356">
        <f t="shared" si="18"/>
        <v>221</v>
      </c>
      <c r="L140" s="344">
        <f t="shared" si="19"/>
        <v>1.6</v>
      </c>
      <c r="M140" s="347">
        <f>149883.5+135641.5+82301.5+72589.5+39819+39540+36570.5+16522+7667.5+7505+3512+4803+1880+716+4840+2288+337.5+291+2062+303+1509+197+2862+711+1068+594+952+353.6</f>
        <v>617319.1</v>
      </c>
      <c r="N140" s="348">
        <f>19608+17668+11309+10378+6088+6513+6684+3212+1345+1482+722+1193+358+130+881+616+56+49+654+101+267+49+953+237+356+198+238+221</f>
        <v>91566</v>
      </c>
      <c r="O140" s="420">
        <f aca="true" t="shared" si="20" ref="O140:O145">M140/N140</f>
        <v>6.741793897298123</v>
      </c>
    </row>
    <row r="141" spans="1:15" ht="15">
      <c r="A141" s="175">
        <v>138</v>
      </c>
      <c r="B141" s="418" t="s">
        <v>142</v>
      </c>
      <c r="C141" s="338">
        <v>38870</v>
      </c>
      <c r="D141" s="357" t="s">
        <v>277</v>
      </c>
      <c r="E141" s="352" t="s">
        <v>143</v>
      </c>
      <c r="F141" s="358">
        <v>5</v>
      </c>
      <c r="G141" s="358">
        <v>1</v>
      </c>
      <c r="H141" s="358">
        <v>28</v>
      </c>
      <c r="I141" s="335">
        <v>1664</v>
      </c>
      <c r="J141" s="336">
        <v>416</v>
      </c>
      <c r="K141" s="348">
        <f t="shared" si="18"/>
        <v>416</v>
      </c>
      <c r="L141" s="353">
        <f t="shared" si="19"/>
        <v>4</v>
      </c>
      <c r="M141" s="347">
        <f>20882.25+8209.5+3896+2400+1136+1611+7379.5+2057+1578+454+596+242+607+80+357.5+2184+1212+1863+930+2850+450+711+177+594+594+204+41+538.5+1664</f>
        <v>65498.25</v>
      </c>
      <c r="N141" s="348">
        <f>2709+885+473+442+218+235+996+335+288+86+108+45+118+20+53+550+402+621+190+950+150+237+59+198+198+40+16+150+416</f>
        <v>11188</v>
      </c>
      <c r="O141" s="420">
        <f t="shared" si="20"/>
        <v>5.854330532713622</v>
      </c>
    </row>
    <row r="142" spans="1:15" ht="15">
      <c r="A142" s="175">
        <v>139</v>
      </c>
      <c r="B142" s="417" t="s">
        <v>142</v>
      </c>
      <c r="C142" s="338">
        <v>38870</v>
      </c>
      <c r="D142" s="337" t="s">
        <v>277</v>
      </c>
      <c r="E142" s="337" t="s">
        <v>143</v>
      </c>
      <c r="F142" s="334">
        <v>5</v>
      </c>
      <c r="G142" s="334">
        <v>1</v>
      </c>
      <c r="H142" s="334">
        <v>27</v>
      </c>
      <c r="I142" s="335">
        <v>538.5</v>
      </c>
      <c r="J142" s="336">
        <v>150</v>
      </c>
      <c r="K142" s="348">
        <f t="shared" si="18"/>
        <v>150</v>
      </c>
      <c r="L142" s="353">
        <f t="shared" si="19"/>
        <v>3.59</v>
      </c>
      <c r="M142" s="347">
        <f>20882.25+8209.5+3896+2400+1136+1611+7379.5+2057+1578+454+596+242+607+80+357.5+2184+1212+1863+930+2850+450+711+177+594+594+204+41+538.5</f>
        <v>63834.25</v>
      </c>
      <c r="N142" s="348">
        <f>2709+885+473+442+218+235+996+335+288+86+108+45+118+20+53+550+402+621+190+950+150+237+59+198+198+40+16+150</f>
        <v>10772</v>
      </c>
      <c r="O142" s="420">
        <f t="shared" si="20"/>
        <v>5.925942257705161</v>
      </c>
    </row>
    <row r="143" spans="1:15" ht="15">
      <c r="A143" s="175">
        <v>140</v>
      </c>
      <c r="B143" s="418" t="s">
        <v>142</v>
      </c>
      <c r="C143" s="338">
        <v>38870</v>
      </c>
      <c r="D143" s="357" t="s">
        <v>277</v>
      </c>
      <c r="E143" s="352" t="s">
        <v>143</v>
      </c>
      <c r="F143" s="358">
        <v>5</v>
      </c>
      <c r="G143" s="358">
        <v>1</v>
      </c>
      <c r="H143" s="358">
        <v>25</v>
      </c>
      <c r="I143" s="335">
        <v>204</v>
      </c>
      <c r="J143" s="336">
        <v>40</v>
      </c>
      <c r="K143" s="348">
        <f t="shared" si="18"/>
        <v>40</v>
      </c>
      <c r="L143" s="353">
        <f t="shared" si="19"/>
        <v>5.1</v>
      </c>
      <c r="M143" s="347">
        <f>20882.25+8209.5+3896+2400+1136+1611+7379.5+2057+1578+454+596+242+607+80+357.5+2184+1212+1863+930+2850+450+711+177+594+594+204</f>
        <v>63254.75</v>
      </c>
      <c r="N143" s="348">
        <f>2709+885+473+442+218+235+996+335+288+86+108+45+118+20+53+550+402+621+190+950+150+237+59+198+198+40</f>
        <v>10606</v>
      </c>
      <c r="O143" s="420">
        <f t="shared" si="20"/>
        <v>5.964053366019234</v>
      </c>
    </row>
    <row r="144" spans="1:15" ht="15">
      <c r="A144" s="175">
        <v>141</v>
      </c>
      <c r="B144" s="417" t="s">
        <v>142</v>
      </c>
      <c r="C144" s="338">
        <v>38870</v>
      </c>
      <c r="D144" s="337" t="s">
        <v>277</v>
      </c>
      <c r="E144" s="337" t="s">
        <v>143</v>
      </c>
      <c r="F144" s="334">
        <v>5</v>
      </c>
      <c r="G144" s="334">
        <v>1</v>
      </c>
      <c r="H144" s="334">
        <v>26</v>
      </c>
      <c r="I144" s="335">
        <v>41</v>
      </c>
      <c r="J144" s="336">
        <v>16</v>
      </c>
      <c r="K144" s="348">
        <f t="shared" si="18"/>
        <v>16</v>
      </c>
      <c r="L144" s="353">
        <f t="shared" si="19"/>
        <v>2.5625</v>
      </c>
      <c r="M144" s="347">
        <f>20882.25+8209.5+3896+2400+1136+1611+7379.5+2057+1578+454+596+242+607+80+357.5+2184+1212+1863+930+2850+450+711+177+594+594+204+41</f>
        <v>63295.75</v>
      </c>
      <c r="N144" s="348">
        <f>2709+885+473+442+218+235+996+335+288+86+108+45+118+20+53+550+402+621+190+950+150+237+59+198+198+40+16</f>
        <v>10622</v>
      </c>
      <c r="O144" s="420">
        <f t="shared" si="20"/>
        <v>5.958929580116739</v>
      </c>
    </row>
    <row r="145" spans="1:15" ht="15">
      <c r="A145" s="175">
        <v>142</v>
      </c>
      <c r="B145" s="417" t="s">
        <v>227</v>
      </c>
      <c r="C145" s="338">
        <v>38877</v>
      </c>
      <c r="D145" s="337" t="s">
        <v>277</v>
      </c>
      <c r="E145" s="337" t="s">
        <v>278</v>
      </c>
      <c r="F145" s="334">
        <v>64</v>
      </c>
      <c r="G145" s="334">
        <v>2</v>
      </c>
      <c r="H145" s="334">
        <v>35</v>
      </c>
      <c r="I145" s="335">
        <v>6416</v>
      </c>
      <c r="J145" s="336">
        <v>1604</v>
      </c>
      <c r="K145" s="348">
        <f t="shared" si="18"/>
        <v>802</v>
      </c>
      <c r="L145" s="353">
        <f t="shared" si="19"/>
        <v>4</v>
      </c>
      <c r="M145" s="347">
        <f>94169.5+63426.5+19841+16453.5+12618.5+9991+4741+3516+3356+2065.5+678+1792.5+320+299+194+83+215+3730+139+814+787+999+514+709+2925+1298+249+160+755+1105+914+5364.5+789.5+1580.5+6416</f>
        <v>263008.5</v>
      </c>
      <c r="N145" s="348">
        <f>14426+9567+3182+3017+2315+1729+923+616+640+472+129+528+43+81+47+20+45+1220+34+161+225+329+168+228+966+413+62+16+140+285+239+1324+177+370+1604</f>
        <v>45741</v>
      </c>
      <c r="O145" s="420">
        <f t="shared" si="20"/>
        <v>5.749950809995409</v>
      </c>
    </row>
    <row r="146" spans="1:15" ht="15">
      <c r="A146" s="175">
        <v>143</v>
      </c>
      <c r="B146" s="418" t="s">
        <v>227</v>
      </c>
      <c r="C146" s="338">
        <v>38877</v>
      </c>
      <c r="D146" s="357" t="s">
        <v>277</v>
      </c>
      <c r="E146" s="352" t="s">
        <v>278</v>
      </c>
      <c r="F146" s="358">
        <v>64</v>
      </c>
      <c r="G146" s="358">
        <v>3</v>
      </c>
      <c r="H146" s="358">
        <v>32</v>
      </c>
      <c r="I146" s="335">
        <v>5364.5</v>
      </c>
      <c r="J146" s="336">
        <v>1324</v>
      </c>
      <c r="K146" s="348">
        <f t="shared" si="18"/>
        <v>441.3333333333333</v>
      </c>
      <c r="L146" s="353">
        <f t="shared" si="19"/>
        <v>4.051737160120846</v>
      </c>
      <c r="M146" s="347">
        <f>94169.5+63426.5+19841+16453.5+12618.5+9991+4741+3516+3356+2065.5+678+1792.5+320+299+194+83+215+3730+139+814+787+999+514+709+2925+1298+249+160+755+1105+914+5364.5</f>
        <v>254222.5</v>
      </c>
      <c r="N146" s="348">
        <f>14426+9567+3182+3017+2315+1729+923+616+640+472+129+528+43+81+47+20+45+1220+34+161+225+329+168+228+966+413+62+16+140+285+239+1324</f>
        <v>43590</v>
      </c>
      <c r="O146" s="419">
        <f>+M146/N146</f>
        <v>5.832128928653361</v>
      </c>
    </row>
    <row r="147" spans="1:15" ht="15">
      <c r="A147" s="175">
        <v>144</v>
      </c>
      <c r="B147" s="418" t="s">
        <v>227</v>
      </c>
      <c r="C147" s="338">
        <v>38877</v>
      </c>
      <c r="D147" s="357" t="s">
        <v>277</v>
      </c>
      <c r="E147" s="352" t="s">
        <v>278</v>
      </c>
      <c r="F147" s="358">
        <v>64</v>
      </c>
      <c r="G147" s="358">
        <v>3</v>
      </c>
      <c r="H147" s="358">
        <v>36</v>
      </c>
      <c r="I147" s="335">
        <v>3636.5</v>
      </c>
      <c r="J147" s="336">
        <v>885</v>
      </c>
      <c r="K147" s="340">
        <f>+J147/G147</f>
        <v>295</v>
      </c>
      <c r="L147" s="341">
        <f>+I147/J147</f>
        <v>4.109039548022599</v>
      </c>
      <c r="M147" s="347">
        <f>94169.5+63426.5+19841+16453.5+12618.5+9991+4741+3516+3356+2065.5+678+1792.5+320+299+194+83+215+3730+139+814+787+999+514+709+2925+1298+249+160+755+1105+914+5364.5+789.5+1580.5+6416+3636.5</f>
        <v>266645</v>
      </c>
      <c r="N147" s="348">
        <f>14426+9567+3182+3017+2315+1729+923+616+640+472+129+528+43+81+47+20+45+1220+34+161+225+329+168+228+966+413+62+16+140+285+239+1324+177+370+1604+885</f>
        <v>46626</v>
      </c>
      <c r="O147" s="420">
        <f>M147/N147</f>
        <v>5.7188049586067855</v>
      </c>
    </row>
    <row r="148" spans="1:15" ht="15">
      <c r="A148" s="175">
        <v>145</v>
      </c>
      <c r="B148" s="418" t="s">
        <v>227</v>
      </c>
      <c r="C148" s="338">
        <v>38877</v>
      </c>
      <c r="D148" s="357" t="s">
        <v>277</v>
      </c>
      <c r="E148" s="352" t="s">
        <v>278</v>
      </c>
      <c r="F148" s="358">
        <v>64</v>
      </c>
      <c r="G148" s="358">
        <v>4</v>
      </c>
      <c r="H148" s="358">
        <v>45</v>
      </c>
      <c r="I148" s="335">
        <v>2696</v>
      </c>
      <c r="J148" s="336">
        <v>394</v>
      </c>
      <c r="K148" s="348">
        <f aca="true" t="shared" si="21" ref="K148:K161">J148/G148</f>
        <v>98.5</v>
      </c>
      <c r="L148" s="353">
        <f aca="true" t="shared" si="22" ref="L148:L161">I148/J148</f>
        <v>6.842639593908629</v>
      </c>
      <c r="M148" s="347">
        <f>94169.5+63426.5+19841+16453.5+12618.5+9991+4741+3516+3356+2065.5+678+1792.5+320+299+194+83+215+3730+139+814+787+999+514+709+2925+1298+249+160+755+1105+914+5364.5+789.5+1580.5+6416+3636.5+158+1086+725+81+1075+864+832+1508+2696</f>
        <v>275670</v>
      </c>
      <c r="N148" s="348">
        <f>14426+9567+3182+3017+2315+1729+923+616+640+472+129+528+43+81+47+20+45+1220+34+161+225+329+168+228+966+413+62+16+140+285+239+1324+177+370+1604+885+37+267+145+18+265+108+208+333+394</f>
        <v>48401</v>
      </c>
      <c r="O148" s="420">
        <f>M148/N148</f>
        <v>5.695543480506601</v>
      </c>
    </row>
    <row r="149" spans="1:15" ht="15">
      <c r="A149" s="175">
        <v>146</v>
      </c>
      <c r="B149" s="418" t="s">
        <v>227</v>
      </c>
      <c r="C149" s="338">
        <v>38877</v>
      </c>
      <c r="D149" s="357" t="s">
        <v>277</v>
      </c>
      <c r="E149" s="352" t="s">
        <v>278</v>
      </c>
      <c r="F149" s="358">
        <v>64</v>
      </c>
      <c r="G149" s="358">
        <v>5</v>
      </c>
      <c r="H149" s="358">
        <v>46</v>
      </c>
      <c r="I149" s="335">
        <v>2075</v>
      </c>
      <c r="J149" s="336">
        <v>309</v>
      </c>
      <c r="K149" s="356">
        <f t="shared" si="21"/>
        <v>61.8</v>
      </c>
      <c r="L149" s="344">
        <f t="shared" si="22"/>
        <v>6.715210355987055</v>
      </c>
      <c r="M149" s="347">
        <f>94169.5+63426.5+19841+16453.5+12618.5+9991+4741+3516+3356+2065.5+678+1792.5+320+299+194+83+215+3730+139+814+787+999+514+709+2925+1298+249+160+755+1105+914+5364.5+789.5+1580.5+6416+3636.5+158+1086+725+81+1075+864+832+1508+2696+2075</f>
        <v>277745</v>
      </c>
      <c r="N149" s="348">
        <f>14426+9567+3182+3017+2315+1729+923+616+640+472+129+528+43+81+47+20+45+1220+34+161+225+329+168+228+966+413+62+16+140+285+239+1324+177+370+1604+885+37+267+145+18+265+108+208+333+394+309</f>
        <v>48710</v>
      </c>
      <c r="O149" s="420">
        <f>M149/N149</f>
        <v>5.702011907205913</v>
      </c>
    </row>
    <row r="150" spans="1:15" ht="15">
      <c r="A150" s="175">
        <v>147</v>
      </c>
      <c r="B150" s="417" t="s">
        <v>227</v>
      </c>
      <c r="C150" s="338">
        <v>38877</v>
      </c>
      <c r="D150" s="337" t="s">
        <v>277</v>
      </c>
      <c r="E150" s="337" t="s">
        <v>278</v>
      </c>
      <c r="F150" s="334">
        <v>64</v>
      </c>
      <c r="G150" s="334">
        <v>4</v>
      </c>
      <c r="H150" s="334">
        <v>47</v>
      </c>
      <c r="I150" s="335">
        <v>2039</v>
      </c>
      <c r="J150" s="336">
        <v>305</v>
      </c>
      <c r="K150" s="348">
        <f t="shared" si="21"/>
        <v>76.25</v>
      </c>
      <c r="L150" s="353">
        <f t="shared" si="22"/>
        <v>6.685245901639345</v>
      </c>
      <c r="M150" s="347">
        <v>279784</v>
      </c>
      <c r="N150" s="348">
        <v>49015</v>
      </c>
      <c r="O150" s="420">
        <f>M150/N150</f>
        <v>5.708130164235438</v>
      </c>
    </row>
    <row r="151" spans="1:15" ht="15">
      <c r="A151" s="175">
        <v>148</v>
      </c>
      <c r="B151" s="417" t="s">
        <v>227</v>
      </c>
      <c r="C151" s="338">
        <v>38877</v>
      </c>
      <c r="D151" s="337" t="s">
        <v>277</v>
      </c>
      <c r="E151" s="337" t="s">
        <v>278</v>
      </c>
      <c r="F151" s="334">
        <v>64</v>
      </c>
      <c r="G151" s="334">
        <v>2</v>
      </c>
      <c r="H151" s="334">
        <v>48</v>
      </c>
      <c r="I151" s="335">
        <v>1830</v>
      </c>
      <c r="J151" s="336">
        <v>268</v>
      </c>
      <c r="K151" s="348">
        <f t="shared" si="21"/>
        <v>134</v>
      </c>
      <c r="L151" s="353">
        <f t="shared" si="22"/>
        <v>6.8283582089552235</v>
      </c>
      <c r="M151" s="347">
        <v>281614</v>
      </c>
      <c r="N151" s="348">
        <v>49283</v>
      </c>
      <c r="O151" s="423">
        <f>M151/N151</f>
        <v>5.714221942657711</v>
      </c>
    </row>
    <row r="152" spans="1:15" ht="15">
      <c r="A152" s="175">
        <v>149</v>
      </c>
      <c r="B152" s="418" t="s">
        <v>227</v>
      </c>
      <c r="C152" s="338">
        <v>38877</v>
      </c>
      <c r="D152" s="354" t="s">
        <v>277</v>
      </c>
      <c r="E152" s="354" t="s">
        <v>278</v>
      </c>
      <c r="F152" s="355">
        <v>64</v>
      </c>
      <c r="G152" s="355">
        <v>2</v>
      </c>
      <c r="H152" s="355">
        <v>34</v>
      </c>
      <c r="I152" s="335">
        <v>1580.5</v>
      </c>
      <c r="J152" s="336">
        <v>370</v>
      </c>
      <c r="K152" s="356">
        <f t="shared" si="21"/>
        <v>185</v>
      </c>
      <c r="L152" s="344">
        <f t="shared" si="22"/>
        <v>4.271621621621621</v>
      </c>
      <c r="M152" s="347">
        <f>94169.5+63426.5+19841+16453.5+12618.5+9991+4741+3516+3356+2065.5+678+1792.5+320+299+194+83+215+3730+139+814+787+999+514+709+2925+1298+249+160+755+1105+914+5364.5+789.5+1580.5</f>
        <v>256592.5</v>
      </c>
      <c r="N152" s="348">
        <f>14426+9567+3182+3017+2315+1729+923+616+640+472+129+528+43+81+47+20+45+1220+34+161+225+329+168+228+966+413+62+16+140+285+239+1324+177+370</f>
        <v>44137</v>
      </c>
      <c r="O152" s="419">
        <f>+M152/N152</f>
        <v>5.813546457620591</v>
      </c>
    </row>
    <row r="153" spans="1:15" ht="15">
      <c r="A153" s="175">
        <v>150</v>
      </c>
      <c r="B153" s="418" t="s">
        <v>227</v>
      </c>
      <c r="C153" s="338">
        <v>38877</v>
      </c>
      <c r="D153" s="357" t="s">
        <v>277</v>
      </c>
      <c r="E153" s="352" t="s">
        <v>278</v>
      </c>
      <c r="F153" s="358">
        <v>64</v>
      </c>
      <c r="G153" s="358">
        <v>2</v>
      </c>
      <c r="H153" s="358">
        <v>44</v>
      </c>
      <c r="I153" s="335">
        <v>1508</v>
      </c>
      <c r="J153" s="336">
        <v>333</v>
      </c>
      <c r="K153" s="348">
        <f t="shared" si="21"/>
        <v>166.5</v>
      </c>
      <c r="L153" s="353">
        <f t="shared" si="22"/>
        <v>4.528528528528528</v>
      </c>
      <c r="M153" s="347">
        <f>94169.5+63426.5+19841+16453.5+12618.5+9991+4741+3516+3356+2065.5+678+1792.5+320+299+194+83+215+3730+139+814+787+999+514+709+2925+1298+249+160+755+1105+914+5364.5+789.5+1580.5+6416+3636.5+158+1086+725+81+1075+864+832+1508</f>
        <v>272974</v>
      </c>
      <c r="N153" s="348">
        <f>14426+9567+3182+3017+2315+1729+923+616+640+472+129+528+43+81+47+20+45+1220+34+161+225+329+168+228+966+413+62+16+140+285+239+1324+177+370+1604+885+37+267+145+18+265+108+208+333</f>
        <v>48007</v>
      </c>
      <c r="O153" s="420">
        <f>M153/N153</f>
        <v>5.686129106172016</v>
      </c>
    </row>
    <row r="154" spans="1:15" ht="15">
      <c r="A154" s="175">
        <v>151</v>
      </c>
      <c r="B154" s="418" t="s">
        <v>227</v>
      </c>
      <c r="C154" s="338">
        <v>38877</v>
      </c>
      <c r="D154" s="357" t="s">
        <v>277</v>
      </c>
      <c r="E154" s="352" t="s">
        <v>278</v>
      </c>
      <c r="F154" s="358">
        <v>64</v>
      </c>
      <c r="G154" s="358">
        <v>1</v>
      </c>
      <c r="H154" s="358">
        <v>28</v>
      </c>
      <c r="I154" s="335">
        <v>1105</v>
      </c>
      <c r="J154" s="336">
        <v>285</v>
      </c>
      <c r="K154" s="356">
        <f t="shared" si="21"/>
        <v>285</v>
      </c>
      <c r="L154" s="344">
        <f t="shared" si="22"/>
        <v>3.8771929824561404</v>
      </c>
      <c r="M154" s="347">
        <f>94169.5+63426.5+19841+16453.5+12618.5+9991+4741+3516+3356+2065.5+678+1792.5+320+299+194+83+215+3730+139+814+787+999+514+709+2925+1298+249+160+755+1105</f>
        <v>247944</v>
      </c>
      <c r="N154" s="348">
        <f>14426+9567+3182+3017+2315+1729+923+616+640+472+129+528+43+81+47+20+45+1220+34+161+225+329+168+228+966+413+62+16+140+285</f>
        <v>42027</v>
      </c>
      <c r="O154" s="419">
        <f>+M154/N154</f>
        <v>5.899635948318938</v>
      </c>
    </row>
    <row r="155" spans="1:15" ht="15">
      <c r="A155" s="175">
        <v>152</v>
      </c>
      <c r="B155" s="418" t="s">
        <v>227</v>
      </c>
      <c r="C155" s="338">
        <v>38877</v>
      </c>
      <c r="D155" s="366" t="s">
        <v>277</v>
      </c>
      <c r="E155" s="352" t="s">
        <v>278</v>
      </c>
      <c r="F155" s="358">
        <v>64</v>
      </c>
      <c r="G155" s="358">
        <v>2</v>
      </c>
      <c r="H155" s="358">
        <v>38</v>
      </c>
      <c r="I155" s="335">
        <v>1086</v>
      </c>
      <c r="J155" s="336">
        <v>267</v>
      </c>
      <c r="K155" s="348">
        <f t="shared" si="21"/>
        <v>133.5</v>
      </c>
      <c r="L155" s="353">
        <f t="shared" si="22"/>
        <v>4.067415730337078</v>
      </c>
      <c r="M155" s="347">
        <f>94169.5+63426.5+19841+16453.5+12618.5+9991+4741+3516+3356+2065.5+678+1792.5+320+299+194+83+215+3730+139+814+787+999+514+709+2925+1298+249+160+755+1105+914+5364.5+789.5+1580.5+6416+3636.5+158+1086</f>
        <v>267889</v>
      </c>
      <c r="N155" s="348">
        <f>14426+9567+3182+3017+2315+1729+923+616+640+472+129+528+43+81+47+20+45+1220+34+161+225+329+168+228+966+413+62+16+140+285+239+1324+177+370+1604+885+37+267</f>
        <v>46930</v>
      </c>
      <c r="O155" s="420">
        <f>M155/N155</f>
        <v>5.708267632644364</v>
      </c>
    </row>
    <row r="156" spans="1:15" ht="15">
      <c r="A156" s="175">
        <v>153</v>
      </c>
      <c r="B156" s="418" t="s">
        <v>227</v>
      </c>
      <c r="C156" s="338">
        <v>38877</v>
      </c>
      <c r="D156" s="357" t="s">
        <v>277</v>
      </c>
      <c r="E156" s="352" t="s">
        <v>278</v>
      </c>
      <c r="F156" s="358">
        <v>64</v>
      </c>
      <c r="G156" s="358">
        <v>2</v>
      </c>
      <c r="H156" s="358">
        <v>41</v>
      </c>
      <c r="I156" s="335">
        <v>1075</v>
      </c>
      <c r="J156" s="336">
        <v>265</v>
      </c>
      <c r="K156" s="356">
        <f t="shared" si="21"/>
        <v>132.5</v>
      </c>
      <c r="L156" s="353">
        <f t="shared" si="22"/>
        <v>4.056603773584905</v>
      </c>
      <c r="M156" s="347">
        <f>94169.5+63426.5+19841+16453.5+12618.5+9991+4741+3516+3356+2065.5+678+1792.5+320+299+194+83+215+3730+139+814+787+999+514+709+2925+1298+249+160+755+1105+914+5364.5+789.5+1580.5+6416+3636.5+158+1086+725+81+1075</f>
        <v>269770</v>
      </c>
      <c r="N156" s="348">
        <f>14426+9567+3182+3017+2315+1729+923+616+640+472+129+528+43+81+47+20+45+1220+34+161+225+329+168+228+966+413+62+16+140+285+239+1324+177+370+1604+885+37+267+145+18+265</f>
        <v>47358</v>
      </c>
      <c r="O156" s="419">
        <f>+M156/N156</f>
        <v>5.696397651927868</v>
      </c>
    </row>
    <row r="157" spans="1:15" ht="15">
      <c r="A157" s="175">
        <v>154</v>
      </c>
      <c r="B157" s="418" t="s">
        <v>227</v>
      </c>
      <c r="C157" s="338">
        <v>38877</v>
      </c>
      <c r="D157" s="357" t="s">
        <v>277</v>
      </c>
      <c r="E157" s="352" t="s">
        <v>278</v>
      </c>
      <c r="F157" s="358">
        <v>64</v>
      </c>
      <c r="G157" s="358">
        <v>1</v>
      </c>
      <c r="H157" s="358">
        <v>50</v>
      </c>
      <c r="I157" s="335">
        <v>952</v>
      </c>
      <c r="J157" s="336">
        <v>238</v>
      </c>
      <c r="K157" s="348">
        <f t="shared" si="21"/>
        <v>238</v>
      </c>
      <c r="L157" s="353">
        <f t="shared" si="22"/>
        <v>4</v>
      </c>
      <c r="M157" s="347">
        <f>94169.5+63426.5+19841+16453.5+12618.5+9991+4741+3516+3356+2065.5+678+1792.5+320+299+194+83+215+3730+139+814+787+999+514+709+2925+1298+249+160+755+1105+914+5364.5+789.5+1580.5+6416+3636.5+158+1086+725+81+1075+864+832+1508+2696+2075+2039+1830+646+952</f>
        <v>283212</v>
      </c>
      <c r="N157" s="348">
        <f>14426+9567+3182+3017+2315+1729+923+616+640+472+129+528+43+81+47+20+45+1220+34+161+225+329+168+228+966+413+62+16+140+285+239+1324+177+370+1604+885+37+267+145+18+265+108+208+333+394+309+305+268+159+238</f>
        <v>49680</v>
      </c>
      <c r="O157" s="420">
        <f>M157/N157</f>
        <v>5.70072463768116</v>
      </c>
    </row>
    <row r="158" spans="1:15" ht="15">
      <c r="A158" s="175">
        <v>155</v>
      </c>
      <c r="B158" s="418" t="s">
        <v>227</v>
      </c>
      <c r="C158" s="338">
        <v>38877</v>
      </c>
      <c r="D158" s="357" t="s">
        <v>277</v>
      </c>
      <c r="E158" s="352" t="s">
        <v>278</v>
      </c>
      <c r="F158" s="358">
        <v>64</v>
      </c>
      <c r="G158" s="358">
        <v>1</v>
      </c>
      <c r="H158" s="358">
        <v>29</v>
      </c>
      <c r="I158" s="335">
        <v>914</v>
      </c>
      <c r="J158" s="336">
        <v>239</v>
      </c>
      <c r="K158" s="348">
        <f t="shared" si="21"/>
        <v>239</v>
      </c>
      <c r="L158" s="353">
        <f t="shared" si="22"/>
        <v>3.8242677824267783</v>
      </c>
      <c r="M158" s="347">
        <f>94169.5+63426.5+19841+16453.5+12618.5+9991+4741+3516+3356+2065.5+678+1792.5+320+299+194+83+215+3730+139+814+787+999+514+709+2925+1298+249+160+755+1105+914</f>
        <v>248858</v>
      </c>
      <c r="N158" s="348">
        <f>14426+9567+3182+3017+2315+1729+923+616+640+472+129+528+43+81+47+20+45+1220+34+161+225+329+168+228+966+413+62+16+140+285+239</f>
        <v>42266</v>
      </c>
      <c r="O158" s="420">
        <f>M158/N158</f>
        <v>5.887900440070033</v>
      </c>
    </row>
    <row r="159" spans="1:15" ht="15">
      <c r="A159" s="175">
        <v>156</v>
      </c>
      <c r="B159" s="418" t="s">
        <v>227</v>
      </c>
      <c r="C159" s="338">
        <v>38877</v>
      </c>
      <c r="D159" s="357" t="s">
        <v>277</v>
      </c>
      <c r="E159" s="352" t="s">
        <v>278</v>
      </c>
      <c r="F159" s="358">
        <v>64</v>
      </c>
      <c r="G159" s="358">
        <v>1</v>
      </c>
      <c r="H159" s="358">
        <v>42</v>
      </c>
      <c r="I159" s="335">
        <v>864</v>
      </c>
      <c r="J159" s="336">
        <v>108</v>
      </c>
      <c r="K159" s="348">
        <f t="shared" si="21"/>
        <v>108</v>
      </c>
      <c r="L159" s="353">
        <f t="shared" si="22"/>
        <v>8</v>
      </c>
      <c r="M159" s="347">
        <f>94169.5+63426.5+19841+16453.5+12618.5+9991+4741+3516+3356+2065.5+678+1792.5+320+299+194+83+215+3730+139+814+787+999+514+709+2925+1298+249+160+755+1105+914+5364.5+789.5+1580.5+6416+3636.5+158+1086+725+81+1075+864</f>
        <v>270634</v>
      </c>
      <c r="N159" s="348">
        <f>14426+9567+3182+3017+2315+1729+923+616+640+472+129+528+43+81+47+20+45+1220+34+161+225+329+168+228+966+413+62+16+140+285+239+1324+177+370+1604+885+37+267+145+18+265+108</f>
        <v>47466</v>
      </c>
      <c r="O159" s="420">
        <f>M159/N159</f>
        <v>5.701639067964438</v>
      </c>
    </row>
    <row r="160" spans="1:15" ht="15">
      <c r="A160" s="175">
        <v>157</v>
      </c>
      <c r="B160" s="418" t="s">
        <v>227</v>
      </c>
      <c r="C160" s="338">
        <v>38877</v>
      </c>
      <c r="D160" s="357" t="s">
        <v>277</v>
      </c>
      <c r="E160" s="352" t="s">
        <v>278</v>
      </c>
      <c r="F160" s="358">
        <v>64</v>
      </c>
      <c r="G160" s="358">
        <v>1</v>
      </c>
      <c r="H160" s="358">
        <v>43</v>
      </c>
      <c r="I160" s="335">
        <v>832</v>
      </c>
      <c r="J160" s="336">
        <v>208</v>
      </c>
      <c r="K160" s="348">
        <f t="shared" si="21"/>
        <v>208</v>
      </c>
      <c r="L160" s="353">
        <f t="shared" si="22"/>
        <v>4</v>
      </c>
      <c r="M160" s="347">
        <f>94169.5+63426.5+19841+16453.5+12618.5+9991+4741+3516+3356+2065.5+678+1792.5+320+299+194+83+215+3730+139+814+787+999+514+709+2925+1298+249+160+755+1105+914+5364.5+789.5+1580.5+6416+3636.5+158+1086+725+81+1075+864+832</f>
        <v>271466</v>
      </c>
      <c r="N160" s="348">
        <f>14426+9567+3182+3017+2315+1729+923+616+640+472+129+528+43+81+47+20+45+1220+34+161+225+329+168+228+966+413+62+16+140+285+239+1324+177+370+1604+885+37+267+145+18+265+108+208</f>
        <v>47674</v>
      </c>
      <c r="O160" s="419">
        <f>+M160/N160</f>
        <v>5.694214876033058</v>
      </c>
    </row>
    <row r="161" spans="1:15" ht="15">
      <c r="A161" s="175">
        <v>158</v>
      </c>
      <c r="B161" s="418" t="s">
        <v>227</v>
      </c>
      <c r="C161" s="338">
        <v>38877</v>
      </c>
      <c r="D161" s="357" t="s">
        <v>277</v>
      </c>
      <c r="E161" s="352" t="s">
        <v>278</v>
      </c>
      <c r="F161" s="358">
        <v>64</v>
      </c>
      <c r="G161" s="358">
        <v>1</v>
      </c>
      <c r="H161" s="358">
        <v>33</v>
      </c>
      <c r="I161" s="335">
        <v>789.5</v>
      </c>
      <c r="J161" s="336">
        <v>177</v>
      </c>
      <c r="K161" s="348">
        <f t="shared" si="21"/>
        <v>177</v>
      </c>
      <c r="L161" s="353">
        <f t="shared" si="22"/>
        <v>4.46045197740113</v>
      </c>
      <c r="M161" s="347">
        <f>94169.5+63426.5+19841+16453.5+12618.5+9991+4741+3516+3356+2065.5+678+1792.5+320+299+194+83+215+3730+139+814+787+999+514+709+2925+1298+249+160+755+1105+914+5364.5+789.5</f>
        <v>255012</v>
      </c>
      <c r="N161" s="348">
        <f>14426+9567+3182+3017+2315+1729+923+616+640+472+129+528+43+81+47+20+45+1220+34+161+225+329+168+228+966+413+62+16+140+285+239+1324+177</f>
        <v>43767</v>
      </c>
      <c r="O161" s="420">
        <f>M161/N161</f>
        <v>5.826581671122078</v>
      </c>
    </row>
    <row r="162" spans="1:15" ht="15">
      <c r="A162" s="175">
        <v>159</v>
      </c>
      <c r="B162" s="417" t="s">
        <v>227</v>
      </c>
      <c r="C162" s="338">
        <v>38877</v>
      </c>
      <c r="D162" s="337" t="s">
        <v>277</v>
      </c>
      <c r="E162" s="337" t="s">
        <v>278</v>
      </c>
      <c r="F162" s="334">
        <v>64</v>
      </c>
      <c r="G162" s="334">
        <v>2</v>
      </c>
      <c r="H162" s="334">
        <v>27</v>
      </c>
      <c r="I162" s="335">
        <v>755</v>
      </c>
      <c r="J162" s="336">
        <v>140</v>
      </c>
      <c r="K162" s="340">
        <f>IF(I162&lt;&gt;0,J162/G162,"")</f>
        <v>70</v>
      </c>
      <c r="L162" s="341">
        <f>IF(I162&lt;&gt;0,I162/J162,"")</f>
        <v>5.392857142857143</v>
      </c>
      <c r="M162" s="347">
        <f>94169.5+63426.5+19841+16453.5+12618.5+9991+4741+3516+3356+2065.5+678+1792.5+320+299+194+83+215+3730+139+814+787+999+514+709+2925+1298+249+160+755</f>
        <v>246839</v>
      </c>
      <c r="N162" s="348">
        <f>14426+9567+3182+3017+2315+1729+923+616+640+472+129+528+43+81+47+20+45+1220+34+161+225+329+168+228+966+413+62+16+140</f>
        <v>41742</v>
      </c>
      <c r="O162" s="420">
        <f>M162/N162</f>
        <v>5.913444492357817</v>
      </c>
    </row>
    <row r="163" spans="1:15" ht="15">
      <c r="A163" s="175">
        <v>160</v>
      </c>
      <c r="B163" s="418" t="s">
        <v>227</v>
      </c>
      <c r="C163" s="338">
        <v>38877</v>
      </c>
      <c r="D163" s="357" t="s">
        <v>277</v>
      </c>
      <c r="E163" s="352" t="s">
        <v>278</v>
      </c>
      <c r="F163" s="358">
        <v>64</v>
      </c>
      <c r="G163" s="358">
        <v>1</v>
      </c>
      <c r="H163" s="358">
        <v>39</v>
      </c>
      <c r="I163" s="335">
        <v>725</v>
      </c>
      <c r="J163" s="336">
        <v>145</v>
      </c>
      <c r="K163" s="348">
        <f aca="true" t="shared" si="23" ref="K163:K168">J163/G163</f>
        <v>145</v>
      </c>
      <c r="L163" s="353">
        <f aca="true" t="shared" si="24" ref="L163:L168">I163/J163</f>
        <v>5</v>
      </c>
      <c r="M163" s="347">
        <f>94169.5+63426.5+19841+16453.5+12618.5+9991+4741+3516+3356+2065.5+678+1792.5+320+299+194+83+215+3730+139+814+787+999+514+709+2925+1298+249+160+755+1105+914+5364.5+789.5+1580.5+6416+3636.5+158+1086+725</f>
        <v>268614</v>
      </c>
      <c r="N163" s="348">
        <f>14426+9567+3182+3017+2315+1729+923+616+640+472+129+528+43+81+47+20+45+1220+34+161+225+329+168+228+966+413+62+16+140+285+239+1324+177+370+1604+885+37+267+145</f>
        <v>47075</v>
      </c>
      <c r="O163" s="419">
        <f>+M163/N163</f>
        <v>5.706086032926182</v>
      </c>
    </row>
    <row r="164" spans="1:15" ht="15">
      <c r="A164" s="175">
        <v>161</v>
      </c>
      <c r="B164" s="418" t="s">
        <v>227</v>
      </c>
      <c r="C164" s="338">
        <v>38877</v>
      </c>
      <c r="D164" s="357" t="s">
        <v>277</v>
      </c>
      <c r="E164" s="352" t="s">
        <v>278</v>
      </c>
      <c r="F164" s="358">
        <v>64</v>
      </c>
      <c r="G164" s="358">
        <v>2</v>
      </c>
      <c r="H164" s="358">
        <v>49</v>
      </c>
      <c r="I164" s="335">
        <v>646</v>
      </c>
      <c r="J164" s="336">
        <v>159</v>
      </c>
      <c r="K164" s="348">
        <f t="shared" si="23"/>
        <v>79.5</v>
      </c>
      <c r="L164" s="353">
        <f t="shared" si="24"/>
        <v>4.062893081761007</v>
      </c>
      <c r="M164" s="347">
        <f>94169.5+63426.5+19841+16453.5+12618.5+9991+4741+3516+3356+2065.5+678+1792.5+320+299+194+83+215+3730+139+814+787+999+514+709+2925+1298+249+160+755+1105+914+5364.5+789.5+1580.5+6416+3636.5+158+1086+725+81+1075+864+832+1508+2696+2075+2039+1830+646</f>
        <v>282260</v>
      </c>
      <c r="N164" s="348">
        <f>14426+9567+3182+3017+2315+1729+923+616+640+472+129+528+43+81+47+20+45+1220+34+161+225+329+168+228+966+413+62+16+140+285+239+1324+177+370+1604+885+37+267+145+18+265+108+208+333+394+309+305+268+159</f>
        <v>49442</v>
      </c>
      <c r="O164" s="420">
        <f>M164/N164</f>
        <v>5.708911451802112</v>
      </c>
    </row>
    <row r="165" spans="1:15" ht="15">
      <c r="A165" s="175">
        <v>162</v>
      </c>
      <c r="B165" s="418" t="s">
        <v>227</v>
      </c>
      <c r="C165" s="338">
        <v>38877</v>
      </c>
      <c r="D165" s="357" t="s">
        <v>277</v>
      </c>
      <c r="E165" s="352" t="s">
        <v>278</v>
      </c>
      <c r="F165" s="358">
        <v>64</v>
      </c>
      <c r="G165" s="358">
        <v>1</v>
      </c>
      <c r="H165" s="358">
        <v>28</v>
      </c>
      <c r="I165" s="335">
        <v>160</v>
      </c>
      <c r="J165" s="336">
        <v>16</v>
      </c>
      <c r="K165" s="348">
        <f t="shared" si="23"/>
        <v>16</v>
      </c>
      <c r="L165" s="353">
        <f t="shared" si="24"/>
        <v>10</v>
      </c>
      <c r="M165" s="347">
        <f>94169.5+63426.5+19841+16453.5+12618.5+9991+4741+3516+3356+2065.5+678+1792.5+320+299+194+83+215+3730+139+814+787+999+514+709+2925+1298+249+160</f>
        <v>246084</v>
      </c>
      <c r="N165" s="348">
        <f>14426+9567+3182+3017+2315+1729+923+616+640+472+129+528+43+81+47+20+45+1220+34+161+225+329+168+228+966+413+62+16</f>
        <v>41602</v>
      </c>
      <c r="O165" s="416">
        <f>IF(M165&lt;&gt;0,M165/N165,"")</f>
        <v>5.915196384789192</v>
      </c>
    </row>
    <row r="166" spans="1:15" ht="15">
      <c r="A166" s="175">
        <v>163</v>
      </c>
      <c r="B166" s="418" t="s">
        <v>227</v>
      </c>
      <c r="C166" s="338">
        <v>38877</v>
      </c>
      <c r="D166" s="357" t="s">
        <v>277</v>
      </c>
      <c r="E166" s="352" t="s">
        <v>278</v>
      </c>
      <c r="F166" s="358">
        <v>64</v>
      </c>
      <c r="G166" s="358">
        <v>1</v>
      </c>
      <c r="H166" s="358">
        <v>37</v>
      </c>
      <c r="I166" s="335">
        <v>158</v>
      </c>
      <c r="J166" s="336">
        <v>37</v>
      </c>
      <c r="K166" s="356">
        <f t="shared" si="23"/>
        <v>37</v>
      </c>
      <c r="L166" s="344">
        <f t="shared" si="24"/>
        <v>4.27027027027027</v>
      </c>
      <c r="M166" s="347">
        <f>94169.5+63426.5+19841+16453.5+12618.5+9991+4741+3516+3356+2065.5+678+1792.5+320+299+194+83+215+3730+139+814+787+999+514+709+2925+1298+249+160+755+1105+914+5364.5+789.5+1580.5+6416+3636.5+158</f>
        <v>266803</v>
      </c>
      <c r="N166" s="348">
        <f>14426+9567+3182+3017+2315+1729+923+616+640+472+129+528+43+81+47+20+45+1220+34+161+225+329+168+228+966+413+62+16+140+285+239+1324+177+370+1604+885+37</f>
        <v>46663</v>
      </c>
      <c r="O166" s="419">
        <f>+M166/N166</f>
        <v>5.7176563872875725</v>
      </c>
    </row>
    <row r="167" spans="1:15" ht="15">
      <c r="A167" s="175">
        <v>164</v>
      </c>
      <c r="B167" s="418" t="s">
        <v>227</v>
      </c>
      <c r="C167" s="338">
        <v>38877</v>
      </c>
      <c r="D167" s="357" t="s">
        <v>277</v>
      </c>
      <c r="E167" s="352" t="s">
        <v>278</v>
      </c>
      <c r="F167" s="358">
        <v>64</v>
      </c>
      <c r="G167" s="358">
        <v>1</v>
      </c>
      <c r="H167" s="358">
        <v>40</v>
      </c>
      <c r="I167" s="335">
        <v>81</v>
      </c>
      <c r="J167" s="336">
        <v>18</v>
      </c>
      <c r="K167" s="356">
        <f t="shared" si="23"/>
        <v>18</v>
      </c>
      <c r="L167" s="344">
        <f t="shared" si="24"/>
        <v>4.5</v>
      </c>
      <c r="M167" s="347">
        <f>94169.5+63426.5+19841+16453.5+12618.5+9991+4741+3516+3356+2065.5+678+1792.5+320+299+194+83+215+3730+139+814+787+999+514+709+2925+1298+249+160+755+1105+914+5364.5+789.5+1580.5+6416+3636.5+158+1086+725+81</f>
        <v>268695</v>
      </c>
      <c r="N167" s="348">
        <f>14426+9567+3182+3017+2315+1729+923+616+640+472+129+528+43+81+47+20+45+1220+34+161+225+329+168+228+966+413+62+16+140+285+239+1324+177+370+1604+885+37+267+145+18</f>
        <v>47093</v>
      </c>
      <c r="O167" s="419">
        <f>+M167/N167</f>
        <v>5.7056250398148345</v>
      </c>
    </row>
    <row r="168" spans="1:15" ht="15">
      <c r="A168" s="175">
        <v>165</v>
      </c>
      <c r="B168" s="418" t="s">
        <v>97</v>
      </c>
      <c r="C168" s="338">
        <v>38891</v>
      </c>
      <c r="D168" s="354" t="s">
        <v>277</v>
      </c>
      <c r="E168" s="354" t="s">
        <v>683</v>
      </c>
      <c r="F168" s="355">
        <v>1</v>
      </c>
      <c r="G168" s="355">
        <v>1</v>
      </c>
      <c r="H168" s="355">
        <v>6</v>
      </c>
      <c r="I168" s="335">
        <v>712</v>
      </c>
      <c r="J168" s="336">
        <v>178</v>
      </c>
      <c r="K168" s="356">
        <f t="shared" si="23"/>
        <v>178</v>
      </c>
      <c r="L168" s="344">
        <f t="shared" si="24"/>
        <v>4</v>
      </c>
      <c r="M168" s="347">
        <f>3624+741+309+44+204.5+262+712</f>
        <v>5896.5</v>
      </c>
      <c r="N168" s="348">
        <f>883+117+49+6+31+40+178</f>
        <v>1304</v>
      </c>
      <c r="O168" s="416">
        <f>IF(M168&lt;&gt;0,M168/N168,"")</f>
        <v>4.5218558282208585</v>
      </c>
    </row>
    <row r="169" spans="1:15" ht="15">
      <c r="A169" s="175">
        <v>166</v>
      </c>
      <c r="B169" s="418" t="s">
        <v>684</v>
      </c>
      <c r="C169" s="338">
        <v>38891</v>
      </c>
      <c r="D169" s="357" t="s">
        <v>277</v>
      </c>
      <c r="E169" s="352" t="s">
        <v>201</v>
      </c>
      <c r="F169" s="358">
        <v>45</v>
      </c>
      <c r="G169" s="358">
        <v>3</v>
      </c>
      <c r="H169" s="358">
        <v>25</v>
      </c>
      <c r="I169" s="335">
        <v>2030.2</v>
      </c>
      <c r="J169" s="336">
        <v>506</v>
      </c>
      <c r="K169" s="340">
        <f>IF(I169&lt;&gt;0,J169/G169,"")</f>
        <v>168.66666666666666</v>
      </c>
      <c r="L169" s="341">
        <f>IF(I169&lt;&gt;0,I169/J169,"")</f>
        <v>4.012252964426877</v>
      </c>
      <c r="M169" s="347">
        <f>154658.5+107804+83531.5+43902+30665+24700+11888+9449+6526+2252.5+1787+2024+2034.5+1406.5+492+2062+3544.5+666+46+168+267+445+188+404+2030.2</f>
        <v>492941.2</v>
      </c>
      <c r="N169" s="348">
        <f>20153+14417+13506+7951+5799+4754+2261+1861+1328+521+366+427+432+364+123+456+898+122+20+72+99+89+47+95+506</f>
        <v>76667</v>
      </c>
      <c r="O169" s="416">
        <f>IF(M169&lt;&gt;0,M169/N169,"")</f>
        <v>6.429639871130996</v>
      </c>
    </row>
    <row r="170" spans="1:15" ht="15">
      <c r="A170" s="175">
        <v>167</v>
      </c>
      <c r="B170" s="417" t="s">
        <v>684</v>
      </c>
      <c r="C170" s="338">
        <v>38891</v>
      </c>
      <c r="D170" s="337" t="s">
        <v>277</v>
      </c>
      <c r="E170" s="337" t="s">
        <v>201</v>
      </c>
      <c r="F170" s="334">
        <v>45</v>
      </c>
      <c r="G170" s="334">
        <v>3</v>
      </c>
      <c r="H170" s="334">
        <v>26</v>
      </c>
      <c r="I170" s="335">
        <v>1554.4</v>
      </c>
      <c r="J170" s="336">
        <v>456</v>
      </c>
      <c r="K170" s="340">
        <f>IF(I170&lt;&gt;0,J170/G170,"")</f>
        <v>152</v>
      </c>
      <c r="L170" s="341">
        <f>IF(I170&lt;&gt;0,I170/J170,"")</f>
        <v>3.4087719298245616</v>
      </c>
      <c r="M170" s="347">
        <f>154658.5+107804+83531.5+43902+30665+24700+11888+9449+6526+2252.5+1787+2024+2034.5+1406.5+492+2062+3544.5+666+46+168+267+445+188+404+2030.2+1554.4</f>
        <v>494495.60000000003</v>
      </c>
      <c r="N170" s="348">
        <f>20153+14417+13506+7951+5799+4754+2261+1861+1328+521+366+427+432+364+123+456+898+122+20+72+99+89+47+95+506+456</f>
        <v>77123</v>
      </c>
      <c r="O170" s="420">
        <f>M170/N170</f>
        <v>6.411778587451215</v>
      </c>
    </row>
    <row r="171" spans="1:15" ht="15">
      <c r="A171" s="175">
        <v>168</v>
      </c>
      <c r="B171" s="418" t="s">
        <v>684</v>
      </c>
      <c r="C171" s="338">
        <v>38891</v>
      </c>
      <c r="D171" s="357" t="s">
        <v>277</v>
      </c>
      <c r="E171" s="352" t="s">
        <v>201</v>
      </c>
      <c r="F171" s="358">
        <v>45</v>
      </c>
      <c r="G171" s="358">
        <v>1</v>
      </c>
      <c r="H171" s="358">
        <v>27</v>
      </c>
      <c r="I171" s="335">
        <v>699</v>
      </c>
      <c r="J171" s="336">
        <v>199</v>
      </c>
      <c r="K171" s="356">
        <f>J171/G171</f>
        <v>199</v>
      </c>
      <c r="L171" s="344">
        <f>I171/J171</f>
        <v>3.512562814070352</v>
      </c>
      <c r="M171" s="347">
        <f>154658.5+107804+83531.5+43902+30665+24700+11888+9449+6526+2252.5+1787+2024+2034.5+1406.5+492+2062+3544.5+666+46+168+267+445+188+404+2030.2+1554.4+669</f>
        <v>495164.60000000003</v>
      </c>
      <c r="N171" s="348">
        <f>20153+14417+13506+7951+5799+4754+2261+1861+1328+521+366+427+432+364+123+456+898+122+20+72+99+89+47+95+506+456+199</f>
        <v>77322</v>
      </c>
      <c r="O171" s="419">
        <f>+M171/N171</f>
        <v>6.4039290240811155</v>
      </c>
    </row>
    <row r="172" spans="1:15" ht="15">
      <c r="A172" s="175">
        <v>169</v>
      </c>
      <c r="B172" s="418" t="s">
        <v>684</v>
      </c>
      <c r="C172" s="338">
        <v>38891</v>
      </c>
      <c r="D172" s="357" t="s">
        <v>277</v>
      </c>
      <c r="E172" s="352" t="s">
        <v>201</v>
      </c>
      <c r="F172" s="358">
        <v>45</v>
      </c>
      <c r="G172" s="358">
        <v>1</v>
      </c>
      <c r="H172" s="358">
        <v>28</v>
      </c>
      <c r="I172" s="335">
        <v>195</v>
      </c>
      <c r="J172" s="336">
        <v>65</v>
      </c>
      <c r="K172" s="348">
        <f>J172/G172</f>
        <v>65</v>
      </c>
      <c r="L172" s="353">
        <f>I172/J172</f>
        <v>3</v>
      </c>
      <c r="M172" s="347">
        <f>154658.5+107804+83531.5+43902+30665+24700+11888+9449+6526+2252.5+1787+2024+2034.5+1406.5+492+2062+3544.5+666+46+168+267+445+188+404+2030.2+1554.4+669+195</f>
        <v>495359.60000000003</v>
      </c>
      <c r="N172" s="348">
        <f>20153+14417+13506+7951+5799+4754+2261+1861+1328+521+366+427+432+364+123+456+898+122+20+72+99+89+47+95+506+456+199+65</f>
        <v>77387</v>
      </c>
      <c r="O172" s="416">
        <f>IF(M172&lt;&gt;0,M172/N172,"")</f>
        <v>6.401069947148747</v>
      </c>
    </row>
    <row r="173" spans="1:15" ht="15">
      <c r="A173" s="175">
        <v>170</v>
      </c>
      <c r="B173" s="418" t="s">
        <v>210</v>
      </c>
      <c r="C173" s="338">
        <v>38898</v>
      </c>
      <c r="D173" s="357" t="s">
        <v>277</v>
      </c>
      <c r="E173" s="352" t="s">
        <v>201</v>
      </c>
      <c r="F173" s="358">
        <v>47</v>
      </c>
      <c r="G173" s="358">
        <v>1</v>
      </c>
      <c r="H173" s="358">
        <v>17</v>
      </c>
      <c r="I173" s="335">
        <v>1068</v>
      </c>
      <c r="J173" s="336">
        <v>356</v>
      </c>
      <c r="K173" s="348">
        <f>J173/G173</f>
        <v>356</v>
      </c>
      <c r="L173" s="353">
        <f>I173/J173</f>
        <v>3</v>
      </c>
      <c r="M173" s="347">
        <f>88058+66057+19237+18780.5+15348+7714+11101+6810.5+1696+4186+2284+175+304+885+265+504+1068</f>
        <v>244473</v>
      </c>
      <c r="N173" s="348">
        <f>11470+9021+3194+3443+2936+1679+2151+1195+483+727+432+42+72+188+52+168+356</f>
        <v>37609</v>
      </c>
      <c r="O173" s="416">
        <f>IF(M173&lt;&gt;0,M173/N173,"")</f>
        <v>6.5003855460129225</v>
      </c>
    </row>
    <row r="174" spans="1:15" ht="15">
      <c r="A174" s="175">
        <v>171</v>
      </c>
      <c r="B174" s="418" t="s">
        <v>210</v>
      </c>
      <c r="C174" s="338">
        <v>38898</v>
      </c>
      <c r="D174" s="357" t="s">
        <v>277</v>
      </c>
      <c r="E174" s="337" t="s">
        <v>685</v>
      </c>
      <c r="F174" s="358">
        <v>47</v>
      </c>
      <c r="G174" s="358">
        <v>2</v>
      </c>
      <c r="H174" s="358">
        <v>19</v>
      </c>
      <c r="I174" s="335">
        <v>454.3</v>
      </c>
      <c r="J174" s="336">
        <v>278</v>
      </c>
      <c r="K174" s="356">
        <f>J174/G174</f>
        <v>139</v>
      </c>
      <c r="L174" s="344">
        <f>I174/J174</f>
        <v>1.6341726618705037</v>
      </c>
      <c r="M174" s="347">
        <f>88058+66057+19237+18780.5+15348+7714+11101+6810.5+1696+4186+2284+175+304+885+265+504+1068+30.5+454.3</f>
        <v>244957.8</v>
      </c>
      <c r="N174" s="348">
        <f>11470+9021+3194+3443+2936+1679+2151+1195+483+727+432+42+72+188+52+168+356+12+278</f>
        <v>37899</v>
      </c>
      <c r="O174" s="419">
        <f>+M174/N174</f>
        <v>6.463437030000791</v>
      </c>
    </row>
    <row r="175" spans="1:15" ht="15">
      <c r="A175" s="175">
        <v>172</v>
      </c>
      <c r="B175" s="418" t="s">
        <v>210</v>
      </c>
      <c r="C175" s="338">
        <v>38898</v>
      </c>
      <c r="D175" s="357" t="s">
        <v>277</v>
      </c>
      <c r="E175" s="337" t="s">
        <v>685</v>
      </c>
      <c r="F175" s="358">
        <v>47</v>
      </c>
      <c r="G175" s="358">
        <v>1</v>
      </c>
      <c r="H175" s="358">
        <v>20</v>
      </c>
      <c r="I175" s="335">
        <v>400</v>
      </c>
      <c r="J175" s="336">
        <v>80</v>
      </c>
      <c r="K175" s="356">
        <f>J175/G175</f>
        <v>80</v>
      </c>
      <c r="L175" s="344">
        <f>I175/J175</f>
        <v>5</v>
      </c>
      <c r="M175" s="347">
        <f>88058+66057+19237+18780.5+15348+7714+11101+6810.5+1696+4186+2284+175+304+885+265+504+1068+30.5+454.3+400</f>
        <v>245357.8</v>
      </c>
      <c r="N175" s="348">
        <f>11470+9021+3194+3443+2936+1679+2151+1195+483+727+432+42+72+188+52+168+356+12+278+80</f>
        <v>37979</v>
      </c>
      <c r="O175" s="419">
        <f>+M175/N175</f>
        <v>6.460354406382474</v>
      </c>
    </row>
    <row r="176" spans="1:15" ht="15">
      <c r="A176" s="175">
        <v>173</v>
      </c>
      <c r="B176" s="417" t="s">
        <v>210</v>
      </c>
      <c r="C176" s="338">
        <v>38898</v>
      </c>
      <c r="D176" s="337" t="s">
        <v>277</v>
      </c>
      <c r="E176" s="337" t="s">
        <v>685</v>
      </c>
      <c r="F176" s="334">
        <v>47</v>
      </c>
      <c r="G176" s="334">
        <v>1</v>
      </c>
      <c r="H176" s="334">
        <v>18</v>
      </c>
      <c r="I176" s="335">
        <v>30.5</v>
      </c>
      <c r="J176" s="336">
        <v>12</v>
      </c>
      <c r="K176" s="340">
        <f>IF(I176&lt;&gt;0,J176/G176,"")</f>
        <v>12</v>
      </c>
      <c r="L176" s="341">
        <f>IF(I176&lt;&gt;0,I176/J176,"")</f>
        <v>2.5416666666666665</v>
      </c>
      <c r="M176" s="347">
        <f>88058+66057+19237+18780.5+15348+7714+11101+6810.5+1696+4186+2284+175+304+885+265+504+1068+30.5</f>
        <v>244503.5</v>
      </c>
      <c r="N176" s="348">
        <f>11470+9021+3194+3443+2936+1679+2151+1195+483+727+432+42+72+188+52+168+356+12</f>
        <v>37621</v>
      </c>
      <c r="O176" s="420">
        <f>M176/N176</f>
        <v>6.499122830334122</v>
      </c>
    </row>
    <row r="177" spans="1:15" ht="15">
      <c r="A177" s="175">
        <v>174</v>
      </c>
      <c r="B177" s="418" t="s">
        <v>103</v>
      </c>
      <c r="C177" s="338">
        <v>38898</v>
      </c>
      <c r="D177" s="357" t="s">
        <v>277</v>
      </c>
      <c r="E177" s="352" t="s">
        <v>686</v>
      </c>
      <c r="F177" s="358">
        <v>5</v>
      </c>
      <c r="G177" s="358">
        <v>1</v>
      </c>
      <c r="H177" s="358">
        <v>13</v>
      </c>
      <c r="I177" s="335">
        <v>1248</v>
      </c>
      <c r="J177" s="336">
        <v>416</v>
      </c>
      <c r="K177" s="348">
        <f>J177/G177</f>
        <v>416</v>
      </c>
      <c r="L177" s="353">
        <f>I177/J177</f>
        <v>3</v>
      </c>
      <c r="M177" s="347">
        <f>6551.5+3573+601+2282+519.5+723+269+40+831+565+177+951+1248</f>
        <v>18331</v>
      </c>
      <c r="N177" s="348">
        <f>756+441+97+365+71+118+58+8+277+117+59+317+416</f>
        <v>3100</v>
      </c>
      <c r="O177" s="420">
        <f>M177/N177</f>
        <v>5.913225806451613</v>
      </c>
    </row>
    <row r="178" spans="1:15" ht="15">
      <c r="A178" s="175">
        <v>175</v>
      </c>
      <c r="B178" s="417" t="s">
        <v>134</v>
      </c>
      <c r="C178" s="338">
        <v>38905</v>
      </c>
      <c r="D178" s="337" t="s">
        <v>277</v>
      </c>
      <c r="E178" s="337" t="s">
        <v>331</v>
      </c>
      <c r="F178" s="334">
        <v>10</v>
      </c>
      <c r="G178" s="334">
        <v>1</v>
      </c>
      <c r="H178" s="334">
        <v>14</v>
      </c>
      <c r="I178" s="335">
        <v>1188</v>
      </c>
      <c r="J178" s="336">
        <v>297</v>
      </c>
      <c r="K178" s="348">
        <f>J178/G178</f>
        <v>297</v>
      </c>
      <c r="L178" s="353">
        <f>I178/J178</f>
        <v>4</v>
      </c>
      <c r="M178" s="347">
        <f>13259+2856.5+4926+4327+1719+1667.5+386+326+213+271+1196+119+262.4+1188</f>
        <v>32716.4</v>
      </c>
      <c r="N178" s="348">
        <f>1361+397+710+656+352+358+85+53+51+67+388+28+164+297</f>
        <v>4967</v>
      </c>
      <c r="O178" s="420">
        <f>M178/N178</f>
        <v>6.586752566941816</v>
      </c>
    </row>
    <row r="179" spans="1:15" ht="15">
      <c r="A179" s="175">
        <v>176</v>
      </c>
      <c r="B179" s="418" t="s">
        <v>134</v>
      </c>
      <c r="C179" s="338">
        <v>38905</v>
      </c>
      <c r="D179" s="357" t="s">
        <v>277</v>
      </c>
      <c r="E179" s="352" t="s">
        <v>331</v>
      </c>
      <c r="F179" s="358">
        <v>10</v>
      </c>
      <c r="G179" s="358">
        <v>1</v>
      </c>
      <c r="H179" s="358">
        <v>13</v>
      </c>
      <c r="I179" s="335">
        <v>262.4</v>
      </c>
      <c r="J179" s="336">
        <v>164</v>
      </c>
      <c r="K179" s="348">
        <f>J179/G179</f>
        <v>164</v>
      </c>
      <c r="L179" s="353">
        <f>I179/J179</f>
        <v>1.5999999999999999</v>
      </c>
      <c r="M179" s="347">
        <f>13259+2856.5+4926+4327+1719+1667.5+386+326+213+271+1196+119+262.4</f>
        <v>31528.4</v>
      </c>
      <c r="N179" s="348">
        <f>1361+397+710+656+352+358+85+53+51+67+388+28+164</f>
        <v>4670</v>
      </c>
      <c r="O179" s="420">
        <f>M179/N179</f>
        <v>6.751263383297645</v>
      </c>
    </row>
    <row r="180" spans="1:15" ht="15">
      <c r="A180" s="175">
        <v>177</v>
      </c>
      <c r="B180" s="418" t="s">
        <v>180</v>
      </c>
      <c r="C180" s="338">
        <v>38905</v>
      </c>
      <c r="D180" s="357" t="s">
        <v>277</v>
      </c>
      <c r="E180" s="352" t="s">
        <v>686</v>
      </c>
      <c r="F180" s="358">
        <v>5</v>
      </c>
      <c r="G180" s="358">
        <v>1</v>
      </c>
      <c r="H180" s="358">
        <v>10</v>
      </c>
      <c r="I180" s="335">
        <v>1664</v>
      </c>
      <c r="J180" s="336">
        <v>416</v>
      </c>
      <c r="K180" s="340">
        <f>IF(I180&lt;&gt;0,J180/G180,"")</f>
        <v>416</v>
      </c>
      <c r="L180" s="341">
        <f>IF(I180&lt;&gt;0,I180/J180,"")</f>
        <v>4</v>
      </c>
      <c r="M180" s="347">
        <f>8511+1752+1606+618+128+1303.5+188+831+1188+1664</f>
        <v>17789.5</v>
      </c>
      <c r="N180" s="348">
        <f>922+255+257+76+16+206+44+277+297+416</f>
        <v>2766</v>
      </c>
      <c r="O180" s="419">
        <f>+M180/N180</f>
        <v>6.431489515545914</v>
      </c>
    </row>
    <row r="181" spans="1:15" ht="15">
      <c r="A181" s="175">
        <v>178</v>
      </c>
      <c r="B181" s="417" t="s">
        <v>180</v>
      </c>
      <c r="C181" s="338">
        <v>38905</v>
      </c>
      <c r="D181" s="337" t="s">
        <v>277</v>
      </c>
      <c r="E181" s="352" t="s">
        <v>686</v>
      </c>
      <c r="F181" s="334">
        <v>5</v>
      </c>
      <c r="G181" s="334">
        <v>1</v>
      </c>
      <c r="H181" s="334">
        <v>9</v>
      </c>
      <c r="I181" s="335">
        <v>1188</v>
      </c>
      <c r="J181" s="336">
        <v>297</v>
      </c>
      <c r="K181" s="348">
        <f aca="true" t="shared" si="25" ref="K181:K188">J181/G181</f>
        <v>297</v>
      </c>
      <c r="L181" s="353">
        <f aca="true" t="shared" si="26" ref="L181:L189">I181/J181</f>
        <v>4</v>
      </c>
      <c r="M181" s="347">
        <f>8511+1752+1606+618+128+1303.5+188+831+1188</f>
        <v>16125.5</v>
      </c>
      <c r="N181" s="348">
        <f>922+255+257+76+16+206+44+277+297</f>
        <v>2350</v>
      </c>
      <c r="O181" s="420">
        <f>M181/N181</f>
        <v>6.861914893617021</v>
      </c>
    </row>
    <row r="182" spans="1:15" ht="15">
      <c r="A182" s="175">
        <v>179</v>
      </c>
      <c r="B182" s="418" t="s">
        <v>348</v>
      </c>
      <c r="C182" s="338">
        <v>38912</v>
      </c>
      <c r="D182" s="357" t="s">
        <v>277</v>
      </c>
      <c r="E182" s="352" t="s">
        <v>678</v>
      </c>
      <c r="F182" s="358">
        <v>1</v>
      </c>
      <c r="G182" s="358">
        <v>1</v>
      </c>
      <c r="H182" s="358">
        <v>16</v>
      </c>
      <c r="I182" s="335">
        <v>504</v>
      </c>
      <c r="J182" s="336">
        <v>126</v>
      </c>
      <c r="K182" s="348">
        <f t="shared" si="25"/>
        <v>126</v>
      </c>
      <c r="L182" s="353">
        <f t="shared" si="26"/>
        <v>4</v>
      </c>
      <c r="M182" s="347">
        <f>3860+2691+2385+1350+1075+444+48+1571+1739+1606+278+798+450+165+203+504+504</f>
        <v>19671</v>
      </c>
      <c r="N182" s="348">
        <f>509+453+477+230+215+74+6+267+256+239+41+156+90+29+25+126+126</f>
        <v>3319</v>
      </c>
      <c r="O182" s="420">
        <f>M182/N182</f>
        <v>5.926785176257909</v>
      </c>
    </row>
    <row r="183" spans="1:15" ht="15">
      <c r="A183" s="175">
        <v>180</v>
      </c>
      <c r="B183" s="418" t="s">
        <v>348</v>
      </c>
      <c r="C183" s="338">
        <v>38912</v>
      </c>
      <c r="D183" s="357" t="s">
        <v>277</v>
      </c>
      <c r="E183" s="352" t="s">
        <v>678</v>
      </c>
      <c r="F183" s="358">
        <v>1</v>
      </c>
      <c r="G183" s="358">
        <v>1</v>
      </c>
      <c r="H183" s="358">
        <v>15</v>
      </c>
      <c r="I183" s="335">
        <v>504</v>
      </c>
      <c r="J183" s="336">
        <v>126</v>
      </c>
      <c r="K183" s="356">
        <f t="shared" si="25"/>
        <v>126</v>
      </c>
      <c r="L183" s="344">
        <f t="shared" si="26"/>
        <v>4</v>
      </c>
      <c r="M183" s="347">
        <f>3860+2691+2385+1350+1075+444+48+1571+1739+1606+278+798+450+165+203+504</f>
        <v>19167</v>
      </c>
      <c r="N183" s="348">
        <f>509+453+477+230+215+74+6+267+256+239+41+156+90+29+25+126</f>
        <v>3193</v>
      </c>
      <c r="O183" s="419">
        <f>+M183/N183</f>
        <v>6.002818665831507</v>
      </c>
    </row>
    <row r="184" spans="1:15" ht="15">
      <c r="A184" s="175">
        <v>181</v>
      </c>
      <c r="B184" s="415" t="s">
        <v>138</v>
      </c>
      <c r="C184" s="338">
        <v>38919</v>
      </c>
      <c r="D184" s="345" t="s">
        <v>455</v>
      </c>
      <c r="E184" s="345" t="s">
        <v>139</v>
      </c>
      <c r="F184" s="346">
        <v>10</v>
      </c>
      <c r="G184" s="346">
        <v>1</v>
      </c>
      <c r="H184" s="346">
        <v>13</v>
      </c>
      <c r="I184" s="335">
        <v>354</v>
      </c>
      <c r="J184" s="336">
        <v>59</v>
      </c>
      <c r="K184" s="367">
        <f t="shared" si="25"/>
        <v>59</v>
      </c>
      <c r="L184" s="360">
        <f t="shared" si="26"/>
        <v>6</v>
      </c>
      <c r="M184" s="347">
        <f>16518+9313.5+7099.5+4944+5293+3705.5+4259+4016+266+1932+144+72+354</f>
        <v>57916.5</v>
      </c>
      <c r="N184" s="348">
        <f>1879+1086+1042+872+917+688+885+838+49+340+24+12+59</f>
        <v>8691</v>
      </c>
      <c r="O184" s="425">
        <f>M184/N184</f>
        <v>6.663962720055229</v>
      </c>
    </row>
    <row r="185" spans="1:15" ht="15">
      <c r="A185" s="175">
        <v>182</v>
      </c>
      <c r="B185" s="415" t="s">
        <v>138</v>
      </c>
      <c r="C185" s="338">
        <v>38919</v>
      </c>
      <c r="D185" s="345" t="s">
        <v>455</v>
      </c>
      <c r="E185" s="345" t="s">
        <v>139</v>
      </c>
      <c r="F185" s="346">
        <v>10</v>
      </c>
      <c r="G185" s="346">
        <v>1</v>
      </c>
      <c r="H185" s="346">
        <v>11</v>
      </c>
      <c r="I185" s="335">
        <v>144</v>
      </c>
      <c r="J185" s="336">
        <v>24</v>
      </c>
      <c r="K185" s="350">
        <f t="shared" si="25"/>
        <v>24</v>
      </c>
      <c r="L185" s="351">
        <f t="shared" si="26"/>
        <v>6</v>
      </c>
      <c r="M185" s="347">
        <f>16518+9313.5+7099.5+4944+5293+3705.5+4259+4016+266+1932+144</f>
        <v>57490.5</v>
      </c>
      <c r="N185" s="348">
        <f>1879+1086+1042+872+917+688+885+838+49+340+24</f>
        <v>8620</v>
      </c>
      <c r="O185" s="416">
        <f>+M185/N185</f>
        <v>6.669431554524362</v>
      </c>
    </row>
    <row r="186" spans="1:15" ht="15">
      <c r="A186" s="175">
        <v>183</v>
      </c>
      <c r="B186" s="415" t="s">
        <v>138</v>
      </c>
      <c r="C186" s="338">
        <v>38919</v>
      </c>
      <c r="D186" s="345" t="s">
        <v>455</v>
      </c>
      <c r="E186" s="345" t="s">
        <v>139</v>
      </c>
      <c r="F186" s="346">
        <v>10</v>
      </c>
      <c r="G186" s="346">
        <v>1</v>
      </c>
      <c r="H186" s="346">
        <v>12</v>
      </c>
      <c r="I186" s="335">
        <v>72</v>
      </c>
      <c r="J186" s="336">
        <v>12</v>
      </c>
      <c r="K186" s="350">
        <f t="shared" si="25"/>
        <v>12</v>
      </c>
      <c r="L186" s="351">
        <f t="shared" si="26"/>
        <v>6</v>
      </c>
      <c r="M186" s="347">
        <f>16518+9313.5+7099.5+4944+5293+3705.5+4259+4016+266+1932+144+72</f>
        <v>57562.5</v>
      </c>
      <c r="N186" s="348">
        <f>1879+1086+1042+872+917+688+885+838+49+340+24+12</f>
        <v>8632</v>
      </c>
      <c r="O186" s="416">
        <f>+M186/N186</f>
        <v>6.668500926784059</v>
      </c>
    </row>
    <row r="187" spans="1:15" ht="15">
      <c r="A187" s="175">
        <v>184</v>
      </c>
      <c r="B187" s="424" t="s">
        <v>95</v>
      </c>
      <c r="C187" s="359">
        <v>38919</v>
      </c>
      <c r="D187" s="379" t="s">
        <v>453</v>
      </c>
      <c r="E187" s="362" t="s">
        <v>322</v>
      </c>
      <c r="F187" s="361">
        <v>149</v>
      </c>
      <c r="G187" s="361">
        <v>1</v>
      </c>
      <c r="H187" s="361">
        <v>22</v>
      </c>
      <c r="I187" s="331">
        <v>1782</v>
      </c>
      <c r="J187" s="332">
        <v>510</v>
      </c>
      <c r="K187" s="356">
        <f t="shared" si="25"/>
        <v>510</v>
      </c>
      <c r="L187" s="344">
        <f t="shared" si="26"/>
        <v>3.4941176470588236</v>
      </c>
      <c r="M187" s="342">
        <v>1830400</v>
      </c>
      <c r="N187" s="343">
        <v>251596</v>
      </c>
      <c r="O187" s="419">
        <f>+M187/N187</f>
        <v>7.2751554078761185</v>
      </c>
    </row>
    <row r="188" spans="1:15" ht="15">
      <c r="A188" s="175">
        <v>185</v>
      </c>
      <c r="B188" s="418" t="s">
        <v>107</v>
      </c>
      <c r="C188" s="338">
        <v>38926</v>
      </c>
      <c r="D188" s="357" t="s">
        <v>277</v>
      </c>
      <c r="E188" s="352" t="s">
        <v>108</v>
      </c>
      <c r="F188" s="358">
        <v>14</v>
      </c>
      <c r="G188" s="358">
        <v>1</v>
      </c>
      <c r="H188" s="358">
        <v>10</v>
      </c>
      <c r="I188" s="335">
        <v>952</v>
      </c>
      <c r="J188" s="336">
        <v>238</v>
      </c>
      <c r="K188" s="356">
        <f t="shared" si="25"/>
        <v>238</v>
      </c>
      <c r="L188" s="353">
        <f t="shared" si="26"/>
        <v>4</v>
      </c>
      <c r="M188" s="347">
        <f>7752+1550+1576.5+760.5+184+236+140+1662+177+952</f>
        <v>14990</v>
      </c>
      <c r="N188" s="348">
        <f>958+237+271+144+36+51+33+554+59+238</f>
        <v>2581</v>
      </c>
      <c r="O188" s="419">
        <f>+M188/N188</f>
        <v>5.807826423866718</v>
      </c>
    </row>
    <row r="189" spans="1:15" ht="15">
      <c r="A189" s="175">
        <v>186</v>
      </c>
      <c r="B189" s="424" t="s">
        <v>206</v>
      </c>
      <c r="C189" s="359">
        <v>38933</v>
      </c>
      <c r="D189" s="362" t="s">
        <v>447</v>
      </c>
      <c r="E189" s="362" t="s">
        <v>207</v>
      </c>
      <c r="F189" s="361">
        <v>47</v>
      </c>
      <c r="G189" s="361">
        <v>1</v>
      </c>
      <c r="H189" s="361">
        <v>18</v>
      </c>
      <c r="I189" s="363">
        <v>1785</v>
      </c>
      <c r="J189" s="364">
        <v>255</v>
      </c>
      <c r="K189" s="340">
        <f>+J189/G189</f>
        <v>255</v>
      </c>
      <c r="L189" s="344">
        <f t="shared" si="26"/>
        <v>7</v>
      </c>
      <c r="M189" s="365">
        <f>362384.05+0+1785</f>
        <v>364169.05</v>
      </c>
      <c r="N189" s="348">
        <f>51486+169+68+119+255</f>
        <v>52097</v>
      </c>
      <c r="O189" s="419">
        <f>+M189/N189</f>
        <v>6.990211528494923</v>
      </c>
    </row>
    <row r="190" spans="1:15" ht="15">
      <c r="A190" s="175">
        <v>187</v>
      </c>
      <c r="B190" s="424" t="s">
        <v>206</v>
      </c>
      <c r="C190" s="359">
        <v>38933</v>
      </c>
      <c r="D190" s="362" t="s">
        <v>447</v>
      </c>
      <c r="E190" s="362" t="s">
        <v>207</v>
      </c>
      <c r="F190" s="361">
        <v>47</v>
      </c>
      <c r="G190" s="361">
        <v>1</v>
      </c>
      <c r="H190" s="361">
        <v>21</v>
      </c>
      <c r="I190" s="363">
        <v>1782</v>
      </c>
      <c r="J190" s="364">
        <v>267</v>
      </c>
      <c r="K190" s="340">
        <f>+J190/G190</f>
        <v>267</v>
      </c>
      <c r="L190" s="341">
        <f>+I190/J190</f>
        <v>6.674157303370786</v>
      </c>
      <c r="M190" s="365">
        <f>366123.05+0</f>
        <v>366123.05</v>
      </c>
      <c r="N190" s="348">
        <f>52402+0</f>
        <v>52402</v>
      </c>
      <c r="O190" s="416">
        <f>IF(M190&lt;&gt;0,M190/N190,"")</f>
        <v>6.986814434563566</v>
      </c>
    </row>
    <row r="191" spans="1:15" ht="15">
      <c r="A191" s="175">
        <v>188</v>
      </c>
      <c r="B191" s="421" t="s">
        <v>206</v>
      </c>
      <c r="C191" s="359">
        <v>38933</v>
      </c>
      <c r="D191" s="339" t="s">
        <v>447</v>
      </c>
      <c r="E191" s="339" t="s">
        <v>207</v>
      </c>
      <c r="F191" s="333">
        <v>47</v>
      </c>
      <c r="G191" s="333">
        <v>1</v>
      </c>
      <c r="H191" s="333">
        <v>17</v>
      </c>
      <c r="I191" s="363">
        <v>598</v>
      </c>
      <c r="J191" s="364">
        <v>119</v>
      </c>
      <c r="K191" s="340">
        <f>IF(I191&lt;&gt;0,J191/G191,"")</f>
        <v>119</v>
      </c>
      <c r="L191" s="341">
        <f>IF(I191&lt;&gt;0,I191/J191,"")</f>
        <v>5.025210084033613</v>
      </c>
      <c r="M191" s="365">
        <f>362384.05+0</f>
        <v>362384.05</v>
      </c>
      <c r="N191" s="348">
        <f>51486+169+68+119</f>
        <v>51842</v>
      </c>
      <c r="O191" s="416">
        <f>IF(M191&lt;&gt;0,M191/N191,"")</f>
        <v>6.9901633810423975</v>
      </c>
    </row>
    <row r="192" spans="1:15" ht="15">
      <c r="A192" s="175">
        <v>189</v>
      </c>
      <c r="B192" s="424" t="s">
        <v>206</v>
      </c>
      <c r="C192" s="359">
        <v>38933</v>
      </c>
      <c r="D192" s="362" t="s">
        <v>447</v>
      </c>
      <c r="E192" s="362" t="s">
        <v>207</v>
      </c>
      <c r="F192" s="361">
        <v>47</v>
      </c>
      <c r="G192" s="361">
        <v>1</v>
      </c>
      <c r="H192" s="361">
        <v>20</v>
      </c>
      <c r="I192" s="363">
        <v>100</v>
      </c>
      <c r="J192" s="364">
        <v>20</v>
      </c>
      <c r="K192" s="340">
        <f>IF(I192&lt;&gt;0,J192/G192,"")</f>
        <v>20</v>
      </c>
      <c r="L192" s="341">
        <f>IF(I192&lt;&gt;0,I192/J192,"")</f>
        <v>5</v>
      </c>
      <c r="M192" s="365">
        <f>364241.05+0+100</f>
        <v>364341.05</v>
      </c>
      <c r="N192" s="348">
        <f>52115+0+20</f>
        <v>52135</v>
      </c>
      <c r="O192" s="416">
        <f>IF(M192&lt;&gt;0,M192/N192,"")</f>
        <v>6.98841565167354</v>
      </c>
    </row>
    <row r="193" spans="1:15" ht="15">
      <c r="A193" s="175">
        <v>190</v>
      </c>
      <c r="B193" s="424" t="s">
        <v>206</v>
      </c>
      <c r="C193" s="359">
        <v>38933</v>
      </c>
      <c r="D193" s="362" t="s">
        <v>447</v>
      </c>
      <c r="E193" s="362" t="s">
        <v>207</v>
      </c>
      <c r="F193" s="361">
        <v>47</v>
      </c>
      <c r="G193" s="361">
        <v>1</v>
      </c>
      <c r="H193" s="361">
        <v>19</v>
      </c>
      <c r="I193" s="363">
        <v>72</v>
      </c>
      <c r="J193" s="364">
        <v>18</v>
      </c>
      <c r="K193" s="340">
        <f>IF(I193&lt;&gt;0,J193/G193,"")</f>
        <v>18</v>
      </c>
      <c r="L193" s="341">
        <f>IF(I193&lt;&gt;0,I193/J193,"")</f>
        <v>4</v>
      </c>
      <c r="M193" s="365">
        <f>364241.05+0</f>
        <v>364241.05</v>
      </c>
      <c r="N193" s="348">
        <f>52115+0</f>
        <v>52115</v>
      </c>
      <c r="O193" s="419">
        <f>+M193/N193</f>
        <v>6.98917873932649</v>
      </c>
    </row>
    <row r="194" spans="1:15" ht="15">
      <c r="A194" s="175">
        <v>191</v>
      </c>
      <c r="B194" s="424" t="s">
        <v>247</v>
      </c>
      <c r="C194" s="359">
        <v>38933</v>
      </c>
      <c r="D194" s="379" t="s">
        <v>453</v>
      </c>
      <c r="E194" s="362" t="s">
        <v>322</v>
      </c>
      <c r="F194" s="361">
        <v>55</v>
      </c>
      <c r="G194" s="361">
        <v>1</v>
      </c>
      <c r="H194" s="361">
        <v>17</v>
      </c>
      <c r="I194" s="331">
        <v>832</v>
      </c>
      <c r="J194" s="332">
        <v>110</v>
      </c>
      <c r="K194" s="356">
        <f>J194/G194</f>
        <v>110</v>
      </c>
      <c r="L194" s="344">
        <f>I194/J194</f>
        <v>7.5636363636363635</v>
      </c>
      <c r="M194" s="342">
        <v>1653576</v>
      </c>
      <c r="N194" s="343">
        <v>213146</v>
      </c>
      <c r="O194" s="419">
        <f>+M194/N194</f>
        <v>7.757949949799668</v>
      </c>
    </row>
    <row r="195" spans="1:15" ht="15">
      <c r="A195" s="175">
        <v>192</v>
      </c>
      <c r="B195" s="415" t="s">
        <v>185</v>
      </c>
      <c r="C195" s="338">
        <v>38940</v>
      </c>
      <c r="D195" s="345" t="s">
        <v>525</v>
      </c>
      <c r="E195" s="345" t="s">
        <v>525</v>
      </c>
      <c r="F195" s="373" t="s">
        <v>276</v>
      </c>
      <c r="G195" s="346">
        <v>2</v>
      </c>
      <c r="H195" s="346">
        <v>11</v>
      </c>
      <c r="I195" s="335">
        <v>265</v>
      </c>
      <c r="J195" s="336">
        <v>31</v>
      </c>
      <c r="K195" s="356">
        <f>J195/G195</f>
        <v>15.5</v>
      </c>
      <c r="L195" s="344">
        <f>I195/J195</f>
        <v>8.548387096774194</v>
      </c>
      <c r="M195" s="347">
        <f>116284+76650+44745.5+25964+20033+19011+6435.5+1614.5+854+335+265</f>
        <v>312191.5</v>
      </c>
      <c r="N195" s="348">
        <f>15000+10104+6159+4430+4047+3756+1312+326+192+77+31</f>
        <v>45434</v>
      </c>
      <c r="O195" s="419">
        <f>+M195/N195</f>
        <v>6.8713188361139235</v>
      </c>
    </row>
    <row r="196" spans="1:15" ht="15">
      <c r="A196" s="175">
        <v>193</v>
      </c>
      <c r="B196" s="415" t="s">
        <v>211</v>
      </c>
      <c r="C196" s="338">
        <v>38947</v>
      </c>
      <c r="D196" s="345" t="s">
        <v>455</v>
      </c>
      <c r="E196" s="345" t="s">
        <v>456</v>
      </c>
      <c r="F196" s="346">
        <v>106</v>
      </c>
      <c r="G196" s="346">
        <v>2</v>
      </c>
      <c r="H196" s="346">
        <v>23</v>
      </c>
      <c r="I196" s="335">
        <v>28400</v>
      </c>
      <c r="J196" s="336">
        <v>5667</v>
      </c>
      <c r="K196" s="340">
        <f>IF(I196&lt;&gt;0,J196/G196,"")</f>
        <v>2833.5</v>
      </c>
      <c r="L196" s="341">
        <f>IF(I196&lt;&gt;0,I196/J196,"")</f>
        <v>5.011469913534498</v>
      </c>
      <c r="M196" s="347">
        <f>851045+613251.5+405140+216081+124391+88721.5+33772.5+20268.5+9628+2255.5+1314.5+2611.5+726.5+537.5+1115+625.5+6606+1330.5+1386+-611+1222+4532+530+28400</f>
        <v>2414880.5</v>
      </c>
      <c r="N196" s="348">
        <f>116878+84823+56865+31359+21609+17621+6633+4111+1582+390+233+473+110+78+157+95+2946+355+318+132+906+105+5667</f>
        <v>353446</v>
      </c>
      <c r="O196" s="416">
        <f>IF(M196&lt;&gt;0,M196/N196,"")</f>
        <v>6.832388823186569</v>
      </c>
    </row>
    <row r="197" spans="1:15" ht="15">
      <c r="A197" s="175">
        <v>194</v>
      </c>
      <c r="B197" s="415" t="s">
        <v>211</v>
      </c>
      <c r="C197" s="338">
        <v>38947</v>
      </c>
      <c r="D197" s="345" t="s">
        <v>455</v>
      </c>
      <c r="E197" s="345" t="s">
        <v>456</v>
      </c>
      <c r="F197" s="346">
        <v>106</v>
      </c>
      <c r="G197" s="346">
        <v>1</v>
      </c>
      <c r="H197" s="346">
        <v>25</v>
      </c>
      <c r="I197" s="335">
        <v>4027.5</v>
      </c>
      <c r="J197" s="336">
        <v>806</v>
      </c>
      <c r="K197" s="340">
        <f>+J197/G197</f>
        <v>806</v>
      </c>
      <c r="L197" s="341">
        <f>+I197/J197</f>
        <v>4.996898263027295</v>
      </c>
      <c r="M197" s="347">
        <f>851045+613251.5+405140+216081+124391+88721.5+33772.5+20268.5+9628+2255.5+1314.5+2611.5+726.5+537.5+1115+625.5+6606+1330.5+1386+-611+1222+4532+530+28400+130+4027.5</f>
        <v>2419038</v>
      </c>
      <c r="N197" s="348">
        <f>116878+84823+56865+31359+21609+17621+6633+4111+1582+390+233+473+110+78+157+95+2946+355+318+132+906+105+5667+18+806</f>
        <v>354270</v>
      </c>
      <c r="O197" s="416">
        <f>IF(M197&lt;&gt;0,M197/N197,"")</f>
        <v>6.828232703869929</v>
      </c>
    </row>
    <row r="198" spans="1:15" ht="15">
      <c r="A198" s="175">
        <v>195</v>
      </c>
      <c r="B198" s="415" t="s">
        <v>211</v>
      </c>
      <c r="C198" s="338">
        <v>38947</v>
      </c>
      <c r="D198" s="345" t="s">
        <v>455</v>
      </c>
      <c r="E198" s="345" t="s">
        <v>456</v>
      </c>
      <c r="F198" s="346">
        <v>106</v>
      </c>
      <c r="G198" s="346">
        <v>4</v>
      </c>
      <c r="H198" s="346">
        <v>19</v>
      </c>
      <c r="I198" s="335">
        <v>1386</v>
      </c>
      <c r="J198" s="336">
        <v>318</v>
      </c>
      <c r="K198" s="340">
        <f>IF(I198&lt;&gt;0,J198/G198,"")</f>
        <v>79.5</v>
      </c>
      <c r="L198" s="341">
        <f>IF(I198&lt;&gt;0,I198/J198,"")</f>
        <v>4.3584905660377355</v>
      </c>
      <c r="M198" s="347">
        <f>851045+613251.5+405140+216081+124391+88721.5+33772.5+20268.5+9628+2255.5+1314.5+2611.5+726.5+537.5+1115+625.5+6606+1330.5+1386</f>
        <v>2380807.5</v>
      </c>
      <c r="N198" s="348">
        <f>116878+84823+56865+31359+21609+17621+6633+4111+1582+390+233+473+110+78+157+95+2946+355+318</f>
        <v>346636</v>
      </c>
      <c r="O198" s="416">
        <f>IF(M198&lt;&gt;0,M198/N198,"")</f>
        <v>6.868321524596406</v>
      </c>
    </row>
    <row r="199" spans="1:15" ht="15">
      <c r="A199" s="175">
        <v>196</v>
      </c>
      <c r="B199" s="417" t="s">
        <v>211</v>
      </c>
      <c r="C199" s="338">
        <v>38947</v>
      </c>
      <c r="D199" s="337" t="s">
        <v>455</v>
      </c>
      <c r="E199" s="337" t="s">
        <v>456</v>
      </c>
      <c r="F199" s="334">
        <v>106</v>
      </c>
      <c r="G199" s="334">
        <v>2</v>
      </c>
      <c r="H199" s="334">
        <v>20</v>
      </c>
      <c r="I199" s="335">
        <v>611</v>
      </c>
      <c r="J199" s="336">
        <v>132</v>
      </c>
      <c r="K199" s="340">
        <f>IF(I199&lt;&gt;0,J199/G199,"")</f>
        <v>66</v>
      </c>
      <c r="L199" s="341">
        <f>IF(I199&lt;&gt;0,I199/J199,"")</f>
        <v>4.628787878787879</v>
      </c>
      <c r="M199" s="347">
        <f>851045+613251.5+405140+216081+124391+88721.5+33772.5+20268.5+9628+2255.5+1314.5+2611.5+726.5+537.5+1115+625.5+6606+1330.5+1386+-611+1222</f>
        <v>2381418.5</v>
      </c>
      <c r="N199" s="348">
        <f>116878+84823+56865+31359+21609+17621+6633+4111+1582+390+233+473+110+78+157+95+2946+355+318+132</f>
        <v>346768</v>
      </c>
      <c r="O199" s="416">
        <f>IF(M199&lt;&gt;0,M199/N199,"")</f>
        <v>6.86746902828404</v>
      </c>
    </row>
    <row r="200" spans="1:15" ht="15">
      <c r="A200" s="175">
        <v>197</v>
      </c>
      <c r="B200" s="415" t="s">
        <v>211</v>
      </c>
      <c r="C200" s="338">
        <v>38947</v>
      </c>
      <c r="D200" s="345" t="s">
        <v>455</v>
      </c>
      <c r="E200" s="345" t="s">
        <v>456</v>
      </c>
      <c r="F200" s="346">
        <v>106</v>
      </c>
      <c r="G200" s="346">
        <v>1</v>
      </c>
      <c r="H200" s="346">
        <v>23</v>
      </c>
      <c r="I200" s="335">
        <v>530</v>
      </c>
      <c r="J200" s="336">
        <v>105</v>
      </c>
      <c r="K200" s="356">
        <f>J200/G200</f>
        <v>105</v>
      </c>
      <c r="L200" s="344">
        <f>I200/J200</f>
        <v>5.0476190476190474</v>
      </c>
      <c r="M200" s="347">
        <f>851045+613251.5+405140+216081+124391+88721.5+33772.5+20268.5+9628+2255.5+1314.5+2611.5+726.5+537.5+1115+625.5+6606+1330.5+1386+-611+1222+4532+530</f>
        <v>2386480.5</v>
      </c>
      <c r="N200" s="348">
        <f>116878+84823+56865+31359+21609+17621+6633+4111+1582+390+233+473+110+78+157+95+2946+355+318+132+906+105</f>
        <v>347779</v>
      </c>
      <c r="O200" s="416">
        <f>IF(M200&lt;&gt;0,M200/N200,"")</f>
        <v>6.86206038892515</v>
      </c>
    </row>
    <row r="201" spans="1:15" ht="15">
      <c r="A201" s="175">
        <v>198</v>
      </c>
      <c r="B201" s="415" t="s">
        <v>211</v>
      </c>
      <c r="C201" s="338">
        <v>38947</v>
      </c>
      <c r="D201" s="345" t="s">
        <v>455</v>
      </c>
      <c r="E201" s="345" t="s">
        <v>456</v>
      </c>
      <c r="F201" s="346">
        <v>106</v>
      </c>
      <c r="G201" s="346">
        <v>1</v>
      </c>
      <c r="H201" s="346">
        <v>26</v>
      </c>
      <c r="I201" s="335">
        <v>416</v>
      </c>
      <c r="J201" s="336">
        <v>100</v>
      </c>
      <c r="K201" s="340">
        <f>+J201/G201</f>
        <v>100</v>
      </c>
      <c r="L201" s="341">
        <f>+I201/J201</f>
        <v>4.16</v>
      </c>
      <c r="M201" s="347">
        <f>851045+613251.5+405140+216081+124391+88721.5+33772.5+20268.5+9628+2255.5+1314.5+2611.5+726.5+537.5+1115+625.5+6606+1330.5+1386+-611+1222+4532+530+28400+130+4027.5+416</f>
        <v>2419454</v>
      </c>
      <c r="N201" s="348">
        <f>116878+84823+56865+31359+21609+17621+6633+4111+1582+390+233+473+110+78+157+95+2946+355+318+132+906+105+5667+18+806+100</f>
        <v>354370</v>
      </c>
      <c r="O201" s="416">
        <f>+M201/N201</f>
        <v>6.827479752800745</v>
      </c>
    </row>
    <row r="202" spans="1:15" ht="15">
      <c r="A202" s="175">
        <v>199</v>
      </c>
      <c r="B202" s="415" t="s">
        <v>211</v>
      </c>
      <c r="C202" s="338">
        <v>38947</v>
      </c>
      <c r="D202" s="345" t="s">
        <v>455</v>
      </c>
      <c r="E202" s="345" t="s">
        <v>456</v>
      </c>
      <c r="F202" s="346">
        <v>106</v>
      </c>
      <c r="G202" s="346">
        <v>1</v>
      </c>
      <c r="H202" s="346">
        <v>24</v>
      </c>
      <c r="I202" s="335">
        <v>130</v>
      </c>
      <c r="J202" s="336">
        <v>18</v>
      </c>
      <c r="K202" s="356">
        <f>J202/G202</f>
        <v>18</v>
      </c>
      <c r="L202" s="344">
        <f aca="true" t="shared" si="27" ref="L202:L207">I202/J202</f>
        <v>7.222222222222222</v>
      </c>
      <c r="M202" s="347">
        <f>851045+613251.5+405140+216081+124391+88721.5+33772.5+20268.5+9628+2255.5+1314.5+2611.5+726.5+537.5+1115+625.5+6606+1330.5+1386+-611+1222+4532+530+28400+130</f>
        <v>2415010.5</v>
      </c>
      <c r="N202" s="348">
        <f>116878+84823+56865+31359+21609+17621+6633+4111+1582+390+233+473+110+78+157+95+2946+355+318+132+906+105+5667+18</f>
        <v>353464</v>
      </c>
      <c r="O202" s="419">
        <f>+M202/N202</f>
        <v>6.832408675282348</v>
      </c>
    </row>
    <row r="203" spans="1:15" ht="15">
      <c r="A203" s="175">
        <v>200</v>
      </c>
      <c r="B203" s="417" t="s">
        <v>212</v>
      </c>
      <c r="C203" s="338">
        <v>38947</v>
      </c>
      <c r="D203" s="345" t="s">
        <v>455</v>
      </c>
      <c r="E203" s="345" t="s">
        <v>456</v>
      </c>
      <c r="F203" s="361">
        <v>106</v>
      </c>
      <c r="G203" s="346">
        <v>2</v>
      </c>
      <c r="H203" s="346">
        <v>31</v>
      </c>
      <c r="I203" s="335">
        <v>4027</v>
      </c>
      <c r="J203" s="336">
        <v>1006</v>
      </c>
      <c r="K203" s="340">
        <f>J203/G203</f>
        <v>503</v>
      </c>
      <c r="L203" s="341">
        <f t="shared" si="27"/>
        <v>4.002982107355865</v>
      </c>
      <c r="M203" s="347">
        <f>851045+613251.5+405140+216081+124391+88721.5+33772.5+20268.5+9628+2255.5+1314.5+2611.5+726.5+537.5+1115+625.5+6606+1330.5+1386+-611+1222+4532+530+28400+130+4027.5+416+3201.5+838+1128+2376+4027</f>
        <v>2431024.5</v>
      </c>
      <c r="N203" s="348">
        <f>116878+84823+56865+31359+21609+17621+6633+4111+1582+390+233+473+110+78+157+95+2946+355+318+132+906+105+5667+18+806+100+801+209+188+594+1006</f>
        <v>357168</v>
      </c>
      <c r="O203" s="423">
        <f aca="true" t="shared" si="28" ref="O203:O208">M203/N203</f>
        <v>6.806389430184115</v>
      </c>
    </row>
    <row r="204" spans="1:15" ht="15">
      <c r="A204" s="175">
        <v>201</v>
      </c>
      <c r="B204" s="417" t="s">
        <v>212</v>
      </c>
      <c r="C204" s="338">
        <v>38947</v>
      </c>
      <c r="D204" s="337" t="s">
        <v>455</v>
      </c>
      <c r="E204" s="337" t="s">
        <v>456</v>
      </c>
      <c r="F204" s="334">
        <v>106</v>
      </c>
      <c r="G204" s="334">
        <v>2</v>
      </c>
      <c r="H204" s="334">
        <v>27</v>
      </c>
      <c r="I204" s="335">
        <v>3201.5</v>
      </c>
      <c r="J204" s="336">
        <v>801</v>
      </c>
      <c r="K204" s="356">
        <f>J204/G204</f>
        <v>400.5</v>
      </c>
      <c r="L204" s="344">
        <f t="shared" si="27"/>
        <v>3.9968789013732833</v>
      </c>
      <c r="M204" s="347">
        <f>851045+613251.5+405140+216081+124391+88721.5+33772.5+20268.5+9628+2255.5+1314.5+2611.5+726.5+537.5+1115+625.5+6606+1330.5+1386+-611+1222+4532+530+28400+130+4027.5+416+3201.5</f>
        <v>2422655.5</v>
      </c>
      <c r="N204" s="348">
        <f>116878+84823+56865+31359+21609+17621+6633+4111+1582+390+233+473+110+78+157+95+2946+355+318+132+906+105+5667+18+806+100+801</f>
        <v>355171</v>
      </c>
      <c r="O204" s="423">
        <f t="shared" si="28"/>
        <v>6.821096035430821</v>
      </c>
    </row>
    <row r="205" spans="1:15" ht="15">
      <c r="A205" s="175">
        <v>202</v>
      </c>
      <c r="B205" s="417" t="s">
        <v>212</v>
      </c>
      <c r="C205" s="338">
        <v>38947</v>
      </c>
      <c r="D205" s="345" t="s">
        <v>455</v>
      </c>
      <c r="E205" s="345" t="s">
        <v>456</v>
      </c>
      <c r="F205" s="375">
        <v>106</v>
      </c>
      <c r="G205" s="346">
        <v>3</v>
      </c>
      <c r="H205" s="346">
        <v>32</v>
      </c>
      <c r="I205" s="335">
        <v>2423</v>
      </c>
      <c r="J205" s="336">
        <v>599</v>
      </c>
      <c r="K205" s="350">
        <f>J205/G205</f>
        <v>199.66666666666666</v>
      </c>
      <c r="L205" s="351">
        <f t="shared" si="27"/>
        <v>4.045075125208681</v>
      </c>
      <c r="M205" s="347">
        <f>851045+613251.5+405140+216081+124391+88721.5+33772.5+20268.5+9628+2255.5+1314.5+2611.5+726.5+537.5+1115+625.5+6606+1330.5+1386+-611+1222+4532+530+28400+130+4027.5+416+3201.5+838+1128+2376+4027+2423</f>
        <v>2433447.5</v>
      </c>
      <c r="N205" s="348">
        <f>116878+84823+56865+31359+21609+17621+6633+4111+1582+390+233+473+110+78+157+95+2946+355+318+132+906+105+5667+18+806+100+801+209+188+594+1006+599</f>
        <v>357767</v>
      </c>
      <c r="O205" s="423">
        <f t="shared" si="28"/>
        <v>6.801766233330631</v>
      </c>
    </row>
    <row r="206" spans="1:15" ht="15">
      <c r="A206" s="175">
        <v>203</v>
      </c>
      <c r="B206" s="417" t="s">
        <v>212</v>
      </c>
      <c r="C206" s="338">
        <v>38947</v>
      </c>
      <c r="D206" s="345" t="s">
        <v>455</v>
      </c>
      <c r="E206" s="345" t="s">
        <v>456</v>
      </c>
      <c r="F206" s="346">
        <v>106</v>
      </c>
      <c r="G206" s="346">
        <v>1</v>
      </c>
      <c r="H206" s="346">
        <v>30</v>
      </c>
      <c r="I206" s="335">
        <v>2376</v>
      </c>
      <c r="J206" s="336">
        <v>594</v>
      </c>
      <c r="K206" s="356">
        <f>J206/G206</f>
        <v>594</v>
      </c>
      <c r="L206" s="344">
        <f t="shared" si="27"/>
        <v>4</v>
      </c>
      <c r="M206" s="347">
        <f>851045+613251.5+405140+216081+124391+88721.5+33772.5+20268.5+9628+2255.5+1314.5+2611.5+726.5+537.5+1115+625.5+6606+1330.5+1386+-611+1222+4532+530+28400+130+4027.5+416+3201.5+838+1128+2376</f>
        <v>2426997.5</v>
      </c>
      <c r="N206" s="348">
        <f>116878+84823+56865+31359+21609+17621+6633+4111+1582+390+233+473+110+78+157+95+2946+355+318+132+906+105+5667+18+806+100+801+209+188+594</f>
        <v>356162</v>
      </c>
      <c r="O206" s="425">
        <f t="shared" si="28"/>
        <v>6.81430781498307</v>
      </c>
    </row>
    <row r="207" spans="1:15" ht="15">
      <c r="A207" s="175">
        <v>204</v>
      </c>
      <c r="B207" s="417" t="s">
        <v>212</v>
      </c>
      <c r="C207" s="338">
        <v>38947</v>
      </c>
      <c r="D207" s="337" t="s">
        <v>455</v>
      </c>
      <c r="E207" s="337" t="s">
        <v>456</v>
      </c>
      <c r="F207" s="334">
        <v>106</v>
      </c>
      <c r="G207" s="334">
        <v>1</v>
      </c>
      <c r="H207" s="334">
        <v>29</v>
      </c>
      <c r="I207" s="335">
        <v>1128</v>
      </c>
      <c r="J207" s="336">
        <v>188</v>
      </c>
      <c r="K207" s="356">
        <f>+J207/G207</f>
        <v>188</v>
      </c>
      <c r="L207" s="344">
        <f t="shared" si="27"/>
        <v>6</v>
      </c>
      <c r="M207" s="347">
        <f>851045+613251.5+405140+216081+124391+88721.5+33772.5+20268.5+9628+2255.5+1314.5+2611.5+726.5+537.5+1115+625.5+6606+1330.5+1386+-611+1222+4532+530+28400+130+4027.5+416+3201.5+838+1128</f>
        <v>2424621.5</v>
      </c>
      <c r="N207" s="348">
        <f>116878+84823+56865+31359+21609+17621+6633+4111+1582+390+233+473+110+78+157+95+2946+355+318+132+906+105+5667+18+806+100+801+209+188</f>
        <v>355568</v>
      </c>
      <c r="O207" s="423">
        <f t="shared" si="28"/>
        <v>6.81900930342438</v>
      </c>
    </row>
    <row r="208" spans="1:15" ht="15">
      <c r="A208" s="175">
        <v>205</v>
      </c>
      <c r="B208" s="417" t="s">
        <v>212</v>
      </c>
      <c r="C208" s="338">
        <v>38947</v>
      </c>
      <c r="D208" s="337" t="s">
        <v>455</v>
      </c>
      <c r="E208" s="337" t="s">
        <v>456</v>
      </c>
      <c r="F208" s="334">
        <v>106</v>
      </c>
      <c r="G208" s="334">
        <v>1</v>
      </c>
      <c r="H208" s="334">
        <v>28</v>
      </c>
      <c r="I208" s="335">
        <v>838</v>
      </c>
      <c r="J208" s="336">
        <v>209</v>
      </c>
      <c r="K208" s="340">
        <f>+J208/G208</f>
        <v>209</v>
      </c>
      <c r="L208" s="341">
        <f>+I208/J208</f>
        <v>4.009569377990431</v>
      </c>
      <c r="M208" s="347">
        <f>851045+613251.5+405140+216081+124391+88721.5+33772.5+20268.5+9628+2255.5+1314.5+2611.5+726.5+537.5+1115+625.5+6606+1330.5+1386+-611+1222+4532+530+28400+130+4027.5+416+3201.5+838</f>
        <v>2423493.5</v>
      </c>
      <c r="N208" s="348">
        <f>116878+84823+56865+31359+21609+17621+6633+4111+1582+390+233+473+110+78+157+95+2946+355+318+132+906+105+5667+18+806+100+801+209</f>
        <v>355380</v>
      </c>
      <c r="O208" s="423">
        <f t="shared" si="28"/>
        <v>6.819442568518206</v>
      </c>
    </row>
    <row r="209" spans="1:15" ht="15">
      <c r="A209" s="175">
        <v>206</v>
      </c>
      <c r="B209" s="424" t="s">
        <v>231</v>
      </c>
      <c r="C209" s="359">
        <v>38947</v>
      </c>
      <c r="D209" s="379" t="s">
        <v>453</v>
      </c>
      <c r="E209" s="362" t="s">
        <v>466</v>
      </c>
      <c r="F209" s="361">
        <v>50</v>
      </c>
      <c r="G209" s="361">
        <v>2</v>
      </c>
      <c r="H209" s="361">
        <v>13</v>
      </c>
      <c r="I209" s="331">
        <v>666</v>
      </c>
      <c r="J209" s="332">
        <v>150</v>
      </c>
      <c r="K209" s="356">
        <f>J209/G209</f>
        <v>75</v>
      </c>
      <c r="L209" s="344">
        <f>I209/J209</f>
        <v>4.44</v>
      </c>
      <c r="M209" s="342">
        <v>1539214</v>
      </c>
      <c r="N209" s="343">
        <v>183274</v>
      </c>
      <c r="O209" s="419">
        <f>+M209/N209</f>
        <v>8.39843076486572</v>
      </c>
    </row>
    <row r="210" spans="1:15" ht="15">
      <c r="A210" s="175">
        <v>207</v>
      </c>
      <c r="B210" s="415" t="s">
        <v>87</v>
      </c>
      <c r="C210" s="338">
        <v>38954</v>
      </c>
      <c r="D210" s="345" t="s">
        <v>454</v>
      </c>
      <c r="E210" s="345" t="s">
        <v>461</v>
      </c>
      <c r="F210" s="346">
        <v>103</v>
      </c>
      <c r="G210" s="346">
        <v>1</v>
      </c>
      <c r="H210" s="346">
        <v>20</v>
      </c>
      <c r="I210" s="335">
        <v>1156</v>
      </c>
      <c r="J210" s="336">
        <v>350</v>
      </c>
      <c r="K210" s="356">
        <f>J210/G210</f>
        <v>350</v>
      </c>
      <c r="L210" s="344">
        <f>I210/J210</f>
        <v>3.302857142857143</v>
      </c>
      <c r="M210" s="347">
        <v>916061</v>
      </c>
      <c r="N210" s="348">
        <v>127389</v>
      </c>
      <c r="O210" s="419">
        <f>+M210/N210</f>
        <v>7.191052602658</v>
      </c>
    </row>
    <row r="211" spans="1:15" ht="15">
      <c r="A211" s="175">
        <v>208</v>
      </c>
      <c r="B211" s="415" t="s">
        <v>87</v>
      </c>
      <c r="C211" s="338">
        <v>38954</v>
      </c>
      <c r="D211" s="345" t="s">
        <v>454</v>
      </c>
      <c r="E211" s="345" t="s">
        <v>461</v>
      </c>
      <c r="F211" s="346">
        <v>103</v>
      </c>
      <c r="G211" s="346">
        <v>1</v>
      </c>
      <c r="H211" s="346">
        <v>54</v>
      </c>
      <c r="I211" s="335">
        <v>1155</v>
      </c>
      <c r="J211" s="336">
        <v>350</v>
      </c>
      <c r="K211" s="350">
        <f>J211/G211</f>
        <v>350</v>
      </c>
      <c r="L211" s="351">
        <f>I211/J211</f>
        <v>3.3</v>
      </c>
      <c r="M211" s="347">
        <v>920870</v>
      </c>
      <c r="N211" s="348">
        <v>128537</v>
      </c>
      <c r="O211" s="420">
        <f>M211/N211</f>
        <v>7.1642406466620505</v>
      </c>
    </row>
    <row r="212" spans="1:15" ht="15">
      <c r="A212" s="175">
        <v>209</v>
      </c>
      <c r="B212" s="415" t="s">
        <v>87</v>
      </c>
      <c r="C212" s="338">
        <v>38954</v>
      </c>
      <c r="D212" s="345" t="s">
        <v>454</v>
      </c>
      <c r="E212" s="345" t="s">
        <v>457</v>
      </c>
      <c r="F212" s="346">
        <v>103</v>
      </c>
      <c r="G212" s="346">
        <v>1</v>
      </c>
      <c r="H212" s="346">
        <v>41</v>
      </c>
      <c r="I212" s="335">
        <v>649</v>
      </c>
      <c r="J212" s="336">
        <v>127</v>
      </c>
      <c r="K212" s="356">
        <f>J212/G212</f>
        <v>127</v>
      </c>
      <c r="L212" s="353">
        <f>I212/J212</f>
        <v>5.110236220472441</v>
      </c>
      <c r="M212" s="347">
        <v>916710</v>
      </c>
      <c r="N212" s="348">
        <v>127516</v>
      </c>
      <c r="O212" s="419">
        <f>+M212/N212</f>
        <v>7.18898020640547</v>
      </c>
    </row>
    <row r="213" spans="1:15" ht="15">
      <c r="A213" s="175">
        <v>210</v>
      </c>
      <c r="B213" s="415" t="s">
        <v>87</v>
      </c>
      <c r="C213" s="338">
        <v>38954</v>
      </c>
      <c r="D213" s="345" t="s">
        <v>454</v>
      </c>
      <c r="E213" s="345" t="s">
        <v>457</v>
      </c>
      <c r="F213" s="346">
        <v>103</v>
      </c>
      <c r="G213" s="346">
        <v>1</v>
      </c>
      <c r="H213" s="346">
        <v>42</v>
      </c>
      <c r="I213" s="335">
        <v>535</v>
      </c>
      <c r="J213" s="336">
        <v>107</v>
      </c>
      <c r="K213" s="356">
        <f>J213/G213</f>
        <v>107</v>
      </c>
      <c r="L213" s="344">
        <f>I213/J213</f>
        <v>5</v>
      </c>
      <c r="M213" s="347">
        <v>917245</v>
      </c>
      <c r="N213" s="348">
        <v>127623</v>
      </c>
      <c r="O213" s="419">
        <f>+M213/N213</f>
        <v>7.187144950361612</v>
      </c>
    </row>
    <row r="214" spans="1:15" ht="15">
      <c r="A214" s="175">
        <v>211</v>
      </c>
      <c r="B214" s="415" t="s">
        <v>87</v>
      </c>
      <c r="C214" s="338">
        <v>38954</v>
      </c>
      <c r="D214" s="345" t="s">
        <v>454</v>
      </c>
      <c r="E214" s="345" t="s">
        <v>461</v>
      </c>
      <c r="F214" s="346">
        <v>103</v>
      </c>
      <c r="G214" s="346">
        <v>1</v>
      </c>
      <c r="H214" s="346">
        <v>19</v>
      </c>
      <c r="I214" s="335">
        <v>413</v>
      </c>
      <c r="J214" s="336">
        <v>100</v>
      </c>
      <c r="K214" s="340">
        <f>IF(I214&lt;&gt;0,J214/G214,"")</f>
        <v>100</v>
      </c>
      <c r="L214" s="341">
        <f>IF(I214&lt;&gt;0,I214/J214,"")</f>
        <v>4.13</v>
      </c>
      <c r="M214" s="347">
        <v>914905</v>
      </c>
      <c r="N214" s="348">
        <v>127039</v>
      </c>
      <c r="O214" s="416">
        <f>IF(M214&lt;&gt;0,M214/N214,"")</f>
        <v>7.20176481238045</v>
      </c>
    </row>
    <row r="215" spans="1:15" ht="15">
      <c r="A215" s="175">
        <v>212</v>
      </c>
      <c r="B215" s="424" t="s">
        <v>181</v>
      </c>
      <c r="C215" s="359">
        <v>38961</v>
      </c>
      <c r="D215" s="379" t="s">
        <v>453</v>
      </c>
      <c r="E215" s="362" t="s">
        <v>466</v>
      </c>
      <c r="F215" s="361">
        <v>55</v>
      </c>
      <c r="G215" s="361">
        <v>1</v>
      </c>
      <c r="H215" s="361">
        <v>16</v>
      </c>
      <c r="I215" s="331">
        <v>349</v>
      </c>
      <c r="J215" s="332">
        <v>84</v>
      </c>
      <c r="K215" s="356">
        <f aca="true" t="shared" si="29" ref="K215:K222">J215/G215</f>
        <v>84</v>
      </c>
      <c r="L215" s="344">
        <f aca="true" t="shared" si="30" ref="L215:L222">I215/J215</f>
        <v>4.154761904761905</v>
      </c>
      <c r="M215" s="342">
        <f>350490.5+214970.5+120637.5+51795+27364+13326.5+8306+2127+1217+1365+28+3564+600+185+238+349</f>
        <v>796563</v>
      </c>
      <c r="N215" s="343">
        <f>43078+26636+15215+7802+4825+2249+1242+291+305+608+5+1188+144+58+75+84</f>
        <v>103805</v>
      </c>
      <c r="O215" s="419">
        <f aca="true" t="shared" si="31" ref="O215:O221">+M215/N215</f>
        <v>7.673647704831174</v>
      </c>
    </row>
    <row r="216" spans="1:15" ht="15">
      <c r="A216" s="175">
        <v>213</v>
      </c>
      <c r="B216" s="424" t="s">
        <v>171</v>
      </c>
      <c r="C216" s="359">
        <v>38968</v>
      </c>
      <c r="D216" s="379" t="s">
        <v>453</v>
      </c>
      <c r="E216" s="362" t="s">
        <v>322</v>
      </c>
      <c r="F216" s="361">
        <v>58</v>
      </c>
      <c r="G216" s="361">
        <v>2</v>
      </c>
      <c r="H216" s="361">
        <v>21</v>
      </c>
      <c r="I216" s="331">
        <v>1950</v>
      </c>
      <c r="J216" s="332">
        <v>531</v>
      </c>
      <c r="K216" s="356">
        <f t="shared" si="29"/>
        <v>265.5</v>
      </c>
      <c r="L216" s="344">
        <f t="shared" si="30"/>
        <v>3.672316384180791</v>
      </c>
      <c r="M216" s="342">
        <f>195080.5+67383.5+41772+34265+20273+12922+1784+1609+1908+1968+3688+604+1127+3983+231+4381+1728+1727+1662+1946+1950</f>
        <v>401992</v>
      </c>
      <c r="N216" s="343">
        <f>24293+8594+5468+5945+3808+2422+380+343+419+477+859+124+259+760+35+801+313+487+474+529+531</f>
        <v>57321</v>
      </c>
      <c r="O216" s="419">
        <f t="shared" si="31"/>
        <v>7.012996981908899</v>
      </c>
    </row>
    <row r="217" spans="1:15" ht="15">
      <c r="A217" s="175">
        <v>214</v>
      </c>
      <c r="B217" s="424" t="s">
        <v>171</v>
      </c>
      <c r="C217" s="359">
        <v>38968</v>
      </c>
      <c r="D217" s="379" t="s">
        <v>453</v>
      </c>
      <c r="E217" s="362" t="s">
        <v>322</v>
      </c>
      <c r="F217" s="361">
        <v>58</v>
      </c>
      <c r="G217" s="361">
        <v>3</v>
      </c>
      <c r="H217" s="361">
        <v>20</v>
      </c>
      <c r="I217" s="331">
        <v>1946</v>
      </c>
      <c r="J217" s="332">
        <v>529</v>
      </c>
      <c r="K217" s="356">
        <f t="shared" si="29"/>
        <v>176.33333333333334</v>
      </c>
      <c r="L217" s="344">
        <f t="shared" si="30"/>
        <v>3.678638941398866</v>
      </c>
      <c r="M217" s="342">
        <f>195080.5+67383.5+41772+34265+20273+12922+1784+1609+1908+1968+3688+604+1127+3983+231+4381+1728+1727+1662+1946</f>
        <v>400042</v>
      </c>
      <c r="N217" s="343">
        <f>24293+8594+5468+5945+3808+2422+380+343+419+477+859+124+259+760+35+801+313+487+474+529</f>
        <v>56790</v>
      </c>
      <c r="O217" s="419">
        <f t="shared" si="31"/>
        <v>7.04423313963726</v>
      </c>
    </row>
    <row r="218" spans="1:15" ht="15">
      <c r="A218" s="175">
        <v>215</v>
      </c>
      <c r="B218" s="424" t="s">
        <v>171</v>
      </c>
      <c r="C218" s="359">
        <v>38968</v>
      </c>
      <c r="D218" s="379" t="s">
        <v>453</v>
      </c>
      <c r="E218" s="362" t="s">
        <v>322</v>
      </c>
      <c r="F218" s="361">
        <v>58</v>
      </c>
      <c r="G218" s="361">
        <v>3</v>
      </c>
      <c r="H218" s="361">
        <v>17</v>
      </c>
      <c r="I218" s="331">
        <v>1728</v>
      </c>
      <c r="J218" s="332">
        <v>313</v>
      </c>
      <c r="K218" s="356">
        <f t="shared" si="29"/>
        <v>104.33333333333333</v>
      </c>
      <c r="L218" s="344">
        <f t="shared" si="30"/>
        <v>5.520766773162939</v>
      </c>
      <c r="M218" s="342">
        <f>195080.5+67383.5+41772+34265+20273+12922+1784+1609+1908+1968+3688+604+1127+3983+231+4381+1728</f>
        <v>394707</v>
      </c>
      <c r="N218" s="343">
        <f>24293+8594+5468+5945+3808+2422+380+343+419+477+859+124+259+760+35+801+313</f>
        <v>55300</v>
      </c>
      <c r="O218" s="419">
        <f t="shared" si="31"/>
        <v>7.13755877034358</v>
      </c>
    </row>
    <row r="219" spans="1:15" ht="15">
      <c r="A219" s="175">
        <v>216</v>
      </c>
      <c r="B219" s="421" t="s">
        <v>171</v>
      </c>
      <c r="C219" s="359">
        <v>38968</v>
      </c>
      <c r="D219" s="339" t="s">
        <v>453</v>
      </c>
      <c r="E219" s="339" t="s">
        <v>322</v>
      </c>
      <c r="F219" s="333">
        <v>58</v>
      </c>
      <c r="G219" s="333">
        <v>3</v>
      </c>
      <c r="H219" s="333">
        <v>18</v>
      </c>
      <c r="I219" s="331">
        <v>1727</v>
      </c>
      <c r="J219" s="332">
        <v>487</v>
      </c>
      <c r="K219" s="356">
        <f t="shared" si="29"/>
        <v>162.33333333333334</v>
      </c>
      <c r="L219" s="344">
        <f t="shared" si="30"/>
        <v>3.546201232032854</v>
      </c>
      <c r="M219" s="342">
        <f>195080.5+67383.5+41772+34265+20273+12922+1784+1609+1908+1968+3688+604+1127+3983+231+4381+1728+1727</f>
        <v>396434</v>
      </c>
      <c r="N219" s="343">
        <f>24293+8594+5468+5945+3808+2422+380+343+419+477+859+124+259+760+35+801+313+487</f>
        <v>55787</v>
      </c>
      <c r="O219" s="419">
        <f t="shared" si="31"/>
        <v>7.106207539390898</v>
      </c>
    </row>
    <row r="220" spans="1:15" ht="15">
      <c r="A220" s="175">
        <v>217</v>
      </c>
      <c r="B220" s="424" t="s">
        <v>171</v>
      </c>
      <c r="C220" s="359">
        <v>38968</v>
      </c>
      <c r="D220" s="379" t="s">
        <v>453</v>
      </c>
      <c r="E220" s="362" t="s">
        <v>322</v>
      </c>
      <c r="F220" s="361">
        <v>58</v>
      </c>
      <c r="G220" s="361">
        <v>2</v>
      </c>
      <c r="H220" s="361">
        <v>19</v>
      </c>
      <c r="I220" s="331">
        <v>1662</v>
      </c>
      <c r="J220" s="332">
        <v>474</v>
      </c>
      <c r="K220" s="356">
        <f t="shared" si="29"/>
        <v>237</v>
      </c>
      <c r="L220" s="344">
        <f t="shared" si="30"/>
        <v>3.5063291139240507</v>
      </c>
      <c r="M220" s="342">
        <f>195080.5+67383.5+41772+34265+20273+12922+1784+1609+1908+1968+3688+604+1127+3983+231+4381+1728+1727+1662</f>
        <v>398096</v>
      </c>
      <c r="N220" s="343">
        <f>24293+8594+5468+5945+3808+2422+380+343+419+477+859+124+259+760+35+801+313+487+474</f>
        <v>56261</v>
      </c>
      <c r="O220" s="419">
        <f t="shared" si="31"/>
        <v>7.075878494872114</v>
      </c>
    </row>
    <row r="221" spans="1:15" ht="15">
      <c r="A221" s="175">
        <v>218</v>
      </c>
      <c r="B221" s="415" t="s">
        <v>84</v>
      </c>
      <c r="C221" s="338">
        <v>38968</v>
      </c>
      <c r="D221" s="345" t="s">
        <v>455</v>
      </c>
      <c r="E221" s="345" t="s">
        <v>456</v>
      </c>
      <c r="F221" s="346">
        <v>40</v>
      </c>
      <c r="G221" s="346">
        <v>2</v>
      </c>
      <c r="H221" s="346">
        <v>14</v>
      </c>
      <c r="I221" s="335">
        <v>1209</v>
      </c>
      <c r="J221" s="336">
        <v>300</v>
      </c>
      <c r="K221" s="348">
        <f t="shared" si="29"/>
        <v>150</v>
      </c>
      <c r="L221" s="353">
        <f t="shared" si="30"/>
        <v>4.03</v>
      </c>
      <c r="M221" s="347">
        <f>226818.5+158792+76218+22580+24396.5+21459.5+3022+85+536+2376+1255+1098+1209</f>
        <v>539845.5</v>
      </c>
      <c r="N221" s="348">
        <f>27238+18865+9176+3401+4846+3890+609+10+99+594+295+216+300</f>
        <v>69539</v>
      </c>
      <c r="O221" s="419">
        <f t="shared" si="31"/>
        <v>7.763204820316657</v>
      </c>
    </row>
    <row r="222" spans="1:15" ht="15">
      <c r="A222" s="175">
        <v>219</v>
      </c>
      <c r="B222" s="422" t="s">
        <v>255</v>
      </c>
      <c r="C222" s="359">
        <v>38968</v>
      </c>
      <c r="D222" s="380" t="s">
        <v>447</v>
      </c>
      <c r="E222" s="380" t="s">
        <v>465</v>
      </c>
      <c r="F222" s="368">
        <v>56</v>
      </c>
      <c r="G222" s="368">
        <v>1</v>
      </c>
      <c r="H222" s="368">
        <v>12</v>
      </c>
      <c r="I222" s="363">
        <v>996</v>
      </c>
      <c r="J222" s="364">
        <v>166</v>
      </c>
      <c r="K222" s="356">
        <f t="shared" si="29"/>
        <v>166</v>
      </c>
      <c r="L222" s="344">
        <f t="shared" si="30"/>
        <v>6</v>
      </c>
      <c r="M222" s="365">
        <f>563189+0</f>
        <v>563189</v>
      </c>
      <c r="N222" s="348">
        <v>80569</v>
      </c>
      <c r="O222" s="416">
        <f>IF(M222&lt;&gt;0,M222/N222,"")</f>
        <v>6.990145093025854</v>
      </c>
    </row>
    <row r="223" spans="1:15" ht="15">
      <c r="A223" s="175">
        <v>220</v>
      </c>
      <c r="B223" s="421" t="s">
        <v>255</v>
      </c>
      <c r="C223" s="359">
        <v>38968</v>
      </c>
      <c r="D223" s="339" t="s">
        <v>447</v>
      </c>
      <c r="E223" s="339" t="s">
        <v>465</v>
      </c>
      <c r="F223" s="333">
        <v>56</v>
      </c>
      <c r="G223" s="333">
        <v>1</v>
      </c>
      <c r="H223" s="333">
        <v>17</v>
      </c>
      <c r="I223" s="363">
        <v>360</v>
      </c>
      <c r="J223" s="364">
        <v>53</v>
      </c>
      <c r="K223" s="340">
        <f>IF(I223&lt;&gt;0,J223/G223,"")</f>
        <v>53</v>
      </c>
      <c r="L223" s="341">
        <f>IF(I223&lt;&gt;0,I223/J223,"")</f>
        <v>6.7924528301886795</v>
      </c>
      <c r="M223" s="365">
        <f>564418+0+308+352+360</f>
        <v>565438</v>
      </c>
      <c r="N223" s="348">
        <f>80899+46+52+53</f>
        <v>81050</v>
      </c>
      <c r="O223" s="423">
        <f>M223/N223</f>
        <v>6.976409623689081</v>
      </c>
    </row>
    <row r="224" spans="1:15" ht="15">
      <c r="A224" s="175">
        <v>221</v>
      </c>
      <c r="B224" s="421" t="s">
        <v>255</v>
      </c>
      <c r="C224" s="359">
        <v>38968</v>
      </c>
      <c r="D224" s="339" t="s">
        <v>447</v>
      </c>
      <c r="E224" s="339" t="s">
        <v>465</v>
      </c>
      <c r="F224" s="333">
        <v>56</v>
      </c>
      <c r="G224" s="333">
        <v>1</v>
      </c>
      <c r="H224" s="333">
        <v>16</v>
      </c>
      <c r="I224" s="363">
        <v>352</v>
      </c>
      <c r="J224" s="364">
        <v>52</v>
      </c>
      <c r="K224" s="340">
        <f>IF(I224&lt;&gt;0,J224/G224,"")</f>
        <v>52</v>
      </c>
      <c r="L224" s="341">
        <f>IF(I224&lt;&gt;0,I224/J224,"")</f>
        <v>6.769230769230769</v>
      </c>
      <c r="M224" s="365">
        <f>564418+0+308+352</f>
        <v>565078</v>
      </c>
      <c r="N224" s="348">
        <f>80899+46+52</f>
        <v>80997</v>
      </c>
      <c r="O224" s="416">
        <f>IF(M224&lt;&gt;0,M224/N224,"")</f>
        <v>6.976529994938084</v>
      </c>
    </row>
    <row r="225" spans="1:15" ht="15">
      <c r="A225" s="175">
        <v>222</v>
      </c>
      <c r="B225" s="424" t="s">
        <v>255</v>
      </c>
      <c r="C225" s="359">
        <v>38968</v>
      </c>
      <c r="D225" s="362" t="s">
        <v>447</v>
      </c>
      <c r="E225" s="362" t="s">
        <v>465</v>
      </c>
      <c r="F225" s="361">
        <v>56</v>
      </c>
      <c r="G225" s="361">
        <v>1</v>
      </c>
      <c r="H225" s="361">
        <v>15</v>
      </c>
      <c r="I225" s="363">
        <v>308</v>
      </c>
      <c r="J225" s="364">
        <v>46</v>
      </c>
      <c r="K225" s="356">
        <f>J225/G225</f>
        <v>46</v>
      </c>
      <c r="L225" s="344">
        <f>I225/J225</f>
        <v>6.695652173913044</v>
      </c>
      <c r="M225" s="365">
        <f>564418+0+308</f>
        <v>564726</v>
      </c>
      <c r="N225" s="348">
        <f>80899+46</f>
        <v>80945</v>
      </c>
      <c r="O225" s="416">
        <f>IF(M225&lt;&gt;0,M225/N225,"")</f>
        <v>6.97666316634752</v>
      </c>
    </row>
    <row r="226" spans="1:15" ht="15">
      <c r="A226" s="175">
        <v>223</v>
      </c>
      <c r="B226" s="424" t="s">
        <v>255</v>
      </c>
      <c r="C226" s="359">
        <v>38968</v>
      </c>
      <c r="D226" s="362" t="s">
        <v>447</v>
      </c>
      <c r="E226" s="362" t="s">
        <v>465</v>
      </c>
      <c r="F226" s="361">
        <v>56</v>
      </c>
      <c r="G226" s="361">
        <v>1</v>
      </c>
      <c r="H226" s="361">
        <v>14</v>
      </c>
      <c r="I226" s="363">
        <v>262</v>
      </c>
      <c r="J226" s="364">
        <v>40</v>
      </c>
      <c r="K226" s="340">
        <f>IF(I226&lt;&gt;0,J226/G226,"")</f>
        <v>40</v>
      </c>
      <c r="L226" s="341">
        <f>IF(I226&lt;&gt;0,I226/J226,"")</f>
        <v>6.55</v>
      </c>
      <c r="M226" s="365">
        <f>564418+0</f>
        <v>564418</v>
      </c>
      <c r="N226" s="348">
        <f>80889+0</f>
        <v>80889</v>
      </c>
      <c r="O226" s="416">
        <f>IF(M226&lt;&gt;0,M226/N226,"")</f>
        <v>6.977685470212267</v>
      </c>
    </row>
    <row r="227" spans="1:15" ht="15">
      <c r="A227" s="175">
        <v>224</v>
      </c>
      <c r="B227" s="424" t="s">
        <v>255</v>
      </c>
      <c r="C227" s="359">
        <v>38968</v>
      </c>
      <c r="D227" s="362" t="s">
        <v>447</v>
      </c>
      <c r="E227" s="362" t="s">
        <v>465</v>
      </c>
      <c r="F227" s="361">
        <v>56</v>
      </c>
      <c r="G227" s="361">
        <v>1</v>
      </c>
      <c r="H227" s="361">
        <v>19</v>
      </c>
      <c r="I227" s="363">
        <v>245</v>
      </c>
      <c r="J227" s="364">
        <v>37</v>
      </c>
      <c r="K227" s="340">
        <f>IF(I227&lt;&gt;0,J227/G227,"")</f>
        <v>37</v>
      </c>
      <c r="L227" s="341">
        <f>IF(I227&lt;&gt;0,I227/J227,"")</f>
        <v>6.621621621621622</v>
      </c>
      <c r="M227" s="365">
        <f>564418+0+308+352+360+147+245</f>
        <v>565830</v>
      </c>
      <c r="N227" s="348">
        <f>80899+46+52+53+21+37</f>
        <v>81108</v>
      </c>
      <c r="O227" s="416">
        <f>IF(M227&lt;&gt;0,M227/N227,"")</f>
        <v>6.9762538837106085</v>
      </c>
    </row>
    <row r="228" spans="1:15" ht="15">
      <c r="A228" s="175">
        <v>225</v>
      </c>
      <c r="B228" s="424" t="s">
        <v>255</v>
      </c>
      <c r="C228" s="359">
        <v>38968</v>
      </c>
      <c r="D228" s="362" t="s">
        <v>447</v>
      </c>
      <c r="E228" s="362" t="s">
        <v>465</v>
      </c>
      <c r="F228" s="361">
        <v>56</v>
      </c>
      <c r="G228" s="361">
        <v>1</v>
      </c>
      <c r="H228" s="361">
        <v>18</v>
      </c>
      <c r="I228" s="363">
        <v>147</v>
      </c>
      <c r="J228" s="364">
        <v>21</v>
      </c>
      <c r="K228" s="356">
        <f>J228/G228</f>
        <v>21</v>
      </c>
      <c r="L228" s="344">
        <f>I228/J228</f>
        <v>7</v>
      </c>
      <c r="M228" s="365">
        <f>564418+0+308+352+360+147</f>
        <v>565585</v>
      </c>
      <c r="N228" s="348">
        <f>80899+46+52+53+21</f>
        <v>81071</v>
      </c>
      <c r="O228" s="416">
        <f>IF(M228&lt;&gt;0,M228/N228,"")</f>
        <v>6.976415734356305</v>
      </c>
    </row>
    <row r="229" spans="1:15" ht="15">
      <c r="A229" s="175">
        <v>226</v>
      </c>
      <c r="B229" s="415" t="s">
        <v>144</v>
      </c>
      <c r="C229" s="338">
        <v>38975</v>
      </c>
      <c r="D229" s="345" t="s">
        <v>454</v>
      </c>
      <c r="E229" s="345" t="s">
        <v>457</v>
      </c>
      <c r="F229" s="346">
        <v>125</v>
      </c>
      <c r="G229" s="346">
        <v>15</v>
      </c>
      <c r="H229" s="346">
        <v>20</v>
      </c>
      <c r="I229" s="335">
        <v>7149</v>
      </c>
      <c r="J229" s="336">
        <v>1229</v>
      </c>
      <c r="K229" s="356">
        <f>J229/G229</f>
        <v>81.93333333333334</v>
      </c>
      <c r="L229" s="344">
        <f>I229/J229</f>
        <v>5.816924328722538</v>
      </c>
      <c r="M229" s="347">
        <v>2369263</v>
      </c>
      <c r="N229" s="348">
        <v>327159</v>
      </c>
      <c r="O229" s="419">
        <f>+M229/N229</f>
        <v>7.24193129334666</v>
      </c>
    </row>
    <row r="230" spans="1:15" ht="15">
      <c r="A230" s="175">
        <v>227</v>
      </c>
      <c r="B230" s="415" t="s">
        <v>144</v>
      </c>
      <c r="C230" s="338">
        <v>38975</v>
      </c>
      <c r="D230" s="345" t="s">
        <v>454</v>
      </c>
      <c r="E230" s="345" t="s">
        <v>457</v>
      </c>
      <c r="F230" s="346">
        <v>125</v>
      </c>
      <c r="G230" s="346">
        <v>3</v>
      </c>
      <c r="H230" s="346">
        <v>21</v>
      </c>
      <c r="I230" s="335">
        <v>2635</v>
      </c>
      <c r="J230" s="336">
        <v>667</v>
      </c>
      <c r="K230" s="356">
        <f>J230/G230</f>
        <v>222.33333333333334</v>
      </c>
      <c r="L230" s="344">
        <f>I230/J230</f>
        <v>3.9505247376311843</v>
      </c>
      <c r="M230" s="347">
        <v>2371898</v>
      </c>
      <c r="N230" s="348">
        <v>327826</v>
      </c>
      <c r="O230" s="419">
        <f>+M230/N230</f>
        <v>7.235234545155052</v>
      </c>
    </row>
    <row r="231" spans="1:15" ht="15">
      <c r="A231" s="175">
        <v>228</v>
      </c>
      <c r="B231" s="415" t="s">
        <v>144</v>
      </c>
      <c r="C231" s="338">
        <v>38975</v>
      </c>
      <c r="D231" s="345" t="s">
        <v>454</v>
      </c>
      <c r="E231" s="345" t="s">
        <v>457</v>
      </c>
      <c r="F231" s="346">
        <v>125</v>
      </c>
      <c r="G231" s="346">
        <v>6</v>
      </c>
      <c r="H231" s="346">
        <v>16</v>
      </c>
      <c r="I231" s="335">
        <v>2120</v>
      </c>
      <c r="J231" s="336">
        <v>369</v>
      </c>
      <c r="K231" s="340">
        <f>IF(I231&lt;&gt;0,J231/G231,"")</f>
        <v>61.5</v>
      </c>
      <c r="L231" s="341">
        <f>IF(I231&lt;&gt;0,I231/J231,"")</f>
        <v>5.745257452574526</v>
      </c>
      <c r="M231" s="347">
        <v>2360696</v>
      </c>
      <c r="N231" s="348">
        <v>325682</v>
      </c>
      <c r="O231" s="416">
        <f>IF(M231&lt;&gt;0,M231/N231,"")</f>
        <v>7.248469365823103</v>
      </c>
    </row>
    <row r="232" spans="1:15" ht="15">
      <c r="A232" s="175">
        <v>229</v>
      </c>
      <c r="B232" s="415" t="s">
        <v>144</v>
      </c>
      <c r="C232" s="338">
        <v>38975</v>
      </c>
      <c r="D232" s="345" t="s">
        <v>454</v>
      </c>
      <c r="E232" s="345" t="s">
        <v>457</v>
      </c>
      <c r="F232" s="346">
        <v>125</v>
      </c>
      <c r="G232" s="346">
        <v>4</v>
      </c>
      <c r="H232" s="346">
        <v>22</v>
      </c>
      <c r="I232" s="335">
        <v>2115</v>
      </c>
      <c r="J232" s="336">
        <v>582</v>
      </c>
      <c r="K232" s="350">
        <f>J232/G232</f>
        <v>145.5</v>
      </c>
      <c r="L232" s="351">
        <f>I232/J232</f>
        <v>3.634020618556701</v>
      </c>
      <c r="M232" s="347">
        <v>2374013</v>
      </c>
      <c r="N232" s="348">
        <v>328408</v>
      </c>
      <c r="O232" s="419">
        <f>+M232/N232</f>
        <v>7.228852524908041</v>
      </c>
    </row>
    <row r="233" spans="1:15" ht="15">
      <c r="A233" s="175">
        <v>230</v>
      </c>
      <c r="B233" s="417" t="s">
        <v>144</v>
      </c>
      <c r="C233" s="338">
        <v>38975</v>
      </c>
      <c r="D233" s="337" t="s">
        <v>454</v>
      </c>
      <c r="E233" s="337" t="s">
        <v>457</v>
      </c>
      <c r="F233" s="334">
        <v>125</v>
      </c>
      <c r="G233" s="334">
        <v>6</v>
      </c>
      <c r="H233" s="334">
        <v>17</v>
      </c>
      <c r="I233" s="335">
        <v>887</v>
      </c>
      <c r="J233" s="336">
        <v>160</v>
      </c>
      <c r="K233" s="340">
        <f>IF(I233&lt;&gt;0,J233/G233,"")</f>
        <v>26.666666666666668</v>
      </c>
      <c r="L233" s="341">
        <f>IF(I233&lt;&gt;0,I233/J233,"")</f>
        <v>5.54375</v>
      </c>
      <c r="M233" s="347">
        <v>2361583</v>
      </c>
      <c r="N233" s="348">
        <v>325842</v>
      </c>
      <c r="O233" s="420">
        <f>M233/N233</f>
        <v>7.247632288041443</v>
      </c>
    </row>
    <row r="234" spans="1:15" ht="15">
      <c r="A234" s="175">
        <v>231</v>
      </c>
      <c r="B234" s="415" t="s">
        <v>144</v>
      </c>
      <c r="C234" s="338">
        <v>38975</v>
      </c>
      <c r="D234" s="345" t="s">
        <v>454</v>
      </c>
      <c r="E234" s="345" t="s">
        <v>457</v>
      </c>
      <c r="F234" s="346">
        <v>125</v>
      </c>
      <c r="G234" s="346">
        <v>3</v>
      </c>
      <c r="H234" s="346">
        <v>18</v>
      </c>
      <c r="I234" s="335">
        <v>284</v>
      </c>
      <c r="J234" s="336">
        <v>47</v>
      </c>
      <c r="K234" s="340">
        <f>+J234/G234</f>
        <v>15.666666666666666</v>
      </c>
      <c r="L234" s="344">
        <f>I234/J234</f>
        <v>6.042553191489362</v>
      </c>
      <c r="M234" s="347">
        <v>2361867</v>
      </c>
      <c r="N234" s="348">
        <v>325889</v>
      </c>
      <c r="O234" s="419">
        <f>+M234/N234</f>
        <v>7.247458490467613</v>
      </c>
    </row>
    <row r="235" spans="1:15" ht="15">
      <c r="A235" s="175">
        <v>232</v>
      </c>
      <c r="B235" s="415" t="s">
        <v>144</v>
      </c>
      <c r="C235" s="338">
        <v>38975</v>
      </c>
      <c r="D235" s="345" t="s">
        <v>454</v>
      </c>
      <c r="E235" s="345" t="s">
        <v>457</v>
      </c>
      <c r="F235" s="346">
        <v>125</v>
      </c>
      <c r="G235" s="346">
        <v>3</v>
      </c>
      <c r="H235" s="346">
        <v>19</v>
      </c>
      <c r="I235" s="335">
        <v>247</v>
      </c>
      <c r="J235" s="336">
        <v>41</v>
      </c>
      <c r="K235" s="340">
        <f>IF(I235&lt;&gt;0,J235/G235,"")</f>
        <v>13.666666666666666</v>
      </c>
      <c r="L235" s="341">
        <f>IF(I235&lt;&gt;0,I235/J235,"")</f>
        <v>6.024390243902439</v>
      </c>
      <c r="M235" s="347">
        <v>2362114</v>
      </c>
      <c r="N235" s="348">
        <v>325930</v>
      </c>
      <c r="O235" s="419">
        <f>+M235/N235</f>
        <v>7.2473046359647775</v>
      </c>
    </row>
    <row r="236" spans="1:15" ht="15">
      <c r="A236" s="175">
        <v>233</v>
      </c>
      <c r="B236" s="415" t="s">
        <v>144</v>
      </c>
      <c r="C236" s="338">
        <v>38975</v>
      </c>
      <c r="D236" s="345" t="s">
        <v>454</v>
      </c>
      <c r="E236" s="345" t="s">
        <v>457</v>
      </c>
      <c r="F236" s="346">
        <v>125</v>
      </c>
      <c r="G236" s="346">
        <v>1</v>
      </c>
      <c r="H236" s="346">
        <v>50</v>
      </c>
      <c r="I236" s="335">
        <v>63</v>
      </c>
      <c r="J236" s="336">
        <v>9</v>
      </c>
      <c r="K236" s="340">
        <f>+J236/G236</f>
        <v>9</v>
      </c>
      <c r="L236" s="341">
        <f>+I236/J236</f>
        <v>7</v>
      </c>
      <c r="M236" s="347">
        <v>2375953</v>
      </c>
      <c r="N236" s="348">
        <v>328779</v>
      </c>
      <c r="O236" s="419">
        <f>+M236/N236</f>
        <v>7.226595980886857</v>
      </c>
    </row>
    <row r="237" spans="1:15" ht="15">
      <c r="A237" s="175">
        <v>234</v>
      </c>
      <c r="B237" s="415" t="s">
        <v>144</v>
      </c>
      <c r="C237" s="338">
        <v>38975</v>
      </c>
      <c r="D237" s="345" t="s">
        <v>454</v>
      </c>
      <c r="E237" s="345" t="s">
        <v>457</v>
      </c>
      <c r="F237" s="346">
        <v>125</v>
      </c>
      <c r="G237" s="346">
        <v>1</v>
      </c>
      <c r="H237" s="346">
        <v>52</v>
      </c>
      <c r="I237" s="335">
        <v>63</v>
      </c>
      <c r="J237" s="336">
        <v>9</v>
      </c>
      <c r="K237" s="348">
        <f>J237/G237</f>
        <v>9</v>
      </c>
      <c r="L237" s="353">
        <f aca="true" t="shared" si="32" ref="L237:L247">I237/J237</f>
        <v>7</v>
      </c>
      <c r="M237" s="347">
        <v>2376072</v>
      </c>
      <c r="N237" s="348">
        <v>328796</v>
      </c>
      <c r="O237" s="420">
        <f>M237/N237</f>
        <v>7.226584265015389</v>
      </c>
    </row>
    <row r="238" spans="1:15" ht="15">
      <c r="A238" s="175">
        <v>235</v>
      </c>
      <c r="B238" s="415" t="s">
        <v>144</v>
      </c>
      <c r="C238" s="338">
        <v>38975</v>
      </c>
      <c r="D238" s="345" t="s">
        <v>454</v>
      </c>
      <c r="E238" s="345" t="s">
        <v>457</v>
      </c>
      <c r="F238" s="346">
        <v>125</v>
      </c>
      <c r="G238" s="346">
        <v>1</v>
      </c>
      <c r="H238" s="346">
        <v>23</v>
      </c>
      <c r="I238" s="335">
        <v>56</v>
      </c>
      <c r="J238" s="336">
        <v>8</v>
      </c>
      <c r="K238" s="350">
        <f>J238/G238</f>
        <v>8</v>
      </c>
      <c r="L238" s="351">
        <f t="shared" si="32"/>
        <v>7</v>
      </c>
      <c r="M238" s="347">
        <v>2376009</v>
      </c>
      <c r="N238" s="348">
        <v>328787</v>
      </c>
      <c r="O238" s="420">
        <f>M238/N238</f>
        <v>7.22659046738466</v>
      </c>
    </row>
    <row r="239" spans="1:15" ht="15">
      <c r="A239" s="175">
        <v>236</v>
      </c>
      <c r="B239" s="415" t="s">
        <v>144</v>
      </c>
      <c r="C239" s="338">
        <v>38975</v>
      </c>
      <c r="D239" s="345" t="s">
        <v>454</v>
      </c>
      <c r="E239" s="345" t="s">
        <v>457</v>
      </c>
      <c r="F239" s="346">
        <v>125</v>
      </c>
      <c r="G239" s="346">
        <v>1</v>
      </c>
      <c r="H239" s="346">
        <v>52</v>
      </c>
      <c r="I239" s="335">
        <v>42</v>
      </c>
      <c r="J239" s="336">
        <v>6</v>
      </c>
      <c r="K239" s="356">
        <f>J239/G239</f>
        <v>6</v>
      </c>
      <c r="L239" s="344">
        <f t="shared" si="32"/>
        <v>7</v>
      </c>
      <c r="M239" s="347">
        <v>2376114</v>
      </c>
      <c r="N239" s="348">
        <v>328802</v>
      </c>
      <c r="O239" s="419">
        <f>+M239/N239</f>
        <v>7.226580130291178</v>
      </c>
    </row>
    <row r="240" spans="1:15" ht="15">
      <c r="A240" s="175">
        <v>237</v>
      </c>
      <c r="B240" s="415" t="s">
        <v>349</v>
      </c>
      <c r="C240" s="338">
        <v>38982</v>
      </c>
      <c r="D240" s="345" t="s">
        <v>525</v>
      </c>
      <c r="E240" s="345" t="s">
        <v>525</v>
      </c>
      <c r="F240" s="346">
        <v>12</v>
      </c>
      <c r="G240" s="346">
        <v>1</v>
      </c>
      <c r="H240" s="346">
        <v>13</v>
      </c>
      <c r="I240" s="335">
        <v>405</v>
      </c>
      <c r="J240" s="336">
        <v>81</v>
      </c>
      <c r="K240" s="348">
        <f>J240/G240</f>
        <v>81</v>
      </c>
      <c r="L240" s="353">
        <f t="shared" si="32"/>
        <v>5</v>
      </c>
      <c r="M240" s="347">
        <f>55507.5+39850.5+10884+7822+204+285+266+581+108+215+221+50+405</f>
        <v>116399</v>
      </c>
      <c r="N240" s="348">
        <f>5804+3888+1337+1200+40+56+51+107+21+43+60+10+81</f>
        <v>12698</v>
      </c>
      <c r="O240" s="420">
        <f>M240/N240</f>
        <v>9.166719168372973</v>
      </c>
    </row>
    <row r="241" spans="1:15" ht="15">
      <c r="A241" s="175">
        <v>238</v>
      </c>
      <c r="B241" s="417" t="s">
        <v>349</v>
      </c>
      <c r="C241" s="338">
        <v>38982</v>
      </c>
      <c r="D241" s="345" t="s">
        <v>525</v>
      </c>
      <c r="E241" s="345" t="s">
        <v>525</v>
      </c>
      <c r="F241" s="334">
        <v>12</v>
      </c>
      <c r="G241" s="334">
        <v>1</v>
      </c>
      <c r="H241" s="334">
        <v>12</v>
      </c>
      <c r="I241" s="335">
        <v>221</v>
      </c>
      <c r="J241" s="336">
        <v>60</v>
      </c>
      <c r="K241" s="356">
        <f>J241/H241</f>
        <v>5</v>
      </c>
      <c r="L241" s="344">
        <f t="shared" si="32"/>
        <v>3.683333333333333</v>
      </c>
      <c r="M241" s="347">
        <f>55507.5+39850.5+10884+7822+204+285+266+581+108+215+221+50</f>
        <v>115994</v>
      </c>
      <c r="N241" s="348">
        <f>5804+3888+1337+1200+40+56+51+107+21+43+60+10</f>
        <v>12617</v>
      </c>
      <c r="O241" s="419">
        <f>+M241/N241</f>
        <v>9.193469128953</v>
      </c>
    </row>
    <row r="242" spans="1:15" ht="15">
      <c r="A242" s="175">
        <v>239</v>
      </c>
      <c r="B242" s="424" t="s">
        <v>177</v>
      </c>
      <c r="C242" s="359">
        <v>38982</v>
      </c>
      <c r="D242" s="379" t="s">
        <v>453</v>
      </c>
      <c r="E242" s="362" t="s">
        <v>458</v>
      </c>
      <c r="F242" s="361">
        <v>76</v>
      </c>
      <c r="G242" s="361">
        <v>1</v>
      </c>
      <c r="H242" s="361">
        <v>12</v>
      </c>
      <c r="I242" s="331">
        <v>880</v>
      </c>
      <c r="J242" s="332">
        <v>165</v>
      </c>
      <c r="K242" s="356">
        <f aca="true" t="shared" si="33" ref="K242:K247">J242/G242</f>
        <v>165</v>
      </c>
      <c r="L242" s="344">
        <f t="shared" si="32"/>
        <v>5.333333333333333</v>
      </c>
      <c r="M242" s="342">
        <f>679462.5+497450+349816.5+242953+16589+14009+10974+5368+320+596+1955+880</f>
        <v>1820373</v>
      </c>
      <c r="N242" s="343">
        <f>80488+59596+43676+30739+3788+3019+2298+1177+71+109+391+165</f>
        <v>225517</v>
      </c>
      <c r="O242" s="419">
        <f>+M242/N242</f>
        <v>8.071999006726765</v>
      </c>
    </row>
    <row r="243" spans="1:15" ht="15">
      <c r="A243" s="175">
        <v>240</v>
      </c>
      <c r="B243" s="424" t="s">
        <v>177</v>
      </c>
      <c r="C243" s="359">
        <v>38982</v>
      </c>
      <c r="D243" s="379" t="s">
        <v>453</v>
      </c>
      <c r="E243" s="362" t="s">
        <v>458</v>
      </c>
      <c r="F243" s="361">
        <v>76</v>
      </c>
      <c r="G243" s="361">
        <v>1</v>
      </c>
      <c r="H243" s="361">
        <v>13</v>
      </c>
      <c r="I243" s="331">
        <v>785</v>
      </c>
      <c r="J243" s="332">
        <v>151</v>
      </c>
      <c r="K243" s="356">
        <f t="shared" si="33"/>
        <v>151</v>
      </c>
      <c r="L243" s="344">
        <f t="shared" si="32"/>
        <v>5.198675496688741</v>
      </c>
      <c r="M243" s="342">
        <f>679462.5+497450+349816.5+242953+16589+14009+10974+5368+320+596+1955+880+785</f>
        <v>1821158</v>
      </c>
      <c r="N243" s="343">
        <f>80488+59596+43676+30739+3788+3019+2298+1177+71+109+391+165+151</f>
        <v>225668</v>
      </c>
      <c r="O243" s="419">
        <f>+M243/N243</f>
        <v>8.07007639541273</v>
      </c>
    </row>
    <row r="244" spans="1:15" ht="15">
      <c r="A244" s="175">
        <v>241</v>
      </c>
      <c r="B244" s="415" t="s">
        <v>179</v>
      </c>
      <c r="C244" s="338">
        <v>38982</v>
      </c>
      <c r="D244" s="381" t="s">
        <v>460</v>
      </c>
      <c r="E244" s="381" t="s">
        <v>278</v>
      </c>
      <c r="F244" s="375">
        <v>18</v>
      </c>
      <c r="G244" s="361">
        <v>1</v>
      </c>
      <c r="H244" s="361">
        <v>10</v>
      </c>
      <c r="I244" s="331">
        <v>680</v>
      </c>
      <c r="J244" s="332">
        <v>85</v>
      </c>
      <c r="K244" s="356">
        <f t="shared" si="33"/>
        <v>85</v>
      </c>
      <c r="L244" s="344">
        <f t="shared" si="32"/>
        <v>8</v>
      </c>
      <c r="M244" s="342">
        <v>91959</v>
      </c>
      <c r="N244" s="343">
        <v>9969</v>
      </c>
      <c r="O244" s="423">
        <f>M244/N244</f>
        <v>9.224495937405958</v>
      </c>
    </row>
    <row r="245" spans="1:15" ht="15">
      <c r="A245" s="175">
        <v>242</v>
      </c>
      <c r="B245" s="415" t="s">
        <v>179</v>
      </c>
      <c r="C245" s="374">
        <v>38982</v>
      </c>
      <c r="D245" s="345" t="s">
        <v>460</v>
      </c>
      <c r="E245" s="349" t="s">
        <v>576</v>
      </c>
      <c r="F245" s="346">
        <v>18</v>
      </c>
      <c r="G245" s="375">
        <v>1</v>
      </c>
      <c r="H245" s="375">
        <v>8</v>
      </c>
      <c r="I245" s="376">
        <v>156</v>
      </c>
      <c r="J245" s="377">
        <v>52</v>
      </c>
      <c r="K245" s="356">
        <f t="shared" si="33"/>
        <v>52</v>
      </c>
      <c r="L245" s="344">
        <f t="shared" si="32"/>
        <v>3</v>
      </c>
      <c r="M245" s="378">
        <v>90963</v>
      </c>
      <c r="N245" s="350">
        <v>9848</v>
      </c>
      <c r="O245" s="416">
        <f>IF(M245&lt;&gt;0,M245/N245,"")</f>
        <v>9.236697806661251</v>
      </c>
    </row>
    <row r="246" spans="1:15" ht="15">
      <c r="A246" s="175">
        <v>243</v>
      </c>
      <c r="B246" s="415" t="s">
        <v>334</v>
      </c>
      <c r="C246" s="338">
        <v>38982</v>
      </c>
      <c r="D246" s="349" t="s">
        <v>455</v>
      </c>
      <c r="E246" s="345" t="s">
        <v>632</v>
      </c>
      <c r="F246" s="346">
        <v>22</v>
      </c>
      <c r="G246" s="346">
        <v>1</v>
      </c>
      <c r="H246" s="346">
        <v>20</v>
      </c>
      <c r="I246" s="335">
        <v>2376</v>
      </c>
      <c r="J246" s="336">
        <v>594</v>
      </c>
      <c r="K246" s="348">
        <f t="shared" si="33"/>
        <v>594</v>
      </c>
      <c r="L246" s="353">
        <f t="shared" si="32"/>
        <v>4</v>
      </c>
      <c r="M246" s="347">
        <f>3328+88936+72443+39965+18882.5+6077.5+5686+14+3018.5+3786.5+1139+330+3589+2376+1782-5190.5+2376+1510.5+184+1901+2376+2376</f>
        <v>256886</v>
      </c>
      <c r="N246" s="348">
        <f>378+10550+8764+4872+2835+1083+1168+2+689+746+279+66+705+446+165+475+302+23+475+594+594</f>
        <v>35211</v>
      </c>
      <c r="O246" s="419">
        <f>+M246/N246</f>
        <v>7.2956178466956345</v>
      </c>
    </row>
    <row r="247" spans="1:15" ht="15">
      <c r="A247" s="175">
        <v>244</v>
      </c>
      <c r="B247" s="417" t="s">
        <v>334</v>
      </c>
      <c r="C247" s="338">
        <v>38982</v>
      </c>
      <c r="D247" s="337" t="s">
        <v>455</v>
      </c>
      <c r="E247" s="337" t="s">
        <v>335</v>
      </c>
      <c r="F247" s="333">
        <v>22</v>
      </c>
      <c r="G247" s="334">
        <v>1</v>
      </c>
      <c r="H247" s="334">
        <v>15</v>
      </c>
      <c r="I247" s="335">
        <v>2376</v>
      </c>
      <c r="J247" s="336">
        <v>475</v>
      </c>
      <c r="K247" s="356">
        <f t="shared" si="33"/>
        <v>475</v>
      </c>
      <c r="L247" s="344">
        <f t="shared" si="32"/>
        <v>5.002105263157895</v>
      </c>
      <c r="M247" s="347">
        <f>3328+88936+72443+39965+18882.5+6077.5+5686+14+3018.5+3786.5+1139+330+3589+2376+1782-5190.5+2376</f>
        <v>248538.5</v>
      </c>
      <c r="N247" s="348">
        <f>378+10550+8764+4872+2835+1083+1168+2+689+746+279+66+705+446+165+475</f>
        <v>33223</v>
      </c>
      <c r="O247" s="419">
        <f>+M247/N247</f>
        <v>7.480916834722933</v>
      </c>
    </row>
    <row r="248" spans="1:15" ht="15">
      <c r="A248" s="175">
        <v>245</v>
      </c>
      <c r="B248" s="415" t="s">
        <v>334</v>
      </c>
      <c r="C248" s="338">
        <v>38982</v>
      </c>
      <c r="D248" s="382" t="s">
        <v>455</v>
      </c>
      <c r="E248" s="345" t="s">
        <v>335</v>
      </c>
      <c r="F248" s="361">
        <v>22</v>
      </c>
      <c r="G248" s="346">
        <v>1</v>
      </c>
      <c r="H248" s="346">
        <v>19</v>
      </c>
      <c r="I248" s="335">
        <v>2376</v>
      </c>
      <c r="J248" s="336">
        <v>594</v>
      </c>
      <c r="K248" s="348">
        <v>594</v>
      </c>
      <c r="L248" s="353">
        <v>4</v>
      </c>
      <c r="M248" s="347">
        <v>254510</v>
      </c>
      <c r="N248" s="348">
        <v>34617</v>
      </c>
      <c r="O248" s="420">
        <v>7.352168009937314</v>
      </c>
    </row>
    <row r="249" spans="1:15" ht="15">
      <c r="A249" s="175">
        <v>246</v>
      </c>
      <c r="B249" s="417" t="s">
        <v>334</v>
      </c>
      <c r="C249" s="338">
        <v>38982</v>
      </c>
      <c r="D249" s="337" t="s">
        <v>455</v>
      </c>
      <c r="E249" s="337" t="s">
        <v>335</v>
      </c>
      <c r="F249" s="334">
        <v>22</v>
      </c>
      <c r="G249" s="334">
        <v>1</v>
      </c>
      <c r="H249" s="334">
        <v>14</v>
      </c>
      <c r="I249" s="335">
        <v>1782</v>
      </c>
      <c r="J249" s="336">
        <v>446</v>
      </c>
      <c r="K249" s="356">
        <f>J249/H249</f>
        <v>31.857142857142858</v>
      </c>
      <c r="L249" s="344">
        <f aca="true" t="shared" si="34" ref="L249:L254">I249/J249</f>
        <v>3.995515695067265</v>
      </c>
      <c r="M249" s="347">
        <f>3328+88936+72443+39965+18882.5+6077.5+5686+14+3018.5+3786.5+1139+330+3589+2376+1782-5190.5</f>
        <v>246162.5</v>
      </c>
      <c r="N249" s="348">
        <f>378+10550+8764+4872+2835+1083+1168+2+689+746+279+66+705+446+165</f>
        <v>32748</v>
      </c>
      <c r="O249" s="419">
        <f>+M249/N249</f>
        <v>7.516871259313546</v>
      </c>
    </row>
    <row r="250" spans="1:15" ht="15">
      <c r="A250" s="175">
        <v>247</v>
      </c>
      <c r="B250" s="415" t="s">
        <v>334</v>
      </c>
      <c r="C250" s="338">
        <v>38982</v>
      </c>
      <c r="D250" s="345" t="s">
        <v>455</v>
      </c>
      <c r="E250" s="345" t="s">
        <v>335</v>
      </c>
      <c r="F250" s="346">
        <v>22</v>
      </c>
      <c r="G250" s="346">
        <v>1</v>
      </c>
      <c r="H250" s="346">
        <v>16</v>
      </c>
      <c r="I250" s="335">
        <v>1510.5</v>
      </c>
      <c r="J250" s="336">
        <v>302</v>
      </c>
      <c r="K250" s="356">
        <f>J250/G250</f>
        <v>302</v>
      </c>
      <c r="L250" s="344">
        <f t="shared" si="34"/>
        <v>5.001655629139073</v>
      </c>
      <c r="M250" s="347">
        <f>3328+88936+72443+39965+18882.5+6077.5+5686+14+3018.5+3786.5+1139+330+3589+2376+1782-5190.5+2376+1510.5</f>
        <v>250049</v>
      </c>
      <c r="N250" s="348">
        <f>378+10550+8764+4872+2835+1083+1168+2+689+746+279+66+705+446+165+475+302</f>
        <v>33525</v>
      </c>
      <c r="O250" s="419">
        <f>+M250/N250</f>
        <v>7.458583146905294</v>
      </c>
    </row>
    <row r="251" spans="1:15" ht="15">
      <c r="A251" s="175">
        <v>248</v>
      </c>
      <c r="B251" s="415" t="s">
        <v>334</v>
      </c>
      <c r="C251" s="338">
        <v>38982</v>
      </c>
      <c r="D251" s="345" t="s">
        <v>455</v>
      </c>
      <c r="E251" s="345" t="s">
        <v>335</v>
      </c>
      <c r="F251" s="346">
        <v>22</v>
      </c>
      <c r="G251" s="346">
        <v>1</v>
      </c>
      <c r="H251" s="346">
        <v>11</v>
      </c>
      <c r="I251" s="335">
        <v>330</v>
      </c>
      <c r="J251" s="336">
        <v>66</v>
      </c>
      <c r="K251" s="348">
        <f>J251/G251</f>
        <v>66</v>
      </c>
      <c r="L251" s="353">
        <f t="shared" si="34"/>
        <v>5</v>
      </c>
      <c r="M251" s="347">
        <f>3328+88936+72443+39965+18882.5+6077.5+5686+14+3018.5+3786.5+1139+330+3589</f>
        <v>247195</v>
      </c>
      <c r="N251" s="348">
        <f>378+10550+8764+4872+2835+1083+1168+2+689+746+279+66+705</f>
        <v>32137</v>
      </c>
      <c r="O251" s="420">
        <f>M251/N251</f>
        <v>7.69191274854529</v>
      </c>
    </row>
    <row r="252" spans="1:15" ht="15">
      <c r="A252" s="175">
        <v>249</v>
      </c>
      <c r="B252" s="415" t="s">
        <v>334</v>
      </c>
      <c r="C252" s="338">
        <v>38982</v>
      </c>
      <c r="D252" s="345" t="s">
        <v>455</v>
      </c>
      <c r="E252" s="345" t="s">
        <v>335</v>
      </c>
      <c r="F252" s="346">
        <v>22</v>
      </c>
      <c r="G252" s="346">
        <v>3</v>
      </c>
      <c r="H252" s="346">
        <v>17</v>
      </c>
      <c r="I252" s="335">
        <v>184</v>
      </c>
      <c r="J252" s="336">
        <v>23</v>
      </c>
      <c r="K252" s="356">
        <f>J252/G252</f>
        <v>7.666666666666667</v>
      </c>
      <c r="L252" s="344">
        <f t="shared" si="34"/>
        <v>8</v>
      </c>
      <c r="M252" s="347">
        <f>3328+88936+72443+39965+18882.5+6077.5+5686+14+3018.5+3786.5+1139+330+3589+2376+1782-5190.5+2376+1510.5+184</f>
        <v>250233</v>
      </c>
      <c r="N252" s="348">
        <f>378+10550+8764+4872+2835+1083+1168+2+689+746+279+66+705+446+165+475+302+23</f>
        <v>33548</v>
      </c>
      <c r="O252" s="419">
        <f>+M252/N252</f>
        <v>7.45895433408847</v>
      </c>
    </row>
    <row r="253" spans="1:15" ht="15">
      <c r="A253" s="175">
        <v>250</v>
      </c>
      <c r="B253" s="418" t="s">
        <v>239</v>
      </c>
      <c r="C253" s="338">
        <v>38982</v>
      </c>
      <c r="D253" s="357" t="s">
        <v>277</v>
      </c>
      <c r="E253" s="352" t="s">
        <v>240</v>
      </c>
      <c r="F253" s="358">
        <v>10</v>
      </c>
      <c r="G253" s="358">
        <v>2</v>
      </c>
      <c r="H253" s="358">
        <v>10</v>
      </c>
      <c r="I253" s="335">
        <v>3560</v>
      </c>
      <c r="J253" s="336">
        <v>890</v>
      </c>
      <c r="K253" s="348">
        <f>J253/G253</f>
        <v>445</v>
      </c>
      <c r="L253" s="353">
        <f t="shared" si="34"/>
        <v>4</v>
      </c>
      <c r="M253" s="347">
        <f>6868.5+1740+645.5+549.5+648.5+1122+1995+63+1220+3560</f>
        <v>18412</v>
      </c>
      <c r="N253" s="348">
        <f>870+261+121+95+364+373+665+12+389+890</f>
        <v>4040</v>
      </c>
      <c r="O253" s="420">
        <f>M253/N253</f>
        <v>4.5574257425742575</v>
      </c>
    </row>
    <row r="254" spans="1:15" ht="15">
      <c r="A254" s="175">
        <v>251</v>
      </c>
      <c r="B254" s="418" t="s">
        <v>239</v>
      </c>
      <c r="C254" s="338">
        <v>38982</v>
      </c>
      <c r="D254" s="357" t="s">
        <v>277</v>
      </c>
      <c r="E254" s="352" t="s">
        <v>240</v>
      </c>
      <c r="F254" s="358">
        <v>10</v>
      </c>
      <c r="G254" s="358">
        <v>1</v>
      </c>
      <c r="H254" s="358">
        <v>11</v>
      </c>
      <c r="I254" s="335">
        <v>1780</v>
      </c>
      <c r="J254" s="336">
        <v>445</v>
      </c>
      <c r="K254" s="356">
        <f>J254/G254</f>
        <v>445</v>
      </c>
      <c r="L254" s="344">
        <f t="shared" si="34"/>
        <v>4</v>
      </c>
      <c r="M254" s="347">
        <f>6868.5+1740+645.5+549.5+648.5+1122+1995+63+1220+3560+1780</f>
        <v>20192</v>
      </c>
      <c r="N254" s="348">
        <f>870+261+121+95+364+373+665+12+389+890+445</f>
        <v>4485</v>
      </c>
      <c r="O254" s="419">
        <f>+M254/N254</f>
        <v>4.502118171683389</v>
      </c>
    </row>
    <row r="255" spans="1:15" ht="15">
      <c r="A255" s="175">
        <v>252</v>
      </c>
      <c r="B255" s="424" t="s">
        <v>687</v>
      </c>
      <c r="C255" s="359">
        <v>38989</v>
      </c>
      <c r="D255" s="379" t="s">
        <v>453</v>
      </c>
      <c r="E255" s="362" t="s">
        <v>347</v>
      </c>
      <c r="F255" s="361">
        <v>51</v>
      </c>
      <c r="G255" s="361">
        <v>4</v>
      </c>
      <c r="H255" s="361">
        <v>10</v>
      </c>
      <c r="I255" s="370">
        <v>10500</v>
      </c>
      <c r="J255" s="369">
        <v>3500</v>
      </c>
      <c r="K255" s="340">
        <f>IF(I255&lt;&gt;0,J255/G255,"")</f>
        <v>875</v>
      </c>
      <c r="L255" s="341">
        <f>IF(I255&lt;&gt;0,I255/J255,"")</f>
        <v>3</v>
      </c>
      <c r="M255" s="371">
        <v>183948</v>
      </c>
      <c r="N255" s="372">
        <v>26130</v>
      </c>
      <c r="O255" s="419">
        <f>+M255/N255</f>
        <v>7.039724454649828</v>
      </c>
    </row>
    <row r="256" spans="1:15" ht="15">
      <c r="A256" s="175">
        <v>253</v>
      </c>
      <c r="B256" s="417" t="s">
        <v>132</v>
      </c>
      <c r="C256" s="338">
        <v>38989</v>
      </c>
      <c r="D256" s="337" t="s">
        <v>455</v>
      </c>
      <c r="E256" s="337" t="s">
        <v>133</v>
      </c>
      <c r="F256" s="334">
        <v>27</v>
      </c>
      <c r="G256" s="334">
        <v>1</v>
      </c>
      <c r="H256" s="334">
        <v>12</v>
      </c>
      <c r="I256" s="335">
        <v>1782</v>
      </c>
      <c r="J256" s="336">
        <v>446</v>
      </c>
      <c r="K256" s="356">
        <f>J256/H256</f>
        <v>37.166666666666664</v>
      </c>
      <c r="L256" s="344">
        <f>I256/J256</f>
        <v>3.995515695067265</v>
      </c>
      <c r="M256" s="347">
        <f>71204+47862.5+39128.5+4732+3769.5+2451+3162.5+887+2047+127+1511+1782</f>
        <v>178664</v>
      </c>
      <c r="N256" s="348">
        <f>9130+6223+5269+696+613+502+543+188+378+26+303+446</f>
        <v>24317</v>
      </c>
      <c r="O256" s="419">
        <f>+M256/N256</f>
        <v>7.347287905580458</v>
      </c>
    </row>
    <row r="257" spans="1:15" ht="15">
      <c r="A257" s="175">
        <v>254</v>
      </c>
      <c r="B257" s="415" t="s">
        <v>132</v>
      </c>
      <c r="C257" s="338">
        <v>38989</v>
      </c>
      <c r="D257" s="345" t="s">
        <v>455</v>
      </c>
      <c r="E257" s="345" t="s">
        <v>133</v>
      </c>
      <c r="F257" s="346">
        <v>27</v>
      </c>
      <c r="G257" s="346">
        <v>1</v>
      </c>
      <c r="H257" s="346">
        <v>11</v>
      </c>
      <c r="I257" s="335">
        <v>1511</v>
      </c>
      <c r="J257" s="336">
        <v>303</v>
      </c>
      <c r="K257" s="356">
        <f>J257/G257</f>
        <v>303</v>
      </c>
      <c r="L257" s="344">
        <f>I257/J257</f>
        <v>4.986798679867987</v>
      </c>
      <c r="M257" s="347">
        <f>71204+47862.5+39128.5+4732+3769.5+2451+3162.5+887+2047+127+1511</f>
        <v>176882</v>
      </c>
      <c r="N257" s="348">
        <f>9130+6223+5269+696+613+502+543+188+378+26+303</f>
        <v>23871</v>
      </c>
      <c r="O257" s="419">
        <f>+M257/N257</f>
        <v>7.4099116082275565</v>
      </c>
    </row>
    <row r="258" spans="1:15" ht="15">
      <c r="A258" s="175">
        <v>255</v>
      </c>
      <c r="B258" s="415" t="s">
        <v>132</v>
      </c>
      <c r="C258" s="338">
        <v>38989</v>
      </c>
      <c r="D258" s="345" t="s">
        <v>455</v>
      </c>
      <c r="E258" s="345" t="s">
        <v>133</v>
      </c>
      <c r="F258" s="346">
        <v>27</v>
      </c>
      <c r="G258" s="346">
        <v>3</v>
      </c>
      <c r="H258" s="346">
        <v>13</v>
      </c>
      <c r="I258" s="335">
        <v>202</v>
      </c>
      <c r="J258" s="336">
        <v>23</v>
      </c>
      <c r="K258" s="350">
        <f>J258/G258</f>
        <v>7.666666666666667</v>
      </c>
      <c r="L258" s="351">
        <f>I258/J258</f>
        <v>8.782608695652174</v>
      </c>
      <c r="M258" s="347">
        <f>71204+47862.5+39128.5+4732+3769.5+2451+3162.5+887+2047+127+1511+1782+202</f>
        <v>178866</v>
      </c>
      <c r="N258" s="348">
        <f>9130+6223+5269+696+613+502+543+188+378+26+303+446+23</f>
        <v>24340</v>
      </c>
      <c r="O258" s="423">
        <f>M258/N258</f>
        <v>7.348644207066557</v>
      </c>
    </row>
    <row r="259" spans="1:15" ht="15">
      <c r="A259" s="175">
        <v>256</v>
      </c>
      <c r="B259" s="415" t="s">
        <v>257</v>
      </c>
      <c r="C259" s="338">
        <v>38989</v>
      </c>
      <c r="D259" s="345" t="s">
        <v>525</v>
      </c>
      <c r="E259" s="345" t="s">
        <v>525</v>
      </c>
      <c r="F259" s="346">
        <v>40</v>
      </c>
      <c r="G259" s="346">
        <v>1</v>
      </c>
      <c r="H259" s="346">
        <v>11</v>
      </c>
      <c r="I259" s="335">
        <v>1135</v>
      </c>
      <c r="J259" s="336">
        <v>216</v>
      </c>
      <c r="K259" s="350">
        <f>J259/G259</f>
        <v>216</v>
      </c>
      <c r="L259" s="351">
        <f>I259/J259</f>
        <v>5.25462962962963</v>
      </c>
      <c r="M259" s="347">
        <f>165996+109228+65029.5+4604.5+5145+4011+3133+1316+846+397+1135</f>
        <v>360841</v>
      </c>
      <c r="N259" s="348">
        <f>19746+13243+8058+957+1080+827+557+222+173+77+216</f>
        <v>45156</v>
      </c>
      <c r="O259" s="423">
        <f>M259/N259</f>
        <v>7.990986801311011</v>
      </c>
    </row>
    <row r="260" spans="1:15" ht="15">
      <c r="A260" s="175">
        <v>257</v>
      </c>
      <c r="B260" s="415" t="s">
        <v>257</v>
      </c>
      <c r="C260" s="338">
        <v>38989</v>
      </c>
      <c r="D260" s="345" t="s">
        <v>455</v>
      </c>
      <c r="E260" s="345" t="s">
        <v>525</v>
      </c>
      <c r="F260" s="346">
        <v>40</v>
      </c>
      <c r="G260" s="346">
        <v>1</v>
      </c>
      <c r="H260" s="346">
        <v>10</v>
      </c>
      <c r="I260" s="335">
        <v>397</v>
      </c>
      <c r="J260" s="336">
        <v>77</v>
      </c>
      <c r="K260" s="356">
        <f>J260/G260</f>
        <v>77</v>
      </c>
      <c r="L260" s="344">
        <f>I260/J260</f>
        <v>5.1558441558441555</v>
      </c>
      <c r="M260" s="347">
        <f>165996+109228+65029.5+4604.5+5145+4011+3133+1316+846+397</f>
        <v>359706</v>
      </c>
      <c r="N260" s="348">
        <f>19746+13243+8058+957+1080+827+557+222+173+77</f>
        <v>44940</v>
      </c>
      <c r="O260" s="419">
        <f>+M260/N260</f>
        <v>8.004138851802404</v>
      </c>
    </row>
    <row r="261" spans="1:15" ht="15">
      <c r="A261" s="175">
        <v>258</v>
      </c>
      <c r="B261" s="415" t="s">
        <v>257</v>
      </c>
      <c r="C261" s="338">
        <v>38989</v>
      </c>
      <c r="D261" s="345" t="s">
        <v>455</v>
      </c>
      <c r="E261" s="345" t="s">
        <v>258</v>
      </c>
      <c r="F261" s="373" t="s">
        <v>276</v>
      </c>
      <c r="G261" s="346">
        <v>2</v>
      </c>
      <c r="H261" s="346">
        <v>12</v>
      </c>
      <c r="I261" s="335">
        <v>308</v>
      </c>
      <c r="J261" s="336">
        <v>34</v>
      </c>
      <c r="K261" s="340">
        <f>+J261/G261</f>
        <v>17</v>
      </c>
      <c r="L261" s="341">
        <f>+I261/J261</f>
        <v>9.058823529411764</v>
      </c>
      <c r="M261" s="347">
        <f>165996+109228+65029.5+4604.5+5145+4011+3133+1316+846+397+1135+308</f>
        <v>361149</v>
      </c>
      <c r="N261" s="348">
        <f>19746+13243+8058+957+1080+827+557+222+173+77+216+34</f>
        <v>45190</v>
      </c>
      <c r="O261" s="419">
        <f>+M261/N261</f>
        <v>7.991790219075017</v>
      </c>
    </row>
    <row r="262" spans="1:15" ht="15">
      <c r="A262" s="175">
        <v>259</v>
      </c>
      <c r="B262" s="418" t="s">
        <v>688</v>
      </c>
      <c r="C262" s="338">
        <v>38996</v>
      </c>
      <c r="D262" s="366" t="s">
        <v>277</v>
      </c>
      <c r="E262" s="352" t="s">
        <v>344</v>
      </c>
      <c r="F262" s="358">
        <v>3</v>
      </c>
      <c r="G262" s="358">
        <v>1</v>
      </c>
      <c r="H262" s="358">
        <v>16</v>
      </c>
      <c r="I262" s="335">
        <v>1664</v>
      </c>
      <c r="J262" s="336">
        <v>416</v>
      </c>
      <c r="K262" s="348">
        <f aca="true" t="shared" si="35" ref="K262:K269">J262/G262</f>
        <v>416</v>
      </c>
      <c r="L262" s="353">
        <f aca="true" t="shared" si="36" ref="L262:L269">I262/J262</f>
        <v>4</v>
      </c>
      <c r="M262" s="347">
        <f>10863.75+6916+6396+452+3034+1816+1662+291+902+2590+1209+247+34+170+104+1188+1664</f>
        <v>39538.75</v>
      </c>
      <c r="N262" s="348">
        <f>2246+865+798+56+383+419+554+86+266+722+403+45+6+34+40+297+416</f>
        <v>7636</v>
      </c>
      <c r="O262" s="420">
        <f>M262/N262</f>
        <v>5.177940020953379</v>
      </c>
    </row>
    <row r="263" spans="1:15" ht="15">
      <c r="A263" s="175">
        <v>260</v>
      </c>
      <c r="B263" s="418" t="s">
        <v>688</v>
      </c>
      <c r="C263" s="338">
        <v>38996</v>
      </c>
      <c r="D263" s="337" t="s">
        <v>277</v>
      </c>
      <c r="E263" s="337" t="s">
        <v>344</v>
      </c>
      <c r="F263" s="334">
        <v>3</v>
      </c>
      <c r="G263" s="334">
        <v>1</v>
      </c>
      <c r="H263" s="334">
        <v>15</v>
      </c>
      <c r="I263" s="335">
        <v>1188</v>
      </c>
      <c r="J263" s="336">
        <v>297</v>
      </c>
      <c r="K263" s="348">
        <f t="shared" si="35"/>
        <v>297</v>
      </c>
      <c r="L263" s="353">
        <f t="shared" si="36"/>
        <v>4</v>
      </c>
      <c r="M263" s="347">
        <f>10863.75+6916+6396+452+3034+1816+1662+291+902+2590+1209+247+34+170+104+1188</f>
        <v>37874.75</v>
      </c>
      <c r="N263" s="348">
        <f>2246+865+798+56+383+419+554+86+266+722+403+45+6+34+40+297</f>
        <v>7220</v>
      </c>
      <c r="O263" s="420">
        <f>M263/N263</f>
        <v>5.245810249307479</v>
      </c>
    </row>
    <row r="264" spans="1:15" ht="15">
      <c r="A264" s="175">
        <v>261</v>
      </c>
      <c r="B264" s="418" t="s">
        <v>688</v>
      </c>
      <c r="C264" s="338">
        <v>38996</v>
      </c>
      <c r="D264" s="357" t="s">
        <v>277</v>
      </c>
      <c r="E264" s="352" t="s">
        <v>344</v>
      </c>
      <c r="F264" s="358">
        <v>3</v>
      </c>
      <c r="G264" s="358">
        <v>1</v>
      </c>
      <c r="H264" s="358">
        <v>11</v>
      </c>
      <c r="I264" s="335">
        <v>247</v>
      </c>
      <c r="J264" s="336">
        <v>45</v>
      </c>
      <c r="K264" s="348">
        <f t="shared" si="35"/>
        <v>45</v>
      </c>
      <c r="L264" s="353">
        <f t="shared" si="36"/>
        <v>5.488888888888889</v>
      </c>
      <c r="M264" s="347">
        <f>10863.75+6916+6396+452+3034+1816+1662+291+902+2590+1209+247</f>
        <v>36378.75</v>
      </c>
      <c r="N264" s="348">
        <f>2246+865+798+56+383+419+554+86+266+722+403+45</f>
        <v>6843</v>
      </c>
      <c r="O264" s="420">
        <f>M264/N264</f>
        <v>5.316199035510741</v>
      </c>
    </row>
    <row r="265" spans="1:15" ht="15">
      <c r="A265" s="175">
        <v>262</v>
      </c>
      <c r="B265" s="418" t="s">
        <v>688</v>
      </c>
      <c r="C265" s="338">
        <v>38996</v>
      </c>
      <c r="D265" s="357" t="s">
        <v>277</v>
      </c>
      <c r="E265" s="352" t="s">
        <v>344</v>
      </c>
      <c r="F265" s="358">
        <v>3</v>
      </c>
      <c r="G265" s="358">
        <v>1</v>
      </c>
      <c r="H265" s="358">
        <v>13</v>
      </c>
      <c r="I265" s="335">
        <v>170</v>
      </c>
      <c r="J265" s="336">
        <v>34</v>
      </c>
      <c r="K265" s="356">
        <f t="shared" si="35"/>
        <v>34</v>
      </c>
      <c r="L265" s="344">
        <f t="shared" si="36"/>
        <v>5</v>
      </c>
      <c r="M265" s="347">
        <f>10863.75+6916+6396+452+3034+1816+1662+291+902+2590+1209+247+34+170</f>
        <v>36582.75</v>
      </c>
      <c r="N265" s="348">
        <f>2246+865+798+56+383+419+554+86+266+722+403+45+6+34</f>
        <v>6883</v>
      </c>
      <c r="O265" s="420">
        <f>M265/N265</f>
        <v>5.314942612233038</v>
      </c>
    </row>
    <row r="266" spans="1:15" ht="15">
      <c r="A266" s="175">
        <v>263</v>
      </c>
      <c r="B266" s="418" t="s">
        <v>688</v>
      </c>
      <c r="C266" s="338">
        <v>38996</v>
      </c>
      <c r="D266" s="357" t="s">
        <v>277</v>
      </c>
      <c r="E266" s="352" t="s">
        <v>344</v>
      </c>
      <c r="F266" s="358">
        <v>3</v>
      </c>
      <c r="G266" s="358">
        <v>1</v>
      </c>
      <c r="H266" s="358">
        <v>14</v>
      </c>
      <c r="I266" s="335">
        <v>104</v>
      </c>
      <c r="J266" s="336">
        <v>40</v>
      </c>
      <c r="K266" s="356">
        <f t="shared" si="35"/>
        <v>40</v>
      </c>
      <c r="L266" s="344">
        <f t="shared" si="36"/>
        <v>2.6</v>
      </c>
      <c r="M266" s="347">
        <f>10863.75+6916+6396+452+3034+1816+1662+291+902+2590+1209+247+34+170+104</f>
        <v>36686.75</v>
      </c>
      <c r="N266" s="348">
        <f>2246+865+798+56+383+419+554+86+266+722+403+45+6+34+40</f>
        <v>6923</v>
      </c>
      <c r="O266" s="419">
        <f>+M266/N266</f>
        <v>5.299256102845587</v>
      </c>
    </row>
    <row r="267" spans="1:15" ht="15">
      <c r="A267" s="175">
        <v>264</v>
      </c>
      <c r="B267" s="418" t="s">
        <v>688</v>
      </c>
      <c r="C267" s="338">
        <v>38996</v>
      </c>
      <c r="D267" s="357" t="s">
        <v>277</v>
      </c>
      <c r="E267" s="352" t="s">
        <v>344</v>
      </c>
      <c r="F267" s="358">
        <v>3</v>
      </c>
      <c r="G267" s="358">
        <v>1</v>
      </c>
      <c r="H267" s="358">
        <v>12</v>
      </c>
      <c r="I267" s="335">
        <v>34</v>
      </c>
      <c r="J267" s="336">
        <v>6</v>
      </c>
      <c r="K267" s="356">
        <f t="shared" si="35"/>
        <v>6</v>
      </c>
      <c r="L267" s="344">
        <f t="shared" si="36"/>
        <v>5.666666666666667</v>
      </c>
      <c r="M267" s="347">
        <f>10863.75+6916+6396+452+3034+1816+1662+291+902+2590+1209+247+34</f>
        <v>36412.75</v>
      </c>
      <c r="N267" s="348">
        <f>2246+865+798+56+383+419+554+86+266+722+403+45+6</f>
        <v>6849</v>
      </c>
      <c r="O267" s="419">
        <f>+M267/N267</f>
        <v>5.316506059278727</v>
      </c>
    </row>
    <row r="268" spans="1:15" ht="15">
      <c r="A268" s="175">
        <v>265</v>
      </c>
      <c r="B268" s="418" t="s">
        <v>172</v>
      </c>
      <c r="C268" s="338">
        <v>38996</v>
      </c>
      <c r="D268" s="357" t="s">
        <v>277</v>
      </c>
      <c r="E268" s="352" t="s">
        <v>689</v>
      </c>
      <c r="F268" s="358">
        <v>103</v>
      </c>
      <c r="G268" s="358">
        <v>1</v>
      </c>
      <c r="H268" s="358">
        <v>13</v>
      </c>
      <c r="I268" s="335">
        <v>209.6</v>
      </c>
      <c r="J268" s="336">
        <v>131</v>
      </c>
      <c r="K268" s="348">
        <f t="shared" si="35"/>
        <v>131</v>
      </c>
      <c r="L268" s="353">
        <f t="shared" si="36"/>
        <v>1.5999999999999999</v>
      </c>
      <c r="M268" s="347">
        <f>354012+203593.5+132699+47076+28397.5+21570+11624+4733+6154+8228+1499+1151+209.6</f>
        <v>820946.6</v>
      </c>
      <c r="N268" s="348">
        <f>50571+28658+22282+8309+5945+4268+2309+942+1080+1541+295+345+131</f>
        <v>126676</v>
      </c>
      <c r="O268" s="416">
        <f>IF(M268&lt;&gt;0,M268/N268,"")</f>
        <v>6.480679844643026</v>
      </c>
    </row>
    <row r="269" spans="1:15" ht="15">
      <c r="A269" s="175">
        <v>266</v>
      </c>
      <c r="B269" s="424" t="s">
        <v>126</v>
      </c>
      <c r="C269" s="359">
        <v>38996</v>
      </c>
      <c r="D269" s="381" t="s">
        <v>460</v>
      </c>
      <c r="E269" s="362" t="s">
        <v>278</v>
      </c>
      <c r="F269" s="361">
        <v>5</v>
      </c>
      <c r="G269" s="361">
        <v>1</v>
      </c>
      <c r="H269" s="361">
        <v>10</v>
      </c>
      <c r="I269" s="331">
        <v>166</v>
      </c>
      <c r="J269" s="332">
        <v>14</v>
      </c>
      <c r="K269" s="350">
        <f t="shared" si="35"/>
        <v>14</v>
      </c>
      <c r="L269" s="351">
        <f t="shared" si="36"/>
        <v>11.857142857142858</v>
      </c>
      <c r="M269" s="342">
        <v>27702</v>
      </c>
      <c r="N269" s="343">
        <v>3558</v>
      </c>
      <c r="O269" s="423">
        <f>M269/N269</f>
        <v>7.785834738617201</v>
      </c>
    </row>
    <row r="270" spans="1:15" ht="15">
      <c r="A270" s="175">
        <v>267</v>
      </c>
      <c r="B270" s="415" t="s">
        <v>188</v>
      </c>
      <c r="C270" s="338">
        <v>38996</v>
      </c>
      <c r="D270" s="345" t="s">
        <v>455</v>
      </c>
      <c r="E270" s="345" t="s">
        <v>456</v>
      </c>
      <c r="F270" s="346">
        <v>35</v>
      </c>
      <c r="G270" s="346">
        <v>1</v>
      </c>
      <c r="H270" s="346">
        <v>11</v>
      </c>
      <c r="I270" s="335">
        <v>3021</v>
      </c>
      <c r="J270" s="336">
        <v>605</v>
      </c>
      <c r="K270" s="340">
        <f>IF(I270&lt;&gt;0,J270/G270,"")</f>
        <v>605</v>
      </c>
      <c r="L270" s="341">
        <f>IF(I270&lt;&gt;0,I270/J270,"")</f>
        <v>4.993388429752066</v>
      </c>
      <c r="M270" s="347">
        <f>384046.5+313718.5+119118.5+36607+19224+12927+12584+4061.5+893+15870.5+832+3021</f>
        <v>922903.5</v>
      </c>
      <c r="N270" s="348">
        <f>39714+29697+11825+4164+2520+1860+715+151+1888+163+605</f>
        <v>93302</v>
      </c>
      <c r="O270" s="416">
        <f>IF(M270&lt;&gt;0,M270/N270,"")</f>
        <v>9.891572527920088</v>
      </c>
    </row>
    <row r="271" spans="1:15" ht="15">
      <c r="A271" s="175">
        <v>268</v>
      </c>
      <c r="B271" s="415" t="s">
        <v>188</v>
      </c>
      <c r="C271" s="338">
        <v>38996</v>
      </c>
      <c r="D271" s="345" t="s">
        <v>455</v>
      </c>
      <c r="E271" s="345" t="s">
        <v>456</v>
      </c>
      <c r="F271" s="346">
        <v>35</v>
      </c>
      <c r="G271" s="346">
        <v>1</v>
      </c>
      <c r="H271" s="346">
        <v>15</v>
      </c>
      <c r="I271" s="335">
        <v>1590</v>
      </c>
      <c r="J271" s="336">
        <v>265</v>
      </c>
      <c r="K271" s="340">
        <f>+J271/G271</f>
        <v>265</v>
      </c>
      <c r="L271" s="341">
        <f>+I271/J271</f>
        <v>6</v>
      </c>
      <c r="M271" s="347">
        <f>384046.5+313718.5+119118.5+36607+19224+12927+12584+4061.5+893+15870.5+832+3021+16-15886.5+16+1590</f>
        <v>908639</v>
      </c>
      <c r="N271" s="348">
        <f>39714+29697+11825+4164+2520+1860+715+151+1888+163+605+265+2</f>
        <v>93569</v>
      </c>
      <c r="O271" s="423">
        <f>M271/N271</f>
        <v>9.710897840096614</v>
      </c>
    </row>
    <row r="272" spans="1:15" ht="15">
      <c r="A272" s="175">
        <v>269</v>
      </c>
      <c r="B272" s="415" t="s">
        <v>188</v>
      </c>
      <c r="C272" s="338">
        <v>38996</v>
      </c>
      <c r="D272" s="345" t="s">
        <v>455</v>
      </c>
      <c r="E272" s="345" t="s">
        <v>456</v>
      </c>
      <c r="F272" s="346">
        <v>35</v>
      </c>
      <c r="G272" s="346">
        <v>1</v>
      </c>
      <c r="H272" s="346">
        <v>12</v>
      </c>
      <c r="I272" s="335">
        <v>16</v>
      </c>
      <c r="J272" s="336">
        <v>2</v>
      </c>
      <c r="K272" s="356">
        <f>J272/G272</f>
        <v>2</v>
      </c>
      <c r="L272" s="344">
        <f>I272/J272</f>
        <v>8</v>
      </c>
      <c r="M272" s="347">
        <f>384046.5+313718.5+119118.5+36607+19224+12927+12584+4061.5+893+15870.5+832+3021+16-15886.5</f>
        <v>907033</v>
      </c>
      <c r="N272" s="348">
        <f>39714+29697+11825+4164+2520+1860+715+151+1888+163+605</f>
        <v>93302</v>
      </c>
      <c r="O272" s="419">
        <f>+M272/N272</f>
        <v>9.72147435210392</v>
      </c>
    </row>
    <row r="273" spans="1:15" ht="15">
      <c r="A273" s="175">
        <v>270</v>
      </c>
      <c r="B273" s="422" t="s">
        <v>86</v>
      </c>
      <c r="C273" s="359">
        <v>38996</v>
      </c>
      <c r="D273" s="349" t="s">
        <v>468</v>
      </c>
      <c r="E273" s="349" t="s">
        <v>398</v>
      </c>
      <c r="F273" s="383" t="s">
        <v>292</v>
      </c>
      <c r="G273" s="383" t="s">
        <v>299</v>
      </c>
      <c r="H273" s="383" t="s">
        <v>672</v>
      </c>
      <c r="I273" s="331">
        <v>1737</v>
      </c>
      <c r="J273" s="332">
        <v>255</v>
      </c>
      <c r="K273" s="356">
        <f>J273/G273</f>
        <v>127.5</v>
      </c>
      <c r="L273" s="344">
        <f>I273/J273</f>
        <v>6.811764705882353</v>
      </c>
      <c r="M273" s="342">
        <v>107368.5</v>
      </c>
      <c r="N273" s="343">
        <v>10536</v>
      </c>
      <c r="O273" s="419">
        <f>+M273/N273</f>
        <v>10.190632118451026</v>
      </c>
    </row>
    <row r="274" spans="1:15" ht="15">
      <c r="A274" s="175">
        <v>271</v>
      </c>
      <c r="B274" s="415" t="s">
        <v>117</v>
      </c>
      <c r="C274" s="338">
        <v>38996</v>
      </c>
      <c r="D274" s="345" t="s">
        <v>454</v>
      </c>
      <c r="E274" s="345" t="s">
        <v>459</v>
      </c>
      <c r="F274" s="346">
        <v>76</v>
      </c>
      <c r="G274" s="346">
        <v>1</v>
      </c>
      <c r="H274" s="346">
        <v>13</v>
      </c>
      <c r="I274" s="335">
        <v>795</v>
      </c>
      <c r="J274" s="336">
        <v>159</v>
      </c>
      <c r="K274" s="340">
        <f>IF(I274&lt;&gt;0,J274/G274,"")</f>
        <v>159</v>
      </c>
      <c r="L274" s="341">
        <f>IF(I274&lt;&gt;0,I274/J274,"")</f>
        <v>5</v>
      </c>
      <c r="M274" s="347">
        <v>656945</v>
      </c>
      <c r="N274" s="348">
        <v>72674</v>
      </c>
      <c r="O274" s="416">
        <f>IF(M274&lt;&gt;0,M274/N274,"")</f>
        <v>9.039615268183944</v>
      </c>
    </row>
    <row r="275" spans="1:15" ht="15">
      <c r="A275" s="175">
        <v>272</v>
      </c>
      <c r="B275" s="424" t="s">
        <v>267</v>
      </c>
      <c r="C275" s="359">
        <v>39003</v>
      </c>
      <c r="D275" s="379" t="s">
        <v>453</v>
      </c>
      <c r="E275" s="362" t="s">
        <v>401</v>
      </c>
      <c r="F275" s="361">
        <v>50</v>
      </c>
      <c r="G275" s="361">
        <v>1</v>
      </c>
      <c r="H275" s="361">
        <v>12</v>
      </c>
      <c r="I275" s="331">
        <v>544</v>
      </c>
      <c r="J275" s="332">
        <v>133</v>
      </c>
      <c r="K275" s="356">
        <f>J275/G275</f>
        <v>133</v>
      </c>
      <c r="L275" s="344">
        <f>I275/J275</f>
        <v>4.090225563909774</v>
      </c>
      <c r="M275" s="342">
        <f>311061+248226+43833+13959+19858+3424+3843+2105+5444+1490+513+544</f>
        <v>654300</v>
      </c>
      <c r="N275" s="343">
        <f>36791+29658+6174+2609+3671+939+1020+421+1003+277+162+133</f>
        <v>82858</v>
      </c>
      <c r="O275" s="419">
        <f>+M275/N275</f>
        <v>7.896642448526395</v>
      </c>
    </row>
    <row r="276" spans="1:15" ht="15">
      <c r="A276" s="175">
        <v>273</v>
      </c>
      <c r="B276" s="421" t="s">
        <v>267</v>
      </c>
      <c r="C276" s="359">
        <v>39003</v>
      </c>
      <c r="D276" s="339" t="s">
        <v>453</v>
      </c>
      <c r="E276" s="339" t="s">
        <v>401</v>
      </c>
      <c r="F276" s="333">
        <v>50</v>
      </c>
      <c r="G276" s="333">
        <v>1</v>
      </c>
      <c r="H276" s="333">
        <v>11</v>
      </c>
      <c r="I276" s="331">
        <v>513</v>
      </c>
      <c r="J276" s="332">
        <v>162</v>
      </c>
      <c r="K276" s="356">
        <f>J276/G276</f>
        <v>162</v>
      </c>
      <c r="L276" s="344">
        <f>I276/J276</f>
        <v>3.1666666666666665</v>
      </c>
      <c r="M276" s="342">
        <f>311061+248226+43833+13959+19858+3424+3843+2105+5444+1490+513</f>
        <v>653756</v>
      </c>
      <c r="N276" s="343">
        <f>36791+29658+6174+2609+3671+939+1020+421+1003+277+162</f>
        <v>82725</v>
      </c>
      <c r="O276" s="419">
        <f>+M276/N276</f>
        <v>7.902762163795709</v>
      </c>
    </row>
    <row r="277" spans="1:15" ht="15">
      <c r="A277" s="175">
        <v>274</v>
      </c>
      <c r="B277" s="415" t="s">
        <v>131</v>
      </c>
      <c r="C277" s="338">
        <v>39010</v>
      </c>
      <c r="D277" s="345" t="s">
        <v>454</v>
      </c>
      <c r="E277" s="345" t="s">
        <v>461</v>
      </c>
      <c r="F277" s="346">
        <v>106</v>
      </c>
      <c r="G277" s="346">
        <v>13</v>
      </c>
      <c r="H277" s="346">
        <v>14</v>
      </c>
      <c r="I277" s="335">
        <v>5487</v>
      </c>
      <c r="J277" s="336">
        <v>1043</v>
      </c>
      <c r="K277" s="340">
        <f>IF(I277&lt;&gt;0,J277/G277,"")</f>
        <v>80.23076923076923</v>
      </c>
      <c r="L277" s="341">
        <f>IF(I277&lt;&gt;0,I277/J277,"")</f>
        <v>5.2607861936721</v>
      </c>
      <c r="M277" s="347">
        <v>1267424</v>
      </c>
      <c r="N277" s="348">
        <v>168335</v>
      </c>
      <c r="O277" s="416">
        <f>IF(M277&lt;&gt;0,M277/N277,"")</f>
        <v>7.529176938842189</v>
      </c>
    </row>
    <row r="278" spans="1:15" ht="15">
      <c r="A278" s="175">
        <v>275</v>
      </c>
      <c r="B278" s="417" t="s">
        <v>131</v>
      </c>
      <c r="C278" s="338">
        <v>39010</v>
      </c>
      <c r="D278" s="337" t="s">
        <v>454</v>
      </c>
      <c r="E278" s="337" t="s">
        <v>461</v>
      </c>
      <c r="F278" s="334">
        <v>106</v>
      </c>
      <c r="G278" s="334">
        <v>9</v>
      </c>
      <c r="H278" s="334">
        <v>15</v>
      </c>
      <c r="I278" s="335">
        <v>3402</v>
      </c>
      <c r="J278" s="336">
        <v>724</v>
      </c>
      <c r="K278" s="340">
        <f>IF(I278&lt;&gt;0,J278/G278,"")</f>
        <v>80.44444444444444</v>
      </c>
      <c r="L278" s="341">
        <f>IF(I278&lt;&gt;0,I278/J278,"")</f>
        <v>4.698895027624309</v>
      </c>
      <c r="M278" s="347">
        <v>1270826</v>
      </c>
      <c r="N278" s="348">
        <v>169059</v>
      </c>
      <c r="O278" s="420">
        <f>M278/N278</f>
        <v>7.517056175654653</v>
      </c>
    </row>
    <row r="279" spans="1:15" ht="15">
      <c r="A279" s="175">
        <v>276</v>
      </c>
      <c r="B279" s="415" t="s">
        <v>131</v>
      </c>
      <c r="C279" s="338">
        <v>39010</v>
      </c>
      <c r="D279" s="345" t="s">
        <v>454</v>
      </c>
      <c r="E279" s="345" t="s">
        <v>461</v>
      </c>
      <c r="F279" s="346">
        <v>106</v>
      </c>
      <c r="G279" s="346">
        <v>3</v>
      </c>
      <c r="H279" s="346">
        <v>16</v>
      </c>
      <c r="I279" s="335">
        <v>2468</v>
      </c>
      <c r="J279" s="336">
        <v>1189</v>
      </c>
      <c r="K279" s="356">
        <f aca="true" t="shared" si="37" ref="K279:K292">J279/G279</f>
        <v>396.3333333333333</v>
      </c>
      <c r="L279" s="344">
        <f aca="true" t="shared" si="38" ref="L279:L292">I279/J279</f>
        <v>2.0756938603868798</v>
      </c>
      <c r="M279" s="347">
        <v>1273294</v>
      </c>
      <c r="N279" s="348">
        <v>170248</v>
      </c>
      <c r="O279" s="419">
        <f>+M279/N279</f>
        <v>7.479054085804239</v>
      </c>
    </row>
    <row r="280" spans="1:15" ht="15">
      <c r="A280" s="175">
        <v>277</v>
      </c>
      <c r="B280" s="415" t="s">
        <v>131</v>
      </c>
      <c r="C280" s="338">
        <v>39010</v>
      </c>
      <c r="D280" s="345" t="s">
        <v>454</v>
      </c>
      <c r="E280" s="345" t="s">
        <v>461</v>
      </c>
      <c r="F280" s="346">
        <v>106</v>
      </c>
      <c r="G280" s="346">
        <v>1</v>
      </c>
      <c r="H280" s="346">
        <v>16</v>
      </c>
      <c r="I280" s="335">
        <v>2375</v>
      </c>
      <c r="J280" s="336">
        <v>705</v>
      </c>
      <c r="K280" s="356">
        <f t="shared" si="37"/>
        <v>705</v>
      </c>
      <c r="L280" s="344">
        <f t="shared" si="38"/>
        <v>3.368794326241135</v>
      </c>
      <c r="M280" s="347">
        <v>1276084</v>
      </c>
      <c r="N280" s="348">
        <v>171034</v>
      </c>
      <c r="O280" s="416">
        <f>IF(M280&lt;&gt;0,M280/N280,"")</f>
        <v>7.460996059263071</v>
      </c>
    </row>
    <row r="281" spans="1:15" ht="15">
      <c r="A281" s="175">
        <v>278</v>
      </c>
      <c r="B281" s="415" t="s">
        <v>131</v>
      </c>
      <c r="C281" s="338">
        <v>39010</v>
      </c>
      <c r="D281" s="345" t="s">
        <v>454</v>
      </c>
      <c r="E281" s="345" t="s">
        <v>461</v>
      </c>
      <c r="F281" s="346">
        <v>106</v>
      </c>
      <c r="G281" s="346">
        <v>1</v>
      </c>
      <c r="H281" s="346">
        <v>42</v>
      </c>
      <c r="I281" s="335">
        <v>1304</v>
      </c>
      <c r="J281" s="336">
        <v>163</v>
      </c>
      <c r="K281" s="356">
        <f t="shared" si="37"/>
        <v>163</v>
      </c>
      <c r="L281" s="344">
        <f t="shared" si="38"/>
        <v>8</v>
      </c>
      <c r="M281" s="347">
        <v>1278378</v>
      </c>
      <c r="N281" s="348">
        <v>171417</v>
      </c>
      <c r="O281" s="419">
        <f>+M281/N281</f>
        <v>7.457708395316684</v>
      </c>
    </row>
    <row r="282" spans="1:15" ht="15">
      <c r="A282" s="175">
        <v>279</v>
      </c>
      <c r="B282" s="426" t="s">
        <v>131</v>
      </c>
      <c r="C282" s="385">
        <v>39010</v>
      </c>
      <c r="D282" s="384" t="s">
        <v>454</v>
      </c>
      <c r="E282" s="384" t="s">
        <v>461</v>
      </c>
      <c r="F282" s="386">
        <v>106</v>
      </c>
      <c r="G282" s="386">
        <v>1</v>
      </c>
      <c r="H282" s="386">
        <v>24</v>
      </c>
      <c r="I282" s="387">
        <v>400</v>
      </c>
      <c r="J282" s="388">
        <v>20</v>
      </c>
      <c r="K282" s="348">
        <f t="shared" si="37"/>
        <v>20</v>
      </c>
      <c r="L282" s="353">
        <f t="shared" si="38"/>
        <v>20</v>
      </c>
      <c r="M282" s="389">
        <v>1276484</v>
      </c>
      <c r="N282" s="390">
        <v>171054</v>
      </c>
      <c r="O282" s="420">
        <f>M282/N282</f>
        <v>7.462462146456675</v>
      </c>
    </row>
    <row r="283" spans="1:15" ht="15">
      <c r="A283" s="175">
        <v>280</v>
      </c>
      <c r="B283" s="415" t="s">
        <v>131</v>
      </c>
      <c r="C283" s="338">
        <v>39010</v>
      </c>
      <c r="D283" s="345" t="s">
        <v>454</v>
      </c>
      <c r="E283" s="345" t="s">
        <v>461</v>
      </c>
      <c r="F283" s="346">
        <v>106</v>
      </c>
      <c r="G283" s="346">
        <v>2</v>
      </c>
      <c r="H283" s="346">
        <v>17</v>
      </c>
      <c r="I283" s="335">
        <v>238</v>
      </c>
      <c r="J283" s="336">
        <v>46</v>
      </c>
      <c r="K283" s="356">
        <f t="shared" si="37"/>
        <v>23</v>
      </c>
      <c r="L283" s="344">
        <f t="shared" si="38"/>
        <v>5.173913043478261</v>
      </c>
      <c r="M283" s="347">
        <v>1273532</v>
      </c>
      <c r="N283" s="348">
        <v>170294</v>
      </c>
      <c r="O283" s="419">
        <f aca="true" t="shared" si="39" ref="O283:O291">+M283/N283</f>
        <v>7.478431418605471</v>
      </c>
    </row>
    <row r="284" spans="1:15" ht="15">
      <c r="A284" s="175">
        <v>281</v>
      </c>
      <c r="B284" s="424" t="s">
        <v>219</v>
      </c>
      <c r="C284" s="359">
        <v>39010</v>
      </c>
      <c r="D284" s="379" t="s">
        <v>453</v>
      </c>
      <c r="E284" s="362" t="s">
        <v>466</v>
      </c>
      <c r="F284" s="361">
        <v>95</v>
      </c>
      <c r="G284" s="361">
        <v>4</v>
      </c>
      <c r="H284" s="361">
        <v>11</v>
      </c>
      <c r="I284" s="331">
        <v>1876</v>
      </c>
      <c r="J284" s="332">
        <v>410</v>
      </c>
      <c r="K284" s="356">
        <f t="shared" si="37"/>
        <v>102.5</v>
      </c>
      <c r="L284" s="344">
        <f t="shared" si="38"/>
        <v>4.575609756097561</v>
      </c>
      <c r="M284" s="342">
        <f>571702+317534+123810+41864+21209+10379+9467+14290+2011.5+1414+1876-1.5</f>
        <v>1115555</v>
      </c>
      <c r="N284" s="343">
        <f>73412+43028+16923+8831+4643+2148+1715+2615+351+309+410</f>
        <v>154385</v>
      </c>
      <c r="O284" s="419">
        <f t="shared" si="39"/>
        <v>7.225799138517343</v>
      </c>
    </row>
    <row r="285" spans="1:15" ht="15">
      <c r="A285" s="175">
        <v>282</v>
      </c>
      <c r="B285" s="421" t="s">
        <v>219</v>
      </c>
      <c r="C285" s="359">
        <v>39010</v>
      </c>
      <c r="D285" s="339" t="s">
        <v>453</v>
      </c>
      <c r="E285" s="339" t="s">
        <v>466</v>
      </c>
      <c r="F285" s="333">
        <v>95</v>
      </c>
      <c r="G285" s="333">
        <v>2</v>
      </c>
      <c r="H285" s="333">
        <v>12</v>
      </c>
      <c r="I285" s="331">
        <v>582</v>
      </c>
      <c r="J285" s="332">
        <v>86</v>
      </c>
      <c r="K285" s="356">
        <f t="shared" si="37"/>
        <v>43</v>
      </c>
      <c r="L285" s="344">
        <f t="shared" si="38"/>
        <v>6.767441860465116</v>
      </c>
      <c r="M285" s="342">
        <f>571702+317534+123810+41864+21209+10379+9467+14290+2011.5+1414+1876-1.5+582</f>
        <v>1116137</v>
      </c>
      <c r="N285" s="343">
        <f>73412+43028+16923+8831+4643+2148+1715+2615+351+309+410+86</f>
        <v>154471</v>
      </c>
      <c r="O285" s="419">
        <f t="shared" si="39"/>
        <v>7.225543953233941</v>
      </c>
    </row>
    <row r="286" spans="1:15" ht="15">
      <c r="A286" s="175">
        <v>283</v>
      </c>
      <c r="B286" s="424" t="s">
        <v>219</v>
      </c>
      <c r="C286" s="359">
        <v>39010</v>
      </c>
      <c r="D286" s="379" t="s">
        <v>453</v>
      </c>
      <c r="E286" s="362" t="s">
        <v>466</v>
      </c>
      <c r="F286" s="361">
        <v>95</v>
      </c>
      <c r="G286" s="361">
        <v>1</v>
      </c>
      <c r="H286" s="361">
        <v>13</v>
      </c>
      <c r="I286" s="331">
        <v>267</v>
      </c>
      <c r="J286" s="332">
        <v>37</v>
      </c>
      <c r="K286" s="356">
        <f t="shared" si="37"/>
        <v>37</v>
      </c>
      <c r="L286" s="344">
        <f t="shared" si="38"/>
        <v>7.216216216216216</v>
      </c>
      <c r="M286" s="342">
        <f>571702+317534+123810+41864+21209+10379+9467+14290+2011.5+1414+1876-1.5+582+267</f>
        <v>1116404</v>
      </c>
      <c r="N286" s="343">
        <f>73412+43028+16923+8831+4643+2148+1715+2615+351+309+410+86+37</f>
        <v>154508</v>
      </c>
      <c r="O286" s="419">
        <f t="shared" si="39"/>
        <v>7.225541719522614</v>
      </c>
    </row>
    <row r="287" spans="1:15" ht="15">
      <c r="A287" s="175">
        <v>284</v>
      </c>
      <c r="B287" s="422" t="s">
        <v>224</v>
      </c>
      <c r="C287" s="359">
        <v>39010</v>
      </c>
      <c r="D287" s="349" t="s">
        <v>302</v>
      </c>
      <c r="E287" s="349" t="s">
        <v>311</v>
      </c>
      <c r="F287" s="383" t="s">
        <v>690</v>
      </c>
      <c r="G287" s="383" t="s">
        <v>299</v>
      </c>
      <c r="H287" s="383" t="s">
        <v>502</v>
      </c>
      <c r="I287" s="331">
        <v>37033.5</v>
      </c>
      <c r="J287" s="332">
        <v>5902</v>
      </c>
      <c r="K287" s="356">
        <f t="shared" si="37"/>
        <v>2951</v>
      </c>
      <c r="L287" s="344">
        <f t="shared" si="38"/>
        <v>6.274737377160284</v>
      </c>
      <c r="M287" s="342">
        <v>12910730</v>
      </c>
      <c r="N287" s="372">
        <v>1692159.3333333335</v>
      </c>
      <c r="O287" s="419">
        <f t="shared" si="39"/>
        <v>7.629736600848068</v>
      </c>
    </row>
    <row r="288" spans="1:15" ht="15">
      <c r="A288" s="175">
        <v>285</v>
      </c>
      <c r="B288" s="422" t="s">
        <v>224</v>
      </c>
      <c r="C288" s="359">
        <v>39010</v>
      </c>
      <c r="D288" s="349" t="s">
        <v>302</v>
      </c>
      <c r="E288" s="349" t="s">
        <v>311</v>
      </c>
      <c r="F288" s="383" t="s">
        <v>690</v>
      </c>
      <c r="G288" s="383" t="s">
        <v>289</v>
      </c>
      <c r="H288" s="383" t="s">
        <v>691</v>
      </c>
      <c r="I288" s="331">
        <v>32670.5</v>
      </c>
      <c r="J288" s="332">
        <v>6529</v>
      </c>
      <c r="K288" s="356">
        <f t="shared" si="37"/>
        <v>1305.8</v>
      </c>
      <c r="L288" s="344">
        <f t="shared" si="38"/>
        <v>5.003905651707766</v>
      </c>
      <c r="M288" s="342">
        <v>12967160.5</v>
      </c>
      <c r="N288" s="343">
        <v>1706608.1333333333</v>
      </c>
      <c r="O288" s="419">
        <f t="shared" si="39"/>
        <v>7.598206200197023</v>
      </c>
    </row>
    <row r="289" spans="1:15" ht="15">
      <c r="A289" s="175">
        <v>286</v>
      </c>
      <c r="B289" s="422" t="s">
        <v>224</v>
      </c>
      <c r="C289" s="359">
        <v>39010</v>
      </c>
      <c r="D289" s="349" t="s">
        <v>302</v>
      </c>
      <c r="E289" s="349" t="s">
        <v>311</v>
      </c>
      <c r="F289" s="383" t="s">
        <v>690</v>
      </c>
      <c r="G289" s="383" t="s">
        <v>276</v>
      </c>
      <c r="H289" s="383" t="s">
        <v>427</v>
      </c>
      <c r="I289" s="331">
        <v>12082</v>
      </c>
      <c r="J289" s="332">
        <v>2416</v>
      </c>
      <c r="K289" s="356">
        <f t="shared" si="37"/>
        <v>2416</v>
      </c>
      <c r="L289" s="344">
        <f t="shared" si="38"/>
        <v>5.000827814569536</v>
      </c>
      <c r="M289" s="342">
        <v>12985182.5</v>
      </c>
      <c r="N289" s="343">
        <v>1710212.1333333333</v>
      </c>
      <c r="O289" s="419">
        <f t="shared" si="39"/>
        <v>7.5927320634142</v>
      </c>
    </row>
    <row r="290" spans="1:15" ht="15">
      <c r="A290" s="175">
        <v>287</v>
      </c>
      <c r="B290" s="422" t="s">
        <v>224</v>
      </c>
      <c r="C290" s="359">
        <v>39010</v>
      </c>
      <c r="D290" s="349" t="s">
        <v>302</v>
      </c>
      <c r="E290" s="349" t="s">
        <v>311</v>
      </c>
      <c r="F290" s="383" t="s">
        <v>690</v>
      </c>
      <c r="G290" s="383" t="s">
        <v>276</v>
      </c>
      <c r="H290" s="383" t="s">
        <v>406</v>
      </c>
      <c r="I290" s="331">
        <v>5940</v>
      </c>
      <c r="J290" s="332">
        <v>1980</v>
      </c>
      <c r="K290" s="356">
        <f t="shared" si="37"/>
        <v>1980</v>
      </c>
      <c r="L290" s="344">
        <f t="shared" si="38"/>
        <v>3</v>
      </c>
      <c r="M290" s="342">
        <v>12916670</v>
      </c>
      <c r="N290" s="343">
        <v>1694139.3333333335</v>
      </c>
      <c r="O290" s="419">
        <f t="shared" si="39"/>
        <v>7.62432566546081</v>
      </c>
    </row>
    <row r="291" spans="1:15" ht="15">
      <c r="A291" s="175">
        <v>288</v>
      </c>
      <c r="B291" s="422" t="s">
        <v>224</v>
      </c>
      <c r="C291" s="359">
        <v>39010</v>
      </c>
      <c r="D291" s="349" t="s">
        <v>302</v>
      </c>
      <c r="E291" s="349" t="s">
        <v>311</v>
      </c>
      <c r="F291" s="383" t="s">
        <v>690</v>
      </c>
      <c r="G291" s="383" t="s">
        <v>276</v>
      </c>
      <c r="H291" s="383" t="s">
        <v>394</v>
      </c>
      <c r="I291" s="331">
        <v>5940</v>
      </c>
      <c r="J291" s="332">
        <v>1980</v>
      </c>
      <c r="K291" s="356">
        <f t="shared" si="37"/>
        <v>1980</v>
      </c>
      <c r="L291" s="344">
        <f t="shared" si="38"/>
        <v>3</v>
      </c>
      <c r="M291" s="342">
        <v>12922610</v>
      </c>
      <c r="N291" s="343">
        <v>1696119.3333333333</v>
      </c>
      <c r="O291" s="419">
        <f t="shared" si="39"/>
        <v>7.618927363208328</v>
      </c>
    </row>
    <row r="292" spans="1:15" ht="15">
      <c r="A292" s="175">
        <v>289</v>
      </c>
      <c r="B292" s="422" t="s">
        <v>224</v>
      </c>
      <c r="C292" s="359">
        <v>39010</v>
      </c>
      <c r="D292" s="349" t="s">
        <v>302</v>
      </c>
      <c r="E292" s="349" t="s">
        <v>311</v>
      </c>
      <c r="F292" s="383" t="s">
        <v>690</v>
      </c>
      <c r="G292" s="383" t="s">
        <v>276</v>
      </c>
      <c r="H292" s="383" t="s">
        <v>692</v>
      </c>
      <c r="I292" s="331">
        <v>5940</v>
      </c>
      <c r="J292" s="332">
        <v>1980</v>
      </c>
      <c r="K292" s="356">
        <f t="shared" si="37"/>
        <v>1980</v>
      </c>
      <c r="L292" s="344">
        <f t="shared" si="38"/>
        <v>3</v>
      </c>
      <c r="M292" s="342">
        <v>12928550</v>
      </c>
      <c r="N292" s="343">
        <v>1698099.3333333335</v>
      </c>
      <c r="O292" s="420">
        <f>M292/N292</f>
        <v>7.613541649899553</v>
      </c>
    </row>
    <row r="293" spans="1:15" ht="15">
      <c r="A293" s="175">
        <v>290</v>
      </c>
      <c r="B293" s="422" t="s">
        <v>224</v>
      </c>
      <c r="C293" s="359">
        <v>39010</v>
      </c>
      <c r="D293" s="349" t="s">
        <v>302</v>
      </c>
      <c r="E293" s="349" t="s">
        <v>311</v>
      </c>
      <c r="F293" s="383" t="s">
        <v>690</v>
      </c>
      <c r="G293" s="383" t="s">
        <v>276</v>
      </c>
      <c r="H293" s="383" t="s">
        <v>62</v>
      </c>
      <c r="I293" s="331">
        <v>5940</v>
      </c>
      <c r="J293" s="332">
        <v>1980</v>
      </c>
      <c r="K293" s="340">
        <f>IF(I293&lt;&gt;0,J293/G293,"")</f>
        <v>1980</v>
      </c>
      <c r="L293" s="341">
        <f>IF(I293&lt;&gt;0,I293/J293,"")</f>
        <v>3</v>
      </c>
      <c r="M293" s="342">
        <v>12934490</v>
      </c>
      <c r="N293" s="343">
        <v>1700079.3333333335</v>
      </c>
      <c r="O293" s="419">
        <f>+M293/N293</f>
        <v>7.608168481549292</v>
      </c>
    </row>
    <row r="294" spans="1:15" ht="15">
      <c r="A294" s="175">
        <v>291</v>
      </c>
      <c r="B294" s="422" t="s">
        <v>224</v>
      </c>
      <c r="C294" s="359">
        <v>39010</v>
      </c>
      <c r="D294" s="349" t="s">
        <v>302</v>
      </c>
      <c r="E294" s="349" t="s">
        <v>311</v>
      </c>
      <c r="F294" s="383" t="s">
        <v>690</v>
      </c>
      <c r="G294" s="383" t="s">
        <v>276</v>
      </c>
      <c r="H294" s="383" t="s">
        <v>667</v>
      </c>
      <c r="I294" s="331">
        <v>5940</v>
      </c>
      <c r="J294" s="332">
        <v>1188</v>
      </c>
      <c r="K294" s="356">
        <f>J294/G294</f>
        <v>1188</v>
      </c>
      <c r="L294" s="344">
        <f>I294/J294</f>
        <v>5</v>
      </c>
      <c r="M294" s="342">
        <v>12973100.5</v>
      </c>
      <c r="N294" s="343">
        <v>1707796.1333333333</v>
      </c>
      <c r="O294" s="419">
        <f>+M294/N294</f>
        <v>7.596398801230841</v>
      </c>
    </row>
    <row r="295" spans="1:15" ht="15">
      <c r="A295" s="175">
        <v>292</v>
      </c>
      <c r="B295" s="422" t="s">
        <v>224</v>
      </c>
      <c r="C295" s="359">
        <v>39010</v>
      </c>
      <c r="D295" s="349" t="s">
        <v>302</v>
      </c>
      <c r="E295" s="349" t="s">
        <v>311</v>
      </c>
      <c r="F295" s="383" t="s">
        <v>690</v>
      </c>
      <c r="G295" s="383" t="s">
        <v>299</v>
      </c>
      <c r="H295" s="383" t="s">
        <v>552</v>
      </c>
      <c r="I295" s="331">
        <v>2834</v>
      </c>
      <c r="J295" s="332">
        <v>949</v>
      </c>
      <c r="K295" s="340">
        <f>+J295/G295</f>
        <v>474.5</v>
      </c>
      <c r="L295" s="344">
        <f>I295/J295</f>
        <v>2.9863013698630136</v>
      </c>
      <c r="M295" s="342">
        <v>12872944.5</v>
      </c>
      <c r="N295" s="372">
        <v>1686147.3333333335</v>
      </c>
      <c r="O295" s="419">
        <f>+M295/N295</f>
        <v>7.634531244995988</v>
      </c>
    </row>
    <row r="296" spans="1:15" ht="15">
      <c r="A296" s="175">
        <v>293</v>
      </c>
      <c r="B296" s="422" t="s">
        <v>224</v>
      </c>
      <c r="C296" s="359">
        <v>39010</v>
      </c>
      <c r="D296" s="349" t="s">
        <v>302</v>
      </c>
      <c r="E296" s="349" t="s">
        <v>311</v>
      </c>
      <c r="F296" s="383" t="s">
        <v>690</v>
      </c>
      <c r="G296" s="383" t="s">
        <v>299</v>
      </c>
      <c r="H296" s="383" t="s">
        <v>551</v>
      </c>
      <c r="I296" s="331">
        <v>2245.5</v>
      </c>
      <c r="J296" s="332">
        <v>312</v>
      </c>
      <c r="K296" s="340">
        <f>IF(I296&lt;&gt;0,J296/G296,"")</f>
        <v>156</v>
      </c>
      <c r="L296" s="341">
        <f>IF(I296&lt;&gt;0,I296/J296,"")</f>
        <v>7.197115384615385</v>
      </c>
      <c r="M296" s="342">
        <v>12868790.5</v>
      </c>
      <c r="N296" s="372">
        <v>1685023.3333333335</v>
      </c>
      <c r="O296" s="416">
        <f>IF(M296&lt;&gt;0,M296/N296,"")</f>
        <v>7.637158634796353</v>
      </c>
    </row>
    <row r="297" spans="1:15" ht="15">
      <c r="A297" s="175">
        <v>294</v>
      </c>
      <c r="B297" s="421" t="s">
        <v>224</v>
      </c>
      <c r="C297" s="359">
        <v>39010</v>
      </c>
      <c r="D297" s="339" t="s">
        <v>302</v>
      </c>
      <c r="E297" s="339" t="s">
        <v>311</v>
      </c>
      <c r="F297" s="333" t="s">
        <v>690</v>
      </c>
      <c r="G297" s="333" t="s">
        <v>299</v>
      </c>
      <c r="H297" s="333" t="s">
        <v>419</v>
      </c>
      <c r="I297" s="331">
        <v>1320</v>
      </c>
      <c r="J297" s="332">
        <v>175</v>
      </c>
      <c r="K297" s="340">
        <f>IF(I297&lt;&gt;0,J297/G297,"")</f>
        <v>87.5</v>
      </c>
      <c r="L297" s="341">
        <f>IF(I297&lt;&gt;0,I297/J297,"")</f>
        <v>7.542857142857143</v>
      </c>
      <c r="M297" s="342">
        <v>12870110.5</v>
      </c>
      <c r="N297" s="372">
        <v>1685198.3333333335</v>
      </c>
      <c r="O297" s="419">
        <f>+M297/N297</f>
        <v>7.637148842025518</v>
      </c>
    </row>
    <row r="298" spans="1:15" ht="15">
      <c r="A298" s="175">
        <v>295</v>
      </c>
      <c r="B298" s="422" t="s">
        <v>224</v>
      </c>
      <c r="C298" s="359">
        <v>39010</v>
      </c>
      <c r="D298" s="349" t="s">
        <v>302</v>
      </c>
      <c r="E298" s="349" t="s">
        <v>311</v>
      </c>
      <c r="F298" s="383" t="s">
        <v>690</v>
      </c>
      <c r="G298" s="383" t="s">
        <v>276</v>
      </c>
      <c r="H298" s="383" t="s">
        <v>506</v>
      </c>
      <c r="I298" s="331">
        <v>528</v>
      </c>
      <c r="J298" s="332">
        <v>80</v>
      </c>
      <c r="K298" s="356">
        <f>J298/G298</f>
        <v>80</v>
      </c>
      <c r="L298" s="344">
        <f>I298/J298</f>
        <v>6.6</v>
      </c>
      <c r="M298" s="342">
        <v>12873696.5</v>
      </c>
      <c r="N298" s="372">
        <v>1686257.3333333333</v>
      </c>
      <c r="O298" s="419">
        <f>+M298/N298</f>
        <v>7.634479177950697</v>
      </c>
    </row>
    <row r="299" spans="1:15" ht="15">
      <c r="A299" s="175">
        <v>296</v>
      </c>
      <c r="B299" s="422" t="s">
        <v>224</v>
      </c>
      <c r="C299" s="359">
        <v>39010</v>
      </c>
      <c r="D299" s="349" t="s">
        <v>302</v>
      </c>
      <c r="E299" s="349" t="s">
        <v>311</v>
      </c>
      <c r="F299" s="383" t="s">
        <v>690</v>
      </c>
      <c r="G299" s="383" t="s">
        <v>276</v>
      </c>
      <c r="H299" s="383" t="s">
        <v>565</v>
      </c>
      <c r="I299" s="331">
        <v>224</v>
      </c>
      <c r="J299" s="332">
        <v>30</v>
      </c>
      <c r="K299" s="356">
        <f>J299/G299</f>
        <v>30</v>
      </c>
      <c r="L299" s="344">
        <f>I299/J299</f>
        <v>7.466666666666667</v>
      </c>
      <c r="M299" s="342">
        <v>12873168.5</v>
      </c>
      <c r="N299" s="372">
        <v>1686177.3333333335</v>
      </c>
      <c r="O299" s="419">
        <f>+M299/N299</f>
        <v>7.634528258395913</v>
      </c>
    </row>
    <row r="300" spans="1:15" ht="15">
      <c r="A300" s="175">
        <v>297</v>
      </c>
      <c r="B300" s="415" t="s">
        <v>268</v>
      </c>
      <c r="C300" s="338">
        <v>39010</v>
      </c>
      <c r="D300" s="345" t="s">
        <v>455</v>
      </c>
      <c r="E300" s="345" t="s">
        <v>466</v>
      </c>
      <c r="F300" s="346">
        <v>249</v>
      </c>
      <c r="G300" s="346">
        <v>1</v>
      </c>
      <c r="H300" s="346">
        <v>21</v>
      </c>
      <c r="I300" s="335">
        <v>20659.5</v>
      </c>
      <c r="J300" s="336">
        <v>4132</v>
      </c>
      <c r="K300" s="356">
        <f>J300/G300</f>
        <v>4132</v>
      </c>
      <c r="L300" s="344">
        <f>I300/J300</f>
        <v>4.9998789932236205</v>
      </c>
      <c r="M300" s="347">
        <f>2091324+1603944+1186300.5+991717.5+717901+573177.5+337639.5+220215+96901+28369.5+13340+3471+3453+2097+5274.5+130+2629+49+347+318+369+20659.5</f>
        <v>7899626.5</v>
      </c>
      <c r="N300" s="348">
        <f>295082+234355+172754+142027+106368+86447+53316+35787+14919+3959+1914+491+674+307+1016+18+519+7+123+128+113+4132</f>
        <v>1154456</v>
      </c>
      <c r="O300" s="419">
        <f>+M300/N300</f>
        <v>6.842726357695746</v>
      </c>
    </row>
    <row r="301" spans="1:15" ht="15">
      <c r="A301" s="175">
        <v>298</v>
      </c>
      <c r="B301" s="415" t="s">
        <v>268</v>
      </c>
      <c r="C301" s="338">
        <v>39010</v>
      </c>
      <c r="D301" s="345" t="s">
        <v>455</v>
      </c>
      <c r="E301" s="345" t="s">
        <v>466</v>
      </c>
      <c r="F301" s="346">
        <v>249</v>
      </c>
      <c r="G301" s="346">
        <v>1</v>
      </c>
      <c r="H301" s="346">
        <v>29</v>
      </c>
      <c r="I301" s="335">
        <v>20659.5</v>
      </c>
      <c r="J301" s="336">
        <v>4132</v>
      </c>
      <c r="K301" s="356">
        <f>J301/G301</f>
        <v>4132</v>
      </c>
      <c r="L301" s="344">
        <f>I301/J301</f>
        <v>4.9998789932236205</v>
      </c>
      <c r="M301" s="347">
        <f>2091324+1603944+1186300.5+991717.5+717901+573177.5+337639.5+220215+96901+28369.5+13340+3471+3453+2097+5274.5+130+2629+49+347+318+369+3021+100+180+2013.5-3+1782+11619+2376+3564+20659.5</f>
        <v>7924279</v>
      </c>
      <c r="N301" s="348">
        <f>295082+234355+172754+142027+106368+86447+53316+35787+14919+3959+1914+491+674+307+1016+18+519+7+123+128+113+604+12+60+503-1+446+2905+594+891+4132</f>
        <v>1160470</v>
      </c>
      <c r="O301" s="419">
        <f>+M301/N301</f>
        <v>6.828508276818875</v>
      </c>
    </row>
    <row r="302" spans="1:15" ht="15">
      <c r="A302" s="175">
        <v>299</v>
      </c>
      <c r="B302" s="415" t="s">
        <v>268</v>
      </c>
      <c r="C302" s="338">
        <v>39010</v>
      </c>
      <c r="D302" s="345" t="s">
        <v>455</v>
      </c>
      <c r="E302" s="345" t="s">
        <v>466</v>
      </c>
      <c r="F302" s="346">
        <v>249</v>
      </c>
      <c r="G302" s="346">
        <v>10</v>
      </c>
      <c r="H302" s="346">
        <v>11</v>
      </c>
      <c r="I302" s="335">
        <v>13340</v>
      </c>
      <c r="J302" s="336">
        <v>1914</v>
      </c>
      <c r="K302" s="340">
        <f>IF(I302&lt;&gt;0,J302/G302,"")</f>
        <v>191.4</v>
      </c>
      <c r="L302" s="341">
        <f>IF(I302&lt;&gt;0,I302/J302,"")</f>
        <v>6.96969696969697</v>
      </c>
      <c r="M302" s="347">
        <f>2091324+1603944+1186300.5+991717.5+717901+573177.5+337639.5+220215+96901+28369.5+13340</f>
        <v>7860829.5</v>
      </c>
      <c r="N302" s="348">
        <f>295082+234355+172754+142027+106368+86447+53316+35787+14919+3959+1914</f>
        <v>1146928</v>
      </c>
      <c r="O302" s="416">
        <f>IF(M302&lt;&gt;0,M302/N302,"")</f>
        <v>6.85381253226009</v>
      </c>
    </row>
    <row r="303" spans="1:15" ht="15">
      <c r="A303" s="175">
        <v>300</v>
      </c>
      <c r="B303" s="415" t="s">
        <v>268</v>
      </c>
      <c r="C303" s="338">
        <v>39010</v>
      </c>
      <c r="D303" s="345" t="s">
        <v>455</v>
      </c>
      <c r="E303" s="345" t="s">
        <v>466</v>
      </c>
      <c r="F303" s="373" t="s">
        <v>693</v>
      </c>
      <c r="G303" s="346">
        <v>2</v>
      </c>
      <c r="H303" s="346">
        <v>26</v>
      </c>
      <c r="I303" s="335">
        <v>11619</v>
      </c>
      <c r="J303" s="336">
        <v>2905</v>
      </c>
      <c r="K303" s="340">
        <f>+J303/G303</f>
        <v>1452.5</v>
      </c>
      <c r="L303" s="341">
        <f>+I303/J303</f>
        <v>3.999655765920826</v>
      </c>
      <c r="M303" s="347">
        <f>2091324+1603944+1186300.5+991717.5+717901+573177.5+337639.5+220215+96901+28369.5+13340+3471+3453+2097+5274.5+130+2629+49+347+318+369+3021+100+180+2013.5-3+1782+11619</f>
        <v>7897679.5</v>
      </c>
      <c r="N303" s="348">
        <f>295082+234355+172754+142027+106368+86447+53316+35787+14919+3959+1914+491+674+307+1016+18+519+7+123+128+113+604+12+60+503-1+446+2905</f>
        <v>1154853</v>
      </c>
      <c r="O303" s="416">
        <f>+M303/N303</f>
        <v>6.838688127406692</v>
      </c>
    </row>
    <row r="304" spans="1:15" ht="15">
      <c r="A304" s="175">
        <v>301</v>
      </c>
      <c r="B304" s="415" t="s">
        <v>268</v>
      </c>
      <c r="C304" s="338">
        <v>39010</v>
      </c>
      <c r="D304" s="345" t="s">
        <v>455</v>
      </c>
      <c r="E304" s="345" t="s">
        <v>466</v>
      </c>
      <c r="F304" s="346">
        <v>249</v>
      </c>
      <c r="G304" s="346">
        <v>5</v>
      </c>
      <c r="H304" s="346">
        <v>14</v>
      </c>
      <c r="I304" s="335">
        <v>5274.5</v>
      </c>
      <c r="J304" s="336">
        <v>1016</v>
      </c>
      <c r="K304" s="348">
        <f>J304/G304</f>
        <v>203.2</v>
      </c>
      <c r="L304" s="353">
        <f>I304/J304</f>
        <v>5.191437007874016</v>
      </c>
      <c r="M304" s="347">
        <f>2091324+1603944+1186300.5+991717.5+717901+573177.5+337639.5+220215+96901+28369.5+13340+3471+3453+2097+5274.5</f>
        <v>7875125</v>
      </c>
      <c r="N304" s="348">
        <f>295082+234355+172754+142027+106368+86447+53316+35787+14919+3959+1914+491+674+307+1016</f>
        <v>1149416</v>
      </c>
      <c r="O304" s="420">
        <f>M304/N304</f>
        <v>6.851414109426004</v>
      </c>
    </row>
    <row r="305" spans="1:15" ht="15">
      <c r="A305" s="175">
        <v>302</v>
      </c>
      <c r="B305" s="417" t="s">
        <v>268</v>
      </c>
      <c r="C305" s="338">
        <v>39010</v>
      </c>
      <c r="D305" s="337" t="s">
        <v>455</v>
      </c>
      <c r="E305" s="337" t="s">
        <v>466</v>
      </c>
      <c r="F305" s="334">
        <v>249</v>
      </c>
      <c r="G305" s="334">
        <v>1</v>
      </c>
      <c r="H305" s="334">
        <v>28</v>
      </c>
      <c r="I305" s="335">
        <v>3564</v>
      </c>
      <c r="J305" s="336">
        <v>891</v>
      </c>
      <c r="K305" s="356">
        <f>J305/G305</f>
        <v>891</v>
      </c>
      <c r="L305" s="344">
        <f>I305/J305</f>
        <v>4</v>
      </c>
      <c r="M305" s="347">
        <f>2091324+1603944+1186300.5+991717.5+717901+573177.5+337639.5+220215+96901+28369.5+13340+3471+3453+2097+5274.5+130+2629+49+347+318+369+3021+100+180+2013.5-3+1782+11619+2376+3564</f>
        <v>7903619.5</v>
      </c>
      <c r="N305" s="348">
        <f>295082+234355+172754+142027+106368+86447+53316+35787+14919+3959+1914+491+674+307+1016+18+519+7+123+128+113+604+12+60+503-1+446+2905+594+891</f>
        <v>1156338</v>
      </c>
      <c r="O305" s="423">
        <f>M305/N305</f>
        <v>6.835042608649029</v>
      </c>
    </row>
    <row r="306" spans="1:15" ht="15">
      <c r="A306" s="175">
        <v>303</v>
      </c>
      <c r="B306" s="417" t="s">
        <v>268</v>
      </c>
      <c r="C306" s="338">
        <v>39010</v>
      </c>
      <c r="D306" s="337" t="s">
        <v>455</v>
      </c>
      <c r="E306" s="337" t="s">
        <v>466</v>
      </c>
      <c r="F306" s="334">
        <v>249</v>
      </c>
      <c r="G306" s="334">
        <v>11</v>
      </c>
      <c r="H306" s="334">
        <v>12</v>
      </c>
      <c r="I306" s="335">
        <v>3471</v>
      </c>
      <c r="J306" s="336">
        <v>491</v>
      </c>
      <c r="K306" s="350">
        <f>J306/G306</f>
        <v>44.63636363636363</v>
      </c>
      <c r="L306" s="351">
        <f>I306/J306</f>
        <v>7.069246435845214</v>
      </c>
      <c r="M306" s="347">
        <f>2091324+1603944+1186300.5+991717.5+717901+573177.5+337639.5+220215+96901+28369.5+13340+3471+3453</f>
        <v>7867753.5</v>
      </c>
      <c r="N306" s="348">
        <f>295082+234355+172754+142027+106368+86447+53316+35787+14919+3959+1914+491+674</f>
        <v>1148093</v>
      </c>
      <c r="O306" s="416">
        <f>IF(M306&lt;&gt;0,M306/N306,"")</f>
        <v>6.852888659716591</v>
      </c>
    </row>
    <row r="307" spans="1:15" ht="15">
      <c r="A307" s="175">
        <v>304</v>
      </c>
      <c r="B307" s="415" t="s">
        <v>268</v>
      </c>
      <c r="C307" s="338">
        <v>39010</v>
      </c>
      <c r="D307" s="345" t="s">
        <v>455</v>
      </c>
      <c r="E307" s="345" t="s">
        <v>466</v>
      </c>
      <c r="F307" s="346">
        <v>249</v>
      </c>
      <c r="G307" s="346">
        <v>1</v>
      </c>
      <c r="H307" s="346">
        <v>22</v>
      </c>
      <c r="I307" s="335">
        <v>3021</v>
      </c>
      <c r="J307" s="336">
        <v>604</v>
      </c>
      <c r="K307" s="340">
        <f>IF(I307&lt;&gt;0,J307/G307,"")</f>
        <v>604</v>
      </c>
      <c r="L307" s="341">
        <f>IF(I307&lt;&gt;0,I307/J307,"")</f>
        <v>5.001655629139073</v>
      </c>
      <c r="M307" s="347">
        <f>2091324+1603944+1186300.5+991717.5+717901+573177.5+337639.5+220215+96901+28369.5+13340+3471+3453+2097+5274.5+130+2629+49+347+318+369+3021+100</f>
        <v>7882088</v>
      </c>
      <c r="N307" s="348">
        <f>295082+234355+172754+142027+106368+86447+53316+35787+14919+3959+1914+491+674+307+1016+18+519+7+123+128+113+604+12</f>
        <v>1150940</v>
      </c>
      <c r="O307" s="420">
        <f>M307/N307</f>
        <v>6.848391749352703</v>
      </c>
    </row>
    <row r="308" spans="1:15" ht="15">
      <c r="A308" s="175">
        <v>305</v>
      </c>
      <c r="B308" s="415" t="s">
        <v>268</v>
      </c>
      <c r="C308" s="338">
        <v>39010</v>
      </c>
      <c r="D308" s="345" t="s">
        <v>455</v>
      </c>
      <c r="E308" s="362" t="s">
        <v>466</v>
      </c>
      <c r="F308" s="346">
        <v>249</v>
      </c>
      <c r="G308" s="346">
        <v>1</v>
      </c>
      <c r="H308" s="346">
        <v>16</v>
      </c>
      <c r="I308" s="335">
        <v>2629</v>
      </c>
      <c r="J308" s="336">
        <v>519</v>
      </c>
      <c r="K308" s="350">
        <f aca="true" t="shared" si="40" ref="K308:K313">J308/G308</f>
        <v>519</v>
      </c>
      <c r="L308" s="351">
        <f aca="true" t="shared" si="41" ref="L308:L320">I308/J308</f>
        <v>5.065510597302505</v>
      </c>
      <c r="M308" s="347">
        <f>2091324+1603944+1186300.5+991717.5+717901+573177.5+337639.5+220215+96901+28369.5+13340+3471+3453+2097+5274.5+130+2629</f>
        <v>7877884</v>
      </c>
      <c r="N308" s="348">
        <f>295082+234355+172754+142027+106368+86447+53316+35787+14919+3959+1914+491+674+307+1016+18+519</f>
        <v>1149953</v>
      </c>
      <c r="O308" s="419">
        <f>+M308/N308</f>
        <v>6.850613894654825</v>
      </c>
    </row>
    <row r="309" spans="1:15" ht="15">
      <c r="A309" s="175">
        <v>306</v>
      </c>
      <c r="B309" s="417" t="s">
        <v>268</v>
      </c>
      <c r="C309" s="338">
        <v>39010</v>
      </c>
      <c r="D309" s="337" t="s">
        <v>455</v>
      </c>
      <c r="E309" s="337" t="s">
        <v>466</v>
      </c>
      <c r="F309" s="334">
        <v>249</v>
      </c>
      <c r="G309" s="334">
        <v>1</v>
      </c>
      <c r="H309" s="334">
        <v>27</v>
      </c>
      <c r="I309" s="335">
        <v>2376</v>
      </c>
      <c r="J309" s="336">
        <v>594</v>
      </c>
      <c r="K309" s="350">
        <f t="shared" si="40"/>
        <v>594</v>
      </c>
      <c r="L309" s="351">
        <f t="shared" si="41"/>
        <v>4</v>
      </c>
      <c r="M309" s="347">
        <f>2091324+1603944+1186300.5+991717.5+717901+573177.5+337639.5+220215+96901+28369.5+13340+3471+3453+2097+5274.5+130+2629+49+347+318+369+3021+100+180+2013.5-3+1782+11619+2376</f>
        <v>7900055.5</v>
      </c>
      <c r="N309" s="348">
        <f>295082+234355+172754+142027+106368+86447+53316+35787+14919+3959+1914+491+674+307+1016+18+519+7+123+128+113+604+12+60+503-1+446+2905+594</f>
        <v>1155447</v>
      </c>
      <c r="O309" s="423">
        <f>M309/N309</f>
        <v>6.837228795435879</v>
      </c>
    </row>
    <row r="310" spans="1:15" ht="15">
      <c r="A310" s="175">
        <v>307</v>
      </c>
      <c r="B310" s="415" t="s">
        <v>268</v>
      </c>
      <c r="C310" s="338">
        <v>39010</v>
      </c>
      <c r="D310" s="345" t="s">
        <v>455</v>
      </c>
      <c r="E310" s="345" t="s">
        <v>466</v>
      </c>
      <c r="F310" s="346">
        <v>249</v>
      </c>
      <c r="G310" s="346">
        <v>6</v>
      </c>
      <c r="H310" s="346">
        <v>13</v>
      </c>
      <c r="I310" s="335">
        <v>2097</v>
      </c>
      <c r="J310" s="336">
        <v>307</v>
      </c>
      <c r="K310" s="356">
        <f t="shared" si="40"/>
        <v>51.166666666666664</v>
      </c>
      <c r="L310" s="344">
        <f t="shared" si="41"/>
        <v>6.830618892508143</v>
      </c>
      <c r="M310" s="347">
        <f>2091324+1603944+1186300.5+991717.5+717901+573177.5+337639.5+220215+96901+28369.5+13340+3471+3453+2097</f>
        <v>7869850.5</v>
      </c>
      <c r="N310" s="348">
        <f>295082+234355+172754+142027+106368+86447+53316+35787+14919+3959+1914+491+674+307</f>
        <v>1148400</v>
      </c>
      <c r="O310" s="419">
        <f>+M310/N310</f>
        <v>6.852882706374086</v>
      </c>
    </row>
    <row r="311" spans="1:15" ht="15">
      <c r="A311" s="175">
        <v>308</v>
      </c>
      <c r="B311" s="415" t="s">
        <v>268</v>
      </c>
      <c r="C311" s="338">
        <v>39010</v>
      </c>
      <c r="D311" s="345" t="s">
        <v>455</v>
      </c>
      <c r="E311" s="345" t="s">
        <v>466</v>
      </c>
      <c r="F311" s="346">
        <v>249</v>
      </c>
      <c r="G311" s="346">
        <v>1</v>
      </c>
      <c r="H311" s="346">
        <v>24</v>
      </c>
      <c r="I311" s="335">
        <v>2013.5</v>
      </c>
      <c r="J311" s="336">
        <v>503</v>
      </c>
      <c r="K311" s="348">
        <f t="shared" si="40"/>
        <v>503</v>
      </c>
      <c r="L311" s="353">
        <f t="shared" si="41"/>
        <v>4.002982107355865</v>
      </c>
      <c r="M311" s="347">
        <f>2091324+1603944+1186300.5+991717.5+717901+573177.5+337639.5+220215+96901+28369.5+13340+3471+3453+2097+5274.5+130+2629+49+347+318+369+3021+100+180+2013.5-3</f>
        <v>7884278.5</v>
      </c>
      <c r="N311" s="348">
        <f>295082+234355+172754+142027+106368+86447+53316+35787+14919+3959+1914+491+674+307+1016+18+519+7+123+128+113+604+12+60+503-1</f>
        <v>1151502</v>
      </c>
      <c r="O311" s="419">
        <f>+M311/N311</f>
        <v>6.846951633605499</v>
      </c>
    </row>
    <row r="312" spans="1:15" ht="15">
      <c r="A312" s="175">
        <v>309</v>
      </c>
      <c r="B312" s="417" t="s">
        <v>268</v>
      </c>
      <c r="C312" s="338">
        <v>39010</v>
      </c>
      <c r="D312" s="337" t="s">
        <v>455</v>
      </c>
      <c r="E312" s="337" t="s">
        <v>466</v>
      </c>
      <c r="F312" s="334">
        <v>249</v>
      </c>
      <c r="G312" s="334">
        <v>1</v>
      </c>
      <c r="H312" s="334">
        <v>25</v>
      </c>
      <c r="I312" s="335">
        <v>1782</v>
      </c>
      <c r="J312" s="336">
        <v>446</v>
      </c>
      <c r="K312" s="350">
        <f t="shared" si="40"/>
        <v>446</v>
      </c>
      <c r="L312" s="351">
        <f t="shared" si="41"/>
        <v>3.995515695067265</v>
      </c>
      <c r="M312" s="347">
        <f>2091324+1603944+1186300.5+991717.5+717901+573177.5+337639.5+220215+96901+28369.5+13340+3471+3453+2097+5274.5+130+2629+49+347+318+369+3021+100+180+2013.5-3+1782</f>
        <v>7886060.5</v>
      </c>
      <c r="N312" s="348">
        <f>295082+234355+172754+142027+106368+86447+53316+35787+14919+3959+1914+491+674+307+1016+18+519+7+123+128+113+604+12+60+503-1+446</f>
        <v>1151948</v>
      </c>
      <c r="O312" s="423">
        <f>M312/N312</f>
        <v>6.845847642428304</v>
      </c>
    </row>
    <row r="313" spans="1:15" ht="15">
      <c r="A313" s="175">
        <v>310</v>
      </c>
      <c r="B313" s="415" t="s">
        <v>268</v>
      </c>
      <c r="C313" s="338">
        <v>39010</v>
      </c>
      <c r="D313" s="345" t="s">
        <v>455</v>
      </c>
      <c r="E313" s="345" t="s">
        <v>466</v>
      </c>
      <c r="F313" s="346">
        <v>249</v>
      </c>
      <c r="G313" s="346">
        <v>1</v>
      </c>
      <c r="H313" s="346">
        <v>30</v>
      </c>
      <c r="I313" s="335">
        <v>1510.5</v>
      </c>
      <c r="J313" s="336">
        <v>378</v>
      </c>
      <c r="K313" s="350">
        <f t="shared" si="40"/>
        <v>378</v>
      </c>
      <c r="L313" s="351">
        <f t="shared" si="41"/>
        <v>3.996031746031746</v>
      </c>
      <c r="M313" s="347">
        <f>2091324+1603944+1186300.5+991717.5+717901+573177.5+337639.5+220215+96901+28369.5+13340+3471+3453+2097+5274.5+130+2629+49+347+318+369+3021+100+180+2013.5-3+1782+11619+2376+3564+20659.5+1510.5</f>
        <v>7925789.5</v>
      </c>
      <c r="N313" s="348">
        <f>295082+234355+172754+142027+106368+86447+53316+35787+14919+3959+1914+491+674+307+1016+18+519+7+123+128+113+604+12+60+503-1+446+2905+594+891+4132+378</f>
        <v>1160848</v>
      </c>
      <c r="O313" s="423">
        <f>M313/N313</f>
        <v>6.827585954405745</v>
      </c>
    </row>
    <row r="314" spans="1:15" ht="15">
      <c r="A314" s="175">
        <v>311</v>
      </c>
      <c r="B314" s="417" t="s">
        <v>268</v>
      </c>
      <c r="C314" s="338">
        <v>39010</v>
      </c>
      <c r="D314" s="337" t="s">
        <v>455</v>
      </c>
      <c r="E314" s="337" t="s">
        <v>466</v>
      </c>
      <c r="F314" s="334">
        <v>249</v>
      </c>
      <c r="G314" s="334">
        <v>1</v>
      </c>
      <c r="H314" s="334">
        <v>20</v>
      </c>
      <c r="I314" s="335">
        <v>369</v>
      </c>
      <c r="J314" s="336">
        <v>113</v>
      </c>
      <c r="K314" s="356">
        <f>J314/H314</f>
        <v>5.65</v>
      </c>
      <c r="L314" s="344">
        <f t="shared" si="41"/>
        <v>3.265486725663717</v>
      </c>
      <c r="M314" s="347">
        <f>2091324+1603944+1186300.5+991717.5+717901+573177.5+337639.5+220215+96901+28369.5+13340+3471+3453+2097+5274.5+130+2629+49+347+318+369</f>
        <v>7878967</v>
      </c>
      <c r="N314" s="348">
        <f>295082+234355+172754+142027+106368+86447+53316+35787+14919+3959+1914+491+674+307+1016+18+519+7+123+128+113</f>
        <v>1150324</v>
      </c>
      <c r="O314" s="419">
        <f>+M314/N314</f>
        <v>6.8493459234094045</v>
      </c>
    </row>
    <row r="315" spans="1:15" ht="15">
      <c r="A315" s="175">
        <v>312</v>
      </c>
      <c r="B315" s="418" t="s">
        <v>268</v>
      </c>
      <c r="C315" s="338">
        <v>39010</v>
      </c>
      <c r="D315" s="354" t="s">
        <v>455</v>
      </c>
      <c r="E315" s="354" t="s">
        <v>466</v>
      </c>
      <c r="F315" s="355">
        <v>249</v>
      </c>
      <c r="G315" s="355">
        <v>1</v>
      </c>
      <c r="H315" s="355">
        <v>18</v>
      </c>
      <c r="I315" s="335">
        <v>347</v>
      </c>
      <c r="J315" s="336">
        <v>128</v>
      </c>
      <c r="K315" s="356">
        <f aca="true" t="shared" si="42" ref="K315:K320">J315/G315</f>
        <v>128</v>
      </c>
      <c r="L315" s="344">
        <f t="shared" si="41"/>
        <v>2.7109375</v>
      </c>
      <c r="M315" s="347">
        <f>2091324+1603944+1186300.5+991717.5+717901+573177.5+337639.5+220215+96901+28369.5+13340+3471+3453+2097+5274.5+130+2629+49+347</f>
        <v>7878280</v>
      </c>
      <c r="N315" s="348">
        <f>295082+234355+172754+142027+106368+86447+53316+35787+14919+3959+1914+491+674+307+1016+18+519+7</f>
        <v>1149960</v>
      </c>
      <c r="O315" s="416">
        <f>IF(M315&lt;&gt;0,M315/N315,"")</f>
        <v>6.850916553619256</v>
      </c>
    </row>
    <row r="316" spans="1:15" ht="15">
      <c r="A316" s="175">
        <v>313</v>
      </c>
      <c r="B316" s="426" t="s">
        <v>268</v>
      </c>
      <c r="C316" s="385">
        <v>39010</v>
      </c>
      <c r="D316" s="384" t="s">
        <v>455</v>
      </c>
      <c r="E316" s="384" t="s">
        <v>466</v>
      </c>
      <c r="F316" s="386">
        <v>249</v>
      </c>
      <c r="G316" s="386">
        <v>1</v>
      </c>
      <c r="H316" s="386">
        <v>19</v>
      </c>
      <c r="I316" s="387">
        <v>318</v>
      </c>
      <c r="J316" s="388">
        <v>123</v>
      </c>
      <c r="K316" s="356">
        <f t="shared" si="42"/>
        <v>123</v>
      </c>
      <c r="L316" s="344">
        <f t="shared" si="41"/>
        <v>2.5853658536585367</v>
      </c>
      <c r="M316" s="389">
        <v>7878598</v>
      </c>
      <c r="N316" s="390">
        <v>1150211</v>
      </c>
      <c r="O316" s="420">
        <f>M316/N316</f>
        <v>6.849698011929985</v>
      </c>
    </row>
    <row r="317" spans="1:15" ht="15">
      <c r="A317" s="175">
        <v>314</v>
      </c>
      <c r="B317" s="415" t="s">
        <v>268</v>
      </c>
      <c r="C317" s="338">
        <v>39010</v>
      </c>
      <c r="D317" s="345" t="s">
        <v>455</v>
      </c>
      <c r="E317" s="345" t="s">
        <v>466</v>
      </c>
      <c r="F317" s="346">
        <v>249</v>
      </c>
      <c r="G317" s="346">
        <v>1</v>
      </c>
      <c r="H317" s="346">
        <v>23</v>
      </c>
      <c r="I317" s="335">
        <v>180</v>
      </c>
      <c r="J317" s="336">
        <v>60</v>
      </c>
      <c r="K317" s="356">
        <f t="shared" si="42"/>
        <v>60</v>
      </c>
      <c r="L317" s="344">
        <f t="shared" si="41"/>
        <v>3</v>
      </c>
      <c r="M317" s="347">
        <f>2091324+1603944+1186300.5+991717.5+717901+573177.5+337639.5+220215+96901+28369.5+13340+3471+3453+2097+5274.5+130+2629+49+347+318+369+3021+100+180</f>
        <v>7882268</v>
      </c>
      <c r="N317" s="348">
        <f>295082+234355+172754+142027+106368+86447+53316+35787+14919+3959+1914+491+674+307+1016+18+519+7+123+128+113+604+12+60</f>
        <v>1151000</v>
      </c>
      <c r="O317" s="419">
        <f>+M317/N317</f>
        <v>6.848191138140747</v>
      </c>
    </row>
    <row r="318" spans="1:15" ht="15">
      <c r="A318" s="175">
        <v>315</v>
      </c>
      <c r="B318" s="415" t="s">
        <v>268</v>
      </c>
      <c r="C318" s="338">
        <v>39010</v>
      </c>
      <c r="D318" s="345" t="s">
        <v>455</v>
      </c>
      <c r="E318" s="345" t="s">
        <v>466</v>
      </c>
      <c r="F318" s="346">
        <v>249</v>
      </c>
      <c r="G318" s="346">
        <v>1</v>
      </c>
      <c r="H318" s="346">
        <v>15</v>
      </c>
      <c r="I318" s="335">
        <v>130</v>
      </c>
      <c r="J318" s="336">
        <v>18</v>
      </c>
      <c r="K318" s="356">
        <f t="shared" si="42"/>
        <v>18</v>
      </c>
      <c r="L318" s="344">
        <f t="shared" si="41"/>
        <v>7.222222222222222</v>
      </c>
      <c r="M318" s="347">
        <f>2091324+1603944+1186300.5+991717.5+717901+573177.5+337639.5+220215+96901+28369.5+13340+3471+3453+2097+5274.5+130</f>
        <v>7875255</v>
      </c>
      <c r="N318" s="348">
        <f>295082+234355+172754+142027+106368+86447+53316+35787+14919+3959+1914+491+674+307+1016+18</f>
        <v>1149434</v>
      </c>
      <c r="O318" s="416">
        <f>IF(M318&lt;&gt;0,M318/N318,"")</f>
        <v>6.851419916237035</v>
      </c>
    </row>
    <row r="319" spans="1:15" ht="15">
      <c r="A319" s="175">
        <v>316</v>
      </c>
      <c r="B319" s="415" t="s">
        <v>268</v>
      </c>
      <c r="C319" s="338">
        <v>39010</v>
      </c>
      <c r="D319" s="345" t="s">
        <v>455</v>
      </c>
      <c r="E319" s="345" t="s">
        <v>466</v>
      </c>
      <c r="F319" s="346">
        <v>249</v>
      </c>
      <c r="G319" s="346">
        <v>1</v>
      </c>
      <c r="H319" s="346">
        <v>21</v>
      </c>
      <c r="I319" s="335">
        <v>100</v>
      </c>
      <c r="J319" s="336">
        <v>12</v>
      </c>
      <c r="K319" s="356">
        <f t="shared" si="42"/>
        <v>12</v>
      </c>
      <c r="L319" s="344">
        <f t="shared" si="41"/>
        <v>8.333333333333334</v>
      </c>
      <c r="M319" s="347">
        <f>2091324+1603944+1186300.5+991717.5+717901+573177.5+337639.5+220215+96901+28369.5+13340+3471+3453+2097+5274.5+130+2629+49+347+318+369+100</f>
        <v>7879067</v>
      </c>
      <c r="N319" s="348">
        <f>295082+234355+172754+142027+106368+86447+53316+35787+14919+3959+1914+491+674+307+1016+18+519+7+123+128+113+12</f>
        <v>1150336</v>
      </c>
      <c r="O319" s="419">
        <f>+M319/N319</f>
        <v>6.849361403972405</v>
      </c>
    </row>
    <row r="320" spans="1:15" ht="15">
      <c r="A320" s="175">
        <v>317</v>
      </c>
      <c r="B320" s="415" t="s">
        <v>268</v>
      </c>
      <c r="C320" s="338">
        <v>39010</v>
      </c>
      <c r="D320" s="345" t="s">
        <v>455</v>
      </c>
      <c r="E320" s="345" t="s">
        <v>466</v>
      </c>
      <c r="F320" s="346">
        <v>249</v>
      </c>
      <c r="G320" s="346">
        <v>1</v>
      </c>
      <c r="H320" s="346">
        <v>17</v>
      </c>
      <c r="I320" s="335">
        <v>49</v>
      </c>
      <c r="J320" s="336">
        <v>7</v>
      </c>
      <c r="K320" s="356">
        <f t="shared" si="42"/>
        <v>7</v>
      </c>
      <c r="L320" s="344">
        <f t="shared" si="41"/>
        <v>7</v>
      </c>
      <c r="M320" s="347">
        <f>2091324+1603944+1186300.5+991717.5+717901+573177.5+337639.5+220215+96901+28369.5+13340+3471+3453+2097+5274.5+130+2629+49</f>
        <v>7877933</v>
      </c>
      <c r="N320" s="348">
        <f>295082+234355+172754+142027+106368+86447+53316+35787+14919+3959+1914+491+674+307+1016+18+519+7</f>
        <v>1149960</v>
      </c>
      <c r="O320" s="416">
        <f>IF(M320&lt;&gt;0,M320/N320,"")</f>
        <v>6.8506148039931825</v>
      </c>
    </row>
    <row r="321" spans="1:15" ht="15">
      <c r="A321" s="175">
        <v>318</v>
      </c>
      <c r="B321" s="421" t="s">
        <v>310</v>
      </c>
      <c r="C321" s="359">
        <v>39010</v>
      </c>
      <c r="D321" s="339" t="s">
        <v>463</v>
      </c>
      <c r="E321" s="339" t="s">
        <v>301</v>
      </c>
      <c r="F321" s="333">
        <v>1</v>
      </c>
      <c r="G321" s="333">
        <v>1</v>
      </c>
      <c r="H321" s="361">
        <v>9</v>
      </c>
      <c r="I321" s="370">
        <v>2781</v>
      </c>
      <c r="J321" s="369">
        <v>473</v>
      </c>
      <c r="K321" s="340">
        <f>IF(I321&lt;&gt;0,J321/G321,"")</f>
        <v>473</v>
      </c>
      <c r="L321" s="341">
        <f>IF(I321&lt;&gt;0,I321/J321,"")</f>
        <v>5.879492600422833</v>
      </c>
      <c r="M321" s="371">
        <v>30356</v>
      </c>
      <c r="N321" s="372">
        <v>4361</v>
      </c>
      <c r="O321" s="419">
        <f>+M321/N321</f>
        <v>6.960788809905985</v>
      </c>
    </row>
    <row r="322" spans="1:15" ht="15">
      <c r="A322" s="175">
        <v>319</v>
      </c>
      <c r="B322" s="421" t="s">
        <v>310</v>
      </c>
      <c r="C322" s="359">
        <v>39010</v>
      </c>
      <c r="D322" s="339" t="s">
        <v>463</v>
      </c>
      <c r="E322" s="339" t="s">
        <v>301</v>
      </c>
      <c r="F322" s="333">
        <v>1</v>
      </c>
      <c r="G322" s="333">
        <v>1</v>
      </c>
      <c r="H322" s="333">
        <v>12</v>
      </c>
      <c r="I322" s="370">
        <v>2615</v>
      </c>
      <c r="J322" s="369">
        <v>432</v>
      </c>
      <c r="K322" s="372">
        <f>+J322/G322</f>
        <v>432</v>
      </c>
      <c r="L322" s="391">
        <f>+I322/J322</f>
        <v>6.0532407407407405</v>
      </c>
      <c r="M322" s="371">
        <v>25734</v>
      </c>
      <c r="N322" s="372">
        <v>3625</v>
      </c>
      <c r="O322" s="416">
        <f>+M322/N322</f>
        <v>7.09903448275862</v>
      </c>
    </row>
    <row r="323" spans="1:15" ht="15">
      <c r="A323" s="175">
        <v>320</v>
      </c>
      <c r="B323" s="421" t="s">
        <v>310</v>
      </c>
      <c r="C323" s="359">
        <v>39010</v>
      </c>
      <c r="D323" s="339" t="s">
        <v>463</v>
      </c>
      <c r="E323" s="362" t="s">
        <v>301</v>
      </c>
      <c r="F323" s="333">
        <v>1</v>
      </c>
      <c r="G323" s="333">
        <v>1</v>
      </c>
      <c r="H323" s="333">
        <v>13</v>
      </c>
      <c r="I323" s="370">
        <v>1841</v>
      </c>
      <c r="J323" s="369">
        <v>263</v>
      </c>
      <c r="K323" s="356">
        <f>J323/G323</f>
        <v>263</v>
      </c>
      <c r="L323" s="344">
        <f>I323/J323</f>
        <v>7</v>
      </c>
      <c r="M323" s="371">
        <v>25734</v>
      </c>
      <c r="N323" s="372">
        <v>3625</v>
      </c>
      <c r="O323" s="419">
        <f>+M323/N323</f>
        <v>7.09903448275862</v>
      </c>
    </row>
    <row r="324" spans="1:15" ht="15">
      <c r="A324" s="175">
        <v>321</v>
      </c>
      <c r="B324" s="424" t="s">
        <v>310</v>
      </c>
      <c r="C324" s="359">
        <v>39010</v>
      </c>
      <c r="D324" s="362" t="s">
        <v>463</v>
      </c>
      <c r="E324" s="362" t="s">
        <v>301</v>
      </c>
      <c r="F324" s="361">
        <v>1</v>
      </c>
      <c r="G324" s="361">
        <v>1</v>
      </c>
      <c r="H324" s="361">
        <v>12</v>
      </c>
      <c r="I324" s="370">
        <v>1699</v>
      </c>
      <c r="J324" s="369">
        <v>308</v>
      </c>
      <c r="K324" s="348">
        <v>308</v>
      </c>
      <c r="L324" s="353">
        <v>5.516233766233766</v>
      </c>
      <c r="M324" s="371">
        <v>32002</v>
      </c>
      <c r="N324" s="372">
        <v>5334</v>
      </c>
      <c r="O324" s="420">
        <v>5.999625046869141</v>
      </c>
    </row>
    <row r="325" spans="1:15" ht="15">
      <c r="A325" s="175">
        <v>322</v>
      </c>
      <c r="B325" s="421" t="s">
        <v>310</v>
      </c>
      <c r="C325" s="359">
        <v>39010</v>
      </c>
      <c r="D325" s="339" t="s">
        <v>463</v>
      </c>
      <c r="E325" s="339" t="s">
        <v>301</v>
      </c>
      <c r="F325" s="333">
        <v>1</v>
      </c>
      <c r="G325" s="333">
        <v>1</v>
      </c>
      <c r="H325" s="333">
        <v>12</v>
      </c>
      <c r="I325" s="370">
        <v>1403</v>
      </c>
      <c r="J325" s="369">
        <v>216</v>
      </c>
      <c r="K325" s="356">
        <f aca="true" t="shared" si="43" ref="K325:K331">J325/G325</f>
        <v>216</v>
      </c>
      <c r="L325" s="344">
        <f aca="true" t="shared" si="44" ref="L325:L331">I325/J325</f>
        <v>6.49537037037037</v>
      </c>
      <c r="M325" s="371">
        <v>30303</v>
      </c>
      <c r="N325" s="372">
        <v>5026</v>
      </c>
      <c r="O325" s="423">
        <f>M325/N325</f>
        <v>6.02924791086351</v>
      </c>
    </row>
    <row r="326" spans="1:15" ht="15">
      <c r="A326" s="175">
        <v>323</v>
      </c>
      <c r="B326" s="424" t="s">
        <v>310</v>
      </c>
      <c r="C326" s="359">
        <v>39010</v>
      </c>
      <c r="D326" s="362" t="s">
        <v>463</v>
      </c>
      <c r="E326" s="362" t="s">
        <v>301</v>
      </c>
      <c r="F326" s="361">
        <v>1</v>
      </c>
      <c r="G326" s="361">
        <v>1</v>
      </c>
      <c r="H326" s="361">
        <v>11</v>
      </c>
      <c r="I326" s="370">
        <v>1100</v>
      </c>
      <c r="J326" s="369">
        <v>143</v>
      </c>
      <c r="K326" s="372">
        <f t="shared" si="43"/>
        <v>143</v>
      </c>
      <c r="L326" s="391">
        <f t="shared" si="44"/>
        <v>7.6923076923076925</v>
      </c>
      <c r="M326" s="371">
        <v>23119</v>
      </c>
      <c r="N326" s="372">
        <v>3193</v>
      </c>
      <c r="O326" s="416">
        <f>IF(M326&lt;&gt;0,M326/N326,"")</f>
        <v>7.240526150955215</v>
      </c>
    </row>
    <row r="327" spans="1:15" ht="15">
      <c r="A327" s="175">
        <v>324</v>
      </c>
      <c r="B327" s="421" t="s">
        <v>310</v>
      </c>
      <c r="C327" s="359">
        <v>39010</v>
      </c>
      <c r="D327" s="339" t="s">
        <v>463</v>
      </c>
      <c r="E327" s="339" t="s">
        <v>301</v>
      </c>
      <c r="F327" s="333">
        <v>1</v>
      </c>
      <c r="G327" s="333">
        <v>1</v>
      </c>
      <c r="H327" s="361">
        <v>10</v>
      </c>
      <c r="I327" s="335">
        <v>945</v>
      </c>
      <c r="J327" s="336">
        <v>188</v>
      </c>
      <c r="K327" s="350">
        <f t="shared" si="43"/>
        <v>188</v>
      </c>
      <c r="L327" s="351">
        <f t="shared" si="44"/>
        <v>5.026595744680851</v>
      </c>
      <c r="M327" s="347">
        <v>31301</v>
      </c>
      <c r="N327" s="348">
        <v>4549</v>
      </c>
      <c r="O327" s="419">
        <f>+M327/N327</f>
        <v>6.8808529347109255</v>
      </c>
    </row>
    <row r="328" spans="1:15" ht="15">
      <c r="A328" s="175">
        <v>325</v>
      </c>
      <c r="B328" s="421" t="s">
        <v>310</v>
      </c>
      <c r="C328" s="359">
        <v>39010</v>
      </c>
      <c r="D328" s="339" t="s">
        <v>463</v>
      </c>
      <c r="E328" s="339" t="s">
        <v>301</v>
      </c>
      <c r="F328" s="333">
        <v>1</v>
      </c>
      <c r="G328" s="333">
        <v>1</v>
      </c>
      <c r="H328" s="361">
        <v>11</v>
      </c>
      <c r="I328" s="370">
        <v>405</v>
      </c>
      <c r="J328" s="369">
        <v>81</v>
      </c>
      <c r="K328" s="372">
        <f t="shared" si="43"/>
        <v>81</v>
      </c>
      <c r="L328" s="391">
        <f t="shared" si="44"/>
        <v>5</v>
      </c>
      <c r="M328" s="371">
        <v>31706</v>
      </c>
      <c r="N328" s="372">
        <v>4630</v>
      </c>
      <c r="O328" s="419">
        <f>+M328/N328</f>
        <v>6.847948164146868</v>
      </c>
    </row>
    <row r="329" spans="1:15" ht="15">
      <c r="A329" s="175">
        <v>326</v>
      </c>
      <c r="B329" s="417" t="s">
        <v>115</v>
      </c>
      <c r="C329" s="338">
        <v>39010</v>
      </c>
      <c r="D329" s="337" t="s">
        <v>277</v>
      </c>
      <c r="E329" s="337" t="s">
        <v>79</v>
      </c>
      <c r="F329" s="334">
        <v>4</v>
      </c>
      <c r="G329" s="334">
        <v>4</v>
      </c>
      <c r="H329" s="334">
        <v>23</v>
      </c>
      <c r="I329" s="335">
        <v>4558</v>
      </c>
      <c r="J329" s="336">
        <v>1133</v>
      </c>
      <c r="K329" s="348">
        <f t="shared" si="43"/>
        <v>283.25</v>
      </c>
      <c r="L329" s="353">
        <f t="shared" si="44"/>
        <v>4.022947925860548</v>
      </c>
      <c r="M329" s="347">
        <f>29917+16679+11125+3878+2666+4428+2241.5+1511+3063+970+820+1894+1723+1526+175+2339+1780+357.5+159+2083+351+2852+254+4558</f>
        <v>97350</v>
      </c>
      <c r="N329" s="348">
        <f>3239+2157+1429+524+500+1570+699+278+431+179+191+394+386+373+27+447+445+84+37+384+51+713+37+1133</f>
        <v>15708</v>
      </c>
      <c r="O329" s="420">
        <f>M329/N329</f>
        <v>6.197478991596639</v>
      </c>
    </row>
    <row r="330" spans="1:15" ht="15">
      <c r="A330" s="175">
        <v>327</v>
      </c>
      <c r="B330" s="418" t="s">
        <v>115</v>
      </c>
      <c r="C330" s="338">
        <v>39010</v>
      </c>
      <c r="D330" s="357" t="s">
        <v>277</v>
      </c>
      <c r="E330" s="352" t="s">
        <v>79</v>
      </c>
      <c r="F330" s="358">
        <v>4</v>
      </c>
      <c r="G330" s="358">
        <v>1</v>
      </c>
      <c r="H330" s="358">
        <v>21</v>
      </c>
      <c r="I330" s="335">
        <v>2852</v>
      </c>
      <c r="J330" s="336">
        <v>713</v>
      </c>
      <c r="K330" s="348">
        <f t="shared" si="43"/>
        <v>713</v>
      </c>
      <c r="L330" s="353">
        <f t="shared" si="44"/>
        <v>4</v>
      </c>
      <c r="M330" s="347">
        <f>29917+16679+11125+3878+2666+4428+2241.5+1511+3063+970+820+1894+1723+1526+175+2339+1780+357.5+159+2083+351+2852</f>
        <v>92538</v>
      </c>
      <c r="N330" s="348">
        <f>3239+2157+1429+524+500+1570+699+278+431+179+191+394+386+373+27+447+445+84+37+384+51+713</f>
        <v>14538</v>
      </c>
      <c r="O330" s="420">
        <f>M330/N330</f>
        <v>6.365249690466364</v>
      </c>
    </row>
    <row r="331" spans="1:15" ht="15">
      <c r="A331" s="175">
        <v>328</v>
      </c>
      <c r="B331" s="418" t="s">
        <v>115</v>
      </c>
      <c r="C331" s="338">
        <v>39010</v>
      </c>
      <c r="D331" s="357" t="s">
        <v>277</v>
      </c>
      <c r="E331" s="352" t="s">
        <v>79</v>
      </c>
      <c r="F331" s="358">
        <v>4</v>
      </c>
      <c r="G331" s="358">
        <v>3</v>
      </c>
      <c r="H331" s="358">
        <v>15</v>
      </c>
      <c r="I331" s="335">
        <v>2339</v>
      </c>
      <c r="J331" s="336">
        <v>447</v>
      </c>
      <c r="K331" s="356">
        <f t="shared" si="43"/>
        <v>149</v>
      </c>
      <c r="L331" s="344">
        <f t="shared" si="44"/>
        <v>5.232662192393736</v>
      </c>
      <c r="M331" s="347">
        <f>29917+16679+11125+3878+2666+4428+2241.5+1511+3063+970+820+1894+1723+1526+175+2339</f>
        <v>84955.5</v>
      </c>
      <c r="N331" s="348">
        <f>3239+2157+1429+524+500+1570+699+278+431+179+191+394+386+373+27+447</f>
        <v>12824</v>
      </c>
      <c r="O331" s="419">
        <f>+M331/N331</f>
        <v>6.624727074235808</v>
      </c>
    </row>
    <row r="332" spans="1:15" ht="15">
      <c r="A332" s="175">
        <v>329</v>
      </c>
      <c r="B332" s="418" t="s">
        <v>115</v>
      </c>
      <c r="C332" s="338">
        <v>39010</v>
      </c>
      <c r="D332" s="357" t="s">
        <v>277</v>
      </c>
      <c r="E332" s="352" t="s">
        <v>79</v>
      </c>
      <c r="F332" s="358">
        <v>4</v>
      </c>
      <c r="G332" s="358">
        <v>3</v>
      </c>
      <c r="H332" s="358">
        <v>19</v>
      </c>
      <c r="I332" s="335">
        <v>2083</v>
      </c>
      <c r="J332" s="336">
        <v>384</v>
      </c>
      <c r="K332" s="340">
        <f>IF(I332&lt;&gt;0,J332/G332,"")</f>
        <v>128</v>
      </c>
      <c r="L332" s="341">
        <f>IF(I332&lt;&gt;0,I332/J332,"")</f>
        <v>5.424479166666667</v>
      </c>
      <c r="M332" s="347">
        <f>29917+16679+11125+3878+2666+4428+2241.5+1511+3063+970+820+1894+1723+1526+175+2339+1780+357.5+159+2083</f>
        <v>89335</v>
      </c>
      <c r="N332" s="348">
        <f>3239+2157+1429+524+500+1570+699+278+431+179+191+394+386+373+27+447+445+84+37+384</f>
        <v>13774</v>
      </c>
      <c r="O332" s="416">
        <f>IF(M332&lt;&gt;0,M332/N332,"")</f>
        <v>6.485770291854218</v>
      </c>
    </row>
    <row r="333" spans="1:15" ht="15">
      <c r="A333" s="175">
        <v>330</v>
      </c>
      <c r="B333" s="418" t="s">
        <v>115</v>
      </c>
      <c r="C333" s="338">
        <v>39010</v>
      </c>
      <c r="D333" s="357" t="s">
        <v>277</v>
      </c>
      <c r="E333" s="352" t="s">
        <v>79</v>
      </c>
      <c r="F333" s="358">
        <v>4</v>
      </c>
      <c r="G333" s="358">
        <v>3</v>
      </c>
      <c r="H333" s="358">
        <v>11</v>
      </c>
      <c r="I333" s="335">
        <v>1894</v>
      </c>
      <c r="J333" s="336">
        <v>394</v>
      </c>
      <c r="K333" s="348">
        <f>J333/G333</f>
        <v>131.33333333333334</v>
      </c>
      <c r="L333" s="353">
        <f aca="true" t="shared" si="45" ref="L333:L351">I333/J333</f>
        <v>4.807106598984771</v>
      </c>
      <c r="M333" s="347">
        <f>29917+16679+11125+3878+2666+4428+2241.5+1511+3063+970+820+1894</f>
        <v>79192.5</v>
      </c>
      <c r="N333" s="348">
        <f>3239+2157+1429+524+500+1570+699+278+431+179+191+394</f>
        <v>11591</v>
      </c>
      <c r="O333" s="416">
        <f>IF(M333&lt;&gt;0,M333/N333,"")</f>
        <v>6.832240531446812</v>
      </c>
    </row>
    <row r="334" spans="1:15" ht="15">
      <c r="A334" s="175">
        <v>331</v>
      </c>
      <c r="B334" s="418" t="s">
        <v>115</v>
      </c>
      <c r="C334" s="338">
        <v>39010</v>
      </c>
      <c r="D334" s="357" t="s">
        <v>277</v>
      </c>
      <c r="E334" s="352" t="s">
        <v>79</v>
      </c>
      <c r="F334" s="358">
        <v>4</v>
      </c>
      <c r="G334" s="358">
        <v>1</v>
      </c>
      <c r="H334" s="358">
        <v>16</v>
      </c>
      <c r="I334" s="335">
        <v>1780</v>
      </c>
      <c r="J334" s="336">
        <v>445</v>
      </c>
      <c r="K334" s="356">
        <f>J334/G334</f>
        <v>445</v>
      </c>
      <c r="L334" s="344">
        <f t="shared" si="45"/>
        <v>4</v>
      </c>
      <c r="M334" s="347">
        <f>29917+16679+11125+3878+2666+4428+2241.5+1511+3063+970+820+1894+1723+1526+175+2339+1780</f>
        <v>86735.5</v>
      </c>
      <c r="N334" s="348">
        <f>3239+2157+1429+524+500+1570+699+278+431+179+191+394+386+373+27+447+445</f>
        <v>13269</v>
      </c>
      <c r="O334" s="420">
        <f>M334/N334</f>
        <v>6.536702087572538</v>
      </c>
    </row>
    <row r="335" spans="1:15" ht="15">
      <c r="A335" s="175">
        <v>332</v>
      </c>
      <c r="B335" s="417" t="s">
        <v>115</v>
      </c>
      <c r="C335" s="338">
        <v>39010</v>
      </c>
      <c r="D335" s="337" t="s">
        <v>277</v>
      </c>
      <c r="E335" s="337" t="s">
        <v>79</v>
      </c>
      <c r="F335" s="334">
        <v>4</v>
      </c>
      <c r="G335" s="334">
        <v>4</v>
      </c>
      <c r="H335" s="334">
        <v>8</v>
      </c>
      <c r="I335" s="335">
        <v>1723</v>
      </c>
      <c r="J335" s="336">
        <v>386</v>
      </c>
      <c r="K335" s="350">
        <f>J335/G335</f>
        <v>96.5</v>
      </c>
      <c r="L335" s="351">
        <f t="shared" si="45"/>
        <v>4.463730569948186</v>
      </c>
      <c r="M335" s="347">
        <f>29917+16679+11125+3878+2666+4428+2241.5+1511+3063+970+820+1894+1723</f>
        <v>80915.5</v>
      </c>
      <c r="N335" s="348">
        <f>3239+2157+1429+524+500+1570+699+278+431+179+191+394+386</f>
        <v>11977</v>
      </c>
      <c r="O335" s="420">
        <f>M335/N335</f>
        <v>6.755907155381148</v>
      </c>
    </row>
    <row r="336" spans="1:15" ht="15">
      <c r="A336" s="175">
        <v>333</v>
      </c>
      <c r="B336" s="418" t="s">
        <v>115</v>
      </c>
      <c r="C336" s="338">
        <v>39010</v>
      </c>
      <c r="D336" s="357" t="s">
        <v>277</v>
      </c>
      <c r="E336" s="352" t="s">
        <v>79</v>
      </c>
      <c r="F336" s="358">
        <v>4</v>
      </c>
      <c r="G336" s="358">
        <v>3</v>
      </c>
      <c r="H336" s="358">
        <v>30</v>
      </c>
      <c r="I336" s="335">
        <v>1545.5</v>
      </c>
      <c r="J336" s="336">
        <v>304</v>
      </c>
      <c r="K336" s="348">
        <f>J336/G336</f>
        <v>101.33333333333333</v>
      </c>
      <c r="L336" s="353">
        <f t="shared" si="45"/>
        <v>5.083881578947368</v>
      </c>
      <c r="M336" s="347">
        <f>29917+16679+11125+3878+2666+4428+2241.5+1511+3063+970+820+1894+1723+1526+175+2339+1780+357.5+159+2083+351+2852+254+4558+1188+832+592+952+948+1188+1545.5</f>
        <v>104595.5</v>
      </c>
      <c r="N336" s="348">
        <f>3239+2157+1429+524+500+1570+699+278+431+179+191+394+386+373+27+447+445+84+37+384+51+713+37+1133+297+208+148+238+237+297+304</f>
        <v>17437</v>
      </c>
      <c r="O336" s="420">
        <f>M336/N336</f>
        <v>5.998480243161095</v>
      </c>
    </row>
    <row r="337" spans="1:15" ht="15">
      <c r="A337" s="175">
        <v>334</v>
      </c>
      <c r="B337" s="418" t="s">
        <v>115</v>
      </c>
      <c r="C337" s="338">
        <v>39010</v>
      </c>
      <c r="D337" s="357" t="s">
        <v>277</v>
      </c>
      <c r="E337" s="352" t="s">
        <v>79</v>
      </c>
      <c r="F337" s="358">
        <v>4</v>
      </c>
      <c r="G337" s="358">
        <v>3</v>
      </c>
      <c r="H337" s="358">
        <v>13</v>
      </c>
      <c r="I337" s="335">
        <v>1526</v>
      </c>
      <c r="J337" s="336">
        <v>373</v>
      </c>
      <c r="K337" s="340">
        <f>+J337/G337</f>
        <v>124.33333333333333</v>
      </c>
      <c r="L337" s="344">
        <f t="shared" si="45"/>
        <v>4.091152815013404</v>
      </c>
      <c r="M337" s="347">
        <f>29917+16679+11125+3878+2666+4428+2241.5+1511+3063+970+820+1894+1723+1526</f>
        <v>82441.5</v>
      </c>
      <c r="N337" s="348">
        <f>3239+2157+1429+524+500+1570+699+278+431+179+191+394+386+373</f>
        <v>12350</v>
      </c>
      <c r="O337" s="419">
        <f>+M337/N337</f>
        <v>6.675425101214575</v>
      </c>
    </row>
    <row r="338" spans="1:15" ht="15">
      <c r="A338" s="175">
        <v>335</v>
      </c>
      <c r="B338" s="418" t="s">
        <v>115</v>
      </c>
      <c r="C338" s="338">
        <v>39010</v>
      </c>
      <c r="D338" s="357" t="s">
        <v>277</v>
      </c>
      <c r="E338" s="352" t="s">
        <v>79</v>
      </c>
      <c r="F338" s="358">
        <v>4</v>
      </c>
      <c r="G338" s="358">
        <v>1</v>
      </c>
      <c r="H338" s="358">
        <v>24</v>
      </c>
      <c r="I338" s="335">
        <v>1188</v>
      </c>
      <c r="J338" s="336">
        <v>297</v>
      </c>
      <c r="K338" s="356">
        <f aca="true" t="shared" si="46" ref="K338:K351">J338/G338</f>
        <v>297</v>
      </c>
      <c r="L338" s="344">
        <f t="shared" si="45"/>
        <v>4</v>
      </c>
      <c r="M338" s="347">
        <f>29917+16679+11125+3878+2666+4428+2241.5+1511+3063+970+820+1894+1723+1526+175+2339+1780+357.5+159+2083+351+2852+254+4558+1188</f>
        <v>98538</v>
      </c>
      <c r="N338" s="348">
        <f>3239+2157+1429+524+500+1570+699+278+431+179+191+394+386+373+27+447+445+84+37+384+51+713+37+1133+297</f>
        <v>16005</v>
      </c>
      <c r="O338" s="420">
        <f>M338/N338</f>
        <v>6.156701030927835</v>
      </c>
    </row>
    <row r="339" spans="1:15" ht="15">
      <c r="A339" s="175">
        <v>336</v>
      </c>
      <c r="B339" s="418" t="s">
        <v>115</v>
      </c>
      <c r="C339" s="338">
        <v>39010</v>
      </c>
      <c r="D339" s="357" t="s">
        <v>277</v>
      </c>
      <c r="E339" s="352" t="s">
        <v>79</v>
      </c>
      <c r="F339" s="358">
        <v>4</v>
      </c>
      <c r="G339" s="358">
        <v>1</v>
      </c>
      <c r="H339" s="358">
        <v>29</v>
      </c>
      <c r="I339" s="335">
        <v>1188</v>
      </c>
      <c r="J339" s="336">
        <v>297</v>
      </c>
      <c r="K339" s="348">
        <f t="shared" si="46"/>
        <v>297</v>
      </c>
      <c r="L339" s="353">
        <f t="shared" si="45"/>
        <v>4</v>
      </c>
      <c r="M339" s="347">
        <f>29917+16679+11125+3878+2666+4428+2241.5+1511+3063+970+820+1894+1723+1526+175+2339+1780+357.5+159+2083+351+2852+254+4558+1188+832+592+952+948+1188</f>
        <v>103050</v>
      </c>
      <c r="N339" s="348">
        <f>3239+2157+1429+524+500+1570+699+278+431+179+191+394+386+373+27+447+445+84+37+384+51+713+37+1133+297+208+148+238+237+297</f>
        <v>17133</v>
      </c>
      <c r="O339" s="420">
        <f>M339/N339</f>
        <v>6.014708457362984</v>
      </c>
    </row>
    <row r="340" spans="1:15" ht="15">
      <c r="A340" s="175">
        <v>337</v>
      </c>
      <c r="B340" s="422" t="s">
        <v>115</v>
      </c>
      <c r="C340" s="338">
        <v>39010</v>
      </c>
      <c r="D340" s="349" t="s">
        <v>277</v>
      </c>
      <c r="E340" s="349" t="s">
        <v>79</v>
      </c>
      <c r="F340" s="368">
        <v>4</v>
      </c>
      <c r="G340" s="355">
        <v>1</v>
      </c>
      <c r="H340" s="368">
        <v>31</v>
      </c>
      <c r="I340" s="331">
        <v>1188</v>
      </c>
      <c r="J340" s="332">
        <v>297</v>
      </c>
      <c r="K340" s="356">
        <f t="shared" si="46"/>
        <v>297</v>
      </c>
      <c r="L340" s="344">
        <f t="shared" si="45"/>
        <v>4</v>
      </c>
      <c r="M340" s="342">
        <v>106375.5</v>
      </c>
      <c r="N340" s="343">
        <v>17882</v>
      </c>
      <c r="O340" s="419">
        <f>+M340/N340</f>
        <v>5.948747343697573</v>
      </c>
    </row>
    <row r="341" spans="1:15" ht="15">
      <c r="A341" s="175">
        <v>338</v>
      </c>
      <c r="B341" s="418" t="s">
        <v>115</v>
      </c>
      <c r="C341" s="338">
        <v>39010</v>
      </c>
      <c r="D341" s="357" t="s">
        <v>277</v>
      </c>
      <c r="E341" s="352" t="s">
        <v>79</v>
      </c>
      <c r="F341" s="358">
        <v>4</v>
      </c>
      <c r="G341" s="358">
        <v>1</v>
      </c>
      <c r="H341" s="358">
        <v>27</v>
      </c>
      <c r="I341" s="335">
        <v>952</v>
      </c>
      <c r="J341" s="336">
        <v>238</v>
      </c>
      <c r="K341" s="356">
        <f t="shared" si="46"/>
        <v>238</v>
      </c>
      <c r="L341" s="353">
        <f t="shared" si="45"/>
        <v>4</v>
      </c>
      <c r="M341" s="347">
        <f>29917+16679+11125+3878+2666+4428+2241.5+1511+3063+970+820+1894+1723+1526+175+2339+1780+357.5+159+2083+351+2852+254+4558+1188+832+592+952</f>
        <v>100914</v>
      </c>
      <c r="N341" s="348">
        <f>3239+2157+1429+524+500+1570+699+278+431+179+191+394+386+373+27+447+445+84+37+384+51+713+37+1133+297+208+148+238</f>
        <v>16599</v>
      </c>
      <c r="O341" s="419">
        <f>+M341/N341</f>
        <v>6.079522862823062</v>
      </c>
    </row>
    <row r="342" spans="1:15" ht="15">
      <c r="A342" s="175">
        <v>339</v>
      </c>
      <c r="B342" s="418" t="s">
        <v>115</v>
      </c>
      <c r="C342" s="338">
        <v>39010</v>
      </c>
      <c r="D342" s="357" t="s">
        <v>277</v>
      </c>
      <c r="E342" s="352" t="s">
        <v>79</v>
      </c>
      <c r="F342" s="358">
        <v>4</v>
      </c>
      <c r="G342" s="358">
        <v>2</v>
      </c>
      <c r="H342" s="358">
        <v>28</v>
      </c>
      <c r="I342" s="335">
        <v>948</v>
      </c>
      <c r="J342" s="336">
        <v>237</v>
      </c>
      <c r="K342" s="348">
        <f t="shared" si="46"/>
        <v>118.5</v>
      </c>
      <c r="L342" s="353">
        <f t="shared" si="45"/>
        <v>4</v>
      </c>
      <c r="M342" s="347">
        <f>29917+16679+11125+3878+2666+4428+2241.5+1511+3063+970+820+1894+1723+1526+175+2339+1780+357.5+159+2083+351+2852+254+4558+1188+832+592+952+948</f>
        <v>101862</v>
      </c>
      <c r="N342" s="348">
        <f>3239+2157+1429+524+500+1570+699+278+431+179+191+394+386+373+27+447+445+84+37+384+51+713+37+1133+297+208+148+238+237</f>
        <v>16836</v>
      </c>
      <c r="O342" s="420">
        <f>M342/N342</f>
        <v>6.050249465431219</v>
      </c>
    </row>
    <row r="343" spans="1:15" ht="15">
      <c r="A343" s="175">
        <v>340</v>
      </c>
      <c r="B343" s="418" t="s">
        <v>115</v>
      </c>
      <c r="C343" s="338">
        <v>39010</v>
      </c>
      <c r="D343" s="357" t="s">
        <v>277</v>
      </c>
      <c r="E343" s="352" t="s">
        <v>79</v>
      </c>
      <c r="F343" s="358">
        <v>4</v>
      </c>
      <c r="G343" s="358">
        <v>1</v>
      </c>
      <c r="H343" s="358">
        <v>25</v>
      </c>
      <c r="I343" s="335">
        <v>832</v>
      </c>
      <c r="J343" s="336">
        <v>208</v>
      </c>
      <c r="K343" s="356">
        <f t="shared" si="46"/>
        <v>208</v>
      </c>
      <c r="L343" s="344">
        <f t="shared" si="45"/>
        <v>4</v>
      </c>
      <c r="M343" s="347">
        <f>29917+16679+11125+3878+2666+4428+2241.5+1511+3063+970+820+1894+1723+1526+175+2339+1780+357.5+159+2083+351+2852+254+4558+1188+832</f>
        <v>99370</v>
      </c>
      <c r="N343" s="348">
        <f>3239+2157+1429+524+500+1570+699+278+431+179+191+394+386+373+27+447+445+84+37+384+51+713+37+1133+297+208</f>
        <v>16213</v>
      </c>
      <c r="O343" s="419">
        <f>+M343/N343</f>
        <v>6.129032258064516</v>
      </c>
    </row>
    <row r="344" spans="1:15" ht="15">
      <c r="A344" s="175">
        <v>341</v>
      </c>
      <c r="B344" s="418" t="s">
        <v>115</v>
      </c>
      <c r="C344" s="338">
        <v>39010</v>
      </c>
      <c r="D344" s="357" t="s">
        <v>277</v>
      </c>
      <c r="E344" s="352" t="s">
        <v>79</v>
      </c>
      <c r="F344" s="358">
        <v>4</v>
      </c>
      <c r="G344" s="358">
        <v>1</v>
      </c>
      <c r="H344" s="358">
        <v>26</v>
      </c>
      <c r="I344" s="335">
        <v>592</v>
      </c>
      <c r="J344" s="336">
        <v>148</v>
      </c>
      <c r="K344" s="356">
        <f t="shared" si="46"/>
        <v>148</v>
      </c>
      <c r="L344" s="344">
        <f t="shared" si="45"/>
        <v>4</v>
      </c>
      <c r="M344" s="347">
        <f>29917+16679+11125+3878+2666+4428+2241.5+1511+3063+970+820+1894+1723+1526+175+2339+1780+357.5+159+2083+351+2852+254+4558+1188+832+592</f>
        <v>99962</v>
      </c>
      <c r="N344" s="348">
        <f>3239+2157+1429+524+500+1570+699+278+431+179+191+394+386+373+27+447+445+84+37+384+51+713+37+1133+297+208+148</f>
        <v>16361</v>
      </c>
      <c r="O344" s="419">
        <f>+M344/N344</f>
        <v>6.109773241244422</v>
      </c>
    </row>
    <row r="345" spans="1:15" ht="15">
      <c r="A345" s="175">
        <v>342</v>
      </c>
      <c r="B345" s="418" t="s">
        <v>115</v>
      </c>
      <c r="C345" s="338">
        <v>39010</v>
      </c>
      <c r="D345" s="357" t="s">
        <v>277</v>
      </c>
      <c r="E345" s="352" t="s">
        <v>79</v>
      </c>
      <c r="F345" s="358">
        <v>4</v>
      </c>
      <c r="G345" s="358">
        <v>1</v>
      </c>
      <c r="H345" s="358">
        <v>31</v>
      </c>
      <c r="I345" s="335">
        <v>592</v>
      </c>
      <c r="J345" s="336">
        <v>148</v>
      </c>
      <c r="K345" s="348">
        <f t="shared" si="46"/>
        <v>148</v>
      </c>
      <c r="L345" s="353">
        <f t="shared" si="45"/>
        <v>4</v>
      </c>
      <c r="M345" s="347">
        <f>29917+16679+11125+3878+2666+4428+2241.5+1511+3063+970+820+1894+1723+1526+175+2339+1780+357.5+159+2083+351+2852+254+4558+1188+832+592+952+948+1188+1545.5+592</f>
        <v>105187.5</v>
      </c>
      <c r="N345" s="348">
        <f>3239+2157+1429+524+500+1570+699+278+431+179+191+394+386+373+27+447+445+84+37+384+51+713+37+1133+297+208+148+238+237+297+304+148</f>
        <v>17585</v>
      </c>
      <c r="O345" s="420">
        <f>M345/N345</f>
        <v>5.9816605061131645</v>
      </c>
    </row>
    <row r="346" spans="1:15" ht="15">
      <c r="A346" s="175">
        <v>343</v>
      </c>
      <c r="B346" s="418" t="s">
        <v>115</v>
      </c>
      <c r="C346" s="338">
        <v>39010</v>
      </c>
      <c r="D346" s="357" t="s">
        <v>277</v>
      </c>
      <c r="E346" s="352" t="s">
        <v>79</v>
      </c>
      <c r="F346" s="358">
        <v>4</v>
      </c>
      <c r="G346" s="358">
        <v>2</v>
      </c>
      <c r="H346" s="358">
        <v>17</v>
      </c>
      <c r="I346" s="335">
        <v>357.5</v>
      </c>
      <c r="J346" s="336">
        <v>84</v>
      </c>
      <c r="K346" s="348">
        <f t="shared" si="46"/>
        <v>42</v>
      </c>
      <c r="L346" s="353">
        <f t="shared" si="45"/>
        <v>4.255952380952381</v>
      </c>
      <c r="M346" s="347">
        <f>29917+16679+11125+3878+2666+4428+2241.5+1511+3063+970+820+1894+1723+1526+175+2339+1780+357.5</f>
        <v>87093</v>
      </c>
      <c r="N346" s="348">
        <f>3239+2157+1429+524+500+1570+699+278+431+179+191+394+386+373+27+447+445+84</f>
        <v>13353</v>
      </c>
      <c r="O346" s="420">
        <f>M346/N346</f>
        <v>6.522354527072568</v>
      </c>
    </row>
    <row r="347" spans="1:15" ht="15">
      <c r="A347" s="175">
        <v>344</v>
      </c>
      <c r="B347" s="418" t="s">
        <v>115</v>
      </c>
      <c r="C347" s="338">
        <v>39010</v>
      </c>
      <c r="D347" s="357" t="s">
        <v>277</v>
      </c>
      <c r="E347" s="352" t="s">
        <v>79</v>
      </c>
      <c r="F347" s="358">
        <v>4</v>
      </c>
      <c r="G347" s="358">
        <v>2</v>
      </c>
      <c r="H347" s="358">
        <v>20</v>
      </c>
      <c r="I347" s="335">
        <v>351</v>
      </c>
      <c r="J347" s="336">
        <v>51</v>
      </c>
      <c r="K347" s="356">
        <f t="shared" si="46"/>
        <v>25.5</v>
      </c>
      <c r="L347" s="344">
        <f t="shared" si="45"/>
        <v>6.882352941176471</v>
      </c>
      <c r="M347" s="347">
        <f>29917+16679+11125+3878+2666+4428+2241.5+1511+3063+970+820+1894+1723+1526+175+2339+1780+357.5+159+2083+351</f>
        <v>89686</v>
      </c>
      <c r="N347" s="348">
        <f>3239+2157+1429+524+500+1570+699+278+431+179+191+394+386+373+27+447+445+84+37+384+51</f>
        <v>13825</v>
      </c>
      <c r="O347" s="419">
        <f>+M347/N347</f>
        <v>6.487233273056058</v>
      </c>
    </row>
    <row r="348" spans="1:15" ht="15">
      <c r="A348" s="175">
        <v>345</v>
      </c>
      <c r="B348" s="418" t="s">
        <v>115</v>
      </c>
      <c r="C348" s="338">
        <v>39010</v>
      </c>
      <c r="D348" s="354" t="s">
        <v>277</v>
      </c>
      <c r="E348" s="354" t="s">
        <v>79</v>
      </c>
      <c r="F348" s="355">
        <v>4</v>
      </c>
      <c r="G348" s="355">
        <v>1</v>
      </c>
      <c r="H348" s="355">
        <v>22</v>
      </c>
      <c r="I348" s="335">
        <v>254</v>
      </c>
      <c r="J348" s="336">
        <v>37</v>
      </c>
      <c r="K348" s="356">
        <f t="shared" si="46"/>
        <v>37</v>
      </c>
      <c r="L348" s="344">
        <f t="shared" si="45"/>
        <v>6.864864864864865</v>
      </c>
      <c r="M348" s="347">
        <f>29917+16679+11125+3878+2666+4428+2241.5+1511+3063+970+820+1894+1723+1526+175+2339+1780+357.5+159+2083+351+2852+254</f>
        <v>92792</v>
      </c>
      <c r="N348" s="348">
        <f>3239+2157+1429+524+500+1570+699+278+431+179+191+394+386+373+27+447+445+84+37+384+51+713+37</f>
        <v>14575</v>
      </c>
      <c r="O348" s="416">
        <f>IF(M348&lt;&gt;0,M348/N348,"")</f>
        <v>6.366518010291595</v>
      </c>
    </row>
    <row r="349" spans="1:15" ht="15">
      <c r="A349" s="175">
        <v>346</v>
      </c>
      <c r="B349" s="418" t="s">
        <v>115</v>
      </c>
      <c r="C349" s="338">
        <v>39010</v>
      </c>
      <c r="D349" s="357" t="s">
        <v>277</v>
      </c>
      <c r="E349" s="352" t="s">
        <v>79</v>
      </c>
      <c r="F349" s="358">
        <v>4</v>
      </c>
      <c r="G349" s="358">
        <v>2</v>
      </c>
      <c r="H349" s="358">
        <v>13</v>
      </c>
      <c r="I349" s="335">
        <v>175</v>
      </c>
      <c r="J349" s="336">
        <v>27</v>
      </c>
      <c r="K349" s="348">
        <f t="shared" si="46"/>
        <v>13.5</v>
      </c>
      <c r="L349" s="353">
        <f t="shared" si="45"/>
        <v>6.481481481481482</v>
      </c>
      <c r="M349" s="347">
        <f>29917+16679+11125+3878+2666+4428+2241.5+1511+3063+970+820+1894+1723+1526+175</f>
        <v>82616.5</v>
      </c>
      <c r="N349" s="348">
        <f>3239+2157+1429+524+500+1570+699+278+431+179+191+394+386+373+27</f>
        <v>12377</v>
      </c>
      <c r="O349" s="420">
        <f>M349/N349</f>
        <v>6.675002019875576</v>
      </c>
    </row>
    <row r="350" spans="1:15" ht="15">
      <c r="A350" s="175">
        <v>347</v>
      </c>
      <c r="B350" s="418" t="s">
        <v>115</v>
      </c>
      <c r="C350" s="338">
        <v>39010</v>
      </c>
      <c r="D350" s="357" t="s">
        <v>277</v>
      </c>
      <c r="E350" s="352" t="s">
        <v>79</v>
      </c>
      <c r="F350" s="358">
        <v>4</v>
      </c>
      <c r="G350" s="358">
        <v>1</v>
      </c>
      <c r="H350" s="358">
        <v>18</v>
      </c>
      <c r="I350" s="335">
        <v>159</v>
      </c>
      <c r="J350" s="336">
        <v>37</v>
      </c>
      <c r="K350" s="348">
        <f t="shared" si="46"/>
        <v>37</v>
      </c>
      <c r="L350" s="353">
        <f t="shared" si="45"/>
        <v>4.297297297297297</v>
      </c>
      <c r="M350" s="347">
        <f>29917+16679+11125+3878+2666+4428+2241.5+1511+3063+970+820+1894+1723+1526+175+2339+1780+357.5+159</f>
        <v>87252</v>
      </c>
      <c r="N350" s="348">
        <f>3239+2157+1429+524+500+1570+699+278+431+179+191+394+386+373+27+447+445+84+37</f>
        <v>13390</v>
      </c>
      <c r="O350" s="416">
        <f>IF(M350&lt;&gt;0,M350/N350,"")</f>
        <v>6.516206123973114</v>
      </c>
    </row>
    <row r="351" spans="1:15" ht="15">
      <c r="A351" s="175">
        <v>348</v>
      </c>
      <c r="B351" s="415" t="s">
        <v>202</v>
      </c>
      <c r="C351" s="338">
        <v>39024</v>
      </c>
      <c r="D351" s="345" t="s">
        <v>455</v>
      </c>
      <c r="E351" s="345" t="s">
        <v>298</v>
      </c>
      <c r="F351" s="346">
        <v>77</v>
      </c>
      <c r="G351" s="346">
        <v>2</v>
      </c>
      <c r="H351" s="346">
        <v>14</v>
      </c>
      <c r="I351" s="335">
        <v>5313</v>
      </c>
      <c r="J351" s="336">
        <v>1142</v>
      </c>
      <c r="K351" s="356">
        <f t="shared" si="46"/>
        <v>571</v>
      </c>
      <c r="L351" s="344">
        <f t="shared" si="45"/>
        <v>4.6523642732049035</v>
      </c>
      <c r="M351" s="347">
        <f>530823.5+393324.5+246673+142047.5+90279+66707.5+37936.5+13029.5+1598+2927+1434+1198+3126+1126+5313</f>
        <v>1537543</v>
      </c>
      <c r="N351" s="348">
        <f>72012+52585+34010+23715+16736+14148+8160+2798+301+723+591+434+289+363+1142</f>
        <v>228007</v>
      </c>
      <c r="O351" s="416">
        <f>IF(M351&lt;&gt;0,M351/N351,"")</f>
        <v>6.743402614832001</v>
      </c>
    </row>
    <row r="352" spans="1:15" ht="15">
      <c r="A352" s="175">
        <v>349</v>
      </c>
      <c r="B352" s="417" t="s">
        <v>202</v>
      </c>
      <c r="C352" s="338">
        <v>39024</v>
      </c>
      <c r="D352" s="337" t="s">
        <v>455</v>
      </c>
      <c r="E352" s="337" t="s">
        <v>298</v>
      </c>
      <c r="F352" s="334">
        <v>77</v>
      </c>
      <c r="G352" s="334">
        <v>4</v>
      </c>
      <c r="H352" s="334">
        <v>10</v>
      </c>
      <c r="I352" s="335">
        <v>2927</v>
      </c>
      <c r="J352" s="336">
        <v>723</v>
      </c>
      <c r="K352" s="340">
        <f>IF(I352&lt;&gt;0,J352/G352,"")</f>
        <v>180.75</v>
      </c>
      <c r="L352" s="341">
        <f>IF(I352&lt;&gt;0,I352/J352,"")</f>
        <v>4.048409405255878</v>
      </c>
      <c r="M352" s="347">
        <f>530823.5+393324.5+246673+142047.5+90279+66707.5+37936.5+13029.5+1598+2927</f>
        <v>1525346</v>
      </c>
      <c r="N352" s="348">
        <f>72012+52585+34010+23715+16736+14148+8160+2798+301+723+591</f>
        <v>225779</v>
      </c>
      <c r="O352" s="416">
        <f>IF(M352&lt;&gt;0,M352/N352,"")</f>
        <v>6.75592504174436</v>
      </c>
    </row>
    <row r="353" spans="1:15" ht="15">
      <c r="A353" s="175">
        <v>350</v>
      </c>
      <c r="B353" s="417" t="s">
        <v>202</v>
      </c>
      <c r="C353" s="338">
        <v>39024</v>
      </c>
      <c r="D353" s="337" t="s">
        <v>455</v>
      </c>
      <c r="E353" s="337" t="s">
        <v>298</v>
      </c>
      <c r="F353" s="333">
        <v>77</v>
      </c>
      <c r="G353" s="334">
        <v>1</v>
      </c>
      <c r="H353" s="334">
        <v>18</v>
      </c>
      <c r="I353" s="335">
        <v>2376</v>
      </c>
      <c r="J353" s="336">
        <v>475</v>
      </c>
      <c r="K353" s="356">
        <f>J353/G353</f>
        <v>475</v>
      </c>
      <c r="L353" s="344">
        <f>I353/J353</f>
        <v>5.002105263157895</v>
      </c>
      <c r="M353" s="347">
        <f>530823.5+393324.5+246673+142047.5+90279+66707.5+37936.5+13029.5+1598+2927+1434+1198+3126+1126+5313+1928+213+1782+2376</f>
        <v>1543842</v>
      </c>
      <c r="N353" s="348">
        <f>72012+52585+34010+23715+16736+14148+8160+2798+301+723+591+434+289+363+1142+386+446+48+475</f>
        <v>229362</v>
      </c>
      <c r="O353" s="419">
        <f>+M353/N353</f>
        <v>6.731027807570565</v>
      </c>
    </row>
    <row r="354" spans="1:15" ht="15">
      <c r="A354" s="175">
        <v>351</v>
      </c>
      <c r="B354" s="415" t="s">
        <v>202</v>
      </c>
      <c r="C354" s="338">
        <v>39024</v>
      </c>
      <c r="D354" s="345" t="s">
        <v>455</v>
      </c>
      <c r="E354" s="345" t="s">
        <v>298</v>
      </c>
      <c r="F354" s="346">
        <v>77</v>
      </c>
      <c r="G354" s="346">
        <v>1</v>
      </c>
      <c r="H354" s="346">
        <v>24</v>
      </c>
      <c r="I354" s="335">
        <v>2376</v>
      </c>
      <c r="J354" s="336">
        <v>594</v>
      </c>
      <c r="K354" s="356">
        <f>J354/G354</f>
        <v>594</v>
      </c>
      <c r="L354" s="344">
        <f>I354/J354</f>
        <v>4</v>
      </c>
      <c r="M354" s="347">
        <f>530823.5+393324.5+246673+142047.5+90279+66707.5+37936.5+13029.5+1598+2927+1434+1198+3126+1126+5313+1928+213+1782+2376+224+8+10+2348+2376</f>
        <v>1548808</v>
      </c>
      <c r="N354" s="348">
        <f>72012+52585+34010+23715+16736+14148+8160+2798+301+723+591+434+289+363+1142+386+446+48+475+28+1+2+587+594</f>
        <v>230574</v>
      </c>
      <c r="O354" s="419">
        <f>+M354/N354</f>
        <v>6.7171840710574475</v>
      </c>
    </row>
    <row r="355" spans="1:15" ht="15">
      <c r="A355" s="175">
        <v>352</v>
      </c>
      <c r="B355" s="415" t="s">
        <v>202</v>
      </c>
      <c r="C355" s="338">
        <v>39024</v>
      </c>
      <c r="D355" s="345" t="s">
        <v>455</v>
      </c>
      <c r="E355" s="345" t="s">
        <v>298</v>
      </c>
      <c r="F355" s="346">
        <v>77</v>
      </c>
      <c r="G355" s="346">
        <v>1</v>
      </c>
      <c r="H355" s="346">
        <v>23</v>
      </c>
      <c r="I355" s="335">
        <v>2348</v>
      </c>
      <c r="J355" s="336">
        <v>587</v>
      </c>
      <c r="K355" s="350">
        <f>J355/G355</f>
        <v>587</v>
      </c>
      <c r="L355" s="351">
        <f>I355/J355</f>
        <v>4</v>
      </c>
      <c r="M355" s="347">
        <f>530823.5+393324.5+246673+142047.5+90279+66707.5+37936.5+13029.5+1598+2927+1434+1198+3126+1126+5313+1928+213+1782+2376+224+8+10+2348</f>
        <v>1546432</v>
      </c>
      <c r="N355" s="348">
        <f>72012+52585+34010+23715+16736+14148+8160+2798+301+723+591+434+289+363+1142+386+446+48+475+28+1+2+587</f>
        <v>229980</v>
      </c>
      <c r="O355" s="423">
        <f>M355/N355</f>
        <v>6.7242021045308284</v>
      </c>
    </row>
    <row r="356" spans="1:15" ht="15">
      <c r="A356" s="175">
        <v>353</v>
      </c>
      <c r="B356" s="415" t="s">
        <v>202</v>
      </c>
      <c r="C356" s="338">
        <v>39024</v>
      </c>
      <c r="D356" s="345" t="s">
        <v>455</v>
      </c>
      <c r="E356" s="362" t="s">
        <v>298</v>
      </c>
      <c r="F356" s="346">
        <v>77</v>
      </c>
      <c r="G356" s="346">
        <v>1</v>
      </c>
      <c r="H356" s="346">
        <v>15</v>
      </c>
      <c r="I356" s="335">
        <v>1928</v>
      </c>
      <c r="J356" s="336">
        <v>386</v>
      </c>
      <c r="K356" s="340">
        <f>IF(I356&lt;&gt;0,J356/G356,"")</f>
        <v>386</v>
      </c>
      <c r="L356" s="341">
        <f>IF(I356&lt;&gt;0,I356/J356,"")</f>
        <v>4.994818652849741</v>
      </c>
      <c r="M356" s="347">
        <f>530823.5+393324.5+246673+142047.5+90279+66707.5+37936.5+13029.5+1598+2927+1434+1198+3126+1126+5313+1928</f>
        <v>1539471</v>
      </c>
      <c r="N356" s="348">
        <f>72012+52585+34010+23715+16736+14148+8160+2798+301+723+591+434+289+363+1142+386</f>
        <v>228393</v>
      </c>
      <c r="O356" s="416">
        <f>IF(M356&lt;&gt;0,M356/N356,"")</f>
        <v>6.740447386741275</v>
      </c>
    </row>
    <row r="357" spans="1:15" ht="15">
      <c r="A357" s="175">
        <v>354</v>
      </c>
      <c r="B357" s="417" t="s">
        <v>202</v>
      </c>
      <c r="C357" s="338">
        <v>39024</v>
      </c>
      <c r="D357" s="337" t="s">
        <v>455</v>
      </c>
      <c r="E357" s="337" t="s">
        <v>298</v>
      </c>
      <c r="F357" s="334">
        <v>77</v>
      </c>
      <c r="G357" s="334">
        <v>1</v>
      </c>
      <c r="H357" s="334">
        <v>17</v>
      </c>
      <c r="I357" s="335">
        <v>1782</v>
      </c>
      <c r="J357" s="336">
        <v>446</v>
      </c>
      <c r="K357" s="356">
        <f>J357/H357</f>
        <v>26.235294117647058</v>
      </c>
      <c r="L357" s="344">
        <f>I357/J357</f>
        <v>3.995515695067265</v>
      </c>
      <c r="M357" s="347">
        <f>530823.5+393324.5+246673+142047.5+90279+66707.5+37936.5+13029.5+1598+2927+1434+1198+3126+1126+5313+1928+213+1782</f>
        <v>1541466</v>
      </c>
      <c r="N357" s="348">
        <f>72012+52585+34010+23715+16736+14148+8160+2798+301+723+591+434+289+363+1142+386+446+48</f>
        <v>228887</v>
      </c>
      <c r="O357" s="419">
        <f>+M357/N357</f>
        <v>6.734615771101024</v>
      </c>
    </row>
    <row r="358" spans="1:15" ht="15">
      <c r="A358" s="175">
        <v>355</v>
      </c>
      <c r="B358" s="415" t="s">
        <v>202</v>
      </c>
      <c r="C358" s="338">
        <v>39024</v>
      </c>
      <c r="D358" s="345" t="s">
        <v>455</v>
      </c>
      <c r="E358" s="345" t="s">
        <v>298</v>
      </c>
      <c r="F358" s="346">
        <v>77</v>
      </c>
      <c r="G358" s="346">
        <v>2</v>
      </c>
      <c r="H358" s="346">
        <v>9</v>
      </c>
      <c r="I358" s="335">
        <v>1598</v>
      </c>
      <c r="J358" s="336">
        <v>301</v>
      </c>
      <c r="K358" s="340">
        <f>IF(I358&lt;&gt;0,J358/G358,"")</f>
        <v>150.5</v>
      </c>
      <c r="L358" s="341">
        <f>IF(I358&lt;&gt;0,I358/J358,"")</f>
        <v>5.308970099667774</v>
      </c>
      <c r="M358" s="347">
        <f>530823.5+393324.5+246673+142047.5+90279+66707.5+37936.5+13029.5+1598</f>
        <v>1522419</v>
      </c>
      <c r="N358" s="348">
        <f>72012+52585+34010+23715+16736+14148+8160+2798+301</f>
        <v>224465</v>
      </c>
      <c r="O358" s="416">
        <f>IF(M358&lt;&gt;0,M358/N358,"")</f>
        <v>6.782433787004655</v>
      </c>
    </row>
    <row r="359" spans="1:15" ht="15">
      <c r="A359" s="175">
        <v>356</v>
      </c>
      <c r="B359" s="415" t="s">
        <v>202</v>
      </c>
      <c r="C359" s="338">
        <v>39024</v>
      </c>
      <c r="D359" s="345" t="s">
        <v>455</v>
      </c>
      <c r="E359" s="345" t="s">
        <v>298</v>
      </c>
      <c r="F359" s="346">
        <v>77</v>
      </c>
      <c r="G359" s="346">
        <v>2</v>
      </c>
      <c r="H359" s="346">
        <v>11</v>
      </c>
      <c r="I359" s="335">
        <v>1432</v>
      </c>
      <c r="J359" s="336">
        <v>434</v>
      </c>
      <c r="K359" s="356">
        <f aca="true" t="shared" si="47" ref="K359:K370">J359/G359</f>
        <v>217</v>
      </c>
      <c r="L359" s="344">
        <f aca="true" t="shared" si="48" ref="L359:L370">I359/J359</f>
        <v>3.2995391705069124</v>
      </c>
      <c r="M359" s="347">
        <f>530823.5+393324.5+246673+142047.5+90279+66707.5+37936.5+13029.5+1598+2927+1434</f>
        <v>1526780</v>
      </c>
      <c r="N359" s="348">
        <f>72012+52585+34010+23715+16736+14148+8160+2798+301+723+591+434</f>
        <v>226213</v>
      </c>
      <c r="O359" s="419">
        <f>+M359/N359</f>
        <v>6.749302648388908</v>
      </c>
    </row>
    <row r="360" spans="1:15" ht="15">
      <c r="A360" s="175">
        <v>357</v>
      </c>
      <c r="B360" s="415" t="s">
        <v>202</v>
      </c>
      <c r="C360" s="338">
        <v>39024</v>
      </c>
      <c r="D360" s="345" t="s">
        <v>455</v>
      </c>
      <c r="E360" s="345" t="s">
        <v>298</v>
      </c>
      <c r="F360" s="346">
        <v>77</v>
      </c>
      <c r="G360" s="346">
        <v>2</v>
      </c>
      <c r="H360" s="346">
        <v>12</v>
      </c>
      <c r="I360" s="335">
        <v>1198</v>
      </c>
      <c r="J360" s="336">
        <v>255</v>
      </c>
      <c r="K360" s="348">
        <f t="shared" si="47"/>
        <v>127.5</v>
      </c>
      <c r="L360" s="353">
        <f t="shared" si="48"/>
        <v>4.698039215686275</v>
      </c>
      <c r="M360" s="347">
        <f>530823.5+393324.5+246673+142047.5+90279+66707.5+37936.5+13029.5+1598+2927+1434+1198+3126</f>
        <v>1531104</v>
      </c>
      <c r="N360" s="348">
        <f>72012+52585+34010+23715+16736+14148+8160+2798+301+723+591+434+289</f>
        <v>226502</v>
      </c>
      <c r="O360" s="420">
        <f>M360/N360</f>
        <v>6.759781370583924</v>
      </c>
    </row>
    <row r="361" spans="1:15" ht="15">
      <c r="A361" s="175">
        <v>358</v>
      </c>
      <c r="B361" s="415" t="s">
        <v>202</v>
      </c>
      <c r="C361" s="338">
        <v>39024</v>
      </c>
      <c r="D361" s="345" t="s">
        <v>455</v>
      </c>
      <c r="E361" s="345" t="s">
        <v>298</v>
      </c>
      <c r="F361" s="346">
        <v>77</v>
      </c>
      <c r="G361" s="346">
        <v>2</v>
      </c>
      <c r="H361" s="346">
        <v>13</v>
      </c>
      <c r="I361" s="335">
        <v>1126</v>
      </c>
      <c r="J361" s="336">
        <v>363</v>
      </c>
      <c r="K361" s="356">
        <f t="shared" si="47"/>
        <v>181.5</v>
      </c>
      <c r="L361" s="344">
        <f t="shared" si="48"/>
        <v>3.1019283746556474</v>
      </c>
      <c r="M361" s="347">
        <f>530823.5+393324.5+246673+142047.5+90279+66707.5+37936.5+13029.5+1598+2927+1434+1198+3126+1126</f>
        <v>1532230</v>
      </c>
      <c r="N361" s="348">
        <f>72012+52585+34010+23715+16736+14148+8160+2798+301+723+591+434+289+363</f>
        <v>226865</v>
      </c>
      <c r="O361" s="419">
        <f>+M361/N361</f>
        <v>6.7539285478147795</v>
      </c>
    </row>
    <row r="362" spans="1:15" ht="15">
      <c r="A362" s="175">
        <v>359</v>
      </c>
      <c r="B362" s="415" t="s">
        <v>202</v>
      </c>
      <c r="C362" s="338">
        <v>39024</v>
      </c>
      <c r="D362" s="345" t="s">
        <v>455</v>
      </c>
      <c r="E362" s="345" t="s">
        <v>298</v>
      </c>
      <c r="F362" s="346">
        <v>77</v>
      </c>
      <c r="G362" s="346">
        <v>3</v>
      </c>
      <c r="H362" s="346">
        <v>19</v>
      </c>
      <c r="I362" s="335">
        <v>224</v>
      </c>
      <c r="J362" s="336">
        <v>28</v>
      </c>
      <c r="K362" s="350">
        <f t="shared" si="47"/>
        <v>9.333333333333334</v>
      </c>
      <c r="L362" s="351">
        <f t="shared" si="48"/>
        <v>8</v>
      </c>
      <c r="M362" s="347">
        <f>530823.5+393324.5+246673+142047.5+90279+66707.5+37936.5+13029.5+1598+2927+1434+1198+3126+1126+5313+1928+213+1782+2376+224</f>
        <v>1544066</v>
      </c>
      <c r="N362" s="348">
        <f>72012+52585+34010+23715+16736+14148+8160+2798+301+723+591+434+289+363+1142+386+446+48+475+28</f>
        <v>229390</v>
      </c>
      <c r="O362" s="423">
        <f>M362/N362</f>
        <v>6.731182701948646</v>
      </c>
    </row>
    <row r="363" spans="1:15" ht="15">
      <c r="A363" s="175">
        <v>360</v>
      </c>
      <c r="B363" s="417" t="s">
        <v>202</v>
      </c>
      <c r="C363" s="338">
        <v>39024</v>
      </c>
      <c r="D363" s="337" t="s">
        <v>455</v>
      </c>
      <c r="E363" s="337" t="s">
        <v>298</v>
      </c>
      <c r="F363" s="334">
        <v>77</v>
      </c>
      <c r="G363" s="334">
        <v>1</v>
      </c>
      <c r="H363" s="334">
        <v>16</v>
      </c>
      <c r="I363" s="335">
        <v>213</v>
      </c>
      <c r="J363" s="336">
        <v>48</v>
      </c>
      <c r="K363" s="356">
        <f t="shared" si="47"/>
        <v>48</v>
      </c>
      <c r="L363" s="344">
        <f t="shared" si="48"/>
        <v>4.4375</v>
      </c>
      <c r="M363" s="347">
        <f>530823.5+393324.5+246673+142047.5+90279+66707.5+37936.5+13029.5+1598+2927+1434+1198+3126+1126+5313+1928+213</f>
        <v>1539684</v>
      </c>
      <c r="N363" s="348">
        <f>72012+52585+34010+23715+16736+14148+8160+2798+301+723+591+434+289+363+1142+386</f>
        <v>228393</v>
      </c>
      <c r="O363" s="419">
        <f>+M363/N363</f>
        <v>6.741379989754502</v>
      </c>
    </row>
    <row r="364" spans="1:15" ht="15">
      <c r="A364" s="175">
        <v>361</v>
      </c>
      <c r="B364" s="415" t="s">
        <v>202</v>
      </c>
      <c r="C364" s="338">
        <v>39024</v>
      </c>
      <c r="D364" s="345" t="s">
        <v>455</v>
      </c>
      <c r="E364" s="345" t="s">
        <v>298</v>
      </c>
      <c r="F364" s="346">
        <v>77</v>
      </c>
      <c r="G364" s="346">
        <v>1</v>
      </c>
      <c r="H364" s="346">
        <v>22</v>
      </c>
      <c r="I364" s="335">
        <v>10</v>
      </c>
      <c r="J364" s="336">
        <v>2</v>
      </c>
      <c r="K364" s="356">
        <f t="shared" si="47"/>
        <v>2</v>
      </c>
      <c r="L364" s="344">
        <f t="shared" si="48"/>
        <v>5</v>
      </c>
      <c r="M364" s="347">
        <f>530823.5+393324.5+246673+142047.5+90279+66707.5+37936.5+13029.5+1598+2927+1434+1198+3126+1126+5313+1928+213+1782+2376+224+8+10</f>
        <v>1544084</v>
      </c>
      <c r="N364" s="348">
        <f>72012+52585+34010+23715+16736+14148+8160+2798+301+723+591+434+289+363+1142+386+446+48+475+28+1+2</f>
        <v>229393</v>
      </c>
      <c r="O364" s="423">
        <f>M364/N364</f>
        <v>6.731173139546542</v>
      </c>
    </row>
    <row r="365" spans="1:15" ht="15">
      <c r="A365" s="175">
        <v>362</v>
      </c>
      <c r="B365" s="415" t="s">
        <v>202</v>
      </c>
      <c r="C365" s="338">
        <v>39024</v>
      </c>
      <c r="D365" s="345" t="s">
        <v>455</v>
      </c>
      <c r="E365" s="345" t="s">
        <v>298</v>
      </c>
      <c r="F365" s="346">
        <v>77</v>
      </c>
      <c r="G365" s="346">
        <v>1</v>
      </c>
      <c r="H365" s="346">
        <v>21</v>
      </c>
      <c r="I365" s="335">
        <v>8</v>
      </c>
      <c r="J365" s="336">
        <v>1</v>
      </c>
      <c r="K365" s="356">
        <f t="shared" si="47"/>
        <v>1</v>
      </c>
      <c r="L365" s="344">
        <f t="shared" si="48"/>
        <v>8</v>
      </c>
      <c r="M365" s="347">
        <f>530823.5+393324.5+246673+142047.5+90279+66707.5+37936.5+13029.5+1598+2927+1434+1198+3126+1126+5313+1928+213+1782+2376+224+8</f>
        <v>1544074</v>
      </c>
      <c r="N365" s="348">
        <f>72012+52585+34010+23715+16736+14148+8160+2798+301+723+591+434+289+363+1142+386+446+48+475+28+1</f>
        <v>229391</v>
      </c>
      <c r="O365" s="419">
        <f aca="true" t="shared" si="49" ref="O365:O372">+M365/N365</f>
        <v>6.7311882331913635</v>
      </c>
    </row>
    <row r="366" spans="1:15" ht="15">
      <c r="A366" s="175">
        <v>363</v>
      </c>
      <c r="B366" s="424" t="s">
        <v>261</v>
      </c>
      <c r="C366" s="359">
        <v>39024</v>
      </c>
      <c r="D366" s="379" t="s">
        <v>453</v>
      </c>
      <c r="E366" s="362" t="s">
        <v>466</v>
      </c>
      <c r="F366" s="361">
        <v>103</v>
      </c>
      <c r="G366" s="361">
        <v>8</v>
      </c>
      <c r="H366" s="361">
        <v>9</v>
      </c>
      <c r="I366" s="331">
        <v>4639</v>
      </c>
      <c r="J366" s="332">
        <v>1240</v>
      </c>
      <c r="K366" s="356">
        <f t="shared" si="47"/>
        <v>155</v>
      </c>
      <c r="L366" s="344">
        <f t="shared" si="48"/>
        <v>3.7411290322580646</v>
      </c>
      <c r="M366" s="342">
        <f>1482835+974087+569745+328724+153777+110757+41699+5343+4639</f>
        <v>3671606</v>
      </c>
      <c r="N366" s="343">
        <f>193921+126553+76108+48807+27890+20672+7716+1193+1240</f>
        <v>504100</v>
      </c>
      <c r="O366" s="419">
        <f t="shared" si="49"/>
        <v>7.283487403292997</v>
      </c>
    </row>
    <row r="367" spans="1:15" ht="15">
      <c r="A367" s="175">
        <v>364</v>
      </c>
      <c r="B367" s="424" t="s">
        <v>261</v>
      </c>
      <c r="C367" s="359">
        <v>39024</v>
      </c>
      <c r="D367" s="379" t="s">
        <v>453</v>
      </c>
      <c r="E367" s="362" t="s">
        <v>466</v>
      </c>
      <c r="F367" s="361">
        <v>103</v>
      </c>
      <c r="G367" s="361">
        <v>3</v>
      </c>
      <c r="H367" s="361">
        <v>12</v>
      </c>
      <c r="I367" s="331">
        <v>3468</v>
      </c>
      <c r="J367" s="332">
        <v>968</v>
      </c>
      <c r="K367" s="356">
        <f t="shared" si="47"/>
        <v>322.6666666666667</v>
      </c>
      <c r="L367" s="344">
        <f t="shared" si="48"/>
        <v>3.5826446280991737</v>
      </c>
      <c r="M367" s="342">
        <f>1482835+974087+569745+328724+153777+110757+41699+5343+4639+1123+130+3468</f>
        <v>3676327</v>
      </c>
      <c r="N367" s="343">
        <f>193921+126553+76108+48807+27890+20672+7716+1193+1240+375+20+968</f>
        <v>505463</v>
      </c>
      <c r="O367" s="419">
        <f t="shared" si="49"/>
        <v>7.273187157121293</v>
      </c>
    </row>
    <row r="368" spans="1:15" ht="15">
      <c r="A368" s="175">
        <v>365</v>
      </c>
      <c r="B368" s="421" t="s">
        <v>261</v>
      </c>
      <c r="C368" s="359">
        <v>39024</v>
      </c>
      <c r="D368" s="339" t="s">
        <v>453</v>
      </c>
      <c r="E368" s="339" t="s">
        <v>466</v>
      </c>
      <c r="F368" s="333">
        <v>103</v>
      </c>
      <c r="G368" s="333">
        <v>3</v>
      </c>
      <c r="H368" s="333">
        <v>10</v>
      </c>
      <c r="I368" s="331">
        <v>1123</v>
      </c>
      <c r="J368" s="332">
        <v>375</v>
      </c>
      <c r="K368" s="356">
        <f t="shared" si="47"/>
        <v>125</v>
      </c>
      <c r="L368" s="344">
        <f t="shared" si="48"/>
        <v>2.994666666666667</v>
      </c>
      <c r="M368" s="342">
        <f>1482835+974087+569745+328724+153777+110757+41699+5343+4639+1123</f>
        <v>3672729</v>
      </c>
      <c r="N368" s="343">
        <f>193921+126553+76108+48807+27890+20672+7716+1193+1240+375</f>
        <v>504475</v>
      </c>
      <c r="O368" s="419">
        <f t="shared" si="49"/>
        <v>7.280299321076367</v>
      </c>
    </row>
    <row r="369" spans="1:15" ht="15">
      <c r="A369" s="175">
        <v>366</v>
      </c>
      <c r="B369" s="424" t="s">
        <v>261</v>
      </c>
      <c r="C369" s="359">
        <v>39024</v>
      </c>
      <c r="D369" s="379" t="s">
        <v>453</v>
      </c>
      <c r="E369" s="362" t="s">
        <v>466</v>
      </c>
      <c r="F369" s="361">
        <v>103</v>
      </c>
      <c r="G369" s="361">
        <v>1</v>
      </c>
      <c r="H369" s="361">
        <v>13</v>
      </c>
      <c r="I369" s="331">
        <v>521</v>
      </c>
      <c r="J369" s="332">
        <v>93</v>
      </c>
      <c r="K369" s="356">
        <f t="shared" si="47"/>
        <v>93</v>
      </c>
      <c r="L369" s="344">
        <f t="shared" si="48"/>
        <v>5.602150537634409</v>
      </c>
      <c r="M369" s="342">
        <f>1482835+974087+569745+328724+153777+110757+41699+5343+4639+1123+130+3468+521</f>
        <v>3676848</v>
      </c>
      <c r="N369" s="343">
        <f>193921+126553+76108+48807+27890+20672+7716+1193+1240+375+20+968+93</f>
        <v>505556</v>
      </c>
      <c r="O369" s="419">
        <f t="shared" si="49"/>
        <v>7.272879760105705</v>
      </c>
    </row>
    <row r="370" spans="1:15" ht="15">
      <c r="A370" s="175">
        <v>367</v>
      </c>
      <c r="B370" s="424" t="s">
        <v>261</v>
      </c>
      <c r="C370" s="359">
        <v>39024</v>
      </c>
      <c r="D370" s="379" t="s">
        <v>453</v>
      </c>
      <c r="E370" s="362" t="s">
        <v>466</v>
      </c>
      <c r="F370" s="361">
        <v>103</v>
      </c>
      <c r="G370" s="361">
        <v>1</v>
      </c>
      <c r="H370" s="361">
        <v>11</v>
      </c>
      <c r="I370" s="331">
        <v>130</v>
      </c>
      <c r="J370" s="332">
        <v>20</v>
      </c>
      <c r="K370" s="356">
        <f t="shared" si="47"/>
        <v>20</v>
      </c>
      <c r="L370" s="344">
        <f t="shared" si="48"/>
        <v>6.5</v>
      </c>
      <c r="M370" s="342">
        <f>1482835+974087+569745+328724+153777+110757+41699+5343+4639+1123+130</f>
        <v>3672859</v>
      </c>
      <c r="N370" s="343">
        <f>193921+126553+76108+48807+27890+20672+7716+1193+1240+375+20</f>
        <v>504495</v>
      </c>
      <c r="O370" s="419">
        <f t="shared" si="49"/>
        <v>7.28026838719908</v>
      </c>
    </row>
    <row r="371" spans="1:15" ht="15">
      <c r="A371" s="175">
        <v>368</v>
      </c>
      <c r="B371" s="424" t="s">
        <v>261</v>
      </c>
      <c r="C371" s="359">
        <v>39024</v>
      </c>
      <c r="D371" s="379" t="s">
        <v>453</v>
      </c>
      <c r="E371" s="362" t="s">
        <v>466</v>
      </c>
      <c r="F371" s="361">
        <v>103</v>
      </c>
      <c r="G371" s="361">
        <v>1</v>
      </c>
      <c r="H371" s="361">
        <v>14</v>
      </c>
      <c r="I371" s="331">
        <v>85</v>
      </c>
      <c r="J371" s="332">
        <v>15</v>
      </c>
      <c r="K371" s="340">
        <f>IF(I371&lt;&gt;0,J371/G371,"")</f>
        <v>15</v>
      </c>
      <c r="L371" s="341">
        <f>IF(I371&lt;&gt;0,I371/J371,"")</f>
        <v>5.666666666666667</v>
      </c>
      <c r="M371" s="342">
        <f>1482835+974087+569745+328724+153777+110757+41699+5343+4639+1123+130+3468+521+85</f>
        <v>3676933</v>
      </c>
      <c r="N371" s="343">
        <f>193921+126553+76108+48807+27890+20672+7716+1193+1240+375+20+968+93+15</f>
        <v>505571</v>
      </c>
      <c r="O371" s="419">
        <f t="shared" si="49"/>
        <v>7.272832104689549</v>
      </c>
    </row>
    <row r="372" spans="1:15" ht="15">
      <c r="A372" s="175">
        <v>369</v>
      </c>
      <c r="B372" s="424" t="s">
        <v>262</v>
      </c>
      <c r="C372" s="359">
        <v>39024</v>
      </c>
      <c r="D372" s="379" t="s">
        <v>453</v>
      </c>
      <c r="E372" s="362" t="s">
        <v>322</v>
      </c>
      <c r="F372" s="361">
        <v>1</v>
      </c>
      <c r="G372" s="361">
        <v>1</v>
      </c>
      <c r="H372" s="361">
        <v>6</v>
      </c>
      <c r="I372" s="331">
        <v>719</v>
      </c>
      <c r="J372" s="332">
        <v>90</v>
      </c>
      <c r="K372" s="356">
        <f>J372/G372</f>
        <v>90</v>
      </c>
      <c r="L372" s="344">
        <f>I372/J372</f>
        <v>7.988888888888889</v>
      </c>
      <c r="M372" s="342">
        <f>3487+3813+768+1626+1050+2427+719</f>
        <v>13890</v>
      </c>
      <c r="N372" s="343">
        <f>700+366+99+267+147+300+90</f>
        <v>1969</v>
      </c>
      <c r="O372" s="419">
        <f t="shared" si="49"/>
        <v>7.054342305738953</v>
      </c>
    </row>
    <row r="373" spans="1:15" ht="15">
      <c r="A373" s="175">
        <v>370</v>
      </c>
      <c r="B373" s="424" t="s">
        <v>262</v>
      </c>
      <c r="C373" s="359">
        <v>39024</v>
      </c>
      <c r="D373" s="379" t="s">
        <v>453</v>
      </c>
      <c r="E373" s="362" t="s">
        <v>322</v>
      </c>
      <c r="F373" s="361">
        <v>1</v>
      </c>
      <c r="G373" s="361">
        <v>1</v>
      </c>
      <c r="H373" s="361">
        <v>7</v>
      </c>
      <c r="I373" s="331">
        <v>596</v>
      </c>
      <c r="J373" s="332">
        <v>79</v>
      </c>
      <c r="K373" s="356">
        <f>J373/G373</f>
        <v>79</v>
      </c>
      <c r="L373" s="344">
        <f>I373/J373</f>
        <v>7.544303797468355</v>
      </c>
      <c r="M373" s="342">
        <f>3487+3813+768+1626+1050+2427+719+596</f>
        <v>14486</v>
      </c>
      <c r="N373" s="343">
        <f>700+366+99+267+147+300+90+79</f>
        <v>2048</v>
      </c>
      <c r="O373" s="420">
        <f>M373/N373</f>
        <v>7.0732421875</v>
      </c>
    </row>
    <row r="374" spans="1:15" ht="15">
      <c r="A374" s="175">
        <v>371</v>
      </c>
      <c r="B374" s="415" t="s">
        <v>113</v>
      </c>
      <c r="C374" s="374">
        <v>39024</v>
      </c>
      <c r="D374" s="345" t="s">
        <v>460</v>
      </c>
      <c r="E374" s="349" t="s">
        <v>576</v>
      </c>
      <c r="F374" s="346">
        <v>21</v>
      </c>
      <c r="G374" s="375">
        <v>3</v>
      </c>
      <c r="H374" s="375">
        <v>11</v>
      </c>
      <c r="I374" s="376">
        <v>2355</v>
      </c>
      <c r="J374" s="377">
        <v>418</v>
      </c>
      <c r="K374" s="356">
        <f>J374/G374</f>
        <v>139.33333333333334</v>
      </c>
      <c r="L374" s="344">
        <f>I374/J374</f>
        <v>5.633971291866029</v>
      </c>
      <c r="M374" s="378">
        <v>449779</v>
      </c>
      <c r="N374" s="350">
        <v>53581</v>
      </c>
      <c r="O374" s="419">
        <f>+M374/N374</f>
        <v>8.39437487168959</v>
      </c>
    </row>
    <row r="375" spans="1:15" ht="15">
      <c r="A375" s="175">
        <v>372</v>
      </c>
      <c r="B375" s="427" t="s">
        <v>113</v>
      </c>
      <c r="C375" s="374">
        <v>39024</v>
      </c>
      <c r="D375" s="392" t="s">
        <v>460</v>
      </c>
      <c r="E375" s="392" t="s">
        <v>207</v>
      </c>
      <c r="F375" s="393">
        <v>21</v>
      </c>
      <c r="G375" s="393">
        <v>2</v>
      </c>
      <c r="H375" s="393">
        <v>12</v>
      </c>
      <c r="I375" s="376">
        <v>1921</v>
      </c>
      <c r="J375" s="377">
        <v>417</v>
      </c>
      <c r="K375" s="350">
        <f>J375/G375</f>
        <v>208.5</v>
      </c>
      <c r="L375" s="351">
        <f>I375/J375</f>
        <v>4.606714628297362</v>
      </c>
      <c r="M375" s="378">
        <v>451700</v>
      </c>
      <c r="N375" s="350">
        <v>53998</v>
      </c>
      <c r="O375" s="423">
        <f>M375/N375</f>
        <v>8.365124634245714</v>
      </c>
    </row>
    <row r="376" spans="1:15" ht="15">
      <c r="A376" s="175">
        <v>373</v>
      </c>
      <c r="B376" s="428" t="s">
        <v>113</v>
      </c>
      <c r="C376" s="374">
        <v>39024</v>
      </c>
      <c r="D376" s="381" t="s">
        <v>460</v>
      </c>
      <c r="E376" s="381" t="s">
        <v>207</v>
      </c>
      <c r="F376" s="375">
        <v>21</v>
      </c>
      <c r="G376" s="375">
        <v>1</v>
      </c>
      <c r="H376" s="375">
        <v>9</v>
      </c>
      <c r="I376" s="376">
        <v>1186</v>
      </c>
      <c r="J376" s="377">
        <v>237</v>
      </c>
      <c r="K376" s="340">
        <f>IF(I376&lt;&gt;0,J376/G376,"")</f>
        <v>237</v>
      </c>
      <c r="L376" s="341">
        <f>IF(I376&lt;&gt;0,I376/J376,"")</f>
        <v>5.0042194092827</v>
      </c>
      <c r="M376" s="378">
        <v>446466</v>
      </c>
      <c r="N376" s="350">
        <v>53039</v>
      </c>
      <c r="O376" s="416">
        <f>IF(M376&lt;&gt;0,M376/N376,"")</f>
        <v>8.417692641263976</v>
      </c>
    </row>
    <row r="377" spans="1:15" ht="15">
      <c r="A377" s="175">
        <v>374</v>
      </c>
      <c r="B377" s="428" t="s">
        <v>113</v>
      </c>
      <c r="C377" s="374">
        <v>39024</v>
      </c>
      <c r="D377" s="381" t="s">
        <v>460</v>
      </c>
      <c r="E377" s="381" t="s">
        <v>207</v>
      </c>
      <c r="F377" s="375">
        <v>21</v>
      </c>
      <c r="G377" s="375">
        <v>1</v>
      </c>
      <c r="H377" s="375">
        <v>10</v>
      </c>
      <c r="I377" s="376">
        <v>958</v>
      </c>
      <c r="J377" s="377">
        <v>124</v>
      </c>
      <c r="K377" s="350">
        <f>J377/G377</f>
        <v>124</v>
      </c>
      <c r="L377" s="351">
        <f>I377/J377</f>
        <v>7.725806451612903</v>
      </c>
      <c r="M377" s="378">
        <v>447424</v>
      </c>
      <c r="N377" s="350">
        <v>53163</v>
      </c>
      <c r="O377" s="423">
        <f>M377/N377</f>
        <v>8.416078851833042</v>
      </c>
    </row>
    <row r="378" spans="1:15" ht="15">
      <c r="A378" s="175">
        <v>375</v>
      </c>
      <c r="B378" s="427" t="s">
        <v>113</v>
      </c>
      <c r="C378" s="374">
        <v>39024</v>
      </c>
      <c r="D378" s="392" t="s">
        <v>460</v>
      </c>
      <c r="E378" s="392" t="s">
        <v>207</v>
      </c>
      <c r="F378" s="393">
        <v>21</v>
      </c>
      <c r="G378" s="393">
        <v>1</v>
      </c>
      <c r="H378" s="393">
        <v>16</v>
      </c>
      <c r="I378" s="331">
        <v>954</v>
      </c>
      <c r="J378" s="332">
        <v>159</v>
      </c>
      <c r="K378" s="350">
        <f>J378/G378</f>
        <v>159</v>
      </c>
      <c r="L378" s="351">
        <f>I378/J378</f>
        <v>6</v>
      </c>
      <c r="M378" s="342">
        <v>454288</v>
      </c>
      <c r="N378" s="343">
        <v>54354</v>
      </c>
      <c r="O378" s="423">
        <f>M378/N378</f>
        <v>8.357949736909887</v>
      </c>
    </row>
    <row r="379" spans="1:15" ht="15">
      <c r="A379" s="175">
        <v>376</v>
      </c>
      <c r="B379" s="427" t="s">
        <v>113</v>
      </c>
      <c r="C379" s="374">
        <v>39024</v>
      </c>
      <c r="D379" s="392" t="s">
        <v>460</v>
      </c>
      <c r="E379" s="392" t="s">
        <v>207</v>
      </c>
      <c r="F379" s="393">
        <v>21</v>
      </c>
      <c r="G379" s="393">
        <v>1</v>
      </c>
      <c r="H379" s="393">
        <v>13</v>
      </c>
      <c r="I379" s="376">
        <v>317</v>
      </c>
      <c r="J379" s="377">
        <v>70</v>
      </c>
      <c r="K379" s="350">
        <f>J379/G379</f>
        <v>70</v>
      </c>
      <c r="L379" s="351">
        <f>I379/J379</f>
        <v>4.5285714285714285</v>
      </c>
      <c r="M379" s="378">
        <v>452017</v>
      </c>
      <c r="N379" s="350">
        <v>54068</v>
      </c>
      <c r="O379" s="423">
        <f>M379/N379</f>
        <v>8.360157579344529</v>
      </c>
    </row>
    <row r="380" spans="1:15" ht="15">
      <c r="A380" s="175">
        <v>377</v>
      </c>
      <c r="B380" s="415" t="s">
        <v>130</v>
      </c>
      <c r="C380" s="338">
        <v>39031</v>
      </c>
      <c r="D380" s="345" t="s">
        <v>454</v>
      </c>
      <c r="E380" s="345" t="s">
        <v>466</v>
      </c>
      <c r="F380" s="346">
        <v>57</v>
      </c>
      <c r="G380" s="346">
        <v>57</v>
      </c>
      <c r="H380" s="346">
        <v>16</v>
      </c>
      <c r="I380" s="335">
        <v>175616</v>
      </c>
      <c r="J380" s="336">
        <v>19998</v>
      </c>
      <c r="K380" s="340">
        <f>IF(I380&lt;&gt;0,J380/G380,"")</f>
        <v>350.8421052631579</v>
      </c>
      <c r="L380" s="341">
        <f>IF(I380&lt;&gt;0,I380/J380,"")</f>
        <v>8.781678167816782</v>
      </c>
      <c r="M380" s="347">
        <v>1821610</v>
      </c>
      <c r="N380" s="348">
        <v>213012</v>
      </c>
      <c r="O380" s="416">
        <f>IF(M380&lt;&gt;0,M380/N380,"")</f>
        <v>8.551677839746118</v>
      </c>
    </row>
    <row r="381" spans="1:15" ht="15">
      <c r="A381" s="175">
        <v>378</v>
      </c>
      <c r="B381" s="415" t="s">
        <v>130</v>
      </c>
      <c r="C381" s="338">
        <v>39031</v>
      </c>
      <c r="D381" s="345" t="s">
        <v>454</v>
      </c>
      <c r="E381" s="345" t="s">
        <v>466</v>
      </c>
      <c r="F381" s="346">
        <v>83</v>
      </c>
      <c r="G381" s="346">
        <v>17</v>
      </c>
      <c r="H381" s="346">
        <v>17</v>
      </c>
      <c r="I381" s="335">
        <v>20934</v>
      </c>
      <c r="J381" s="336">
        <v>2628</v>
      </c>
      <c r="K381" s="340">
        <f>IF(I381&lt;&gt;0,J381/G381,"")</f>
        <v>154.58823529411765</v>
      </c>
      <c r="L381" s="341">
        <f>IF(I381&lt;&gt;0,I381/J381,"")</f>
        <v>7.965753424657534</v>
      </c>
      <c r="M381" s="347">
        <v>1842544</v>
      </c>
      <c r="N381" s="348">
        <v>215640</v>
      </c>
      <c r="O381" s="416">
        <f>IF(M381&lt;&gt;0,M381/N381,"")</f>
        <v>8.544537191615655</v>
      </c>
    </row>
    <row r="382" spans="1:15" ht="15">
      <c r="A382" s="175">
        <v>379</v>
      </c>
      <c r="B382" s="417" t="s">
        <v>130</v>
      </c>
      <c r="C382" s="338">
        <v>39031</v>
      </c>
      <c r="D382" s="337" t="s">
        <v>454</v>
      </c>
      <c r="E382" s="337" t="s">
        <v>466</v>
      </c>
      <c r="F382" s="334">
        <v>83</v>
      </c>
      <c r="G382" s="334">
        <v>2</v>
      </c>
      <c r="H382" s="334">
        <v>37</v>
      </c>
      <c r="I382" s="335">
        <v>2926</v>
      </c>
      <c r="J382" s="336">
        <v>966</v>
      </c>
      <c r="K382" s="356">
        <f>J382/G382</f>
        <v>483</v>
      </c>
      <c r="L382" s="344">
        <f>I382/J382</f>
        <v>3.028985507246377</v>
      </c>
      <c r="M382" s="347">
        <v>1853105</v>
      </c>
      <c r="N382" s="348">
        <v>218081</v>
      </c>
      <c r="O382" s="423">
        <f>M382/N382</f>
        <v>8.497324388644586</v>
      </c>
    </row>
    <row r="383" spans="1:15" ht="15">
      <c r="A383" s="175">
        <v>380</v>
      </c>
      <c r="B383" s="415" t="s">
        <v>130</v>
      </c>
      <c r="C383" s="338">
        <v>39031</v>
      </c>
      <c r="D383" s="345" t="s">
        <v>454</v>
      </c>
      <c r="E383" s="345" t="s">
        <v>466</v>
      </c>
      <c r="F383" s="346">
        <v>83</v>
      </c>
      <c r="G383" s="346">
        <v>5</v>
      </c>
      <c r="H383" s="346">
        <v>18</v>
      </c>
      <c r="I383" s="335">
        <v>2709</v>
      </c>
      <c r="J383" s="336">
        <v>376</v>
      </c>
      <c r="K383" s="356">
        <f>J383/G383</f>
        <v>75.2</v>
      </c>
      <c r="L383" s="344">
        <f>I383/J383</f>
        <v>7.204787234042553</v>
      </c>
      <c r="M383" s="347">
        <v>1845253</v>
      </c>
      <c r="N383" s="348">
        <v>216016</v>
      </c>
      <c r="O383" s="419">
        <f>+M383/N383</f>
        <v>8.542205207021702</v>
      </c>
    </row>
    <row r="384" spans="1:15" ht="15">
      <c r="A384" s="175">
        <v>381</v>
      </c>
      <c r="B384" s="415" t="s">
        <v>130</v>
      </c>
      <c r="C384" s="338">
        <v>39031</v>
      </c>
      <c r="D384" s="345" t="s">
        <v>454</v>
      </c>
      <c r="E384" s="345" t="s">
        <v>466</v>
      </c>
      <c r="F384" s="346">
        <v>83</v>
      </c>
      <c r="G384" s="346">
        <v>2</v>
      </c>
      <c r="H384" s="346">
        <v>8</v>
      </c>
      <c r="I384" s="335">
        <v>2367</v>
      </c>
      <c r="J384" s="336">
        <v>702</v>
      </c>
      <c r="K384" s="340">
        <f>IF(I384&lt;&gt;0,J384/G384,"")</f>
        <v>351</v>
      </c>
      <c r="L384" s="341">
        <f>IF(I384&lt;&gt;0,I384/J384,"")</f>
        <v>3.371794871794872</v>
      </c>
      <c r="M384" s="347">
        <v>1642155</v>
      </c>
      <c r="N384" s="348">
        <v>192011</v>
      </c>
      <c r="O384" s="416">
        <f>IF(M384&lt;&gt;0,M384/N384,"")</f>
        <v>8.55240064371312</v>
      </c>
    </row>
    <row r="385" spans="1:15" ht="15">
      <c r="A385" s="175">
        <v>382</v>
      </c>
      <c r="B385" s="415" t="s">
        <v>130</v>
      </c>
      <c r="C385" s="338">
        <v>39031</v>
      </c>
      <c r="D385" s="345" t="s">
        <v>454</v>
      </c>
      <c r="E385" s="345" t="s">
        <v>466</v>
      </c>
      <c r="F385" s="346">
        <v>83</v>
      </c>
      <c r="G385" s="346">
        <v>2</v>
      </c>
      <c r="H385" s="346">
        <v>38</v>
      </c>
      <c r="I385" s="335">
        <v>2330</v>
      </c>
      <c r="J385" s="336">
        <v>725</v>
      </c>
      <c r="K385" s="356">
        <f>J385/G385</f>
        <v>362.5</v>
      </c>
      <c r="L385" s="344">
        <f>I385/J385</f>
        <v>3.213793103448276</v>
      </c>
      <c r="M385" s="347">
        <v>1855435</v>
      </c>
      <c r="N385" s="348">
        <v>218806</v>
      </c>
      <c r="O385" s="419">
        <f>+M385/N385</f>
        <v>8.479817738087622</v>
      </c>
    </row>
    <row r="386" spans="1:15" ht="15">
      <c r="A386" s="175">
        <v>383</v>
      </c>
      <c r="B386" s="415" t="s">
        <v>130</v>
      </c>
      <c r="C386" s="338">
        <v>39031</v>
      </c>
      <c r="D386" s="345" t="s">
        <v>454</v>
      </c>
      <c r="E386" s="345" t="s">
        <v>466</v>
      </c>
      <c r="F386" s="346">
        <v>83</v>
      </c>
      <c r="G386" s="346">
        <v>2</v>
      </c>
      <c r="H386" s="346">
        <v>11</v>
      </c>
      <c r="I386" s="335">
        <v>1427</v>
      </c>
      <c r="J386" s="336">
        <v>281</v>
      </c>
      <c r="K386" s="356">
        <f>J386/G386</f>
        <v>140.5</v>
      </c>
      <c r="L386" s="344">
        <f>I386/J386</f>
        <v>5.07829181494662</v>
      </c>
      <c r="M386" s="347">
        <v>1645892</v>
      </c>
      <c r="N386" s="348">
        <v>192992</v>
      </c>
      <c r="O386" s="419">
        <f>+M386/N386</f>
        <v>8.528291328137954</v>
      </c>
    </row>
    <row r="387" spans="1:15" ht="15">
      <c r="A387" s="175">
        <v>384</v>
      </c>
      <c r="B387" s="417" t="s">
        <v>130</v>
      </c>
      <c r="C387" s="338">
        <v>39031</v>
      </c>
      <c r="D387" s="337" t="s">
        <v>454</v>
      </c>
      <c r="E387" s="337" t="s">
        <v>466</v>
      </c>
      <c r="F387" s="334">
        <v>83</v>
      </c>
      <c r="G387" s="334">
        <v>1</v>
      </c>
      <c r="H387" s="334">
        <v>9</v>
      </c>
      <c r="I387" s="335">
        <v>1155</v>
      </c>
      <c r="J387" s="336">
        <v>350</v>
      </c>
      <c r="K387" s="350">
        <f>J387/G387</f>
        <v>350</v>
      </c>
      <c r="L387" s="351">
        <f>I387/J387</f>
        <v>3.3</v>
      </c>
      <c r="M387" s="347">
        <v>1643310</v>
      </c>
      <c r="N387" s="348">
        <v>192361</v>
      </c>
      <c r="O387" s="420">
        <f>M387/N387</f>
        <v>8.54284392366436</v>
      </c>
    </row>
    <row r="388" spans="1:15" ht="15">
      <c r="A388" s="175">
        <v>385</v>
      </c>
      <c r="B388" s="415" t="s">
        <v>130</v>
      </c>
      <c r="C388" s="338">
        <v>39031</v>
      </c>
      <c r="D388" s="345" t="s">
        <v>454</v>
      </c>
      <c r="E388" s="345" t="s">
        <v>466</v>
      </c>
      <c r="F388" s="346">
        <v>83</v>
      </c>
      <c r="G388" s="346">
        <v>1</v>
      </c>
      <c r="H388" s="346">
        <v>10</v>
      </c>
      <c r="I388" s="335">
        <v>1155</v>
      </c>
      <c r="J388" s="336">
        <v>350</v>
      </c>
      <c r="K388" s="356">
        <f>J388/G388</f>
        <v>350</v>
      </c>
      <c r="L388" s="344">
        <f>I388/J388</f>
        <v>3.3</v>
      </c>
      <c r="M388" s="347">
        <v>1644465</v>
      </c>
      <c r="N388" s="348">
        <v>192711</v>
      </c>
      <c r="O388" s="416">
        <f>+M388/N388</f>
        <v>8.53332191727509</v>
      </c>
    </row>
    <row r="389" spans="1:15" ht="15">
      <c r="A389" s="175">
        <v>386</v>
      </c>
      <c r="B389" s="417" t="s">
        <v>130</v>
      </c>
      <c r="C389" s="338">
        <v>39031</v>
      </c>
      <c r="D389" s="337" t="s">
        <v>454</v>
      </c>
      <c r="E389" s="337" t="s">
        <v>466</v>
      </c>
      <c r="F389" s="334">
        <v>83</v>
      </c>
      <c r="G389" s="334">
        <v>1</v>
      </c>
      <c r="H389" s="334">
        <v>22</v>
      </c>
      <c r="I389" s="335">
        <v>740</v>
      </c>
      <c r="J389" s="336">
        <v>282</v>
      </c>
      <c r="K389" s="356">
        <f>J389/G389</f>
        <v>282</v>
      </c>
      <c r="L389" s="344">
        <f>I389/J389</f>
        <v>2.624113475177305</v>
      </c>
      <c r="M389" s="347">
        <v>1848004</v>
      </c>
      <c r="N389" s="348">
        <v>216680</v>
      </c>
      <c r="O389" s="419">
        <f>+M389/N389</f>
        <v>8.52872438619162</v>
      </c>
    </row>
    <row r="390" spans="1:15" ht="15">
      <c r="A390" s="175">
        <v>387</v>
      </c>
      <c r="B390" s="415" t="s">
        <v>130</v>
      </c>
      <c r="C390" s="338">
        <v>39031</v>
      </c>
      <c r="D390" s="345" t="s">
        <v>454</v>
      </c>
      <c r="E390" s="345" t="s">
        <v>466</v>
      </c>
      <c r="F390" s="346">
        <v>83</v>
      </c>
      <c r="G390" s="346">
        <v>2</v>
      </c>
      <c r="H390" s="346">
        <v>19</v>
      </c>
      <c r="I390" s="335">
        <v>704</v>
      </c>
      <c r="J390" s="336">
        <v>91</v>
      </c>
      <c r="K390" s="340">
        <f>IF(I390&lt;&gt;0,J390/G390,"")</f>
        <v>45.5</v>
      </c>
      <c r="L390" s="341">
        <f>IF(I390&lt;&gt;0,I390/J390,"")</f>
        <v>7.736263736263736</v>
      </c>
      <c r="M390" s="347">
        <v>1845957</v>
      </c>
      <c r="N390" s="348">
        <v>216107</v>
      </c>
      <c r="O390" s="423">
        <f>M390/N390</f>
        <v>8.541865834979895</v>
      </c>
    </row>
    <row r="391" spans="1:15" ht="15">
      <c r="A391" s="175">
        <v>388</v>
      </c>
      <c r="B391" s="426" t="s">
        <v>130</v>
      </c>
      <c r="C391" s="385">
        <v>39031</v>
      </c>
      <c r="D391" s="384" t="s">
        <v>454</v>
      </c>
      <c r="E391" s="384" t="s">
        <v>466</v>
      </c>
      <c r="F391" s="386">
        <v>83</v>
      </c>
      <c r="G391" s="386">
        <v>1</v>
      </c>
      <c r="H391" s="386">
        <v>21</v>
      </c>
      <c r="I391" s="387">
        <v>661</v>
      </c>
      <c r="J391" s="388">
        <v>238</v>
      </c>
      <c r="K391" s="356">
        <v>24</v>
      </c>
      <c r="L391" s="344">
        <v>7</v>
      </c>
      <c r="M391" s="389">
        <v>1847264</v>
      </c>
      <c r="N391" s="390">
        <v>216398</v>
      </c>
      <c r="O391" s="419">
        <f>+M391/N391</f>
        <v>8.53641900572094</v>
      </c>
    </row>
    <row r="392" spans="1:15" ht="15">
      <c r="A392" s="175">
        <v>389</v>
      </c>
      <c r="B392" s="418" t="s">
        <v>130</v>
      </c>
      <c r="C392" s="338">
        <v>39031</v>
      </c>
      <c r="D392" s="354" t="s">
        <v>454</v>
      </c>
      <c r="E392" s="354" t="s">
        <v>466</v>
      </c>
      <c r="F392" s="355">
        <v>83</v>
      </c>
      <c r="G392" s="355">
        <v>1</v>
      </c>
      <c r="H392" s="355">
        <v>20</v>
      </c>
      <c r="I392" s="335">
        <v>646</v>
      </c>
      <c r="J392" s="336">
        <v>53</v>
      </c>
      <c r="K392" s="356">
        <f>J392/G392</f>
        <v>53</v>
      </c>
      <c r="L392" s="344">
        <f>I392/J392</f>
        <v>12.18867924528302</v>
      </c>
      <c r="M392" s="347">
        <v>1846603</v>
      </c>
      <c r="N392" s="348">
        <v>216160</v>
      </c>
      <c r="O392" s="416">
        <f>IF(M392&lt;&gt;0,M392/N392,"")</f>
        <v>8.542759992598075</v>
      </c>
    </row>
    <row r="393" spans="1:15" ht="15">
      <c r="A393" s="175">
        <v>390</v>
      </c>
      <c r="B393" s="415" t="s">
        <v>130</v>
      </c>
      <c r="C393" s="338">
        <v>39031</v>
      </c>
      <c r="D393" s="345" t="s">
        <v>454</v>
      </c>
      <c r="E393" s="345" t="s">
        <v>466</v>
      </c>
      <c r="F393" s="346">
        <v>83</v>
      </c>
      <c r="G393" s="346">
        <v>1</v>
      </c>
      <c r="H393" s="346">
        <v>42</v>
      </c>
      <c r="I393" s="335">
        <v>534</v>
      </c>
      <c r="J393" s="336">
        <v>89</v>
      </c>
      <c r="K393" s="340">
        <f>+J393/G393</f>
        <v>89</v>
      </c>
      <c r="L393" s="341">
        <f>+I393/J393</f>
        <v>6</v>
      </c>
      <c r="M393" s="347">
        <v>1857149</v>
      </c>
      <c r="N393" s="348">
        <v>219395</v>
      </c>
      <c r="O393" s="419">
        <f>+M393/N393</f>
        <v>8.464864741675973</v>
      </c>
    </row>
    <row r="394" spans="1:15" ht="15">
      <c r="A394" s="175">
        <v>391</v>
      </c>
      <c r="B394" s="415" t="s">
        <v>218</v>
      </c>
      <c r="C394" s="338">
        <v>39031</v>
      </c>
      <c r="D394" s="345" t="s">
        <v>455</v>
      </c>
      <c r="E394" s="345" t="s">
        <v>456</v>
      </c>
      <c r="F394" s="346">
        <v>50</v>
      </c>
      <c r="G394" s="346">
        <v>1</v>
      </c>
      <c r="H394" s="346">
        <v>7</v>
      </c>
      <c r="I394" s="335">
        <v>3021</v>
      </c>
      <c r="J394" s="336">
        <v>605</v>
      </c>
      <c r="K394" s="340">
        <f>IF(I394&lt;&gt;0,J394/G394,"")</f>
        <v>605</v>
      </c>
      <c r="L394" s="341">
        <f>IF(I394&lt;&gt;0,I394/J394,"")</f>
        <v>4.993388429752066</v>
      </c>
      <c r="M394" s="347">
        <f>266414.5+185415+125166+21428.5+18743+5891.5+3021</f>
        <v>626079.5</v>
      </c>
      <c r="N394" s="348">
        <f>28980+20242+12529+2718+3502+1571+605</f>
        <v>70147</v>
      </c>
      <c r="O394" s="416">
        <f>IF(M394&lt;&gt;0,M394/N394,"")</f>
        <v>8.925249832494618</v>
      </c>
    </row>
    <row r="395" spans="1:15" ht="15">
      <c r="A395" s="175">
        <v>392</v>
      </c>
      <c r="B395" s="415" t="s">
        <v>218</v>
      </c>
      <c r="C395" s="338">
        <v>39031</v>
      </c>
      <c r="D395" s="345" t="s">
        <v>455</v>
      </c>
      <c r="E395" s="345" t="s">
        <v>456</v>
      </c>
      <c r="F395" s="346">
        <v>50</v>
      </c>
      <c r="G395" s="346">
        <v>2</v>
      </c>
      <c r="H395" s="346">
        <v>8</v>
      </c>
      <c r="I395" s="335">
        <v>858</v>
      </c>
      <c r="J395" s="336">
        <v>170</v>
      </c>
      <c r="K395" s="356">
        <f>J395/G395</f>
        <v>85</v>
      </c>
      <c r="L395" s="344">
        <f>I395/J395</f>
        <v>5.047058823529412</v>
      </c>
      <c r="M395" s="347">
        <f>266414.5+185415+125166+21428.5+18743+5891.5+3021+858</f>
        <v>626937.5</v>
      </c>
      <c r="N395" s="348">
        <f>28980+20242+12529+2718+3502+1571+605+170</f>
        <v>70317</v>
      </c>
      <c r="O395" s="419">
        <f>+M395/N395</f>
        <v>8.91587382851942</v>
      </c>
    </row>
    <row r="396" spans="1:15" ht="15">
      <c r="A396" s="175">
        <v>393</v>
      </c>
      <c r="B396" s="415" t="s">
        <v>218</v>
      </c>
      <c r="C396" s="338">
        <v>39031</v>
      </c>
      <c r="D396" s="345" t="s">
        <v>455</v>
      </c>
      <c r="E396" s="345" t="s">
        <v>456</v>
      </c>
      <c r="F396" s="346">
        <v>50</v>
      </c>
      <c r="G396" s="346">
        <v>1</v>
      </c>
      <c r="H396" s="346">
        <v>9</v>
      </c>
      <c r="I396" s="335">
        <v>32</v>
      </c>
      <c r="J396" s="336">
        <v>4</v>
      </c>
      <c r="K396" s="356">
        <f>J396/G396</f>
        <v>4</v>
      </c>
      <c r="L396" s="344">
        <f>I396/J396</f>
        <v>8</v>
      </c>
      <c r="M396" s="347">
        <f>266414.5+185415+125166+21428.5+18743+5891.5+3021+32+858</f>
        <v>626969.5</v>
      </c>
      <c r="N396" s="348">
        <f>28980+20242+12529+2718+3502+1571+605+4+170</f>
        <v>70321</v>
      </c>
      <c r="O396" s="419">
        <f>+M396/N396</f>
        <v>8.915821731772871</v>
      </c>
    </row>
    <row r="397" spans="1:15" ht="15">
      <c r="A397" s="175">
        <v>394</v>
      </c>
      <c r="B397" s="415" t="s">
        <v>96</v>
      </c>
      <c r="C397" s="338">
        <v>39031</v>
      </c>
      <c r="D397" s="345" t="s">
        <v>455</v>
      </c>
      <c r="E397" s="345" t="s">
        <v>223</v>
      </c>
      <c r="F397" s="346">
        <v>18</v>
      </c>
      <c r="G397" s="346">
        <v>2</v>
      </c>
      <c r="H397" s="346">
        <v>8</v>
      </c>
      <c r="I397" s="335">
        <v>570</v>
      </c>
      <c r="J397" s="336">
        <v>142</v>
      </c>
      <c r="K397" s="340">
        <f>IF(I397&lt;&gt;0,J397/G397,"")</f>
        <v>71</v>
      </c>
      <c r="L397" s="341">
        <f>IF(I397&lt;&gt;0,I397/J397,"")</f>
        <v>4.014084507042254</v>
      </c>
      <c r="M397" s="347">
        <f>34669.5+21005.5+6946+14460+15870+11479+2850+570</f>
        <v>107850</v>
      </c>
      <c r="N397" s="348">
        <f>4283+2703+1328+2949+3207+2286+639+142</f>
        <v>17537</v>
      </c>
      <c r="O397" s="416">
        <f>IF(M397&lt;&gt;0,M397/N397,"")</f>
        <v>6.14985459314592</v>
      </c>
    </row>
    <row r="398" spans="1:15" ht="15">
      <c r="A398" s="175">
        <v>395</v>
      </c>
      <c r="B398" s="415" t="s">
        <v>96</v>
      </c>
      <c r="C398" s="338">
        <v>39031</v>
      </c>
      <c r="D398" s="345" t="s">
        <v>455</v>
      </c>
      <c r="E398" s="345" t="s">
        <v>223</v>
      </c>
      <c r="F398" s="346">
        <v>18</v>
      </c>
      <c r="G398" s="346">
        <v>1</v>
      </c>
      <c r="H398" s="346">
        <v>11</v>
      </c>
      <c r="I398" s="335">
        <v>310</v>
      </c>
      <c r="J398" s="336">
        <v>69</v>
      </c>
      <c r="K398" s="356">
        <f>J398/G398</f>
        <v>69</v>
      </c>
      <c r="L398" s="344">
        <f>I398/J398</f>
        <v>4.492753623188406</v>
      </c>
      <c r="M398" s="347">
        <f>34669.5+21005.5+6946+14460+15870+11479+2850+3590+176+254+244.5+310</f>
        <v>111854.5</v>
      </c>
      <c r="N398" s="348">
        <f>4283+2703+1328+2949+3207+2286+639+746+44+57+55+69</f>
        <v>18366</v>
      </c>
      <c r="O398" s="419">
        <f>+M398/N398</f>
        <v>6.090302733311554</v>
      </c>
    </row>
    <row r="399" spans="1:15" ht="15">
      <c r="A399" s="175">
        <v>396</v>
      </c>
      <c r="B399" s="415" t="s">
        <v>96</v>
      </c>
      <c r="C399" s="338">
        <v>39031</v>
      </c>
      <c r="D399" s="345" t="s">
        <v>455</v>
      </c>
      <c r="E399" s="345" t="s">
        <v>223</v>
      </c>
      <c r="F399" s="346">
        <v>18</v>
      </c>
      <c r="G399" s="346">
        <v>1</v>
      </c>
      <c r="H399" s="346">
        <v>10</v>
      </c>
      <c r="I399" s="335">
        <v>254</v>
      </c>
      <c r="J399" s="336">
        <v>57</v>
      </c>
      <c r="K399" s="356">
        <f>J399/G399</f>
        <v>57</v>
      </c>
      <c r="L399" s="344">
        <f>I399/J399</f>
        <v>4.456140350877193</v>
      </c>
      <c r="M399" s="347">
        <f>34669.5+21005.5+6946+14460+15870+11479+2850+3590+176+254+244.5</f>
        <v>111544.5</v>
      </c>
      <c r="N399" s="348">
        <f>4283+2703+1328+2949+3207+2286+639+746+44+57+55</f>
        <v>18297</v>
      </c>
      <c r="O399" s="419">
        <f>+M399/N399</f>
        <v>6.096327266765043</v>
      </c>
    </row>
    <row r="400" spans="1:15" ht="15">
      <c r="A400" s="175">
        <v>397</v>
      </c>
      <c r="B400" s="417" t="s">
        <v>96</v>
      </c>
      <c r="C400" s="338">
        <v>39031</v>
      </c>
      <c r="D400" s="337" t="s">
        <v>455</v>
      </c>
      <c r="E400" s="337" t="s">
        <v>223</v>
      </c>
      <c r="F400" s="334">
        <v>18</v>
      </c>
      <c r="G400" s="334">
        <v>1</v>
      </c>
      <c r="H400" s="334">
        <v>9</v>
      </c>
      <c r="I400" s="335">
        <v>176</v>
      </c>
      <c r="J400" s="336">
        <v>44</v>
      </c>
      <c r="K400" s="340">
        <f>IF(I400&lt;&gt;0,J400/G400,"")</f>
        <v>44</v>
      </c>
      <c r="L400" s="341">
        <f>IF(I400&lt;&gt;0,I400/J400,"")</f>
        <v>4</v>
      </c>
      <c r="M400" s="347">
        <f>34669.5+21005.5+6946+14460+15870+11479+2850+3590+176</f>
        <v>111046</v>
      </c>
      <c r="N400" s="348">
        <f>4283+2703+1328+2949+3207+2286+639+746+44</f>
        <v>18185</v>
      </c>
      <c r="O400" s="416">
        <f>IF(M400&lt;&gt;0,M400/N400,"")</f>
        <v>6.106461369260379</v>
      </c>
    </row>
    <row r="401" spans="1:15" ht="15">
      <c r="A401" s="175">
        <v>398</v>
      </c>
      <c r="B401" s="424" t="s">
        <v>145</v>
      </c>
      <c r="C401" s="359">
        <v>39038</v>
      </c>
      <c r="D401" s="379" t="s">
        <v>453</v>
      </c>
      <c r="E401" s="362" t="s">
        <v>458</v>
      </c>
      <c r="F401" s="361">
        <v>103</v>
      </c>
      <c r="G401" s="361">
        <v>10</v>
      </c>
      <c r="H401" s="361">
        <v>7</v>
      </c>
      <c r="I401" s="331">
        <v>7970</v>
      </c>
      <c r="J401" s="332">
        <v>1455</v>
      </c>
      <c r="K401" s="356">
        <f>J401/G401</f>
        <v>145.5</v>
      </c>
      <c r="L401" s="344">
        <f>I401/J401</f>
        <v>5.47766323024055</v>
      </c>
      <c r="M401" s="342">
        <f>936218+573053+384209+225007+43677-1.5+14817+7970-0.5</f>
        <v>2184949</v>
      </c>
      <c r="N401" s="343">
        <f>104381+65348+45327+26825+6248+3223+1455</f>
        <v>252807</v>
      </c>
      <c r="O401" s="419">
        <f aca="true" t="shared" si="50" ref="O401:O409">+M401/N401</f>
        <v>8.642755145229364</v>
      </c>
    </row>
    <row r="402" spans="1:15" ht="15">
      <c r="A402" s="175">
        <v>399</v>
      </c>
      <c r="B402" s="424" t="s">
        <v>145</v>
      </c>
      <c r="C402" s="359">
        <v>39038</v>
      </c>
      <c r="D402" s="379" t="s">
        <v>453</v>
      </c>
      <c r="E402" s="362" t="s">
        <v>458</v>
      </c>
      <c r="F402" s="361">
        <v>103</v>
      </c>
      <c r="G402" s="361">
        <v>5</v>
      </c>
      <c r="H402" s="361">
        <v>10</v>
      </c>
      <c r="I402" s="331">
        <v>6458</v>
      </c>
      <c r="J402" s="332">
        <v>1814</v>
      </c>
      <c r="K402" s="356">
        <f>J402/G402</f>
        <v>362.8</v>
      </c>
      <c r="L402" s="344">
        <f>I402/J402</f>
        <v>3.560088202866593</v>
      </c>
      <c r="M402" s="342">
        <f>936218+573053+384209+225007+43677-1.5+14817+7970-0.5+2372+1812+6458</f>
        <v>2195591</v>
      </c>
      <c r="N402" s="343">
        <f>104381+65348+45327+26825+6248+3223+1455+338+360+1814</f>
        <v>255319</v>
      </c>
      <c r="O402" s="419">
        <f t="shared" si="50"/>
        <v>8.599403099651807</v>
      </c>
    </row>
    <row r="403" spans="1:15" ht="15">
      <c r="A403" s="175">
        <v>400</v>
      </c>
      <c r="B403" s="421" t="s">
        <v>145</v>
      </c>
      <c r="C403" s="359">
        <v>39038</v>
      </c>
      <c r="D403" s="339" t="s">
        <v>453</v>
      </c>
      <c r="E403" s="339" t="s">
        <v>458</v>
      </c>
      <c r="F403" s="333">
        <v>103</v>
      </c>
      <c r="G403" s="333">
        <v>3</v>
      </c>
      <c r="H403" s="333">
        <v>8</v>
      </c>
      <c r="I403" s="331">
        <v>2372</v>
      </c>
      <c r="J403" s="332">
        <v>338</v>
      </c>
      <c r="K403" s="356">
        <f>J403/G403</f>
        <v>112.66666666666667</v>
      </c>
      <c r="L403" s="344">
        <f>I403/J403</f>
        <v>7.017751479289941</v>
      </c>
      <c r="M403" s="342">
        <f>936218+573053+384209+225007+43677-1.5+14817+7970-0.5+2372</f>
        <v>2187321</v>
      </c>
      <c r="N403" s="343">
        <f>104381+65348+45327+26825+6248+3223+1455+338</f>
        <v>253145</v>
      </c>
      <c r="O403" s="419">
        <f t="shared" si="50"/>
        <v>8.640585435224871</v>
      </c>
    </row>
    <row r="404" spans="1:15" ht="15">
      <c r="A404" s="175">
        <v>401</v>
      </c>
      <c r="B404" s="424" t="s">
        <v>145</v>
      </c>
      <c r="C404" s="359">
        <v>39038</v>
      </c>
      <c r="D404" s="379" t="s">
        <v>453</v>
      </c>
      <c r="E404" s="362" t="s">
        <v>458</v>
      </c>
      <c r="F404" s="361">
        <v>103</v>
      </c>
      <c r="G404" s="361">
        <v>3</v>
      </c>
      <c r="H404" s="361">
        <v>9</v>
      </c>
      <c r="I404" s="331">
        <v>1812</v>
      </c>
      <c r="J404" s="332">
        <v>360</v>
      </c>
      <c r="K404" s="356">
        <f>J404/G404</f>
        <v>120</v>
      </c>
      <c r="L404" s="344">
        <f>I404/J404</f>
        <v>5.033333333333333</v>
      </c>
      <c r="M404" s="342">
        <f>936218+573053+384209+225007+43677-1.5+14817+7970-0.5+2372+1812</f>
        <v>2189133</v>
      </c>
      <c r="N404" s="343">
        <f>104381+65348+45327+26825+6248+3223+1455+338+360</f>
        <v>253505</v>
      </c>
      <c r="O404" s="419">
        <f t="shared" si="50"/>
        <v>8.635462811384391</v>
      </c>
    </row>
    <row r="405" spans="1:15" ht="15">
      <c r="A405" s="175">
        <v>402</v>
      </c>
      <c r="B405" s="424" t="s">
        <v>145</v>
      </c>
      <c r="C405" s="359">
        <v>39038</v>
      </c>
      <c r="D405" s="379" t="s">
        <v>453</v>
      </c>
      <c r="E405" s="362" t="s">
        <v>458</v>
      </c>
      <c r="F405" s="361">
        <v>103</v>
      </c>
      <c r="G405" s="361">
        <v>2</v>
      </c>
      <c r="H405" s="361">
        <v>16</v>
      </c>
      <c r="I405" s="331">
        <v>986</v>
      </c>
      <c r="J405" s="332">
        <v>181</v>
      </c>
      <c r="K405" s="340">
        <f>IF(I405&lt;&gt;0,J405/G405,"")</f>
        <v>90.5</v>
      </c>
      <c r="L405" s="341">
        <f>IF(I405&lt;&gt;0,I405/J405,"")</f>
        <v>5.447513812154696</v>
      </c>
      <c r="M405" s="342">
        <f>936218+573053+384209+225007+43677-1.5+14817+7970-0.5+2372+1812+6458+406+362+523+237+171+986</f>
        <v>2198276</v>
      </c>
      <c r="N405" s="343">
        <f>104381+65348+45327+26825+6248+3223+1455+338+360+1814+59+51+69+32+23+181</f>
        <v>255734</v>
      </c>
      <c r="O405" s="419">
        <f t="shared" si="50"/>
        <v>8.595947351544964</v>
      </c>
    </row>
    <row r="406" spans="1:15" ht="15">
      <c r="A406" s="175">
        <v>403</v>
      </c>
      <c r="B406" s="424" t="s">
        <v>145</v>
      </c>
      <c r="C406" s="359">
        <v>39038</v>
      </c>
      <c r="D406" s="379" t="s">
        <v>453</v>
      </c>
      <c r="E406" s="362" t="s">
        <v>458</v>
      </c>
      <c r="F406" s="361">
        <v>103</v>
      </c>
      <c r="G406" s="361">
        <v>1</v>
      </c>
      <c r="H406" s="361">
        <v>13</v>
      </c>
      <c r="I406" s="331">
        <v>523</v>
      </c>
      <c r="J406" s="332">
        <v>69</v>
      </c>
      <c r="K406" s="356">
        <f>J406/G406</f>
        <v>69</v>
      </c>
      <c r="L406" s="344">
        <f>I406/J406</f>
        <v>7.579710144927536</v>
      </c>
      <c r="M406" s="342">
        <f>936218+573053+384209+225007+43677-1.5+14817+7970-0.5+2372+1812+6458+406+362+523</f>
        <v>2196882</v>
      </c>
      <c r="N406" s="343">
        <f>104381+65348+45327+26825+6248+3223+1455+338+360+1814+59+51+69</f>
        <v>255498</v>
      </c>
      <c r="O406" s="419">
        <f t="shared" si="50"/>
        <v>8.598431298875138</v>
      </c>
    </row>
    <row r="407" spans="1:15" ht="15">
      <c r="A407" s="175">
        <v>404</v>
      </c>
      <c r="B407" s="424" t="s">
        <v>145</v>
      </c>
      <c r="C407" s="359">
        <v>39038</v>
      </c>
      <c r="D407" s="379" t="s">
        <v>453</v>
      </c>
      <c r="E407" s="362" t="s">
        <v>458</v>
      </c>
      <c r="F407" s="361">
        <v>103</v>
      </c>
      <c r="G407" s="361">
        <v>1</v>
      </c>
      <c r="H407" s="361">
        <v>11</v>
      </c>
      <c r="I407" s="331">
        <v>406</v>
      </c>
      <c r="J407" s="332">
        <v>59</v>
      </c>
      <c r="K407" s="356">
        <f>J407/G407</f>
        <v>59</v>
      </c>
      <c r="L407" s="344">
        <f>I407/J407</f>
        <v>6.88135593220339</v>
      </c>
      <c r="M407" s="342">
        <f>936218+573053+384209+225007+43677-1.5+14817+7970-0.5+2372+1812+6458+406</f>
        <v>2195997</v>
      </c>
      <c r="N407" s="343">
        <f>104381+65348+45327+26825+6248+3223+1455+338+360+1814+59</f>
        <v>255378</v>
      </c>
      <c r="O407" s="419">
        <f t="shared" si="50"/>
        <v>8.599006179075722</v>
      </c>
    </row>
    <row r="408" spans="1:15" ht="15">
      <c r="A408" s="175">
        <v>405</v>
      </c>
      <c r="B408" s="424" t="s">
        <v>145</v>
      </c>
      <c r="C408" s="359">
        <v>39038</v>
      </c>
      <c r="D408" s="379" t="s">
        <v>453</v>
      </c>
      <c r="E408" s="362" t="s">
        <v>458</v>
      </c>
      <c r="F408" s="361">
        <v>103</v>
      </c>
      <c r="G408" s="361">
        <v>1</v>
      </c>
      <c r="H408" s="361">
        <v>12</v>
      </c>
      <c r="I408" s="331">
        <v>362</v>
      </c>
      <c r="J408" s="332">
        <v>51</v>
      </c>
      <c r="K408" s="356">
        <f>J408/G408</f>
        <v>51</v>
      </c>
      <c r="L408" s="344">
        <f>I408/J408</f>
        <v>7.098039215686274</v>
      </c>
      <c r="M408" s="342">
        <f>936218+573053+384209+225007+43677-1.5+14817+7970-0.5+2372+1812+6458+406+362</f>
        <v>2196359</v>
      </c>
      <c r="N408" s="343">
        <f>104381+65348+45327+26825+6248+3223+1455+338+360+1814+59+51</f>
        <v>255429</v>
      </c>
      <c r="O408" s="419">
        <f t="shared" si="50"/>
        <v>8.598706489866068</v>
      </c>
    </row>
    <row r="409" spans="1:15" ht="15">
      <c r="A409" s="175">
        <v>406</v>
      </c>
      <c r="B409" s="424" t="s">
        <v>145</v>
      </c>
      <c r="C409" s="359">
        <v>39038</v>
      </c>
      <c r="D409" s="379" t="s">
        <v>453</v>
      </c>
      <c r="E409" s="362" t="s">
        <v>458</v>
      </c>
      <c r="F409" s="361">
        <v>103</v>
      </c>
      <c r="G409" s="361">
        <v>1</v>
      </c>
      <c r="H409" s="361">
        <v>14</v>
      </c>
      <c r="I409" s="331">
        <v>237</v>
      </c>
      <c r="J409" s="332">
        <v>32</v>
      </c>
      <c r="K409" s="356">
        <f>J409/G409</f>
        <v>32</v>
      </c>
      <c r="L409" s="344">
        <f>I409/J409</f>
        <v>7.40625</v>
      </c>
      <c r="M409" s="342">
        <f>936218+573053+384209+225007+43677-1.5+14817+7970-0.5+2372+1812+6458+406+362+523+237</f>
        <v>2197119</v>
      </c>
      <c r="N409" s="343">
        <f>104381+65348+45327+26825+6248+3223+1455+338+360+1814+59+51+69+32</f>
        <v>255530</v>
      </c>
      <c r="O409" s="419">
        <f t="shared" si="50"/>
        <v>8.598282002113255</v>
      </c>
    </row>
    <row r="410" spans="1:15" ht="15">
      <c r="A410" s="175">
        <v>407</v>
      </c>
      <c r="B410" s="424" t="s">
        <v>145</v>
      </c>
      <c r="C410" s="359">
        <v>39038</v>
      </c>
      <c r="D410" s="379" t="s">
        <v>453</v>
      </c>
      <c r="E410" s="362" t="s">
        <v>458</v>
      </c>
      <c r="F410" s="361">
        <v>103</v>
      </c>
      <c r="G410" s="361">
        <v>1</v>
      </c>
      <c r="H410" s="361">
        <v>15</v>
      </c>
      <c r="I410" s="331">
        <v>171</v>
      </c>
      <c r="J410" s="332">
        <v>23</v>
      </c>
      <c r="K410" s="340">
        <f>IF(I410&lt;&gt;0,J410/G410,"")</f>
        <v>23</v>
      </c>
      <c r="L410" s="341">
        <f>IF(I410&lt;&gt;0,I410/J410,"")</f>
        <v>7.434782608695652</v>
      </c>
      <c r="M410" s="342">
        <f>936218+573053+384209+225007+43677-1.5+14817+7970-0.5+2372+1812+6458+406+362+523+237+171</f>
        <v>2197290</v>
      </c>
      <c r="N410" s="343">
        <f>104381+65348+45327+26825+6248+3223+1455+338+360+1814+59+51+69+32+23</f>
        <v>255553</v>
      </c>
      <c r="O410" s="416">
        <f>IF(M410&lt;&gt;0,M410/N410,"")</f>
        <v>8.598177286120688</v>
      </c>
    </row>
    <row r="411" spans="1:15" ht="15">
      <c r="A411" s="175">
        <v>408</v>
      </c>
      <c r="B411" s="417" t="s">
        <v>221</v>
      </c>
      <c r="C411" s="338">
        <v>39038</v>
      </c>
      <c r="D411" s="337" t="s">
        <v>454</v>
      </c>
      <c r="E411" s="337" t="s">
        <v>466</v>
      </c>
      <c r="F411" s="334">
        <v>40</v>
      </c>
      <c r="G411" s="334">
        <v>2</v>
      </c>
      <c r="H411" s="334">
        <v>7</v>
      </c>
      <c r="I411" s="335">
        <v>2705</v>
      </c>
      <c r="J411" s="336">
        <v>636</v>
      </c>
      <c r="K411" s="340">
        <f>IF(I411&lt;&gt;0,J411/G411,"")</f>
        <v>318</v>
      </c>
      <c r="L411" s="341">
        <f>IF(I411&lt;&gt;0,I411/J411,"")</f>
        <v>4.25314465408805</v>
      </c>
      <c r="M411" s="347">
        <v>125416</v>
      </c>
      <c r="N411" s="348">
        <v>16096</v>
      </c>
      <c r="O411" s="420">
        <f>M411/N411</f>
        <v>7.791749502982108</v>
      </c>
    </row>
    <row r="412" spans="1:15" ht="15">
      <c r="A412" s="175">
        <v>409</v>
      </c>
      <c r="B412" s="415" t="s">
        <v>221</v>
      </c>
      <c r="C412" s="338">
        <v>39038</v>
      </c>
      <c r="D412" s="345" t="s">
        <v>454</v>
      </c>
      <c r="E412" s="345" t="s">
        <v>466</v>
      </c>
      <c r="F412" s="346">
        <v>40</v>
      </c>
      <c r="G412" s="346">
        <v>1</v>
      </c>
      <c r="H412" s="346">
        <v>8</v>
      </c>
      <c r="I412" s="335">
        <v>746</v>
      </c>
      <c r="J412" s="336">
        <v>319</v>
      </c>
      <c r="K412" s="356">
        <f>J412/G412</f>
        <v>319</v>
      </c>
      <c r="L412" s="344">
        <f>I412/J412</f>
        <v>2.3385579937304075</v>
      </c>
      <c r="M412" s="347">
        <v>126162</v>
      </c>
      <c r="N412" s="348">
        <v>16415</v>
      </c>
      <c r="O412" s="419">
        <f>+M412/N412</f>
        <v>7.68577520560463</v>
      </c>
    </row>
    <row r="413" spans="1:15" ht="15">
      <c r="A413" s="175">
        <v>410</v>
      </c>
      <c r="B413" s="415" t="s">
        <v>221</v>
      </c>
      <c r="C413" s="338">
        <v>39038</v>
      </c>
      <c r="D413" s="345" t="s">
        <v>454</v>
      </c>
      <c r="E413" s="345" t="s">
        <v>466</v>
      </c>
      <c r="F413" s="346">
        <v>40</v>
      </c>
      <c r="G413" s="346">
        <v>1</v>
      </c>
      <c r="H413" s="346">
        <v>7</v>
      </c>
      <c r="I413" s="335">
        <v>197</v>
      </c>
      <c r="J413" s="336">
        <v>24</v>
      </c>
      <c r="K413" s="340">
        <f>IF(I413&lt;&gt;0,J413/G413,"")</f>
        <v>24</v>
      </c>
      <c r="L413" s="341">
        <f>IF(I413&lt;&gt;0,I413/J413,"")</f>
        <v>8.208333333333334</v>
      </c>
      <c r="M413" s="347">
        <v>122711</v>
      </c>
      <c r="N413" s="348">
        <v>15460</v>
      </c>
      <c r="O413" s="416">
        <f>IF(M413&lt;&gt;0,M413/N413,"")</f>
        <v>7.93732212160414</v>
      </c>
    </row>
    <row r="414" spans="1:15" ht="15">
      <c r="A414" s="175">
        <v>411</v>
      </c>
      <c r="B414" s="424" t="s">
        <v>229</v>
      </c>
      <c r="C414" s="359">
        <v>39038</v>
      </c>
      <c r="D414" s="362" t="s">
        <v>447</v>
      </c>
      <c r="E414" s="362" t="s">
        <v>230</v>
      </c>
      <c r="F414" s="361">
        <v>109</v>
      </c>
      <c r="G414" s="361">
        <v>12</v>
      </c>
      <c r="H414" s="361">
        <v>7</v>
      </c>
      <c r="I414" s="363">
        <v>19312</v>
      </c>
      <c r="J414" s="364">
        <v>3691</v>
      </c>
      <c r="K414" s="340">
        <f>IF(I414&lt;&gt;0,J414/G414,"")</f>
        <v>307.5833333333333</v>
      </c>
      <c r="L414" s="341">
        <f>IF(I414&lt;&gt;0,I414/J414,"")</f>
        <v>5.23218639934977</v>
      </c>
      <c r="M414" s="365">
        <f>712634+578949+327758+206180.5+97478.5+25512.5+19312</f>
        <v>1967824.5</v>
      </c>
      <c r="N414" s="348">
        <f>88349+73537+43461+31145+15589+5191+3691</f>
        <v>260963</v>
      </c>
      <c r="O414" s="416">
        <f>IF(M414&lt;&gt;0,M414/N414,"")</f>
        <v>7.5406264489601975</v>
      </c>
    </row>
    <row r="415" spans="1:15" ht="15">
      <c r="A415" s="175">
        <v>412</v>
      </c>
      <c r="B415" s="421" t="s">
        <v>229</v>
      </c>
      <c r="C415" s="359">
        <v>39038</v>
      </c>
      <c r="D415" s="339" t="s">
        <v>447</v>
      </c>
      <c r="E415" s="339" t="s">
        <v>230</v>
      </c>
      <c r="F415" s="333">
        <v>109</v>
      </c>
      <c r="G415" s="333">
        <v>12</v>
      </c>
      <c r="H415" s="333">
        <v>8</v>
      </c>
      <c r="I415" s="363">
        <v>9417</v>
      </c>
      <c r="J415" s="364">
        <v>2021</v>
      </c>
      <c r="K415" s="340">
        <f>IF(I415&lt;&gt;0,J415/G415,"")</f>
        <v>168.41666666666666</v>
      </c>
      <c r="L415" s="341">
        <f>IF(I415&lt;&gt;0,I415/J415,"")</f>
        <v>4.659574468085107</v>
      </c>
      <c r="M415" s="365">
        <f>712634+578949+327758+206180.5+97478.5+25512.5+19312+9417</f>
        <v>1977241.5</v>
      </c>
      <c r="N415" s="348">
        <f>88349+73537+43461+31145+15589+5191+3691+2021</f>
        <v>262984</v>
      </c>
      <c r="O415" s="416">
        <f>IF(M415&lt;&gt;0,M415/N415,"")</f>
        <v>7.518485915492958</v>
      </c>
    </row>
    <row r="416" spans="1:15" ht="15">
      <c r="A416" s="175">
        <v>413</v>
      </c>
      <c r="B416" s="424" t="s">
        <v>229</v>
      </c>
      <c r="C416" s="359">
        <v>39038</v>
      </c>
      <c r="D416" s="362" t="s">
        <v>447</v>
      </c>
      <c r="E416" s="362" t="s">
        <v>230</v>
      </c>
      <c r="F416" s="361">
        <v>109</v>
      </c>
      <c r="G416" s="361">
        <v>9</v>
      </c>
      <c r="H416" s="361">
        <v>9</v>
      </c>
      <c r="I416" s="363">
        <v>8894</v>
      </c>
      <c r="J416" s="364">
        <v>1715</v>
      </c>
      <c r="K416" s="356">
        <f>J416/G416</f>
        <v>190.55555555555554</v>
      </c>
      <c r="L416" s="344">
        <f>I416/J416</f>
        <v>5.18600583090379</v>
      </c>
      <c r="M416" s="365">
        <f>712634+578949+327758+206180.5+97478.5+25512.5+19312+9417+8894</f>
        <v>1986135.5</v>
      </c>
      <c r="N416" s="348">
        <f>88349+73537+43461+31145+15589+5191+3691+2021+1712</f>
        <v>264696</v>
      </c>
      <c r="O416" s="419">
        <f>+M416/N416</f>
        <v>7.503458684679783</v>
      </c>
    </row>
    <row r="417" spans="1:15" ht="15">
      <c r="A417" s="175">
        <v>414</v>
      </c>
      <c r="B417" s="421" t="s">
        <v>229</v>
      </c>
      <c r="C417" s="359">
        <v>39038</v>
      </c>
      <c r="D417" s="339" t="s">
        <v>447</v>
      </c>
      <c r="E417" s="339" t="s">
        <v>230</v>
      </c>
      <c r="F417" s="333">
        <v>109</v>
      </c>
      <c r="G417" s="333">
        <v>2</v>
      </c>
      <c r="H417" s="333">
        <v>14</v>
      </c>
      <c r="I417" s="363">
        <v>3292</v>
      </c>
      <c r="J417" s="364">
        <v>658</v>
      </c>
      <c r="K417" s="340">
        <f>IF(I417&lt;&gt;0,J417/G417,"")</f>
        <v>329</v>
      </c>
      <c r="L417" s="341">
        <f>IF(I417&lt;&gt;0,I417/J417,"")</f>
        <v>5.003039513677812</v>
      </c>
      <c r="M417" s="365">
        <f>1991375+0+102+3292</f>
        <v>1994769</v>
      </c>
      <c r="N417" s="348">
        <f>265655+0+17+658</f>
        <v>266330</v>
      </c>
      <c r="O417" s="416">
        <f aca="true" t="shared" si="51" ref="O417:O426">IF(M417&lt;&gt;0,M417/N417,"")</f>
        <v>7.4898396725866405</v>
      </c>
    </row>
    <row r="418" spans="1:15" ht="15">
      <c r="A418" s="175">
        <v>415</v>
      </c>
      <c r="B418" s="424" t="s">
        <v>229</v>
      </c>
      <c r="C418" s="359">
        <v>39038</v>
      </c>
      <c r="D418" s="362" t="s">
        <v>447</v>
      </c>
      <c r="E418" s="362" t="s">
        <v>230</v>
      </c>
      <c r="F418" s="361">
        <v>109</v>
      </c>
      <c r="G418" s="361">
        <v>3</v>
      </c>
      <c r="H418" s="361">
        <v>10</v>
      </c>
      <c r="I418" s="363">
        <v>3218.5</v>
      </c>
      <c r="J418" s="364">
        <v>562</v>
      </c>
      <c r="K418" s="340">
        <f>IF(I418&lt;&gt;0,J418/G418,"")</f>
        <v>187.33333333333334</v>
      </c>
      <c r="L418" s="341">
        <f>IF(I418&lt;&gt;0,I418/J418,"")</f>
        <v>5.726868327402135</v>
      </c>
      <c r="M418" s="365">
        <f>712634+578949+327758+206180.5+97478.5+25512.5+19312+9417+9880+3218.5</f>
        <v>1990340</v>
      </c>
      <c r="N418" s="348">
        <f>88349+73537+43461+31145+15589+5191+3691+2021+1909+562</f>
        <v>265455</v>
      </c>
      <c r="O418" s="416">
        <f t="shared" si="51"/>
        <v>7.497843325610744</v>
      </c>
    </row>
    <row r="419" spans="1:15" ht="15">
      <c r="A419" s="175">
        <v>416</v>
      </c>
      <c r="B419" s="424" t="s">
        <v>229</v>
      </c>
      <c r="C419" s="359">
        <v>39038</v>
      </c>
      <c r="D419" s="362" t="s">
        <v>447</v>
      </c>
      <c r="E419" s="362" t="s">
        <v>230</v>
      </c>
      <c r="F419" s="361">
        <v>109</v>
      </c>
      <c r="G419" s="361">
        <v>1</v>
      </c>
      <c r="H419" s="361">
        <v>15</v>
      </c>
      <c r="I419" s="363">
        <v>1782</v>
      </c>
      <c r="J419" s="364">
        <v>267</v>
      </c>
      <c r="K419" s="340">
        <f>IF(I419&lt;&gt;0,J419/G419,"")</f>
        <v>267</v>
      </c>
      <c r="L419" s="341">
        <f>IF(I419&lt;&gt;0,I419/J419,"")</f>
        <v>6.674157303370786</v>
      </c>
      <c r="M419" s="365">
        <f>1996551+0</f>
        <v>1996551</v>
      </c>
      <c r="N419" s="348">
        <f>266597+0</f>
        <v>266597</v>
      </c>
      <c r="O419" s="416">
        <f t="shared" si="51"/>
        <v>7.489022757195317</v>
      </c>
    </row>
    <row r="420" spans="1:15" ht="15">
      <c r="A420" s="175">
        <v>417</v>
      </c>
      <c r="B420" s="424" t="s">
        <v>229</v>
      </c>
      <c r="C420" s="359">
        <v>39038</v>
      </c>
      <c r="D420" s="362" t="s">
        <v>447</v>
      </c>
      <c r="E420" s="362" t="s">
        <v>230</v>
      </c>
      <c r="F420" s="361">
        <v>109</v>
      </c>
      <c r="G420" s="361">
        <v>1</v>
      </c>
      <c r="H420" s="361">
        <v>16</v>
      </c>
      <c r="I420" s="363">
        <v>1188</v>
      </c>
      <c r="J420" s="364">
        <v>238</v>
      </c>
      <c r="K420" s="340">
        <f>+J420/G420</f>
        <v>238</v>
      </c>
      <c r="L420" s="341">
        <f>+I420/J420</f>
        <v>4.991596638655462</v>
      </c>
      <c r="M420" s="365">
        <f>1997739+0</f>
        <v>1997739</v>
      </c>
      <c r="N420" s="348">
        <f>266835+0</f>
        <v>266835</v>
      </c>
      <c r="O420" s="416">
        <f t="shared" si="51"/>
        <v>7.486795210523357</v>
      </c>
    </row>
    <row r="421" spans="1:15" ht="15">
      <c r="A421" s="175">
        <v>418</v>
      </c>
      <c r="B421" s="421" t="s">
        <v>229</v>
      </c>
      <c r="C421" s="359">
        <v>39038</v>
      </c>
      <c r="D421" s="339" t="s">
        <v>447</v>
      </c>
      <c r="E421" s="339" t="s">
        <v>230</v>
      </c>
      <c r="F421" s="333">
        <v>109</v>
      </c>
      <c r="G421" s="333">
        <v>1</v>
      </c>
      <c r="H421" s="333">
        <v>17</v>
      </c>
      <c r="I421" s="363">
        <v>1188</v>
      </c>
      <c r="J421" s="364">
        <v>238</v>
      </c>
      <c r="K421" s="340">
        <f aca="true" t="shared" si="52" ref="K421:K426">IF(I421&lt;&gt;0,J421/G421,"")</f>
        <v>238</v>
      </c>
      <c r="L421" s="341">
        <f aca="true" t="shared" si="53" ref="L421:L426">IF(I421&lt;&gt;0,I421/J421,"")</f>
        <v>4.991596638655462</v>
      </c>
      <c r="M421" s="365">
        <f>1997739+0+1188</f>
        <v>1998927</v>
      </c>
      <c r="N421" s="348">
        <f>266835+0+238</f>
        <v>267073</v>
      </c>
      <c r="O421" s="416">
        <f t="shared" si="51"/>
        <v>7.484571633972734</v>
      </c>
    </row>
    <row r="422" spans="1:15" ht="15">
      <c r="A422" s="175">
        <v>419</v>
      </c>
      <c r="B422" s="424" t="s">
        <v>229</v>
      </c>
      <c r="C422" s="359">
        <v>39038</v>
      </c>
      <c r="D422" s="362" t="s">
        <v>447</v>
      </c>
      <c r="E422" s="362" t="s">
        <v>230</v>
      </c>
      <c r="F422" s="361">
        <v>109</v>
      </c>
      <c r="G422" s="361">
        <v>1</v>
      </c>
      <c r="H422" s="361">
        <v>18</v>
      </c>
      <c r="I422" s="363">
        <v>1188</v>
      </c>
      <c r="J422" s="364">
        <v>238</v>
      </c>
      <c r="K422" s="340">
        <f t="shared" si="52"/>
        <v>238</v>
      </c>
      <c r="L422" s="341">
        <f t="shared" si="53"/>
        <v>4.991596638655462</v>
      </c>
      <c r="M422" s="365">
        <f>2000115+0</f>
        <v>2000115</v>
      </c>
      <c r="N422" s="348">
        <f>267311+0</f>
        <v>267311</v>
      </c>
      <c r="O422" s="416">
        <f t="shared" si="51"/>
        <v>7.482352016939071</v>
      </c>
    </row>
    <row r="423" spans="1:15" ht="15">
      <c r="A423" s="175">
        <v>420</v>
      </c>
      <c r="B423" s="424" t="s">
        <v>229</v>
      </c>
      <c r="C423" s="359">
        <v>39038</v>
      </c>
      <c r="D423" s="362" t="s">
        <v>447</v>
      </c>
      <c r="E423" s="362" t="s">
        <v>230</v>
      </c>
      <c r="F423" s="361">
        <v>109</v>
      </c>
      <c r="G423" s="361">
        <v>1</v>
      </c>
      <c r="H423" s="361">
        <v>11</v>
      </c>
      <c r="I423" s="363">
        <v>825</v>
      </c>
      <c r="J423" s="364">
        <v>165</v>
      </c>
      <c r="K423" s="340">
        <f t="shared" si="52"/>
        <v>165</v>
      </c>
      <c r="L423" s="341">
        <f t="shared" si="53"/>
        <v>5</v>
      </c>
      <c r="M423" s="365">
        <f>712634+578949+327758+206180.5+97478.5+25512.5+19312+9417+9880+3218.5+825</f>
        <v>1991165</v>
      </c>
      <c r="N423" s="348">
        <f>88349+73537+43461+31145+15589+5191+3691+2021+1909+562+165</f>
        <v>265620</v>
      </c>
      <c r="O423" s="416">
        <f t="shared" si="51"/>
        <v>7.496291694902492</v>
      </c>
    </row>
    <row r="424" spans="1:15" ht="15">
      <c r="A424" s="175">
        <v>421</v>
      </c>
      <c r="B424" s="421" t="s">
        <v>229</v>
      </c>
      <c r="C424" s="359">
        <v>39038</v>
      </c>
      <c r="D424" s="339" t="s">
        <v>447</v>
      </c>
      <c r="E424" s="339" t="s">
        <v>230</v>
      </c>
      <c r="F424" s="333">
        <v>109</v>
      </c>
      <c r="G424" s="333">
        <v>1</v>
      </c>
      <c r="H424" s="333">
        <v>12</v>
      </c>
      <c r="I424" s="363">
        <v>210</v>
      </c>
      <c r="J424" s="364">
        <v>35</v>
      </c>
      <c r="K424" s="340">
        <f t="shared" si="52"/>
        <v>35</v>
      </c>
      <c r="L424" s="341">
        <f t="shared" si="53"/>
        <v>6</v>
      </c>
      <c r="M424" s="365">
        <f>1991375+0</f>
        <v>1991375</v>
      </c>
      <c r="N424" s="348">
        <f>265655+0</f>
        <v>265655</v>
      </c>
      <c r="O424" s="416">
        <f t="shared" si="51"/>
        <v>7.4960945587321905</v>
      </c>
    </row>
    <row r="425" spans="1:15" ht="15">
      <c r="A425" s="175">
        <v>422</v>
      </c>
      <c r="B425" s="421" t="s">
        <v>229</v>
      </c>
      <c r="C425" s="359">
        <v>39038</v>
      </c>
      <c r="D425" s="339" t="s">
        <v>447</v>
      </c>
      <c r="E425" s="339" t="s">
        <v>230</v>
      </c>
      <c r="F425" s="333">
        <v>109</v>
      </c>
      <c r="G425" s="333">
        <v>1</v>
      </c>
      <c r="H425" s="333">
        <v>13</v>
      </c>
      <c r="I425" s="363">
        <v>102</v>
      </c>
      <c r="J425" s="364">
        <v>17</v>
      </c>
      <c r="K425" s="340">
        <f t="shared" si="52"/>
        <v>17</v>
      </c>
      <c r="L425" s="341">
        <f t="shared" si="53"/>
        <v>6</v>
      </c>
      <c r="M425" s="365">
        <f>1991375+0+102</f>
        <v>1991477</v>
      </c>
      <c r="N425" s="348">
        <f>265655+0+17</f>
        <v>265672</v>
      </c>
      <c r="O425" s="416">
        <f t="shared" si="51"/>
        <v>7.495998825619561</v>
      </c>
    </row>
    <row r="426" spans="1:15" ht="15">
      <c r="A426" s="175">
        <v>423</v>
      </c>
      <c r="B426" s="417" t="s">
        <v>237</v>
      </c>
      <c r="C426" s="338">
        <v>39038</v>
      </c>
      <c r="D426" s="337" t="s">
        <v>455</v>
      </c>
      <c r="E426" s="337" t="s">
        <v>238</v>
      </c>
      <c r="F426" s="334">
        <v>40</v>
      </c>
      <c r="G426" s="334">
        <v>1</v>
      </c>
      <c r="H426" s="334">
        <v>7</v>
      </c>
      <c r="I426" s="335">
        <v>2427</v>
      </c>
      <c r="J426" s="336">
        <v>457</v>
      </c>
      <c r="K426" s="340">
        <f t="shared" si="52"/>
        <v>457</v>
      </c>
      <c r="L426" s="341">
        <f t="shared" si="53"/>
        <v>5.310722100656455</v>
      </c>
      <c r="M426" s="347">
        <f>85423.5+40609.5+16428+10894.5+3106.5+2427+2630</f>
        <v>161519</v>
      </c>
      <c r="N426" s="348">
        <f>10842+5203+2181+1838+640+457+494</f>
        <v>21655</v>
      </c>
      <c r="O426" s="416">
        <f t="shared" si="51"/>
        <v>7.458739321172939</v>
      </c>
    </row>
    <row r="427" spans="1:15" ht="15">
      <c r="A427" s="175">
        <v>424</v>
      </c>
      <c r="B427" s="417" t="s">
        <v>237</v>
      </c>
      <c r="C427" s="338">
        <v>39038</v>
      </c>
      <c r="D427" s="337" t="s">
        <v>455</v>
      </c>
      <c r="E427" s="337" t="s">
        <v>238</v>
      </c>
      <c r="F427" s="333">
        <v>40</v>
      </c>
      <c r="G427" s="334">
        <v>1</v>
      </c>
      <c r="H427" s="334">
        <v>15</v>
      </c>
      <c r="I427" s="335">
        <v>2376</v>
      </c>
      <c r="J427" s="336">
        <v>475</v>
      </c>
      <c r="K427" s="356">
        <f aca="true" t="shared" si="54" ref="K427:K432">J427/G427</f>
        <v>475</v>
      </c>
      <c r="L427" s="344">
        <f aca="true" t="shared" si="55" ref="L427:L436">I427/J427</f>
        <v>5.002105263157895</v>
      </c>
      <c r="M427" s="347">
        <f>85423.5+40609.5+16428+10894.5+3106.5+2427+2630+460+1511+1189+1802+286+188+1782+2376</f>
        <v>171113</v>
      </c>
      <c r="N427" s="348">
        <f>10842+5203+2181+1838+640+457+494+92+303+238+212+63+42+446+475</f>
        <v>23526</v>
      </c>
      <c r="O427" s="419">
        <f>+M427/N427</f>
        <v>7.273357136784834</v>
      </c>
    </row>
    <row r="428" spans="1:15" ht="15">
      <c r="A428" s="175">
        <v>425</v>
      </c>
      <c r="B428" s="415" t="s">
        <v>237</v>
      </c>
      <c r="C428" s="338">
        <v>39038</v>
      </c>
      <c r="D428" s="349" t="s">
        <v>455</v>
      </c>
      <c r="E428" s="345" t="s">
        <v>238</v>
      </c>
      <c r="F428" s="346">
        <v>40</v>
      </c>
      <c r="G428" s="346">
        <v>1</v>
      </c>
      <c r="H428" s="346">
        <v>25</v>
      </c>
      <c r="I428" s="335">
        <v>2376</v>
      </c>
      <c r="J428" s="336">
        <v>594</v>
      </c>
      <c r="K428" s="348">
        <f t="shared" si="54"/>
        <v>594</v>
      </c>
      <c r="L428" s="353">
        <f t="shared" si="55"/>
        <v>4</v>
      </c>
      <c r="M428" s="347">
        <f>85423.5+40609.5+16428+10894.5+3106.5+2427+2630+460+1511+1189+1802+286+188+1782+2376+2230+1880+1432+216+1901+710+24+29+1510.5+2376</f>
        <v>183421.5</v>
      </c>
      <c r="N428" s="348">
        <f>10842+5203+2181+1838+640+457+494+92+303+238+212+63+42+446+475+446+376+205+25+475+4+142+5+378+594</f>
        <v>26176</v>
      </c>
      <c r="O428" s="419">
        <f>+M428/N428</f>
        <v>7.00723945599022</v>
      </c>
    </row>
    <row r="429" spans="1:15" ht="15">
      <c r="A429" s="175">
        <v>426</v>
      </c>
      <c r="B429" s="415" t="s">
        <v>237</v>
      </c>
      <c r="C429" s="338">
        <v>39038</v>
      </c>
      <c r="D429" s="345" t="s">
        <v>455</v>
      </c>
      <c r="E429" s="345" t="s">
        <v>238</v>
      </c>
      <c r="F429" s="346">
        <v>40</v>
      </c>
      <c r="G429" s="346">
        <v>1</v>
      </c>
      <c r="H429" s="346">
        <v>16</v>
      </c>
      <c r="I429" s="335">
        <v>2230</v>
      </c>
      <c r="J429" s="336">
        <v>446</v>
      </c>
      <c r="K429" s="356">
        <f t="shared" si="54"/>
        <v>446</v>
      </c>
      <c r="L429" s="344">
        <f t="shared" si="55"/>
        <v>5</v>
      </c>
      <c r="M429" s="347">
        <f>85423.5+40609.5+16428+10894.5+3106.5+2427+2630+460+1511+1189+1802+286+188+1782+2376+2230</f>
        <v>173343</v>
      </c>
      <c r="N429" s="348">
        <f>10842+5203+2181+1838+640+457+494+92+303+238+212+63+42+446+475+446</f>
        <v>23972</v>
      </c>
      <c r="O429" s="419">
        <f>+M429/N429</f>
        <v>7.231061238111129</v>
      </c>
    </row>
    <row r="430" spans="1:15" ht="15">
      <c r="A430" s="175">
        <v>427</v>
      </c>
      <c r="B430" s="415" t="s">
        <v>237</v>
      </c>
      <c r="C430" s="338">
        <v>39038</v>
      </c>
      <c r="D430" s="345" t="s">
        <v>455</v>
      </c>
      <c r="E430" s="337" t="s">
        <v>238</v>
      </c>
      <c r="F430" s="346">
        <v>40</v>
      </c>
      <c r="G430" s="346">
        <v>1</v>
      </c>
      <c r="H430" s="346">
        <v>20</v>
      </c>
      <c r="I430" s="335">
        <v>1901</v>
      </c>
      <c r="J430" s="336">
        <v>475</v>
      </c>
      <c r="K430" s="356">
        <f t="shared" si="54"/>
        <v>475</v>
      </c>
      <c r="L430" s="344">
        <f t="shared" si="55"/>
        <v>4.002105263157895</v>
      </c>
      <c r="M430" s="347">
        <f>85423.5+40609.5+16428+10894.5+3106.5+2427+2630+460+1511+1189+1802+286+188+1782+2376+2230+1880+1432+216+1901</f>
        <v>178772</v>
      </c>
      <c r="N430" s="348">
        <f>10842+5203+2181+1838+640+457+494+92+303+238+212+63+42+446+475+446+376+205+25+475</f>
        <v>25053</v>
      </c>
      <c r="O430" s="419">
        <f>+M430/N430</f>
        <v>7.135752205324712</v>
      </c>
    </row>
    <row r="431" spans="1:15" ht="15">
      <c r="A431" s="175">
        <v>428</v>
      </c>
      <c r="B431" s="415" t="s">
        <v>237</v>
      </c>
      <c r="C431" s="338">
        <v>39038</v>
      </c>
      <c r="D431" s="345" t="s">
        <v>455</v>
      </c>
      <c r="E431" s="345" t="s">
        <v>238</v>
      </c>
      <c r="F431" s="346">
        <v>40</v>
      </c>
      <c r="G431" s="346">
        <v>1</v>
      </c>
      <c r="H431" s="346">
        <v>17</v>
      </c>
      <c r="I431" s="335">
        <v>1880</v>
      </c>
      <c r="J431" s="336">
        <v>376</v>
      </c>
      <c r="K431" s="348">
        <f t="shared" si="54"/>
        <v>376</v>
      </c>
      <c r="L431" s="353">
        <f t="shared" si="55"/>
        <v>5</v>
      </c>
      <c r="M431" s="347">
        <f>85423.5+40609.5+16428+10894.5+3106.5+2427+2630+460+1511+1189+1802+286+188+1782+2376+2230+1880</f>
        <v>175223</v>
      </c>
      <c r="N431" s="348">
        <f>10842+5203+2181+1838+640+457+494+92+303+238+212+63+42+446+475+446+376</f>
        <v>24348</v>
      </c>
      <c r="O431" s="420">
        <f>M431/N431</f>
        <v>7.19660752423197</v>
      </c>
    </row>
    <row r="432" spans="1:15" ht="15">
      <c r="A432" s="175">
        <v>429</v>
      </c>
      <c r="B432" s="415" t="s">
        <v>237</v>
      </c>
      <c r="C432" s="338">
        <v>39038</v>
      </c>
      <c r="D432" s="345" t="s">
        <v>455</v>
      </c>
      <c r="E432" s="337" t="s">
        <v>238</v>
      </c>
      <c r="F432" s="346">
        <v>40</v>
      </c>
      <c r="G432" s="346">
        <v>1</v>
      </c>
      <c r="H432" s="346">
        <v>11</v>
      </c>
      <c r="I432" s="335">
        <v>1802</v>
      </c>
      <c r="J432" s="336">
        <v>212</v>
      </c>
      <c r="K432" s="356">
        <f t="shared" si="54"/>
        <v>212</v>
      </c>
      <c r="L432" s="344">
        <f t="shared" si="55"/>
        <v>8.5</v>
      </c>
      <c r="M432" s="347">
        <f>85423.5+40609.5+16428+10894.5+3106.5+2427+2630+460+1511+1189+1802</f>
        <v>166481</v>
      </c>
      <c r="N432" s="348">
        <f>10842+5203+2181+1838+640+457+494+92+303+238+212</f>
        <v>22500</v>
      </c>
      <c r="O432" s="416">
        <f>IF(M432&lt;&gt;0,M432/N432,"")</f>
        <v>7.399155555555556</v>
      </c>
    </row>
    <row r="433" spans="1:15" ht="15">
      <c r="A433" s="175">
        <v>430</v>
      </c>
      <c r="B433" s="417" t="s">
        <v>237</v>
      </c>
      <c r="C433" s="338">
        <v>39038</v>
      </c>
      <c r="D433" s="337" t="s">
        <v>455</v>
      </c>
      <c r="E433" s="337" t="s">
        <v>238</v>
      </c>
      <c r="F433" s="334">
        <v>40</v>
      </c>
      <c r="G433" s="334">
        <v>1</v>
      </c>
      <c r="H433" s="334">
        <v>14</v>
      </c>
      <c r="I433" s="335">
        <v>1782</v>
      </c>
      <c r="J433" s="336">
        <v>446</v>
      </c>
      <c r="K433" s="356">
        <f>J433/H433</f>
        <v>31.857142857142858</v>
      </c>
      <c r="L433" s="344">
        <f t="shared" si="55"/>
        <v>3.995515695067265</v>
      </c>
      <c r="M433" s="347">
        <f>85423.5+40609.5+16428+10894.5+3106.5+2427+2630+460+1511+1189+1802+286+188+1782</f>
        <v>168737</v>
      </c>
      <c r="N433" s="348">
        <f>10842+5203+2181+1838+640+457+494+92+303+238+212+63+42+446</f>
        <v>23051</v>
      </c>
      <c r="O433" s="419">
        <f>+M433/N433</f>
        <v>7.320159646002343</v>
      </c>
    </row>
    <row r="434" spans="1:15" ht="15">
      <c r="A434" s="175">
        <v>431</v>
      </c>
      <c r="B434" s="415" t="s">
        <v>237</v>
      </c>
      <c r="C434" s="338">
        <v>39038</v>
      </c>
      <c r="D434" s="345" t="s">
        <v>455</v>
      </c>
      <c r="E434" s="345" t="s">
        <v>238</v>
      </c>
      <c r="F434" s="346">
        <v>40</v>
      </c>
      <c r="G434" s="346">
        <v>1</v>
      </c>
      <c r="H434" s="346">
        <v>8</v>
      </c>
      <c r="I434" s="335">
        <v>1511</v>
      </c>
      <c r="J434" s="336">
        <v>303</v>
      </c>
      <c r="K434" s="356">
        <f>J434/G434</f>
        <v>303</v>
      </c>
      <c r="L434" s="344">
        <f t="shared" si="55"/>
        <v>4.986798679867987</v>
      </c>
      <c r="M434" s="347">
        <f>85423.5+40609.5+16428+10894.5+3106.5+2427+2630+460+1511</f>
        <v>163490</v>
      </c>
      <c r="N434" s="348">
        <f>10842+5203+2181+1838+640+457+494+92+303</f>
        <v>22050</v>
      </c>
      <c r="O434" s="419">
        <f>+M434/N434</f>
        <v>7.414512471655329</v>
      </c>
    </row>
    <row r="435" spans="1:15" ht="15">
      <c r="A435" s="175">
        <v>432</v>
      </c>
      <c r="B435" s="417" t="s">
        <v>237</v>
      </c>
      <c r="C435" s="338">
        <v>39038</v>
      </c>
      <c r="D435" s="337" t="s">
        <v>455</v>
      </c>
      <c r="E435" s="337" t="s">
        <v>238</v>
      </c>
      <c r="F435" s="334">
        <v>40</v>
      </c>
      <c r="G435" s="334">
        <v>1</v>
      </c>
      <c r="H435" s="334">
        <v>24</v>
      </c>
      <c r="I435" s="335">
        <v>1510.5</v>
      </c>
      <c r="J435" s="336">
        <v>378</v>
      </c>
      <c r="K435" s="356">
        <f>J435/G435</f>
        <v>378</v>
      </c>
      <c r="L435" s="344">
        <f t="shared" si="55"/>
        <v>3.996031746031746</v>
      </c>
      <c r="M435" s="347">
        <f>85423.5+40609.5+16428+10894.5+3106.5+2427+2630+460+1511+1189+1802+286+188+1782+2376+2230+1880+1432+216+1901+710+24+29+1510.5</f>
        <v>181045.5</v>
      </c>
      <c r="N435" s="348">
        <f>10842+5203+2181+1838+640+457+494+92+303+238+212+63+42+446+475+446+376+205+25+475+4+142+5+378</f>
        <v>25582</v>
      </c>
      <c r="O435" s="423">
        <f>M435/N435</f>
        <v>7.077065905714956</v>
      </c>
    </row>
    <row r="436" spans="1:15" ht="15">
      <c r="A436" s="175">
        <v>433</v>
      </c>
      <c r="B436" s="415" t="s">
        <v>237</v>
      </c>
      <c r="C436" s="338">
        <v>39038</v>
      </c>
      <c r="D436" s="345" t="s">
        <v>455</v>
      </c>
      <c r="E436" s="345" t="s">
        <v>238</v>
      </c>
      <c r="F436" s="346">
        <v>40</v>
      </c>
      <c r="G436" s="346">
        <v>2</v>
      </c>
      <c r="H436" s="346">
        <v>18</v>
      </c>
      <c r="I436" s="335">
        <v>1432</v>
      </c>
      <c r="J436" s="336">
        <v>205</v>
      </c>
      <c r="K436" s="356">
        <f>J436/G436</f>
        <v>102.5</v>
      </c>
      <c r="L436" s="344">
        <f t="shared" si="55"/>
        <v>6.985365853658537</v>
      </c>
      <c r="M436" s="347">
        <f>85423.5+40609.5+16428+10894.5+3106.5+2427+2630+460+1511+1189+1802+286+188+1782+2376+2230+1880+1432</f>
        <v>176655</v>
      </c>
      <c r="N436" s="348">
        <f>10842+5203+2181+1838+640+457+494+92+303+238+212+63+42+446+475+446+376+205</f>
        <v>24553</v>
      </c>
      <c r="O436" s="419">
        <f>+M436/N436</f>
        <v>7.194843807274061</v>
      </c>
    </row>
    <row r="437" spans="1:15" ht="15">
      <c r="A437" s="175">
        <v>434</v>
      </c>
      <c r="B437" s="415" t="s">
        <v>237</v>
      </c>
      <c r="C437" s="338">
        <v>39038</v>
      </c>
      <c r="D437" s="345" t="s">
        <v>455</v>
      </c>
      <c r="E437" s="337" t="s">
        <v>238</v>
      </c>
      <c r="F437" s="346">
        <v>40</v>
      </c>
      <c r="G437" s="346">
        <v>1</v>
      </c>
      <c r="H437" s="346">
        <v>10</v>
      </c>
      <c r="I437" s="335">
        <v>1189</v>
      </c>
      <c r="J437" s="336">
        <v>238</v>
      </c>
      <c r="K437" s="340">
        <f>IF(I437&lt;&gt;0,J437/G437,"")</f>
        <v>238</v>
      </c>
      <c r="L437" s="341">
        <f>IF(I437&lt;&gt;0,I437/J437,"")</f>
        <v>4.995798319327731</v>
      </c>
      <c r="M437" s="347">
        <f>85423.5+40609.5+16428+10894.5+3106.5+2427+2630+460+1511+1189</f>
        <v>164679</v>
      </c>
      <c r="N437" s="348">
        <f>10842+5203+2181+1838+640+457+494+92+303+238</f>
        <v>22288</v>
      </c>
      <c r="O437" s="423">
        <f>M437/N437</f>
        <v>7.388684493898062</v>
      </c>
    </row>
    <row r="438" spans="1:15" ht="15">
      <c r="A438" s="175">
        <v>435</v>
      </c>
      <c r="B438" s="415" t="s">
        <v>237</v>
      </c>
      <c r="C438" s="338">
        <v>39038</v>
      </c>
      <c r="D438" s="345" t="s">
        <v>455</v>
      </c>
      <c r="E438" s="345" t="s">
        <v>238</v>
      </c>
      <c r="F438" s="346">
        <v>40</v>
      </c>
      <c r="G438" s="346">
        <v>1</v>
      </c>
      <c r="H438" s="346">
        <v>7</v>
      </c>
      <c r="I438" s="335">
        <v>460</v>
      </c>
      <c r="J438" s="336">
        <v>92</v>
      </c>
      <c r="K438" s="340">
        <f>+J438/G438</f>
        <v>92</v>
      </c>
      <c r="L438" s="344">
        <f>I438/J438</f>
        <v>5</v>
      </c>
      <c r="M438" s="347">
        <f>85423.5+40609.5+16428+10894.5+3106.5+2427+2630+460</f>
        <v>161979</v>
      </c>
      <c r="N438" s="348">
        <f>10842+5203+2181+1838+640+457+494+92</f>
        <v>21747</v>
      </c>
      <c r="O438" s="419">
        <f>+M438/N438</f>
        <v>7.448337701751965</v>
      </c>
    </row>
    <row r="439" spans="1:15" ht="15">
      <c r="A439" s="175">
        <v>436</v>
      </c>
      <c r="B439" s="418" t="s">
        <v>237</v>
      </c>
      <c r="C439" s="338">
        <v>39038</v>
      </c>
      <c r="D439" s="354" t="s">
        <v>455</v>
      </c>
      <c r="E439" s="354" t="s">
        <v>238</v>
      </c>
      <c r="F439" s="355">
        <v>40</v>
      </c>
      <c r="G439" s="355">
        <v>1</v>
      </c>
      <c r="H439" s="355">
        <v>12</v>
      </c>
      <c r="I439" s="335">
        <v>286</v>
      </c>
      <c r="J439" s="336">
        <v>63</v>
      </c>
      <c r="K439" s="356">
        <f>J439/G439</f>
        <v>63</v>
      </c>
      <c r="L439" s="344">
        <f>I439/J439</f>
        <v>4.5396825396825395</v>
      </c>
      <c r="M439" s="347">
        <f>85423.5+40609.5+16428+10894.5+3106.5+2427+2630+460+1511+1189+1802+286</f>
        <v>166767</v>
      </c>
      <c r="N439" s="348">
        <f>10842+5203+2181+1838+640+457+494+92+303+238+212+63</f>
        <v>22563</v>
      </c>
      <c r="O439" s="419">
        <f>+M439/N439</f>
        <v>7.391171386783673</v>
      </c>
    </row>
    <row r="440" spans="1:15" ht="15">
      <c r="A440" s="175">
        <v>437</v>
      </c>
      <c r="B440" s="415" t="s">
        <v>237</v>
      </c>
      <c r="C440" s="338">
        <v>39038</v>
      </c>
      <c r="D440" s="345" t="s">
        <v>455</v>
      </c>
      <c r="E440" s="345" t="s">
        <v>238</v>
      </c>
      <c r="F440" s="346">
        <v>40</v>
      </c>
      <c r="G440" s="346">
        <v>3</v>
      </c>
      <c r="H440" s="346">
        <v>19</v>
      </c>
      <c r="I440" s="335">
        <v>216</v>
      </c>
      <c r="J440" s="336">
        <v>25</v>
      </c>
      <c r="K440" s="356">
        <f>J440/G440</f>
        <v>8.333333333333334</v>
      </c>
      <c r="L440" s="344">
        <f>I440/J440</f>
        <v>8.64</v>
      </c>
      <c r="M440" s="347">
        <f>85423.5+40609.5+16428+10894.5+3106.5+2427+2630+460+1511+1189+1802+286+188+1782+2376+2230+1880+1432+216</f>
        <v>176871</v>
      </c>
      <c r="N440" s="348">
        <f>10842+5203+2181+1838+640+457+494+92+303+238+212+63+42+446+475+446+376+205+25</f>
        <v>24578</v>
      </c>
      <c r="O440" s="419">
        <f>+M440/N440</f>
        <v>7.196313776548132</v>
      </c>
    </row>
    <row r="441" spans="1:15" ht="15">
      <c r="A441" s="175">
        <v>438</v>
      </c>
      <c r="B441" s="426" t="s">
        <v>237</v>
      </c>
      <c r="C441" s="385">
        <v>39038</v>
      </c>
      <c r="D441" s="384" t="s">
        <v>455</v>
      </c>
      <c r="E441" s="384" t="s">
        <v>238</v>
      </c>
      <c r="F441" s="386">
        <v>40</v>
      </c>
      <c r="G441" s="386">
        <v>1</v>
      </c>
      <c r="H441" s="386">
        <v>13</v>
      </c>
      <c r="I441" s="387">
        <v>188</v>
      </c>
      <c r="J441" s="388">
        <v>42</v>
      </c>
      <c r="K441" s="356">
        <v>24</v>
      </c>
      <c r="L441" s="344">
        <v>7</v>
      </c>
      <c r="M441" s="389">
        <v>166955</v>
      </c>
      <c r="N441" s="390">
        <v>22605</v>
      </c>
      <c r="O441" s="419">
        <v>3.86543499529433</v>
      </c>
    </row>
    <row r="442" spans="1:15" ht="15">
      <c r="A442" s="175">
        <v>439</v>
      </c>
      <c r="B442" s="417" t="s">
        <v>237</v>
      </c>
      <c r="C442" s="338">
        <v>39038</v>
      </c>
      <c r="D442" s="337" t="s">
        <v>455</v>
      </c>
      <c r="E442" s="337" t="s">
        <v>238</v>
      </c>
      <c r="F442" s="334">
        <v>40</v>
      </c>
      <c r="G442" s="334">
        <v>1</v>
      </c>
      <c r="H442" s="334">
        <v>23</v>
      </c>
      <c r="I442" s="335">
        <v>29</v>
      </c>
      <c r="J442" s="336">
        <v>5</v>
      </c>
      <c r="K442" s="350">
        <f aca="true" t="shared" si="56" ref="K442:K447">J442/G442</f>
        <v>5</v>
      </c>
      <c r="L442" s="351">
        <f aca="true" t="shared" si="57" ref="L442:L447">I442/J442</f>
        <v>5.8</v>
      </c>
      <c r="M442" s="347">
        <f>85423.5+40609.5+16428+10894.5+3106.5+2427+2630+460+1511+1189+1802+286+188+1782+2376+2230+1880+1432+216+1901+710+24+29</f>
        <v>179535</v>
      </c>
      <c r="N442" s="348">
        <f>10842+5203+2181+1838+640+457+494+92+303+238+212+63+42+446+475+446+376+205+25+475+4+142+5</f>
        <v>25204</v>
      </c>
      <c r="O442" s="416">
        <f>+M442/N442</f>
        <v>7.123274083478813</v>
      </c>
    </row>
    <row r="443" spans="1:15" ht="15">
      <c r="A443" s="175">
        <v>440</v>
      </c>
      <c r="B443" s="415" t="s">
        <v>237</v>
      </c>
      <c r="C443" s="338">
        <v>39038</v>
      </c>
      <c r="D443" s="345" t="s">
        <v>455</v>
      </c>
      <c r="E443" s="345" t="s">
        <v>238</v>
      </c>
      <c r="F443" s="346">
        <v>40</v>
      </c>
      <c r="G443" s="346">
        <v>1</v>
      </c>
      <c r="H443" s="346">
        <v>30</v>
      </c>
      <c r="I443" s="335">
        <v>24</v>
      </c>
      <c r="J443" s="336">
        <v>4</v>
      </c>
      <c r="K443" s="356">
        <f t="shared" si="56"/>
        <v>4</v>
      </c>
      <c r="L443" s="344">
        <f t="shared" si="57"/>
        <v>6</v>
      </c>
      <c r="M443" s="347">
        <f>85423.5+40609.5+16428+10894.5+3106.5+2427+2630+460+1511+1189+1802+286+188+1782+2376+2230+1880+1432+216+1901+710+24</f>
        <v>179506</v>
      </c>
      <c r="N443" s="348">
        <f>10842+5203+2181+1838+640+457+494+92+303+238+212+63+42+446+475+446+376+205+25+475+4+142</f>
        <v>25199</v>
      </c>
      <c r="O443" s="423">
        <f>M443/N443</f>
        <v>7.123536648279694</v>
      </c>
    </row>
    <row r="444" spans="1:15" ht="15">
      <c r="A444" s="175">
        <v>441</v>
      </c>
      <c r="B444" s="415" t="s">
        <v>85</v>
      </c>
      <c r="C444" s="338">
        <v>39038</v>
      </c>
      <c r="D444" s="345" t="s">
        <v>455</v>
      </c>
      <c r="E444" s="345" t="s">
        <v>525</v>
      </c>
      <c r="F444" s="346">
        <v>10</v>
      </c>
      <c r="G444" s="346">
        <v>1</v>
      </c>
      <c r="H444" s="346">
        <v>6</v>
      </c>
      <c r="I444" s="335">
        <v>2376</v>
      </c>
      <c r="J444" s="336">
        <v>475</v>
      </c>
      <c r="K444" s="356">
        <f t="shared" si="56"/>
        <v>475</v>
      </c>
      <c r="L444" s="344">
        <f t="shared" si="57"/>
        <v>5.002105263157895</v>
      </c>
      <c r="M444" s="347">
        <f>20043+5023+1136+2654+346+2376</f>
        <v>31578</v>
      </c>
      <c r="N444" s="348">
        <f>2002+505+116+478+58+475</f>
        <v>3634</v>
      </c>
      <c r="O444" s="419">
        <f>+M444/N444</f>
        <v>8.689598238855256</v>
      </c>
    </row>
    <row r="445" spans="1:15" ht="15">
      <c r="A445" s="175">
        <v>442</v>
      </c>
      <c r="B445" s="422" t="s">
        <v>109</v>
      </c>
      <c r="C445" s="359">
        <v>39038</v>
      </c>
      <c r="D445" s="349" t="s">
        <v>302</v>
      </c>
      <c r="E445" s="349" t="s">
        <v>110</v>
      </c>
      <c r="F445" s="383" t="s">
        <v>694</v>
      </c>
      <c r="G445" s="383" t="s">
        <v>276</v>
      </c>
      <c r="H445" s="383" t="s">
        <v>368</v>
      </c>
      <c r="I445" s="331">
        <v>1188</v>
      </c>
      <c r="J445" s="332">
        <v>396</v>
      </c>
      <c r="K445" s="356">
        <f t="shared" si="56"/>
        <v>396</v>
      </c>
      <c r="L445" s="344">
        <f t="shared" si="57"/>
        <v>3</v>
      </c>
      <c r="M445" s="342">
        <v>43793.5</v>
      </c>
      <c r="N445" s="343">
        <v>7714</v>
      </c>
      <c r="O445" s="419">
        <f>+M445/N445</f>
        <v>5.6771454498314755</v>
      </c>
    </row>
    <row r="446" spans="1:15" ht="15">
      <c r="A446" s="175">
        <v>443</v>
      </c>
      <c r="B446" s="422" t="s">
        <v>109</v>
      </c>
      <c r="C446" s="359">
        <v>39038</v>
      </c>
      <c r="D446" s="349" t="s">
        <v>302</v>
      </c>
      <c r="E446" s="349" t="s">
        <v>110</v>
      </c>
      <c r="F446" s="383" t="s">
        <v>694</v>
      </c>
      <c r="G446" s="383" t="s">
        <v>276</v>
      </c>
      <c r="H446" s="383" t="s">
        <v>672</v>
      </c>
      <c r="I446" s="331">
        <v>1188</v>
      </c>
      <c r="J446" s="332">
        <v>396</v>
      </c>
      <c r="K446" s="356">
        <f t="shared" si="56"/>
        <v>396</v>
      </c>
      <c r="L446" s="344">
        <f t="shared" si="57"/>
        <v>3</v>
      </c>
      <c r="M446" s="342">
        <v>44981.5</v>
      </c>
      <c r="N446" s="343">
        <v>8110</v>
      </c>
      <c r="O446" s="423">
        <f>M446/N446</f>
        <v>5.546424167694204</v>
      </c>
    </row>
    <row r="447" spans="1:15" ht="15">
      <c r="A447" s="175">
        <v>444</v>
      </c>
      <c r="B447" s="422" t="s">
        <v>109</v>
      </c>
      <c r="C447" s="359">
        <v>39038</v>
      </c>
      <c r="D447" s="349" t="s">
        <v>302</v>
      </c>
      <c r="E447" s="349" t="s">
        <v>110</v>
      </c>
      <c r="F447" s="383" t="s">
        <v>694</v>
      </c>
      <c r="G447" s="383" t="s">
        <v>650</v>
      </c>
      <c r="H447" s="383" t="s">
        <v>488</v>
      </c>
      <c r="I447" s="331">
        <v>885</v>
      </c>
      <c r="J447" s="332">
        <v>171</v>
      </c>
      <c r="K447" s="356">
        <f t="shared" si="56"/>
        <v>42.75</v>
      </c>
      <c r="L447" s="344">
        <f t="shared" si="57"/>
        <v>5.175438596491228</v>
      </c>
      <c r="M447" s="342">
        <v>42605.5</v>
      </c>
      <c r="N447" s="343">
        <v>7318</v>
      </c>
      <c r="O447" s="419">
        <f>+M447/N447</f>
        <v>5.822014211533205</v>
      </c>
    </row>
    <row r="448" spans="1:15" ht="15">
      <c r="A448" s="175">
        <v>445</v>
      </c>
      <c r="B448" s="415" t="s">
        <v>190</v>
      </c>
      <c r="C448" s="338">
        <v>39045</v>
      </c>
      <c r="D448" s="345" t="s">
        <v>455</v>
      </c>
      <c r="E448" s="345" t="s">
        <v>191</v>
      </c>
      <c r="F448" s="346">
        <v>59</v>
      </c>
      <c r="G448" s="346">
        <v>93</v>
      </c>
      <c r="H448" s="346">
        <v>6</v>
      </c>
      <c r="I448" s="335">
        <v>386155</v>
      </c>
      <c r="J448" s="336">
        <v>61261</v>
      </c>
      <c r="K448" s="340">
        <f>IF(I448&lt;&gt;0,J448/G448,"")</f>
        <v>658.7204301075269</v>
      </c>
      <c r="L448" s="341">
        <f>IF(I448&lt;&gt;0,I448/J448,"")</f>
        <v>6.3034393823150126</v>
      </c>
      <c r="M448" s="347">
        <f>923228.5+937012.5+950194+628448.5+336851+386155</f>
        <v>4161889.5</v>
      </c>
      <c r="N448" s="348">
        <f>117837+123027+120667+81172+47916+61261</f>
        <v>551880</v>
      </c>
      <c r="O448" s="416">
        <f>IF(M448&lt;&gt;0,M448/N448,"")</f>
        <v>7.541294303109372</v>
      </c>
    </row>
    <row r="449" spans="1:15" ht="15">
      <c r="A449" s="175">
        <v>446</v>
      </c>
      <c r="B449" s="417" t="s">
        <v>190</v>
      </c>
      <c r="C449" s="338">
        <v>39045</v>
      </c>
      <c r="D449" s="337" t="s">
        <v>455</v>
      </c>
      <c r="E449" s="337" t="s">
        <v>191</v>
      </c>
      <c r="F449" s="334">
        <v>59</v>
      </c>
      <c r="G449" s="334">
        <v>87</v>
      </c>
      <c r="H449" s="334">
        <v>7</v>
      </c>
      <c r="I449" s="335">
        <v>185586</v>
      </c>
      <c r="J449" s="336">
        <v>32646</v>
      </c>
      <c r="K449" s="340">
        <f>IF(I449&lt;&gt;0,J449/G449,"")</f>
        <v>375.2413793103448</v>
      </c>
      <c r="L449" s="341">
        <f>IF(I449&lt;&gt;0,I449/J449,"")</f>
        <v>5.684800588127183</v>
      </c>
      <c r="M449" s="347">
        <f>923228.5+937012.5+950194+628448.5+336851+386155+185586+7528</f>
        <v>4355003.5</v>
      </c>
      <c r="N449" s="348">
        <f>117837+123027+120667+81172+47916+61261+32646+795</f>
        <v>585321</v>
      </c>
      <c r="O449" s="416">
        <f>IF(M449&lt;&gt;0,M449/N449,"")</f>
        <v>7.440367764013251</v>
      </c>
    </row>
    <row r="450" spans="1:15" ht="15">
      <c r="A450" s="175">
        <v>447</v>
      </c>
      <c r="B450" s="415" t="s">
        <v>190</v>
      </c>
      <c r="C450" s="338">
        <v>39045</v>
      </c>
      <c r="D450" s="345" t="s">
        <v>455</v>
      </c>
      <c r="E450" s="345" t="s">
        <v>191</v>
      </c>
      <c r="F450" s="346">
        <v>59</v>
      </c>
      <c r="G450" s="346">
        <v>54</v>
      </c>
      <c r="H450" s="346">
        <v>8</v>
      </c>
      <c r="I450" s="335">
        <v>78557</v>
      </c>
      <c r="J450" s="336">
        <v>14471</v>
      </c>
      <c r="K450" s="356">
        <f aca="true" t="shared" si="58" ref="K450:K455">J450/G450</f>
        <v>267.98148148148147</v>
      </c>
      <c r="L450" s="344">
        <f aca="true" t="shared" si="59" ref="L450:L455">I450/J450</f>
        <v>5.428581300532099</v>
      </c>
      <c r="M450" s="347">
        <f>923228.5+937012.5+950194+628448.5+336851+386155+185586+7528+78557</f>
        <v>4433560.5</v>
      </c>
      <c r="N450" s="348">
        <f>117837+123027+120667+81172+47916+61261+32646+795+14471</f>
        <v>599792</v>
      </c>
      <c r="O450" s="419">
        <f>+M450/N450</f>
        <v>7.391830001067037</v>
      </c>
    </row>
    <row r="451" spans="1:15" ht="15">
      <c r="A451" s="175">
        <v>448</v>
      </c>
      <c r="B451" s="415" t="s">
        <v>190</v>
      </c>
      <c r="C451" s="338">
        <v>39045</v>
      </c>
      <c r="D451" s="345" t="s">
        <v>455</v>
      </c>
      <c r="E451" s="345" t="s">
        <v>191</v>
      </c>
      <c r="F451" s="346">
        <v>59</v>
      </c>
      <c r="G451" s="346">
        <v>25</v>
      </c>
      <c r="H451" s="346">
        <v>9</v>
      </c>
      <c r="I451" s="335">
        <v>38487.5</v>
      </c>
      <c r="J451" s="336">
        <v>9345</v>
      </c>
      <c r="K451" s="348">
        <f t="shared" si="58"/>
        <v>373.8</v>
      </c>
      <c r="L451" s="353">
        <f t="shared" si="59"/>
        <v>4.118512573568753</v>
      </c>
      <c r="M451" s="347">
        <f>923228.5+937012.5+950194+628448.5+336851+386155+185586+7528+78557+38487.5</f>
        <v>4472048</v>
      </c>
      <c r="N451" s="348">
        <f>117837+123027+120667+81172+47916+61261+32646+795+14471+9345</f>
        <v>609137</v>
      </c>
      <c r="O451" s="420">
        <f>M451/N451</f>
        <v>7.341612806314507</v>
      </c>
    </row>
    <row r="452" spans="1:15" ht="15">
      <c r="A452" s="175">
        <v>449</v>
      </c>
      <c r="B452" s="415" t="s">
        <v>190</v>
      </c>
      <c r="C452" s="338">
        <v>39045</v>
      </c>
      <c r="D452" s="345" t="s">
        <v>455</v>
      </c>
      <c r="E452" s="345" t="s">
        <v>191</v>
      </c>
      <c r="F452" s="346">
        <v>59</v>
      </c>
      <c r="G452" s="346">
        <v>1</v>
      </c>
      <c r="H452" s="346">
        <v>20</v>
      </c>
      <c r="I452" s="335">
        <v>20659.5</v>
      </c>
      <c r="J452" s="336">
        <v>4132</v>
      </c>
      <c r="K452" s="356">
        <f t="shared" si="58"/>
        <v>4132</v>
      </c>
      <c r="L452" s="344">
        <f t="shared" si="59"/>
        <v>4.9998789932236205</v>
      </c>
      <c r="M452" s="347">
        <f>923228.5+937012.5+950194+628448.5+336851+386155+185586+7528+78557+38487.5+19951.5+79+2267.5-1008+9203+2435+1210+836+3795.5+1284+1033+2376+20659.5</f>
        <v>4536170</v>
      </c>
      <c r="N452" s="348">
        <f>117837+123027+120667+81172+47916+61261+32646+795+14471+9345+4644+35+561-336+1591+487+300+161+1018+303+241+475+4132</f>
        <v>622749</v>
      </c>
      <c r="O452" s="419">
        <f>+M452/N452</f>
        <v>7.284106437746186</v>
      </c>
    </row>
    <row r="453" spans="1:15" ht="15">
      <c r="A453" s="175">
        <v>450</v>
      </c>
      <c r="B453" s="415" t="s">
        <v>190</v>
      </c>
      <c r="C453" s="338">
        <v>39045</v>
      </c>
      <c r="D453" s="345" t="s">
        <v>455</v>
      </c>
      <c r="E453" s="345" t="s">
        <v>191</v>
      </c>
      <c r="F453" s="346">
        <v>59</v>
      </c>
      <c r="G453" s="346">
        <v>1</v>
      </c>
      <c r="H453" s="346">
        <v>30</v>
      </c>
      <c r="I453" s="335">
        <v>20659.5</v>
      </c>
      <c r="J453" s="336">
        <v>4132</v>
      </c>
      <c r="K453" s="356">
        <f t="shared" si="58"/>
        <v>4132</v>
      </c>
      <c r="L453" s="344">
        <f t="shared" si="59"/>
        <v>4.9998789932236205</v>
      </c>
      <c r="M453" s="347">
        <f>923228.5+937012.5+950194+628448.5+336851+386155+185586+7528+78557+38487.5+19951.5+79+2267.5-1008+9203+2435+1210+836+3795.5+1284+1033+2376+108+8910+3564+10330+5034+2376+2376+972+2376+200+20659.5</f>
        <v>4572416</v>
      </c>
      <c r="N453" s="348">
        <f>117837+123027+120667+81172+47916+61261+32646+795+14471+9345+4644+35+561-336+1591+487+300+161+1018+303+241+475+13+2228+891+2583+1259+594+594+162+594+67+4132</f>
        <v>631734</v>
      </c>
      <c r="O453" s="419">
        <f>+M453/N453</f>
        <v>7.237881766692944</v>
      </c>
    </row>
    <row r="454" spans="1:15" ht="15">
      <c r="A454" s="175">
        <v>451</v>
      </c>
      <c r="B454" s="415" t="s">
        <v>190</v>
      </c>
      <c r="C454" s="338">
        <v>39045</v>
      </c>
      <c r="D454" s="345" t="s">
        <v>455</v>
      </c>
      <c r="E454" s="345" t="s">
        <v>191</v>
      </c>
      <c r="F454" s="346">
        <v>59</v>
      </c>
      <c r="G454" s="346">
        <v>14</v>
      </c>
      <c r="H454" s="346">
        <v>10</v>
      </c>
      <c r="I454" s="335">
        <v>19951.5</v>
      </c>
      <c r="J454" s="336">
        <v>4644</v>
      </c>
      <c r="K454" s="356">
        <f t="shared" si="58"/>
        <v>331.7142857142857</v>
      </c>
      <c r="L454" s="344">
        <f t="shared" si="59"/>
        <v>4.296188630490956</v>
      </c>
      <c r="M454" s="347">
        <f>923228.5+937012.5+950194+628448.5+336851+386155+185586+7528+78557+38487.5+19951.5+79</f>
        <v>4492078.5</v>
      </c>
      <c r="N454" s="348">
        <f>117837+123027+120667+81172+47916+61261+32646+795+14471+9345+4644+35</f>
        <v>613816</v>
      </c>
      <c r="O454" s="419">
        <f>+M454/N454</f>
        <v>7.318281862968707</v>
      </c>
    </row>
    <row r="455" spans="1:15" ht="15">
      <c r="A455" s="175">
        <v>452</v>
      </c>
      <c r="B455" s="417" t="s">
        <v>190</v>
      </c>
      <c r="C455" s="338">
        <v>39045</v>
      </c>
      <c r="D455" s="337" t="s">
        <v>455</v>
      </c>
      <c r="E455" s="337" t="s">
        <v>191</v>
      </c>
      <c r="F455" s="334">
        <v>59</v>
      </c>
      <c r="G455" s="334">
        <v>1</v>
      </c>
      <c r="H455" s="334">
        <v>23</v>
      </c>
      <c r="I455" s="335">
        <v>10330</v>
      </c>
      <c r="J455" s="336">
        <v>2583</v>
      </c>
      <c r="K455" s="350">
        <f t="shared" si="58"/>
        <v>2583</v>
      </c>
      <c r="L455" s="351">
        <f t="shared" si="59"/>
        <v>3.99922570654278</v>
      </c>
      <c r="M455" s="347">
        <f>923228.5+937012.5+950194+628448.5+336851+386155+185586+7528+78557+38487.5+19951.5+79+2267.5-1008+9203+2435+1210+836+3795.5+1284+1033+2376+108+8910+3564+10330</f>
        <v>4538422.5</v>
      </c>
      <c r="N455" s="348">
        <f>117837+123027+120667+81172+47916+61261+32646+795+14471+9345+4644+35+561-336+1591+487+300+161+1018+303+241+475+13+2228+891+2583</f>
        <v>624332</v>
      </c>
      <c r="O455" s="423">
        <f>M455/N455</f>
        <v>7.269245369450869</v>
      </c>
    </row>
    <row r="456" spans="1:15" ht="15">
      <c r="A456" s="175">
        <v>453</v>
      </c>
      <c r="B456" s="415" t="s">
        <v>190</v>
      </c>
      <c r="C456" s="338">
        <v>39045</v>
      </c>
      <c r="D456" s="345" t="s">
        <v>455</v>
      </c>
      <c r="E456" s="362" t="s">
        <v>191</v>
      </c>
      <c r="F456" s="346">
        <v>59</v>
      </c>
      <c r="G456" s="346">
        <v>3</v>
      </c>
      <c r="H456" s="346">
        <v>12</v>
      </c>
      <c r="I456" s="335">
        <v>9203</v>
      </c>
      <c r="J456" s="336">
        <v>1591</v>
      </c>
      <c r="K456" s="340">
        <f>IF(I456&lt;&gt;0,J456/G456,"")</f>
        <v>530.3333333333334</v>
      </c>
      <c r="L456" s="341">
        <f>IF(I456&lt;&gt;0,I456/J456,"")</f>
        <v>5.78441231929604</v>
      </c>
      <c r="M456" s="347">
        <f>923228.5+937012.5+950194+628448.5+336851+386155+185586+7528+78557+38487.5+19951.5+79+2267.5-1008+9203</f>
        <v>4502541</v>
      </c>
      <c r="N456" s="348">
        <f>117837+123027+120667+81172+47916+61261+32646+795+14471+9345+4644+35+561-336+1591</f>
        <v>615632</v>
      </c>
      <c r="O456" s="416">
        <f>IF(M456&lt;&gt;0,M456/N456,"")</f>
        <v>7.3136890220131505</v>
      </c>
    </row>
    <row r="457" spans="1:15" ht="15">
      <c r="A457" s="175">
        <v>454</v>
      </c>
      <c r="B457" s="415" t="s">
        <v>190</v>
      </c>
      <c r="C457" s="338">
        <v>39045</v>
      </c>
      <c r="D457" s="345" t="s">
        <v>455</v>
      </c>
      <c r="E457" s="345" t="s">
        <v>191</v>
      </c>
      <c r="F457" s="346">
        <v>59</v>
      </c>
      <c r="G457" s="346">
        <v>1</v>
      </c>
      <c r="H457" s="346">
        <v>21</v>
      </c>
      <c r="I457" s="335">
        <v>8910</v>
      </c>
      <c r="J457" s="336">
        <v>2228</v>
      </c>
      <c r="K457" s="340">
        <f>+J457/G457</f>
        <v>2228</v>
      </c>
      <c r="L457" s="341">
        <f>+I457/J457</f>
        <v>3.9991023339317775</v>
      </c>
      <c r="M457" s="347">
        <f>923228.5+937012.5+950194+628448.5+336851+386155+185586+7528+78557+38487.5+19951.5+79+2267.5-1008+9203+2435+1210+836+3795.5+1284+1033+2376+108+8910</f>
        <v>4524528.5</v>
      </c>
      <c r="N457" s="348">
        <f>117837+123027+120667+81172+47916+61261+32646+795+14471+9345+4644+35+561-336+1591+487+300+161+1018+303+241+475+13+2228</f>
        <v>620858</v>
      </c>
      <c r="O457" s="419">
        <f>+M457/N457</f>
        <v>7.287541595662776</v>
      </c>
    </row>
    <row r="458" spans="1:15" ht="15">
      <c r="A458" s="175">
        <v>455</v>
      </c>
      <c r="B458" s="415" t="s">
        <v>190</v>
      </c>
      <c r="C458" s="338">
        <v>39045</v>
      </c>
      <c r="D458" s="345" t="s">
        <v>455</v>
      </c>
      <c r="E458" s="345" t="s">
        <v>191</v>
      </c>
      <c r="F458" s="373" t="s">
        <v>695</v>
      </c>
      <c r="G458" s="346">
        <v>1</v>
      </c>
      <c r="H458" s="346">
        <v>24</v>
      </c>
      <c r="I458" s="335">
        <v>5034</v>
      </c>
      <c r="J458" s="336">
        <v>1259</v>
      </c>
      <c r="K458" s="356">
        <f>J458/G458</f>
        <v>1259</v>
      </c>
      <c r="L458" s="344">
        <f>I458/J458</f>
        <v>3.9984114376489277</v>
      </c>
      <c r="M458" s="347">
        <f>923228.5+937012.5+950194+628448.5+336851+386155+185586+7528+78557+38487.5+19951.5+79+2267.5-1008+9203+2435+1210+836+3795.5+1284+1033+2376+108+8910+3564+10330+5034</f>
        <v>4543456.5</v>
      </c>
      <c r="N458" s="348">
        <f>117837+123027+120667+81172+47916+61261+32646+795+14471+9345+4644+35+561-336+1591+487+300+161+1018+303+241+475+13+2228+891+2583+1259</f>
        <v>625591</v>
      </c>
      <c r="O458" s="419">
        <f>+M458/N458</f>
        <v>7.262662826031704</v>
      </c>
    </row>
    <row r="459" spans="1:15" ht="15">
      <c r="A459" s="175">
        <v>456</v>
      </c>
      <c r="B459" s="415" t="s">
        <v>190</v>
      </c>
      <c r="C459" s="338">
        <v>39045</v>
      </c>
      <c r="D459" s="345" t="s">
        <v>455</v>
      </c>
      <c r="E459" s="345" t="s">
        <v>191</v>
      </c>
      <c r="F459" s="346">
        <v>59</v>
      </c>
      <c r="G459" s="346">
        <v>1</v>
      </c>
      <c r="H459" s="346">
        <v>16</v>
      </c>
      <c r="I459" s="335">
        <v>3795.5</v>
      </c>
      <c r="J459" s="336">
        <v>1018</v>
      </c>
      <c r="K459" s="350">
        <f>J459/G459</f>
        <v>1018</v>
      </c>
      <c r="L459" s="351">
        <f>I459/J459</f>
        <v>3.7283889980353635</v>
      </c>
      <c r="M459" s="347">
        <f>923228.5+937012.5+950194+628448.5+336851+386155+185586+7528+78557+38487.5+19951.5+79+2267.5-1008+9203+2435+1210+836+3795.5</f>
        <v>4510817.5</v>
      </c>
      <c r="N459" s="348">
        <f>117837+123027+120667+81172+47916+61261+32646+795+14471+9345+4644+35+561-336+1591+487+300+161+1018</f>
        <v>617598</v>
      </c>
      <c r="O459" s="416">
        <f>IF(M459&lt;&gt;0,M459/N459,"")</f>
        <v>7.303808464405649</v>
      </c>
    </row>
    <row r="460" spans="1:15" ht="15">
      <c r="A460" s="175">
        <v>457</v>
      </c>
      <c r="B460" s="415" t="s">
        <v>190</v>
      </c>
      <c r="C460" s="338">
        <v>39045</v>
      </c>
      <c r="D460" s="345" t="s">
        <v>455</v>
      </c>
      <c r="E460" s="345" t="s">
        <v>191</v>
      </c>
      <c r="F460" s="346">
        <v>59</v>
      </c>
      <c r="G460" s="346">
        <v>1</v>
      </c>
      <c r="H460" s="346">
        <v>22</v>
      </c>
      <c r="I460" s="335">
        <v>3564</v>
      </c>
      <c r="J460" s="336">
        <v>891</v>
      </c>
      <c r="K460" s="348">
        <f>J460/G460</f>
        <v>891</v>
      </c>
      <c r="L460" s="353">
        <f>I460/J460</f>
        <v>4</v>
      </c>
      <c r="M460" s="347">
        <f>923228.5+937012.5+950194+628448.5+336851+386155+185586+7528+78557+38487.5+19951.5+79+2267.5-1008+9203+2435+1210+836+3795.5+1284+1033+2376+108+8910+3564</f>
        <v>4528092.5</v>
      </c>
      <c r="N460" s="348">
        <f>117837+123027+120667+81172+47916+61261+32646+795+14471+9345+4644+35+561-336+1591+487+300+161+1018+303+241+475+13+2228+891</f>
        <v>621749</v>
      </c>
      <c r="O460" s="419">
        <f>+M460/N460</f>
        <v>7.282830370454959</v>
      </c>
    </row>
    <row r="461" spans="1:15" ht="15">
      <c r="A461" s="175">
        <v>458</v>
      </c>
      <c r="B461" s="415" t="s">
        <v>190</v>
      </c>
      <c r="C461" s="338">
        <v>39045</v>
      </c>
      <c r="D461" s="345" t="s">
        <v>455</v>
      </c>
      <c r="E461" s="345" t="s">
        <v>191</v>
      </c>
      <c r="F461" s="346">
        <v>59</v>
      </c>
      <c r="G461" s="346">
        <v>1</v>
      </c>
      <c r="H461" s="346">
        <v>13</v>
      </c>
      <c r="I461" s="335">
        <v>2435</v>
      </c>
      <c r="J461" s="336">
        <v>487</v>
      </c>
      <c r="K461" s="340">
        <f>IF(I461&lt;&gt;0,J461/G461,"")</f>
        <v>487</v>
      </c>
      <c r="L461" s="341">
        <f>IF(I461&lt;&gt;0,I461/J461,"")</f>
        <v>5</v>
      </c>
      <c r="M461" s="347">
        <f>923228.5+937012.5+950194+628448.5+336851+386155+185586+7528+78557+38487.5+19951.5+79+2267.5-1008+9203+2435</f>
        <v>4504976</v>
      </c>
      <c r="N461" s="348">
        <f>117837+123027+120667+81172+47916+61261+32646+795+14471+9345+4644+35+561-336+1591+487</f>
        <v>616119</v>
      </c>
      <c r="O461" s="416">
        <f>IF(M461&lt;&gt;0,M461/N461,"")</f>
        <v>7.311860208823296</v>
      </c>
    </row>
    <row r="462" spans="1:15" ht="15">
      <c r="A462" s="175">
        <v>459</v>
      </c>
      <c r="B462" s="417" t="s">
        <v>190</v>
      </c>
      <c r="C462" s="338">
        <v>39045</v>
      </c>
      <c r="D462" s="337" t="s">
        <v>455</v>
      </c>
      <c r="E462" s="337" t="s">
        <v>191</v>
      </c>
      <c r="F462" s="333">
        <v>59</v>
      </c>
      <c r="G462" s="334">
        <v>1</v>
      </c>
      <c r="H462" s="334">
        <v>19</v>
      </c>
      <c r="I462" s="335">
        <v>2376</v>
      </c>
      <c r="J462" s="336">
        <v>475</v>
      </c>
      <c r="K462" s="356">
        <f>J462/G462</f>
        <v>475</v>
      </c>
      <c r="L462" s="344">
        <f>I462/J462</f>
        <v>5.002105263157895</v>
      </c>
      <c r="M462" s="347">
        <f>923228.5+937012.5+950194+628448.5+336851+386155+185586+7528+78557+38487.5+19951.5+79+2267.5-1008+9203+2435+1210+836+3795.5+1284+1033+2376</f>
        <v>4515510.5</v>
      </c>
      <c r="N462" s="348">
        <f>117837+123027+120667+81172+47916+61261+32646+795+14471+9345+4644+35+561-336+1591+487+300+161+1018+303+241+475</f>
        <v>618617</v>
      </c>
      <c r="O462" s="419">
        <f>+M462/N462</f>
        <v>7.299363742024548</v>
      </c>
    </row>
    <row r="463" spans="1:15" ht="15">
      <c r="A463" s="175">
        <v>460</v>
      </c>
      <c r="B463" s="415" t="s">
        <v>190</v>
      </c>
      <c r="C463" s="338">
        <v>39045</v>
      </c>
      <c r="D463" s="345" t="s">
        <v>455</v>
      </c>
      <c r="E463" s="345" t="s">
        <v>191</v>
      </c>
      <c r="F463" s="346">
        <v>59</v>
      </c>
      <c r="G463" s="346">
        <v>1</v>
      </c>
      <c r="H463" s="346">
        <v>25</v>
      </c>
      <c r="I463" s="335">
        <v>2376</v>
      </c>
      <c r="J463" s="336">
        <v>594</v>
      </c>
      <c r="K463" s="340">
        <f>+J463/G463</f>
        <v>594</v>
      </c>
      <c r="L463" s="341">
        <f>+I463/J463</f>
        <v>4</v>
      </c>
      <c r="M463" s="347">
        <f>923228.5+937012.5+950194+628448.5+336851+386155+185586+7528+78557+38487.5+19951.5+79+2267.5-1008+9203+2435+1210+836+3795.5+1284+1033+2376+108+8910+3564+10330+5034+2376</f>
        <v>4545832.5</v>
      </c>
      <c r="N463" s="348">
        <f>117837+123027+120667+81172+47916+61261+32646+795+14471+9345+4644+35+561-336+1591+487+300+161+1018+303+241+475+13+2228+891+2583+1259+594</f>
        <v>626185</v>
      </c>
      <c r="O463" s="423">
        <f>M463/N463</f>
        <v>7.259567859338694</v>
      </c>
    </row>
    <row r="464" spans="1:15" ht="15">
      <c r="A464" s="175">
        <v>461</v>
      </c>
      <c r="B464" s="415" t="s">
        <v>190</v>
      </c>
      <c r="C464" s="338">
        <v>39045</v>
      </c>
      <c r="D464" s="345" t="s">
        <v>455</v>
      </c>
      <c r="E464" s="345" t="s">
        <v>191</v>
      </c>
      <c r="F464" s="346">
        <v>59</v>
      </c>
      <c r="G464" s="346">
        <v>1</v>
      </c>
      <c r="H464" s="346">
        <v>28</v>
      </c>
      <c r="I464" s="335">
        <v>2376</v>
      </c>
      <c r="J464" s="336">
        <v>594</v>
      </c>
      <c r="K464" s="340">
        <f>+J464/G464</f>
        <v>594</v>
      </c>
      <c r="L464" s="341">
        <f>+I464/J464</f>
        <v>4</v>
      </c>
      <c r="M464" s="347">
        <f>923228.5+937012.5+950194+628448.5+336851+386155+185586+7528+78557+38487.5+19951.5+79+2267.5-1008+9203+2435+1210+836+3795.5+1284+1033+2376+108+8910+3564+10330+5034+2376+2376+972+2376</f>
        <v>4551556.5</v>
      </c>
      <c r="N464" s="348">
        <f>117837+123027+120667+81172+47916+61261+32646+795+14471+9345+4644+35+561-336+1591+487+300+161+1018+303+241+475+13+2228+891+2583+1259+594+594+162+594</f>
        <v>627535</v>
      </c>
      <c r="O464" s="419">
        <f>+M464/N464</f>
        <v>7.253071940210506</v>
      </c>
    </row>
    <row r="465" spans="1:15" ht="15">
      <c r="A465" s="175">
        <v>462</v>
      </c>
      <c r="B465" s="415" t="s">
        <v>190</v>
      </c>
      <c r="C465" s="338">
        <v>39045</v>
      </c>
      <c r="D465" s="345" t="s">
        <v>455</v>
      </c>
      <c r="E465" s="345" t="s">
        <v>191</v>
      </c>
      <c r="F465" s="346">
        <v>59</v>
      </c>
      <c r="G465" s="346">
        <v>3</v>
      </c>
      <c r="H465" s="346">
        <v>11</v>
      </c>
      <c r="I465" s="335">
        <v>2267.5</v>
      </c>
      <c r="J465" s="336">
        <v>561</v>
      </c>
      <c r="K465" s="356">
        <f>J465/G465</f>
        <v>187</v>
      </c>
      <c r="L465" s="344">
        <f>I465/J465</f>
        <v>4.041889483065954</v>
      </c>
      <c r="M465" s="347">
        <f>923228.5+937012.5+950194+628448.5+336851+386155+185586+7528+78557+38487.5+19951.5+79+2267.5-1008</f>
        <v>4493338</v>
      </c>
      <c r="N465" s="348">
        <f>117837+123027+120667+81172+47916+61261+32646+795+14471+9345+4644+35+561-336</f>
        <v>614041</v>
      </c>
      <c r="O465" s="416">
        <f>IF(M465&lt;&gt;0,M465/N465,"")</f>
        <v>7.317651427184829</v>
      </c>
    </row>
    <row r="466" spans="1:15" ht="15">
      <c r="A466" s="175">
        <v>463</v>
      </c>
      <c r="B466" s="415" t="s">
        <v>190</v>
      </c>
      <c r="C466" s="338">
        <v>39045</v>
      </c>
      <c r="D466" s="345" t="s">
        <v>455</v>
      </c>
      <c r="E466" s="345" t="s">
        <v>191</v>
      </c>
      <c r="F466" s="346">
        <v>59</v>
      </c>
      <c r="G466" s="346">
        <v>1</v>
      </c>
      <c r="H466" s="346">
        <v>31</v>
      </c>
      <c r="I466" s="335">
        <v>1510.5</v>
      </c>
      <c r="J466" s="336">
        <v>378</v>
      </c>
      <c r="K466" s="340">
        <f>IF(I466&lt;&gt;0,J466/G466,"")</f>
        <v>378</v>
      </c>
      <c r="L466" s="341">
        <f>IF(I466&lt;&gt;0,I466/J466,"")</f>
        <v>3.996031746031746</v>
      </c>
      <c r="M466" s="347">
        <f>923228.5+937012.5+950194+628448.5+336851+386155+185586+7528+78557+38487.5+19951.5+79+2267.5-1008+9203+2435+1210+836+3795.5+1284+1033+2376+108+8910+3564+10330+5034+2376+2376+972+2376+200+20659.5+1510.5</f>
        <v>4573926.5</v>
      </c>
      <c r="N466" s="348">
        <f>117837+123027+120667+81172+47916+61261+32646+795+14471+9345+4644+35+561-336+1591+487+300+161+1018+303+241+475+13+2228+891+2583+1259+594+594+162+594+67+4132+378</f>
        <v>632112</v>
      </c>
      <c r="O466" s="416">
        <f>IF(M466&lt;&gt;0,M466/N466,"")</f>
        <v>7.235943155643303</v>
      </c>
    </row>
    <row r="467" spans="1:15" ht="15">
      <c r="A467" s="175">
        <v>464</v>
      </c>
      <c r="B467" s="417" t="s">
        <v>190</v>
      </c>
      <c r="C467" s="338">
        <v>39045</v>
      </c>
      <c r="D467" s="337" t="s">
        <v>455</v>
      </c>
      <c r="E467" s="337" t="s">
        <v>191</v>
      </c>
      <c r="F467" s="334">
        <v>59</v>
      </c>
      <c r="G467" s="334">
        <v>1</v>
      </c>
      <c r="H467" s="334">
        <v>17</v>
      </c>
      <c r="I467" s="335">
        <v>1284</v>
      </c>
      <c r="J467" s="336">
        <v>303</v>
      </c>
      <c r="K467" s="356">
        <f>J467/G467</f>
        <v>303</v>
      </c>
      <c r="L467" s="344">
        <f>I467/J467</f>
        <v>4.237623762376238</v>
      </c>
      <c r="M467" s="347">
        <f>923228.5+937012.5+950194+628448.5+336851+386155+185586+7528+78557+38487.5+19951.5+79+2267.5-1008+9203+2435+1210+836+3795.5+1284</f>
        <v>4512101.5</v>
      </c>
      <c r="N467" s="348">
        <f>117837+123027+120667+81172+47916+61261+32646+795+14471+9345+4644+35+561-336+1591+487+300+161+1018+303</f>
        <v>617901</v>
      </c>
      <c r="O467" s="419">
        <f>+M467/N467</f>
        <v>7.302304899975886</v>
      </c>
    </row>
    <row r="468" spans="1:15" ht="15">
      <c r="A468" s="175">
        <v>465</v>
      </c>
      <c r="B468" s="415" t="s">
        <v>190</v>
      </c>
      <c r="C468" s="338">
        <v>39045</v>
      </c>
      <c r="D468" s="345" t="s">
        <v>455</v>
      </c>
      <c r="E468" s="345" t="s">
        <v>191</v>
      </c>
      <c r="F468" s="346">
        <v>59</v>
      </c>
      <c r="G468" s="346">
        <v>1</v>
      </c>
      <c r="H468" s="346">
        <v>14</v>
      </c>
      <c r="I468" s="335">
        <v>1210</v>
      </c>
      <c r="J468" s="336">
        <v>300</v>
      </c>
      <c r="K468" s="340">
        <f>IF(I468&lt;&gt;0,J468/G468,"")</f>
        <v>300</v>
      </c>
      <c r="L468" s="341">
        <f>IF(I468&lt;&gt;0,I468/J468,"")</f>
        <v>4.033333333333333</v>
      </c>
      <c r="M468" s="347">
        <f>923228.5+937012.5+950194+628448.5+336851+386155+185586+7528+78557+38487.5+19951.5+79+2267.5-1008+9203+2435+1210</f>
        <v>4506186</v>
      </c>
      <c r="N468" s="348">
        <f>117837+123027+120667+81172+47916+61261+32646+795+14471+9345+4644+35+561-336+1591+487+300</f>
        <v>616419</v>
      </c>
      <c r="O468" s="416">
        <f>IF(M468&lt;&gt;0,M468/N468,"")</f>
        <v>7.310264608975388</v>
      </c>
    </row>
    <row r="469" spans="1:15" ht="15">
      <c r="A469" s="175">
        <v>466</v>
      </c>
      <c r="B469" s="417" t="s">
        <v>190</v>
      </c>
      <c r="C469" s="338">
        <v>39045</v>
      </c>
      <c r="D469" s="337" t="s">
        <v>455</v>
      </c>
      <c r="E469" s="337" t="s">
        <v>191</v>
      </c>
      <c r="F469" s="334">
        <v>59</v>
      </c>
      <c r="G469" s="334">
        <v>1</v>
      </c>
      <c r="H469" s="334">
        <v>18</v>
      </c>
      <c r="I469" s="335">
        <v>1033</v>
      </c>
      <c r="J469" s="336">
        <v>241</v>
      </c>
      <c r="K469" s="356">
        <f>J469/H469</f>
        <v>13.38888888888889</v>
      </c>
      <c r="L469" s="344">
        <f aca="true" t="shared" si="60" ref="L469:L475">I469/J469</f>
        <v>4.286307053941909</v>
      </c>
      <c r="M469" s="347">
        <f>923228.5+937012.5+950194+628448.5+336851+386155+185586+7528+78557+38487.5+19951.5+79+2267.5-1008+9203+2435+1210+836+3795.5+1284+1033</f>
        <v>4513134.5</v>
      </c>
      <c r="N469" s="348">
        <f>117837+123027+120667+81172+47916+61261+32646+795+14471+9345+4644+35+561-336+1591+487+300+161+1018+303+241</f>
        <v>618142</v>
      </c>
      <c r="O469" s="419">
        <f>+M469/N469</f>
        <v>7.301129028605078</v>
      </c>
    </row>
    <row r="470" spans="1:15" ht="15">
      <c r="A470" s="175">
        <v>467</v>
      </c>
      <c r="B470" s="417" t="s">
        <v>190</v>
      </c>
      <c r="C470" s="338">
        <v>39045</v>
      </c>
      <c r="D470" s="337" t="s">
        <v>455</v>
      </c>
      <c r="E470" s="337" t="s">
        <v>191</v>
      </c>
      <c r="F470" s="334">
        <v>59</v>
      </c>
      <c r="G470" s="334">
        <v>1</v>
      </c>
      <c r="H470" s="334">
        <v>27</v>
      </c>
      <c r="I470" s="335">
        <v>972</v>
      </c>
      <c r="J470" s="336">
        <v>162</v>
      </c>
      <c r="K470" s="356">
        <f aca="true" t="shared" si="61" ref="K470:K475">J470/G470</f>
        <v>162</v>
      </c>
      <c r="L470" s="344">
        <f t="shared" si="60"/>
        <v>6</v>
      </c>
      <c r="M470" s="347">
        <f>923228.5+937012.5+950194+628448.5+336851+386155+185586+7528+78557+38487.5+19951.5+79+2267.5-1008+9203+2435+1210+836+3795.5+1284+1033+2376+108+8910+3564+10330+5034+2376+2376+972</f>
        <v>4549180.5</v>
      </c>
      <c r="N470" s="348">
        <f>117837+123027+120667+81172+47916+61261+32646+795+14471+9345+4644+35+561-336+1591+487+300+161+1018+303+241+475+13+2228+891+2583+1259+594+594+162</f>
        <v>626941</v>
      </c>
      <c r="O470" s="423">
        <f>M470/N470</f>
        <v>7.2561540878647275</v>
      </c>
    </row>
    <row r="471" spans="1:15" ht="15">
      <c r="A471" s="175">
        <v>468</v>
      </c>
      <c r="B471" s="415" t="s">
        <v>190</v>
      </c>
      <c r="C471" s="338">
        <v>39045</v>
      </c>
      <c r="D471" s="345" t="s">
        <v>455</v>
      </c>
      <c r="E471" s="345" t="s">
        <v>191</v>
      </c>
      <c r="F471" s="346">
        <v>59</v>
      </c>
      <c r="G471" s="346">
        <v>1</v>
      </c>
      <c r="H471" s="346">
        <v>15</v>
      </c>
      <c r="I471" s="335">
        <v>836</v>
      </c>
      <c r="J471" s="336">
        <v>161</v>
      </c>
      <c r="K471" s="356">
        <f t="shared" si="61"/>
        <v>161</v>
      </c>
      <c r="L471" s="344">
        <f t="shared" si="60"/>
        <v>5.192546583850931</v>
      </c>
      <c r="M471" s="347">
        <f>923228.5+937012.5+950194+628448.5+336851+386155+185586+7528+78557+38487.5+19951.5+79+2267.5-1008+9203+2435+1210+836</f>
        <v>4507022</v>
      </c>
      <c r="N471" s="348">
        <f>117837+123027+120667+81172+47916+61261+32646+795+14471+9345+4644+35+561-336+1591+487+300+161</f>
        <v>616580</v>
      </c>
      <c r="O471" s="419">
        <f>+M471/N471</f>
        <v>7.309711635148724</v>
      </c>
    </row>
    <row r="472" spans="1:15" ht="15">
      <c r="A472" s="175">
        <v>469</v>
      </c>
      <c r="B472" s="415" t="s">
        <v>190</v>
      </c>
      <c r="C472" s="338">
        <v>39045</v>
      </c>
      <c r="D472" s="345" t="s">
        <v>455</v>
      </c>
      <c r="E472" s="345" t="s">
        <v>191</v>
      </c>
      <c r="F472" s="346">
        <v>59</v>
      </c>
      <c r="G472" s="346">
        <v>1</v>
      </c>
      <c r="H472" s="346">
        <v>29</v>
      </c>
      <c r="I472" s="335">
        <v>200</v>
      </c>
      <c r="J472" s="336">
        <v>67</v>
      </c>
      <c r="K472" s="350">
        <f t="shared" si="61"/>
        <v>67</v>
      </c>
      <c r="L472" s="351">
        <f t="shared" si="60"/>
        <v>2.985074626865672</v>
      </c>
      <c r="M472" s="347">
        <f>923228.5+937012.5+950194+628448.5+336851+386155+185586+7528+78557+38487.5+19951.5+79+2267.5-1008+9203+2435+1210+836+3795.5+1284+1033+2376+108+8910+3564+10330+5034+2376+2376+972+2376+200</f>
        <v>4551756.5</v>
      </c>
      <c r="N472" s="348">
        <f>117837+123027+120667+81172+47916+61261+32646+795+14471+9345+4644+35+561-336+1591+487+300+161+1018+303+241+475+13+2228+891+2583+1259+594+594+162+594+67</f>
        <v>627602</v>
      </c>
      <c r="O472" s="423">
        <f>M472/N472</f>
        <v>7.252616307787419</v>
      </c>
    </row>
    <row r="473" spans="1:15" ht="15">
      <c r="A473" s="175">
        <v>470</v>
      </c>
      <c r="B473" s="415" t="s">
        <v>190</v>
      </c>
      <c r="C473" s="338">
        <v>39045</v>
      </c>
      <c r="D473" s="345" t="s">
        <v>455</v>
      </c>
      <c r="E473" s="345" t="s">
        <v>191</v>
      </c>
      <c r="F473" s="346">
        <v>59</v>
      </c>
      <c r="G473" s="346">
        <v>3</v>
      </c>
      <c r="H473" s="346">
        <v>21</v>
      </c>
      <c r="I473" s="335">
        <v>108</v>
      </c>
      <c r="J473" s="336">
        <v>13</v>
      </c>
      <c r="K473" s="356">
        <f t="shared" si="61"/>
        <v>4.333333333333333</v>
      </c>
      <c r="L473" s="344">
        <f t="shared" si="60"/>
        <v>8.307692307692308</v>
      </c>
      <c r="M473" s="347">
        <f>923228.5+937012.5+950194+628448.5+336851+386155+185586+7528+78557+38487.5+19951.5+79+2267.5-1008+9203+2435+1210+836+3795.5+1284+1033+2376+108</f>
        <v>4515618.5</v>
      </c>
      <c r="N473" s="348">
        <f>117837+123027+120667+81172+47916+61261+32646+795+14471+9345+4644+35+561-336+1591+487+300+161+1018+303+241+475+13</f>
        <v>618630</v>
      </c>
      <c r="O473" s="419">
        <f>+M473/N473</f>
        <v>7.299384931218984</v>
      </c>
    </row>
    <row r="474" spans="1:15" ht="15">
      <c r="A474" s="175">
        <v>471</v>
      </c>
      <c r="B474" s="415" t="s">
        <v>222</v>
      </c>
      <c r="C474" s="338">
        <v>39045</v>
      </c>
      <c r="D474" s="345" t="s">
        <v>455</v>
      </c>
      <c r="E474" s="345" t="s">
        <v>223</v>
      </c>
      <c r="F474" s="346">
        <v>74</v>
      </c>
      <c r="G474" s="346">
        <v>6</v>
      </c>
      <c r="H474" s="346">
        <v>9</v>
      </c>
      <c r="I474" s="335">
        <v>29071.5</v>
      </c>
      <c r="J474" s="336">
        <v>5809</v>
      </c>
      <c r="K474" s="348">
        <f t="shared" si="61"/>
        <v>968.1666666666666</v>
      </c>
      <c r="L474" s="353">
        <f t="shared" si="60"/>
        <v>5.004561886727492</v>
      </c>
      <c r="M474" s="347">
        <f>447721+332162.5+160222.5+67585.5+19669.5+17062+5450+305+5150+29071.5</f>
        <v>1084399.5</v>
      </c>
      <c r="N474" s="348">
        <f>56147+42685+21828+11069+3736+3367+985+73+737+5809</f>
        <v>146436</v>
      </c>
      <c r="O474" s="420">
        <f>M474/N474</f>
        <v>7.405279439482094</v>
      </c>
    </row>
    <row r="475" spans="1:15" ht="15">
      <c r="A475" s="175">
        <v>472</v>
      </c>
      <c r="B475" s="415" t="s">
        <v>222</v>
      </c>
      <c r="C475" s="338">
        <v>39045</v>
      </c>
      <c r="D475" s="345" t="s">
        <v>455</v>
      </c>
      <c r="E475" s="345" t="s">
        <v>223</v>
      </c>
      <c r="F475" s="346">
        <v>74</v>
      </c>
      <c r="G475" s="346">
        <v>1</v>
      </c>
      <c r="H475" s="346">
        <v>13</v>
      </c>
      <c r="I475" s="335">
        <v>20659.5</v>
      </c>
      <c r="J475" s="336">
        <v>4132</v>
      </c>
      <c r="K475" s="356">
        <f t="shared" si="61"/>
        <v>4132</v>
      </c>
      <c r="L475" s="344">
        <f t="shared" si="60"/>
        <v>4.9998789932236205</v>
      </c>
      <c r="M475" s="347">
        <f>447721+332162.5+160222.5+67585.5+19669.5+17062+5450+305+5150+29071.5+960+166+2038-3746+657+20659.5</f>
        <v>1105134</v>
      </c>
      <c r="N475" s="348">
        <f>56147+42685+21828+11069+3736+3367+985+73+737+5809+284+401-774+144+4132</f>
        <v>150623</v>
      </c>
      <c r="O475" s="419">
        <f>+M475/N475</f>
        <v>7.337086633515466</v>
      </c>
    </row>
    <row r="476" spans="1:15" ht="15">
      <c r="A476" s="175">
        <v>473</v>
      </c>
      <c r="B476" s="415" t="s">
        <v>222</v>
      </c>
      <c r="C476" s="338">
        <v>39045</v>
      </c>
      <c r="D476" s="345" t="s">
        <v>455</v>
      </c>
      <c r="E476" s="345" t="s">
        <v>223</v>
      </c>
      <c r="F476" s="346">
        <v>74</v>
      </c>
      <c r="G476" s="346">
        <v>1</v>
      </c>
      <c r="H476" s="346">
        <v>18</v>
      </c>
      <c r="I476" s="335">
        <v>20659.5</v>
      </c>
      <c r="J476" s="336">
        <v>4132</v>
      </c>
      <c r="K476" s="340">
        <f>+J476/G476</f>
        <v>4132</v>
      </c>
      <c r="L476" s="341">
        <f>+I476/J476</f>
        <v>4.9998789932236205</v>
      </c>
      <c r="M476" s="347">
        <f>447721+332162.5+160222.5+67585.5+19669.5+17062+5450+305+5150+29071.5+960+166+2038-3746+657+44+24+2376+20659.5</f>
        <v>1107578</v>
      </c>
      <c r="N476" s="348">
        <f>56147+42685+21828+11069+3736+3367+985+73+737+5809+284+401-774+144+3+5+594+4132</f>
        <v>151225</v>
      </c>
      <c r="O476" s="419">
        <f>+M476/N476</f>
        <v>7.324040337245826</v>
      </c>
    </row>
    <row r="477" spans="1:15" ht="15">
      <c r="A477" s="175">
        <v>474</v>
      </c>
      <c r="B477" s="415" t="s">
        <v>222</v>
      </c>
      <c r="C477" s="338">
        <v>39045</v>
      </c>
      <c r="D477" s="345" t="s">
        <v>455</v>
      </c>
      <c r="E477" s="345" t="s">
        <v>223</v>
      </c>
      <c r="F477" s="346">
        <v>74</v>
      </c>
      <c r="G477" s="346">
        <v>24</v>
      </c>
      <c r="H477" s="346">
        <v>6</v>
      </c>
      <c r="I477" s="335">
        <v>17062</v>
      </c>
      <c r="J477" s="336">
        <v>3367</v>
      </c>
      <c r="K477" s="340">
        <f>IF(I477&lt;&gt;0,J477/G477,"")</f>
        <v>140.29166666666666</v>
      </c>
      <c r="L477" s="341">
        <f>IF(I477&lt;&gt;0,I477/J477,"")</f>
        <v>5.067419067419068</v>
      </c>
      <c r="M477" s="347">
        <f>447721+332162.5+160222.5+67585.5+19669.5+17062</f>
        <v>1044423</v>
      </c>
      <c r="N477" s="348">
        <f>56147+42685+21828+11069+3736+3367</f>
        <v>138832</v>
      </c>
      <c r="O477" s="416">
        <f>IF(M477&lt;&gt;0,M477/N477,"")</f>
        <v>7.522926990895471</v>
      </c>
    </row>
    <row r="478" spans="1:15" ht="15">
      <c r="A478" s="175">
        <v>475</v>
      </c>
      <c r="B478" s="417" t="s">
        <v>222</v>
      </c>
      <c r="C478" s="338">
        <v>39045</v>
      </c>
      <c r="D478" s="337" t="s">
        <v>455</v>
      </c>
      <c r="E478" s="337" t="s">
        <v>223</v>
      </c>
      <c r="F478" s="334">
        <v>74</v>
      </c>
      <c r="G478" s="334">
        <v>9</v>
      </c>
      <c r="H478" s="334">
        <v>7</v>
      </c>
      <c r="I478" s="335">
        <v>5450</v>
      </c>
      <c r="J478" s="336">
        <v>985</v>
      </c>
      <c r="K478" s="350">
        <f>J478/G478</f>
        <v>109.44444444444444</v>
      </c>
      <c r="L478" s="351">
        <f>I478/J478</f>
        <v>5.532994923857868</v>
      </c>
      <c r="M478" s="347">
        <f>447721+332162.5+160222.5+67585.5+19669.5+17062+5450+305</f>
        <v>1050178</v>
      </c>
      <c r="N478" s="348">
        <f>56147+42685+21828+11069+3736+3367+985+73</f>
        <v>139890</v>
      </c>
      <c r="O478" s="416">
        <f>IF(M478&lt;&gt;0,M478/N478,"")</f>
        <v>7.507169919222246</v>
      </c>
    </row>
    <row r="479" spans="1:15" ht="15">
      <c r="A479" s="175">
        <v>476</v>
      </c>
      <c r="B479" s="415" t="s">
        <v>222</v>
      </c>
      <c r="C479" s="338">
        <v>39045</v>
      </c>
      <c r="D479" s="345" t="s">
        <v>455</v>
      </c>
      <c r="E479" s="345" t="s">
        <v>223</v>
      </c>
      <c r="F479" s="346">
        <v>74</v>
      </c>
      <c r="G479" s="346">
        <v>4</v>
      </c>
      <c r="H479" s="346">
        <v>8</v>
      </c>
      <c r="I479" s="335">
        <v>5150</v>
      </c>
      <c r="J479" s="336">
        <v>717</v>
      </c>
      <c r="K479" s="356">
        <f>J479/G479</f>
        <v>179.25</v>
      </c>
      <c r="L479" s="344">
        <f>I479/J479</f>
        <v>7.182705718270572</v>
      </c>
      <c r="M479" s="347">
        <f>447721+332162.5+160222.5+67585.5+19669.5+17062+5450+305+5150</f>
        <v>1055328</v>
      </c>
      <c r="N479" s="348">
        <f>56147+42685+21828+11069+3736+3367+985+73+737</f>
        <v>140627</v>
      </c>
      <c r="O479" s="419">
        <f>+M479/N479</f>
        <v>7.504447936740455</v>
      </c>
    </row>
    <row r="480" spans="1:15" ht="15">
      <c r="A480" s="175">
        <v>477</v>
      </c>
      <c r="B480" s="415" t="s">
        <v>222</v>
      </c>
      <c r="C480" s="338">
        <v>39045</v>
      </c>
      <c r="D480" s="345" t="s">
        <v>455</v>
      </c>
      <c r="E480" s="345" t="s">
        <v>223</v>
      </c>
      <c r="F480" s="346">
        <v>74</v>
      </c>
      <c r="G480" s="346">
        <v>1</v>
      </c>
      <c r="H480" s="346">
        <v>17</v>
      </c>
      <c r="I480" s="335">
        <v>2376</v>
      </c>
      <c r="J480" s="336">
        <v>594</v>
      </c>
      <c r="K480" s="356">
        <f>J480/G480</f>
        <v>594</v>
      </c>
      <c r="L480" s="344">
        <f>I480/J480</f>
        <v>4</v>
      </c>
      <c r="M480" s="347">
        <f>447721+332162.5+160222.5+67585.5+19669.5+17062+5450+305+5150+29071.5+960+166+2038-3746+657+44+24+2376</f>
        <v>1086918.5</v>
      </c>
      <c r="N480" s="348">
        <f>56147+42685+21828+11069+3736+3367+985+73+737+5809+284+401-774+144+3+5+594</f>
        <v>147093</v>
      </c>
      <c r="O480" s="423">
        <f>M480/N480</f>
        <v>7.38932852005194</v>
      </c>
    </row>
    <row r="481" spans="1:15" ht="15">
      <c r="A481" s="175">
        <v>478</v>
      </c>
      <c r="B481" s="415" t="s">
        <v>222</v>
      </c>
      <c r="C481" s="338">
        <v>39045</v>
      </c>
      <c r="D481" s="345" t="s">
        <v>455</v>
      </c>
      <c r="E481" s="362" t="s">
        <v>223</v>
      </c>
      <c r="F481" s="346">
        <v>74</v>
      </c>
      <c r="G481" s="346">
        <v>2</v>
      </c>
      <c r="H481" s="346">
        <v>11</v>
      </c>
      <c r="I481" s="335">
        <v>2038</v>
      </c>
      <c r="J481" s="336">
        <v>401</v>
      </c>
      <c r="K481" s="356">
        <f>J481/G481</f>
        <v>200.5</v>
      </c>
      <c r="L481" s="344">
        <f>I481/J481</f>
        <v>5.082294264339152</v>
      </c>
      <c r="M481" s="347">
        <f>447721+332162.5+160222.5+67585.5+19669.5+17062+5450+305+5150+29071.5+960+166+2038-3746</f>
        <v>1083817.5</v>
      </c>
      <c r="N481" s="348">
        <f>56147+42685+21828+11069+3736+3367+985+73+737+5809+284+401-774</f>
        <v>146347</v>
      </c>
      <c r="O481" s="416">
        <f>IF(M481&lt;&gt;0,M481/N481,"")</f>
        <v>7.405806063670591</v>
      </c>
    </row>
    <row r="482" spans="1:15" ht="15">
      <c r="A482" s="175">
        <v>479</v>
      </c>
      <c r="B482" s="415" t="s">
        <v>222</v>
      </c>
      <c r="C482" s="338">
        <v>39045</v>
      </c>
      <c r="D482" s="345" t="s">
        <v>455</v>
      </c>
      <c r="E482" s="345" t="s">
        <v>223</v>
      </c>
      <c r="F482" s="346">
        <v>74</v>
      </c>
      <c r="G482" s="346">
        <v>1</v>
      </c>
      <c r="H482" s="346">
        <v>20</v>
      </c>
      <c r="I482" s="335">
        <v>1188</v>
      </c>
      <c r="J482" s="336">
        <v>297</v>
      </c>
      <c r="K482" s="340">
        <f>IF(I482&lt;&gt;0,J482/G482,"")</f>
        <v>297</v>
      </c>
      <c r="L482" s="341">
        <f>IF(I482&lt;&gt;0,I482/J482,"")</f>
        <v>4</v>
      </c>
      <c r="M482" s="347">
        <f>447721+332162.5+160222.5+67585.5+19669.5+17062+5450+305+5150+29071.5+960+166+2038-3746+657+44+24+2376+20659.5+117+1188</f>
        <v>1108883</v>
      </c>
      <c r="N482" s="348">
        <f>56147+42685+21828+11069+3736+3367+985+73+737+5809+284+401-774+144+3+5+594+4132+39+297</f>
        <v>151561</v>
      </c>
      <c r="O482" s="425">
        <f>M482/N482</f>
        <v>7.316413853168031</v>
      </c>
    </row>
    <row r="483" spans="1:15" ht="15">
      <c r="A483" s="175">
        <v>480</v>
      </c>
      <c r="B483" s="415" t="s">
        <v>222</v>
      </c>
      <c r="C483" s="338">
        <v>39045</v>
      </c>
      <c r="D483" s="345" t="s">
        <v>455</v>
      </c>
      <c r="E483" s="345" t="s">
        <v>223</v>
      </c>
      <c r="F483" s="346">
        <v>74</v>
      </c>
      <c r="G483" s="346">
        <v>1</v>
      </c>
      <c r="H483" s="346">
        <v>10</v>
      </c>
      <c r="I483" s="335">
        <v>960</v>
      </c>
      <c r="J483" s="336">
        <v>240</v>
      </c>
      <c r="K483" s="356">
        <f aca="true" t="shared" si="62" ref="K483:K488">J483/G483</f>
        <v>240</v>
      </c>
      <c r="L483" s="344">
        <f aca="true" t="shared" si="63" ref="L483:L488">I483/J483</f>
        <v>4</v>
      </c>
      <c r="M483" s="347">
        <f>447721+332162.5+160222.5+67585.5+19669.5+17062+5450+305+5150+29071.5+960+166</f>
        <v>1085525.5</v>
      </c>
      <c r="N483" s="348">
        <f>56147+42685+21828+11069+3736+3367+985+73+737+5809+284</f>
        <v>146720</v>
      </c>
      <c r="O483" s="419">
        <f>+M483/N483</f>
        <v>7.398619820065431</v>
      </c>
    </row>
    <row r="484" spans="1:15" ht="15">
      <c r="A484" s="175">
        <v>481</v>
      </c>
      <c r="B484" s="415" t="s">
        <v>222</v>
      </c>
      <c r="C484" s="338">
        <v>39045</v>
      </c>
      <c r="D484" s="345" t="s">
        <v>455</v>
      </c>
      <c r="E484" s="345" t="s">
        <v>223</v>
      </c>
      <c r="F484" s="346">
        <v>74</v>
      </c>
      <c r="G484" s="346">
        <v>1</v>
      </c>
      <c r="H484" s="346">
        <v>12</v>
      </c>
      <c r="I484" s="335">
        <v>657</v>
      </c>
      <c r="J484" s="336">
        <v>144</v>
      </c>
      <c r="K484" s="356">
        <f t="shared" si="62"/>
        <v>144</v>
      </c>
      <c r="L484" s="344">
        <f t="shared" si="63"/>
        <v>4.5625</v>
      </c>
      <c r="M484" s="347">
        <f>447721+332162.5+160222.5+67585.5+19669.5+17062+5450+305+5150+29071.5+960+166+2038-3746+657</f>
        <v>1084474.5</v>
      </c>
      <c r="N484" s="348">
        <f>56147+42685+21828+11069+3736+3367+985+73+737+5809+284+401-774+144</f>
        <v>146491</v>
      </c>
      <c r="O484" s="416">
        <f>IF(M484&lt;&gt;0,M484/N484,"")</f>
        <v>7.403011106484358</v>
      </c>
    </row>
    <row r="485" spans="1:15" ht="15">
      <c r="A485" s="175">
        <v>482</v>
      </c>
      <c r="B485" s="415" t="s">
        <v>222</v>
      </c>
      <c r="C485" s="338">
        <v>39045</v>
      </c>
      <c r="D485" s="345" t="s">
        <v>455</v>
      </c>
      <c r="E485" s="345" t="s">
        <v>223</v>
      </c>
      <c r="F485" s="346">
        <v>74</v>
      </c>
      <c r="G485" s="346">
        <v>1</v>
      </c>
      <c r="H485" s="346">
        <v>19</v>
      </c>
      <c r="I485" s="335">
        <v>117</v>
      </c>
      <c r="J485" s="336">
        <v>39</v>
      </c>
      <c r="K485" s="356">
        <f t="shared" si="62"/>
        <v>39</v>
      </c>
      <c r="L485" s="344">
        <f t="shared" si="63"/>
        <v>3</v>
      </c>
      <c r="M485" s="347">
        <f>447721+332162.5+160222.5+67585.5+19669.5+17062+5450+305+5150+29071.5+960+166+2038-3746+657+44+24+2376+20659.5+117</f>
        <v>1107695</v>
      </c>
      <c r="N485" s="348">
        <f>56147+42685+21828+11069+3736+3367+985+73+737+5809+284+401-774+144+3+5+594+4132+39</f>
        <v>151264</v>
      </c>
      <c r="O485" s="419">
        <f>+M485/N485</f>
        <v>7.322925481277766</v>
      </c>
    </row>
    <row r="486" spans="1:15" ht="15">
      <c r="A486" s="175">
        <v>483</v>
      </c>
      <c r="B486" s="415" t="s">
        <v>222</v>
      </c>
      <c r="C486" s="338">
        <v>39045</v>
      </c>
      <c r="D486" s="345" t="s">
        <v>455</v>
      </c>
      <c r="E486" s="345" t="s">
        <v>223</v>
      </c>
      <c r="F486" s="346">
        <v>74</v>
      </c>
      <c r="G486" s="346">
        <v>1</v>
      </c>
      <c r="H486" s="346">
        <v>13</v>
      </c>
      <c r="I486" s="335">
        <v>44</v>
      </c>
      <c r="J486" s="336">
        <v>5</v>
      </c>
      <c r="K486" s="356">
        <f t="shared" si="62"/>
        <v>5</v>
      </c>
      <c r="L486" s="344">
        <f t="shared" si="63"/>
        <v>8.8</v>
      </c>
      <c r="M486" s="347">
        <f>447721+332162.5+160222.5+67585.5+19669.5+17062+5450+305+5150+29071.5+960+166+2038-3746+657+44</f>
        <v>1084518.5</v>
      </c>
      <c r="N486" s="348">
        <f>56147+42685+21828+11069+3736+3367+985+73+737+5809+284+401-774+144+4132</f>
        <v>150623</v>
      </c>
      <c r="O486" s="419">
        <f>+M486/N486</f>
        <v>7.200218426136779</v>
      </c>
    </row>
    <row r="487" spans="1:15" ht="15">
      <c r="A487" s="175">
        <v>484</v>
      </c>
      <c r="B487" s="415" t="s">
        <v>222</v>
      </c>
      <c r="C487" s="338">
        <v>39045</v>
      </c>
      <c r="D487" s="345" t="s">
        <v>455</v>
      </c>
      <c r="E487" s="345" t="s">
        <v>223</v>
      </c>
      <c r="F487" s="346">
        <v>74</v>
      </c>
      <c r="G487" s="346">
        <v>1</v>
      </c>
      <c r="H487" s="346">
        <v>14</v>
      </c>
      <c r="I487" s="335">
        <v>24</v>
      </c>
      <c r="J487" s="336">
        <v>3</v>
      </c>
      <c r="K487" s="356">
        <f t="shared" si="62"/>
        <v>3</v>
      </c>
      <c r="L487" s="344">
        <f t="shared" si="63"/>
        <v>8</v>
      </c>
      <c r="M487" s="347">
        <f>447721+332162.5+160222.5+67585.5+19669.5+17062+5450+305+5150+29071.5+960+166+2038-3746+657+44+24</f>
        <v>1084542.5</v>
      </c>
      <c r="N487" s="348">
        <f>56147+42685+21828+11069+3736+3367+985+73+737+5809+284+401-774+144+3+5</f>
        <v>146499</v>
      </c>
      <c r="O487" s="420">
        <f>M487/N487</f>
        <v>7.403071010723623</v>
      </c>
    </row>
    <row r="488" spans="1:15" ht="15">
      <c r="A488" s="175">
        <v>485</v>
      </c>
      <c r="B488" s="417" t="s">
        <v>242</v>
      </c>
      <c r="C488" s="338">
        <v>39045</v>
      </c>
      <c r="D488" s="357" t="s">
        <v>277</v>
      </c>
      <c r="E488" s="352" t="s">
        <v>364</v>
      </c>
      <c r="F488" s="358">
        <v>4</v>
      </c>
      <c r="G488" s="358">
        <v>1</v>
      </c>
      <c r="H488" s="358">
        <v>9</v>
      </c>
      <c r="I488" s="335">
        <v>1068</v>
      </c>
      <c r="J488" s="336">
        <v>267</v>
      </c>
      <c r="K488" s="356">
        <f t="shared" si="62"/>
        <v>267</v>
      </c>
      <c r="L488" s="344">
        <f t="shared" si="63"/>
        <v>4</v>
      </c>
      <c r="M488" s="347">
        <f>4508+1771+883+1554+851.5+290.5+236+176+1068</f>
        <v>11338</v>
      </c>
      <c r="N488" s="348">
        <f>484+239+139+406+142+39+97+68+267</f>
        <v>1881</v>
      </c>
      <c r="O488" s="420">
        <f>M488/N488</f>
        <v>6.027644869750133</v>
      </c>
    </row>
    <row r="489" spans="1:15" ht="15">
      <c r="A489" s="175">
        <v>486</v>
      </c>
      <c r="B489" s="417" t="s">
        <v>242</v>
      </c>
      <c r="C489" s="338">
        <v>39045</v>
      </c>
      <c r="D489" s="337" t="s">
        <v>277</v>
      </c>
      <c r="E489" s="337" t="s">
        <v>364</v>
      </c>
      <c r="F489" s="334">
        <v>4</v>
      </c>
      <c r="G489" s="334">
        <v>3</v>
      </c>
      <c r="H489" s="334">
        <v>5</v>
      </c>
      <c r="I489" s="335">
        <v>851.5</v>
      </c>
      <c r="J489" s="336">
        <v>142</v>
      </c>
      <c r="K489" s="340">
        <f>IF(I489&lt;&gt;0,J489/G489,"")</f>
        <v>47.333333333333336</v>
      </c>
      <c r="L489" s="341">
        <f>IF(I489&lt;&gt;0,I489/J489,"")</f>
        <v>5.996478873239437</v>
      </c>
      <c r="M489" s="347">
        <f>4508+1771+883+1554+851.5</f>
        <v>9567.5</v>
      </c>
      <c r="N489" s="348">
        <f>484+239+139+406+142</f>
        <v>1410</v>
      </c>
      <c r="O489" s="420">
        <f>M489/N489</f>
        <v>6.785460992907802</v>
      </c>
    </row>
    <row r="490" spans="1:15" ht="15">
      <c r="A490" s="175">
        <v>487</v>
      </c>
      <c r="B490" s="417" t="s">
        <v>242</v>
      </c>
      <c r="C490" s="338">
        <v>39045</v>
      </c>
      <c r="D490" s="357" t="s">
        <v>277</v>
      </c>
      <c r="E490" s="352" t="s">
        <v>364</v>
      </c>
      <c r="F490" s="358">
        <v>4</v>
      </c>
      <c r="G490" s="358">
        <v>1</v>
      </c>
      <c r="H490" s="358">
        <v>10</v>
      </c>
      <c r="I490" s="335">
        <v>372</v>
      </c>
      <c r="J490" s="336">
        <v>124</v>
      </c>
      <c r="K490" s="340">
        <f>IF(I490&lt;&gt;0,J490/G490,"")</f>
        <v>124</v>
      </c>
      <c r="L490" s="341">
        <f>IF(I490&lt;&gt;0,I490/J490,"")</f>
        <v>3</v>
      </c>
      <c r="M490" s="347">
        <f>4508+1771+883+1554+851.5+290.5+236+176+1068+372</f>
        <v>11710</v>
      </c>
      <c r="N490" s="348">
        <f>484+239+139+406+142+39+97+68+267+124</f>
        <v>2005</v>
      </c>
      <c r="O490" s="416">
        <f>IF(M490&lt;&gt;0,M490/N490,"")</f>
        <v>5.840399002493766</v>
      </c>
    </row>
    <row r="491" spans="1:15" ht="15">
      <c r="A491" s="175">
        <v>488</v>
      </c>
      <c r="B491" s="417" t="s">
        <v>242</v>
      </c>
      <c r="C491" s="338">
        <v>39045</v>
      </c>
      <c r="D491" s="357" t="s">
        <v>277</v>
      </c>
      <c r="E491" s="349" t="s">
        <v>364</v>
      </c>
      <c r="F491" s="358">
        <v>4</v>
      </c>
      <c r="G491" s="358">
        <v>1</v>
      </c>
      <c r="H491" s="358">
        <v>14</v>
      </c>
      <c r="I491" s="335">
        <v>304</v>
      </c>
      <c r="J491" s="336">
        <v>52</v>
      </c>
      <c r="K491" s="348">
        <f>J491/G491</f>
        <v>52</v>
      </c>
      <c r="L491" s="353">
        <f aca="true" t="shared" si="64" ref="L491:L506">I491/J491</f>
        <v>5.846153846153846</v>
      </c>
      <c r="M491" s="347">
        <f>4508+1771+883+1554+851.5+290.5+236+176+1068+372+74+259+168+304</f>
        <v>12515</v>
      </c>
      <c r="N491" s="348">
        <f>484+239+139+406+142+39+97+68+267+124+14+55+25+52</f>
        <v>2151</v>
      </c>
      <c r="O491" s="419">
        <f>+M491/N491</f>
        <v>5.818224081822408</v>
      </c>
    </row>
    <row r="492" spans="1:15" ht="15">
      <c r="A492" s="175">
        <v>489</v>
      </c>
      <c r="B492" s="417" t="s">
        <v>242</v>
      </c>
      <c r="C492" s="338">
        <v>39045</v>
      </c>
      <c r="D492" s="357" t="s">
        <v>277</v>
      </c>
      <c r="E492" s="352" t="s">
        <v>364</v>
      </c>
      <c r="F492" s="358">
        <v>4</v>
      </c>
      <c r="G492" s="358">
        <v>1</v>
      </c>
      <c r="H492" s="358">
        <v>6</v>
      </c>
      <c r="I492" s="335">
        <v>290.5</v>
      </c>
      <c r="J492" s="336">
        <v>39</v>
      </c>
      <c r="K492" s="340">
        <f>+J492/G492</f>
        <v>39</v>
      </c>
      <c r="L492" s="344">
        <f t="shared" si="64"/>
        <v>7.448717948717949</v>
      </c>
      <c r="M492" s="347">
        <f>4508+1771+883+1554+851.5+290.5</f>
        <v>9858</v>
      </c>
      <c r="N492" s="348">
        <f>484+239+139+406+142+39</f>
        <v>1449</v>
      </c>
      <c r="O492" s="419">
        <f>+M492/N492</f>
        <v>6.803312629399586</v>
      </c>
    </row>
    <row r="493" spans="1:15" ht="15">
      <c r="A493" s="175">
        <v>490</v>
      </c>
      <c r="B493" s="417" t="s">
        <v>242</v>
      </c>
      <c r="C493" s="338">
        <v>39045</v>
      </c>
      <c r="D493" s="357" t="s">
        <v>277</v>
      </c>
      <c r="E493" s="352" t="s">
        <v>364</v>
      </c>
      <c r="F493" s="358">
        <v>4</v>
      </c>
      <c r="G493" s="358">
        <v>1</v>
      </c>
      <c r="H493" s="358">
        <v>12</v>
      </c>
      <c r="I493" s="335">
        <v>259</v>
      </c>
      <c r="J493" s="336">
        <v>55</v>
      </c>
      <c r="K493" s="348">
        <f aca="true" t="shared" si="65" ref="K493:K506">J493/G493</f>
        <v>55</v>
      </c>
      <c r="L493" s="353">
        <f t="shared" si="64"/>
        <v>4.709090909090909</v>
      </c>
      <c r="M493" s="347">
        <f>4508+1771+883+1554+851.5+290.5+236+176+1068+372+74+259</f>
        <v>12043</v>
      </c>
      <c r="N493" s="348">
        <f>484+239+139+406+142+39+97+68+267+124+14+55</f>
        <v>2074</v>
      </c>
      <c r="O493" s="419">
        <f>+M493/N493</f>
        <v>5.80665380906461</v>
      </c>
    </row>
    <row r="494" spans="1:15" ht="15">
      <c r="A494" s="175">
        <v>491</v>
      </c>
      <c r="B494" s="417" t="s">
        <v>242</v>
      </c>
      <c r="C494" s="338">
        <v>39045</v>
      </c>
      <c r="D494" s="357" t="s">
        <v>277</v>
      </c>
      <c r="E494" s="352" t="s">
        <v>364</v>
      </c>
      <c r="F494" s="358">
        <v>4</v>
      </c>
      <c r="G494" s="358">
        <v>1</v>
      </c>
      <c r="H494" s="358">
        <v>7</v>
      </c>
      <c r="I494" s="335">
        <v>236</v>
      </c>
      <c r="J494" s="336">
        <v>97</v>
      </c>
      <c r="K494" s="348">
        <f t="shared" si="65"/>
        <v>97</v>
      </c>
      <c r="L494" s="353">
        <f t="shared" si="64"/>
        <v>2.4329896907216493</v>
      </c>
      <c r="M494" s="347">
        <f>4508+1771+883+1554+851.5+290.5+236</f>
        <v>10094</v>
      </c>
      <c r="N494" s="348">
        <f>484+239+139+406+142+39+97</f>
        <v>1546</v>
      </c>
      <c r="O494" s="420">
        <f>M494/N494</f>
        <v>6.5291073738680465</v>
      </c>
    </row>
    <row r="495" spans="1:15" ht="15">
      <c r="A495" s="175">
        <v>492</v>
      </c>
      <c r="B495" s="417" t="s">
        <v>242</v>
      </c>
      <c r="C495" s="338">
        <v>39045</v>
      </c>
      <c r="D495" s="357" t="s">
        <v>277</v>
      </c>
      <c r="E495" s="349" t="s">
        <v>364</v>
      </c>
      <c r="F495" s="358">
        <v>4</v>
      </c>
      <c r="G495" s="358">
        <v>2</v>
      </c>
      <c r="H495" s="358">
        <v>16</v>
      </c>
      <c r="I495" s="335">
        <v>201</v>
      </c>
      <c r="J495" s="336">
        <v>36</v>
      </c>
      <c r="K495" s="348">
        <f t="shared" si="65"/>
        <v>18</v>
      </c>
      <c r="L495" s="353">
        <f t="shared" si="64"/>
        <v>5.583333333333333</v>
      </c>
      <c r="M495" s="347">
        <f>4508+1771+883+1554+851.5+290.5+236+176+1068+372+74+259+168+304+113+201</f>
        <v>12829</v>
      </c>
      <c r="N495" s="348">
        <f>484+239+139+406+142+39+97+68+267+124+14+55+25+52+18+36</f>
        <v>2205</v>
      </c>
      <c r="O495" s="420">
        <f>M495/N495</f>
        <v>5.818140589569161</v>
      </c>
    </row>
    <row r="496" spans="1:15" ht="15">
      <c r="A496" s="175">
        <v>493</v>
      </c>
      <c r="B496" s="417" t="s">
        <v>242</v>
      </c>
      <c r="C496" s="338">
        <v>39045</v>
      </c>
      <c r="D496" s="357" t="s">
        <v>277</v>
      </c>
      <c r="E496" s="352" t="s">
        <v>364</v>
      </c>
      <c r="F496" s="358">
        <v>4</v>
      </c>
      <c r="G496" s="358">
        <v>1</v>
      </c>
      <c r="H496" s="358">
        <v>8</v>
      </c>
      <c r="I496" s="335">
        <v>176</v>
      </c>
      <c r="J496" s="336">
        <v>68</v>
      </c>
      <c r="K496" s="356">
        <f t="shared" si="65"/>
        <v>68</v>
      </c>
      <c r="L496" s="344">
        <f t="shared" si="64"/>
        <v>2.588235294117647</v>
      </c>
      <c r="M496" s="347">
        <f>4508+1771+883+1554+851.5+290.5+236+176</f>
        <v>10270</v>
      </c>
      <c r="N496" s="348">
        <f>484+239+139+406+142+39+97+68</f>
        <v>1614</v>
      </c>
      <c r="O496" s="419">
        <f>+M496/N496</f>
        <v>6.363073110285006</v>
      </c>
    </row>
    <row r="497" spans="1:15" ht="15">
      <c r="A497" s="175">
        <v>494</v>
      </c>
      <c r="B497" s="417" t="s">
        <v>242</v>
      </c>
      <c r="C497" s="338">
        <v>39045</v>
      </c>
      <c r="D497" s="357" t="s">
        <v>277</v>
      </c>
      <c r="E497" s="349" t="s">
        <v>364</v>
      </c>
      <c r="F497" s="358">
        <v>4</v>
      </c>
      <c r="G497" s="358">
        <v>1</v>
      </c>
      <c r="H497" s="358">
        <v>13</v>
      </c>
      <c r="I497" s="335">
        <v>168</v>
      </c>
      <c r="J497" s="336">
        <v>25</v>
      </c>
      <c r="K497" s="348">
        <f t="shared" si="65"/>
        <v>25</v>
      </c>
      <c r="L497" s="353">
        <f t="shared" si="64"/>
        <v>6.72</v>
      </c>
      <c r="M497" s="347">
        <f>4508+1771+883+1554+851.5+290.5+236+176+1068+372+74+259+168</f>
        <v>12211</v>
      </c>
      <c r="N497" s="348">
        <f>484+239+139+406+142+39+97+68+267+124+14+55+25</f>
        <v>2099</v>
      </c>
      <c r="O497" s="420">
        <f>M497/N497</f>
        <v>5.8175321581705575</v>
      </c>
    </row>
    <row r="498" spans="1:15" ht="15">
      <c r="A498" s="175">
        <v>495</v>
      </c>
      <c r="B498" s="417" t="s">
        <v>242</v>
      </c>
      <c r="C498" s="338">
        <v>39045</v>
      </c>
      <c r="D498" s="357" t="s">
        <v>277</v>
      </c>
      <c r="E498" s="352" t="s">
        <v>364</v>
      </c>
      <c r="F498" s="358">
        <v>4</v>
      </c>
      <c r="G498" s="358">
        <v>1</v>
      </c>
      <c r="H498" s="358">
        <v>15</v>
      </c>
      <c r="I498" s="335">
        <v>113</v>
      </c>
      <c r="J498" s="336">
        <v>18</v>
      </c>
      <c r="K498" s="348">
        <f t="shared" si="65"/>
        <v>18</v>
      </c>
      <c r="L498" s="353">
        <f t="shared" si="64"/>
        <v>6.277777777777778</v>
      </c>
      <c r="M498" s="347">
        <f>4508+1771+883+1554+851.5+290.5+236+176+1068+372+74+259+168+304+113</f>
        <v>12628</v>
      </c>
      <c r="N498" s="348">
        <f>484+239+139+406+142+39+97+68+267+124+14+55+25+52+18</f>
        <v>2169</v>
      </c>
      <c r="O498" s="420">
        <f>M498/N498</f>
        <v>5.822037805440295</v>
      </c>
    </row>
    <row r="499" spans="1:15" ht="15">
      <c r="A499" s="175">
        <v>496</v>
      </c>
      <c r="B499" s="417" t="s">
        <v>242</v>
      </c>
      <c r="C499" s="338">
        <v>39045</v>
      </c>
      <c r="D499" s="357" t="s">
        <v>277</v>
      </c>
      <c r="E499" s="352" t="s">
        <v>364</v>
      </c>
      <c r="F499" s="358">
        <v>4</v>
      </c>
      <c r="G499" s="358">
        <v>1</v>
      </c>
      <c r="H499" s="358">
        <v>10</v>
      </c>
      <c r="I499" s="335">
        <v>74</v>
      </c>
      <c r="J499" s="336">
        <v>14</v>
      </c>
      <c r="K499" s="348">
        <f t="shared" si="65"/>
        <v>14</v>
      </c>
      <c r="L499" s="353">
        <f t="shared" si="64"/>
        <v>5.285714285714286</v>
      </c>
      <c r="M499" s="347">
        <f>4508+1771+883+1554+851.5+290.5+236+176+1068+372+74</f>
        <v>11784</v>
      </c>
      <c r="N499" s="348">
        <f>484+239+139+406+142+39+97+68+267+124+14</f>
        <v>2019</v>
      </c>
      <c r="O499" s="420">
        <f>M499/N499</f>
        <v>5.836552748885587</v>
      </c>
    </row>
    <row r="500" spans="1:15" ht="15">
      <c r="A500" s="175">
        <v>497</v>
      </c>
      <c r="B500" s="422" t="s">
        <v>186</v>
      </c>
      <c r="C500" s="359">
        <v>39048</v>
      </c>
      <c r="D500" s="379" t="s">
        <v>453</v>
      </c>
      <c r="E500" s="362" t="s">
        <v>322</v>
      </c>
      <c r="F500" s="361">
        <v>69</v>
      </c>
      <c r="G500" s="361">
        <v>39</v>
      </c>
      <c r="H500" s="361">
        <v>11</v>
      </c>
      <c r="I500" s="331">
        <v>191667</v>
      </c>
      <c r="J500" s="332">
        <v>20779</v>
      </c>
      <c r="K500" s="356">
        <f t="shared" si="65"/>
        <v>532.7948717948718</v>
      </c>
      <c r="L500" s="344">
        <f t="shared" si="64"/>
        <v>9.224072380769046</v>
      </c>
      <c r="M500" s="342">
        <f>1784+717+847980+543938+437343+283662.5-1.5+63775-9+23989+24707+13479+875+2752+191667</f>
        <v>2436658</v>
      </c>
      <c r="N500" s="343">
        <f>159+58+95070+64015+51768+33156+9566-1+4418+4942+2620+136+553+20779</f>
        <v>287239</v>
      </c>
      <c r="O500" s="419">
        <f>+M500/N500</f>
        <v>8.483033292832797</v>
      </c>
    </row>
    <row r="501" spans="1:15" ht="15">
      <c r="A501" s="175">
        <v>498</v>
      </c>
      <c r="B501" s="422" t="s">
        <v>186</v>
      </c>
      <c r="C501" s="359">
        <v>39048</v>
      </c>
      <c r="D501" s="379" t="s">
        <v>453</v>
      </c>
      <c r="E501" s="362" t="s">
        <v>322</v>
      </c>
      <c r="F501" s="361">
        <v>69</v>
      </c>
      <c r="G501" s="361">
        <v>28</v>
      </c>
      <c r="H501" s="361">
        <v>12</v>
      </c>
      <c r="I501" s="331">
        <v>99293</v>
      </c>
      <c r="J501" s="332">
        <v>11789</v>
      </c>
      <c r="K501" s="356">
        <f t="shared" si="65"/>
        <v>421.0357142857143</v>
      </c>
      <c r="L501" s="344">
        <f t="shared" si="64"/>
        <v>8.422512511663415</v>
      </c>
      <c r="M501" s="342">
        <f>1784+717+847980+543938+437343+283662.5-1.5+63775-9+23989+24707+13479+875+2752+191667+99293</f>
        <v>2535951</v>
      </c>
      <c r="N501" s="343">
        <f>159+58+95070+64015+51768+33156+9566-1+4418+4942+2620+136+553+20779+11789</f>
        <v>299028</v>
      </c>
      <c r="O501" s="419">
        <f>+M501/N501</f>
        <v>8.480647297243067</v>
      </c>
    </row>
    <row r="502" spans="1:15" ht="15">
      <c r="A502" s="175">
        <v>499</v>
      </c>
      <c r="B502" s="422" t="s">
        <v>186</v>
      </c>
      <c r="C502" s="359">
        <v>39048</v>
      </c>
      <c r="D502" s="339" t="s">
        <v>453</v>
      </c>
      <c r="E502" s="339" t="s">
        <v>322</v>
      </c>
      <c r="F502" s="333">
        <v>69</v>
      </c>
      <c r="G502" s="333">
        <v>24</v>
      </c>
      <c r="H502" s="333">
        <v>7</v>
      </c>
      <c r="I502" s="331">
        <v>24707</v>
      </c>
      <c r="J502" s="332">
        <v>4942</v>
      </c>
      <c r="K502" s="356">
        <f t="shared" si="65"/>
        <v>205.91666666666666</v>
      </c>
      <c r="L502" s="344">
        <f t="shared" si="64"/>
        <v>4.999392958316471</v>
      </c>
      <c r="M502" s="342">
        <f>1784+717+847980+543938+437343+283662.5-1.5+63775-9+23989+24707</f>
        <v>2227885</v>
      </c>
      <c r="N502" s="343">
        <f>159+58+95070+64015+51768+33156+9566-1+4418+4942</f>
        <v>263151</v>
      </c>
      <c r="O502" s="419">
        <f>+M502/N502</f>
        <v>8.466184814042128</v>
      </c>
    </row>
    <row r="503" spans="1:15" ht="15">
      <c r="A503" s="175">
        <v>500</v>
      </c>
      <c r="B503" s="422" t="s">
        <v>186</v>
      </c>
      <c r="C503" s="359">
        <v>39048</v>
      </c>
      <c r="D503" s="379" t="s">
        <v>453</v>
      </c>
      <c r="E503" s="362" t="s">
        <v>322</v>
      </c>
      <c r="F503" s="361">
        <v>69</v>
      </c>
      <c r="G503" s="361">
        <v>20</v>
      </c>
      <c r="H503" s="361">
        <v>6</v>
      </c>
      <c r="I503" s="331">
        <v>23989</v>
      </c>
      <c r="J503" s="332">
        <v>4418</v>
      </c>
      <c r="K503" s="356">
        <f t="shared" si="65"/>
        <v>220.9</v>
      </c>
      <c r="L503" s="344">
        <f t="shared" si="64"/>
        <v>5.429832503395201</v>
      </c>
      <c r="M503" s="342">
        <f>1784+717+847980+543938+437343+283662.5-1.5+63775-9+23989</f>
        <v>2203178</v>
      </c>
      <c r="N503" s="343">
        <f>159+58+95070+64015+51768+33156+9566-1+4418</f>
        <v>258209</v>
      </c>
      <c r="O503" s="419">
        <f>+M503/N503</f>
        <v>8.532537595513713</v>
      </c>
    </row>
    <row r="504" spans="1:15" ht="15">
      <c r="A504" s="175">
        <v>501</v>
      </c>
      <c r="B504" s="422" t="s">
        <v>186</v>
      </c>
      <c r="C504" s="359">
        <v>39048</v>
      </c>
      <c r="D504" s="379" t="s">
        <v>453</v>
      </c>
      <c r="E504" s="362" t="s">
        <v>322</v>
      </c>
      <c r="F504" s="361">
        <v>69</v>
      </c>
      <c r="G504" s="361">
        <v>15</v>
      </c>
      <c r="H504" s="361">
        <v>8</v>
      </c>
      <c r="I504" s="331">
        <v>13479</v>
      </c>
      <c r="J504" s="332">
        <v>2620</v>
      </c>
      <c r="K504" s="356">
        <f t="shared" si="65"/>
        <v>174.66666666666666</v>
      </c>
      <c r="L504" s="344">
        <f t="shared" si="64"/>
        <v>5.144656488549618</v>
      </c>
      <c r="M504" s="342">
        <f>1784+717+847980+543938+437343+283662.5-1.5+63775-9+23989+24707+13479</f>
        <v>2241364</v>
      </c>
      <c r="N504" s="343">
        <f>159+58+95070+64015+51768+33156+9566-1+4418+4942+2620</f>
        <v>265771</v>
      </c>
      <c r="O504" s="419">
        <f>+M504/N504</f>
        <v>8.433440819351999</v>
      </c>
    </row>
    <row r="505" spans="1:15" ht="15">
      <c r="A505" s="175">
        <v>502</v>
      </c>
      <c r="B505" s="422" t="s">
        <v>186</v>
      </c>
      <c r="C505" s="359">
        <v>39048</v>
      </c>
      <c r="D505" s="380" t="s">
        <v>453</v>
      </c>
      <c r="E505" s="380" t="s">
        <v>322</v>
      </c>
      <c r="F505" s="368">
        <v>69</v>
      </c>
      <c r="G505" s="368">
        <v>6</v>
      </c>
      <c r="H505" s="368">
        <v>14</v>
      </c>
      <c r="I505" s="331">
        <v>6621</v>
      </c>
      <c r="J505" s="332">
        <v>1562</v>
      </c>
      <c r="K505" s="356">
        <f t="shared" si="65"/>
        <v>260.3333333333333</v>
      </c>
      <c r="L505" s="344">
        <f t="shared" si="64"/>
        <v>4.238796414852753</v>
      </c>
      <c r="M505" s="342">
        <f>1784+717+847980+543938+437343+283662.5-1.5+63775-9+23989+24707+13479+875+2752+191667+99293+3660+6621</f>
        <v>2546232</v>
      </c>
      <c r="N505" s="343">
        <f>159+58+95070+64015+51768+33156+9566-1+4418+4942+2620+136+553+20779+11789+633+1562</f>
        <v>301223</v>
      </c>
      <c r="O505" s="416">
        <f>IF(M505&lt;&gt;0,M505/N505,"")</f>
        <v>8.452980018126105</v>
      </c>
    </row>
    <row r="506" spans="1:15" ht="15">
      <c r="A506" s="175">
        <v>503</v>
      </c>
      <c r="B506" s="422" t="s">
        <v>186</v>
      </c>
      <c r="C506" s="359">
        <v>39048</v>
      </c>
      <c r="D506" s="379" t="s">
        <v>453</v>
      </c>
      <c r="E506" s="362" t="s">
        <v>322</v>
      </c>
      <c r="F506" s="361">
        <v>69</v>
      </c>
      <c r="G506" s="361">
        <v>7</v>
      </c>
      <c r="H506" s="361">
        <v>13</v>
      </c>
      <c r="I506" s="331">
        <v>3660</v>
      </c>
      <c r="J506" s="332">
        <v>633</v>
      </c>
      <c r="K506" s="356">
        <f t="shared" si="65"/>
        <v>90.42857142857143</v>
      </c>
      <c r="L506" s="344">
        <f t="shared" si="64"/>
        <v>5.781990521327014</v>
      </c>
      <c r="M506" s="342">
        <f>1784+717+847980+543938+437343+283662.5-1.5+63775-9+23989+24707+13479+875+2752+191667+99293+3660</f>
        <v>2539611</v>
      </c>
      <c r="N506" s="343">
        <f>159+58+95070+64015+51768+33156+9566-1+4418+4942+2620+136+553+20779+11789+633</f>
        <v>299661</v>
      </c>
      <c r="O506" s="419">
        <f>+M506/N506</f>
        <v>8.474946689759427</v>
      </c>
    </row>
    <row r="507" spans="1:15" ht="15">
      <c r="A507" s="175">
        <v>504</v>
      </c>
      <c r="B507" s="429" t="s">
        <v>186</v>
      </c>
      <c r="C507" s="395">
        <v>39048</v>
      </c>
      <c r="D507" s="394" t="s">
        <v>453</v>
      </c>
      <c r="E507" s="394" t="s">
        <v>322</v>
      </c>
      <c r="F507" s="396">
        <v>69</v>
      </c>
      <c r="G507" s="396">
        <v>3</v>
      </c>
      <c r="H507" s="396">
        <v>15</v>
      </c>
      <c r="I507" s="331">
        <v>3414</v>
      </c>
      <c r="J507" s="332">
        <v>960</v>
      </c>
      <c r="K507" s="356">
        <v>320</v>
      </c>
      <c r="L507" s="344">
        <v>3.55625</v>
      </c>
      <c r="M507" s="342">
        <v>2549646</v>
      </c>
      <c r="N507" s="343">
        <v>302183</v>
      </c>
      <c r="O507" s="419">
        <v>8.437423680352634</v>
      </c>
    </row>
    <row r="508" spans="1:15" ht="15">
      <c r="A508" s="175">
        <v>505</v>
      </c>
      <c r="B508" s="422" t="s">
        <v>186</v>
      </c>
      <c r="C508" s="359">
        <v>39048</v>
      </c>
      <c r="D508" s="379" t="s">
        <v>453</v>
      </c>
      <c r="E508" s="362" t="s">
        <v>322</v>
      </c>
      <c r="F508" s="361">
        <v>69</v>
      </c>
      <c r="G508" s="361">
        <v>3</v>
      </c>
      <c r="H508" s="361">
        <v>10</v>
      </c>
      <c r="I508" s="331">
        <v>2752</v>
      </c>
      <c r="J508" s="332">
        <v>553</v>
      </c>
      <c r="K508" s="356">
        <f aca="true" t="shared" si="66" ref="K508:K513">J508/G508</f>
        <v>184.33333333333334</v>
      </c>
      <c r="L508" s="344">
        <f aca="true" t="shared" si="67" ref="L508:L513">I508/J508</f>
        <v>4.976491862567812</v>
      </c>
      <c r="M508" s="342">
        <f>1784+717+847980+543938+437343+283662.5-1.5+63775-9+23989+24707+13479+875+2752</f>
        <v>2244991</v>
      </c>
      <c r="N508" s="343">
        <f>159+58+95070+64015+51768+33156+9566-1+4418+4942+2620+136+553</f>
        <v>266460</v>
      </c>
      <c r="O508" s="419">
        <f>+M508/N508</f>
        <v>8.425245815507019</v>
      </c>
    </row>
    <row r="509" spans="1:15" ht="15">
      <c r="A509" s="175">
        <v>506</v>
      </c>
      <c r="B509" s="422" t="s">
        <v>186</v>
      </c>
      <c r="C509" s="359">
        <v>39048</v>
      </c>
      <c r="D509" s="379" t="s">
        <v>453</v>
      </c>
      <c r="E509" s="362" t="s">
        <v>322</v>
      </c>
      <c r="F509" s="361">
        <v>69</v>
      </c>
      <c r="G509" s="361">
        <v>1</v>
      </c>
      <c r="H509" s="361">
        <v>18</v>
      </c>
      <c r="I509" s="331">
        <v>2014</v>
      </c>
      <c r="J509" s="332">
        <v>202</v>
      </c>
      <c r="K509" s="356">
        <f t="shared" si="66"/>
        <v>202</v>
      </c>
      <c r="L509" s="344">
        <f t="shared" si="67"/>
        <v>9.970297029702971</v>
      </c>
      <c r="M509" s="342">
        <f>1784+717+847980+543938+437343+283662.5-1.5+63775-9+23989+24707+13479+875+2752+191667+99293+3660+6621+3414+1721+1782+2014</f>
        <v>2555163</v>
      </c>
      <c r="N509" s="343">
        <f>159+58+95070+64015+51768+33156+9566-1+4418+4942+2620+136+553+20779+11789+633+1562+960+460+297+202</f>
        <v>303142</v>
      </c>
      <c r="O509" s="419">
        <f>+M509/N509</f>
        <v>8.428930996034861</v>
      </c>
    </row>
    <row r="510" spans="1:15" ht="15">
      <c r="A510" s="175">
        <v>507</v>
      </c>
      <c r="B510" s="422" t="s">
        <v>186</v>
      </c>
      <c r="C510" s="359">
        <v>39048</v>
      </c>
      <c r="D510" s="337" t="s">
        <v>453</v>
      </c>
      <c r="E510" s="339" t="s">
        <v>322</v>
      </c>
      <c r="F510" s="333">
        <v>69</v>
      </c>
      <c r="G510" s="333">
        <v>1</v>
      </c>
      <c r="H510" s="333">
        <v>17</v>
      </c>
      <c r="I510" s="331">
        <v>1782</v>
      </c>
      <c r="J510" s="332">
        <v>297</v>
      </c>
      <c r="K510" s="350">
        <f t="shared" si="66"/>
        <v>297</v>
      </c>
      <c r="L510" s="351">
        <f t="shared" si="67"/>
        <v>6</v>
      </c>
      <c r="M510" s="342">
        <f>1784+717+847980+543938+437343+283662.5-1.5+63775-9+23989+24707+13479+875+2752+191667+99293+3660+6621+3414+1721+1782</f>
        <v>2553149</v>
      </c>
      <c r="N510" s="343">
        <f>159+58+95070+64015+51768+33156+9566-1+4418+4942+2620+136+553+20779+11789+633+1562+960+460+297</f>
        <v>302940</v>
      </c>
      <c r="O510" s="423">
        <f>M510/N510</f>
        <v>8.427903215158118</v>
      </c>
    </row>
    <row r="511" spans="1:15" ht="15">
      <c r="A511" s="175">
        <v>508</v>
      </c>
      <c r="B511" s="421" t="s">
        <v>186</v>
      </c>
      <c r="C511" s="359">
        <v>39048</v>
      </c>
      <c r="D511" s="339" t="s">
        <v>453</v>
      </c>
      <c r="E511" s="339" t="s">
        <v>322</v>
      </c>
      <c r="F511" s="333">
        <v>69</v>
      </c>
      <c r="G511" s="333">
        <v>1</v>
      </c>
      <c r="H511" s="333">
        <v>19</v>
      </c>
      <c r="I511" s="331">
        <v>1782</v>
      </c>
      <c r="J511" s="332">
        <v>510</v>
      </c>
      <c r="K511" s="356">
        <f t="shared" si="66"/>
        <v>510</v>
      </c>
      <c r="L511" s="344">
        <f t="shared" si="67"/>
        <v>3.4941176470588236</v>
      </c>
      <c r="M511" s="342">
        <f>1784+717+847980+543938+437343+283662.5-1.5+63775-9+23989+24707+13479+875+2752+191667+99293+3660+6621+3414+1721+1782+2014+1782</f>
        <v>2556945</v>
      </c>
      <c r="N511" s="343">
        <f>159+58+95070+64015+51768+33156+9566-1+4418+4942+2620+136+553+20779+11789+633+1562+960+460+297+202+510</f>
        <v>303652</v>
      </c>
      <c r="O511" s="423">
        <f>M511/N511</f>
        <v>8.42064270941736</v>
      </c>
    </row>
    <row r="512" spans="1:15" ht="15">
      <c r="A512" s="175">
        <v>509</v>
      </c>
      <c r="B512" s="421" t="s">
        <v>186</v>
      </c>
      <c r="C512" s="359">
        <v>39048</v>
      </c>
      <c r="D512" s="339" t="s">
        <v>453</v>
      </c>
      <c r="E512" s="339" t="s">
        <v>322</v>
      </c>
      <c r="F512" s="333">
        <v>69</v>
      </c>
      <c r="G512" s="333">
        <v>4</v>
      </c>
      <c r="H512" s="333">
        <v>16</v>
      </c>
      <c r="I512" s="331">
        <v>1721</v>
      </c>
      <c r="J512" s="332">
        <v>460</v>
      </c>
      <c r="K512" s="356">
        <f t="shared" si="66"/>
        <v>115</v>
      </c>
      <c r="L512" s="344">
        <f t="shared" si="67"/>
        <v>3.741304347826087</v>
      </c>
      <c r="M512" s="342">
        <f>1784+717+847980+543938+437343+283662.5-1.5+63775-9+23989+24707+13479+875+2752+191667+99293+3660+6621+3414+1721</f>
        <v>2551367</v>
      </c>
      <c r="N512" s="343">
        <f>159+58+95070+64015+51768+33156+9566-1+4418+4942+2620+136+553+20779+11789+633+1562+960+460</f>
        <v>302643</v>
      </c>
      <c r="O512" s="419">
        <f>+M512/N512</f>
        <v>8.430285848342766</v>
      </c>
    </row>
    <row r="513" spans="1:15" ht="15">
      <c r="A513" s="175">
        <v>510</v>
      </c>
      <c r="B513" s="422" t="s">
        <v>186</v>
      </c>
      <c r="C513" s="359">
        <v>39048</v>
      </c>
      <c r="D513" s="379" t="s">
        <v>453</v>
      </c>
      <c r="E513" s="362" t="s">
        <v>322</v>
      </c>
      <c r="F513" s="361">
        <v>69</v>
      </c>
      <c r="G513" s="361">
        <v>2</v>
      </c>
      <c r="H513" s="361">
        <v>9</v>
      </c>
      <c r="I513" s="331">
        <v>875</v>
      </c>
      <c r="J513" s="332">
        <v>136</v>
      </c>
      <c r="K513" s="356">
        <f t="shared" si="66"/>
        <v>68</v>
      </c>
      <c r="L513" s="344">
        <f t="shared" si="67"/>
        <v>6.4338235294117645</v>
      </c>
      <c r="M513" s="342">
        <f>1784+717+847980+543938+437343+283662.5-1.5+63775-9+23989+24707+13479+875</f>
        <v>2242239</v>
      </c>
      <c r="N513" s="343">
        <f>159+58+95070+64015+51768+33156+9566-1+4418+4942+2620+136</f>
        <v>265907</v>
      </c>
      <c r="O513" s="419">
        <f>+M513/N513</f>
        <v>8.43241810106541</v>
      </c>
    </row>
    <row r="514" spans="1:15" ht="15">
      <c r="A514" s="175">
        <v>511</v>
      </c>
      <c r="B514" s="421" t="s">
        <v>395</v>
      </c>
      <c r="C514" s="359">
        <v>39050</v>
      </c>
      <c r="D514" s="339" t="s">
        <v>302</v>
      </c>
      <c r="E514" s="339" t="s">
        <v>311</v>
      </c>
      <c r="F514" s="333" t="s">
        <v>396</v>
      </c>
      <c r="G514" s="333" t="s">
        <v>579</v>
      </c>
      <c r="H514" s="333" t="s">
        <v>299</v>
      </c>
      <c r="I514" s="331">
        <v>675408.5</v>
      </c>
      <c r="J514" s="332">
        <v>87059</v>
      </c>
      <c r="K514" s="340">
        <f>IF(I514&lt;&gt;0,J514/G514,"")</f>
        <v>888.3571428571429</v>
      </c>
      <c r="L514" s="341">
        <f>IF(I514&lt;&gt;0,I514/J514,"")</f>
        <v>7.758054882321185</v>
      </c>
      <c r="M514" s="342">
        <v>1684041</v>
      </c>
      <c r="N514" s="343">
        <v>213417</v>
      </c>
      <c r="O514" s="419">
        <f>+M514/N514</f>
        <v>7.890847495747761</v>
      </c>
    </row>
    <row r="515" spans="1:15" ht="15">
      <c r="A515" s="175">
        <v>512</v>
      </c>
      <c r="B515" s="415" t="s">
        <v>135</v>
      </c>
      <c r="C515" s="338">
        <v>39052</v>
      </c>
      <c r="D515" s="345" t="s">
        <v>455</v>
      </c>
      <c r="E515" s="345" t="s">
        <v>456</v>
      </c>
      <c r="F515" s="346">
        <v>51</v>
      </c>
      <c r="G515" s="346">
        <v>4</v>
      </c>
      <c r="H515" s="346">
        <v>5</v>
      </c>
      <c r="I515" s="335">
        <v>2938</v>
      </c>
      <c r="J515" s="336">
        <v>448</v>
      </c>
      <c r="K515" s="340">
        <f>IF(I515&lt;&gt;0,J515/G515,"")</f>
        <v>112</v>
      </c>
      <c r="L515" s="341">
        <f>IF(I515&lt;&gt;0,I515/J515,"")</f>
        <v>6.558035714285714</v>
      </c>
      <c r="M515" s="347">
        <f>281775+141925+34981+3347.5+2938</f>
        <v>464966.5</v>
      </c>
      <c r="N515" s="348">
        <f>31992+16036+4009+502+448</f>
        <v>52987</v>
      </c>
      <c r="O515" s="416">
        <f>IF(M515&lt;&gt;0,M515/N515,"")</f>
        <v>8.775105214486572</v>
      </c>
    </row>
    <row r="516" spans="1:15" ht="15">
      <c r="A516" s="175">
        <v>513</v>
      </c>
      <c r="B516" s="415" t="s">
        <v>135</v>
      </c>
      <c r="C516" s="338">
        <v>39052</v>
      </c>
      <c r="D516" s="345" t="s">
        <v>455</v>
      </c>
      <c r="E516" s="345" t="s">
        <v>456</v>
      </c>
      <c r="F516" s="346">
        <v>51</v>
      </c>
      <c r="G516" s="346">
        <v>4</v>
      </c>
      <c r="H516" s="346">
        <v>7</v>
      </c>
      <c r="I516" s="335">
        <v>2306</v>
      </c>
      <c r="J516" s="336">
        <v>733</v>
      </c>
      <c r="K516" s="356">
        <f>J516/G516</f>
        <v>183.25</v>
      </c>
      <c r="L516" s="344">
        <f>I516/J516</f>
        <v>3.145975443383356</v>
      </c>
      <c r="M516" s="347">
        <f>281775+141925+34981+3347.5+2938+1587.5+2306</f>
        <v>468860</v>
      </c>
      <c r="N516" s="348">
        <f>31992+16036+4009+502+448+252+733</f>
        <v>53972</v>
      </c>
      <c r="O516" s="419">
        <f>+M516/N516</f>
        <v>8.687097013266138</v>
      </c>
    </row>
    <row r="517" spans="1:15" ht="15">
      <c r="A517" s="175">
        <v>514</v>
      </c>
      <c r="B517" s="417" t="s">
        <v>135</v>
      </c>
      <c r="C517" s="338">
        <v>39052</v>
      </c>
      <c r="D517" s="337" t="s">
        <v>455</v>
      </c>
      <c r="E517" s="337" t="s">
        <v>456</v>
      </c>
      <c r="F517" s="334">
        <v>51</v>
      </c>
      <c r="G517" s="334">
        <v>5</v>
      </c>
      <c r="H517" s="334">
        <v>6</v>
      </c>
      <c r="I517" s="335">
        <v>1587.5</v>
      </c>
      <c r="J517" s="336">
        <v>252</v>
      </c>
      <c r="K517" s="350">
        <f>J517/G517</f>
        <v>50.4</v>
      </c>
      <c r="L517" s="351">
        <f>I517/J517</f>
        <v>6.299603174603175</v>
      </c>
      <c r="M517" s="347">
        <f>281775+141925+34981+3347.5+2938+1587.5</f>
        <v>466554</v>
      </c>
      <c r="N517" s="348">
        <f>31992+16036+4009+502+448+252</f>
        <v>53239</v>
      </c>
      <c r="O517" s="416">
        <f>IF(M517&lt;&gt;0,M517/N517,"")</f>
        <v>8.763387742068785</v>
      </c>
    </row>
    <row r="518" spans="1:15" ht="15">
      <c r="A518" s="175">
        <v>515</v>
      </c>
      <c r="B518" s="415" t="s">
        <v>176</v>
      </c>
      <c r="C518" s="338">
        <v>39052</v>
      </c>
      <c r="D518" s="345" t="s">
        <v>452</v>
      </c>
      <c r="E518" s="345" t="s">
        <v>452</v>
      </c>
      <c r="F518" s="346">
        <v>48</v>
      </c>
      <c r="G518" s="346">
        <v>5</v>
      </c>
      <c r="H518" s="346">
        <v>5</v>
      </c>
      <c r="I518" s="335">
        <v>6236</v>
      </c>
      <c r="J518" s="336">
        <v>855</v>
      </c>
      <c r="K518" s="340">
        <f>+J518/G518</f>
        <v>171</v>
      </c>
      <c r="L518" s="341">
        <f>+I518/J518</f>
        <v>7.2935672514619885</v>
      </c>
      <c r="M518" s="347">
        <v>572241</v>
      </c>
      <c r="N518" s="348">
        <v>65125</v>
      </c>
      <c r="O518" s="416">
        <f aca="true" t="shared" si="68" ref="O518:O523">+M518/N518</f>
        <v>8.786809980806142</v>
      </c>
    </row>
    <row r="519" spans="1:15" ht="15">
      <c r="A519" s="175">
        <v>516</v>
      </c>
      <c r="B519" s="415" t="s">
        <v>176</v>
      </c>
      <c r="C519" s="338">
        <v>39052</v>
      </c>
      <c r="D519" s="345" t="s">
        <v>452</v>
      </c>
      <c r="E519" s="345" t="s">
        <v>452</v>
      </c>
      <c r="F519" s="346">
        <v>48</v>
      </c>
      <c r="G519" s="346">
        <v>2</v>
      </c>
      <c r="H519" s="346">
        <v>7</v>
      </c>
      <c r="I519" s="335">
        <v>2023</v>
      </c>
      <c r="J519" s="336">
        <v>433</v>
      </c>
      <c r="K519" s="340">
        <f>+J519/G519</f>
        <v>216.5</v>
      </c>
      <c r="L519" s="344">
        <f>I519/J519</f>
        <v>4.672055427251732</v>
      </c>
      <c r="M519" s="347">
        <v>575771</v>
      </c>
      <c r="N519" s="348">
        <v>65834</v>
      </c>
      <c r="O519" s="416">
        <f t="shared" si="68"/>
        <v>8.745800042531215</v>
      </c>
    </row>
    <row r="520" spans="1:15" ht="15">
      <c r="A520" s="175">
        <v>517</v>
      </c>
      <c r="B520" s="417" t="s">
        <v>176</v>
      </c>
      <c r="C520" s="338">
        <v>39052</v>
      </c>
      <c r="D520" s="337" t="s">
        <v>452</v>
      </c>
      <c r="E520" s="337" t="s">
        <v>452</v>
      </c>
      <c r="F520" s="334">
        <v>48</v>
      </c>
      <c r="G520" s="334">
        <v>3</v>
      </c>
      <c r="H520" s="334">
        <v>6</v>
      </c>
      <c r="I520" s="335">
        <v>1507</v>
      </c>
      <c r="J520" s="336">
        <v>276</v>
      </c>
      <c r="K520" s="340">
        <f>+J520/G520</f>
        <v>92</v>
      </c>
      <c r="L520" s="341">
        <f>+I520/J520</f>
        <v>5.4601449275362315</v>
      </c>
      <c r="M520" s="347">
        <v>573748</v>
      </c>
      <c r="N520" s="348">
        <v>65401</v>
      </c>
      <c r="O520" s="416">
        <f t="shared" si="68"/>
        <v>8.772771058546505</v>
      </c>
    </row>
    <row r="521" spans="1:15" ht="15">
      <c r="A521" s="175">
        <v>518</v>
      </c>
      <c r="B521" s="417" t="s">
        <v>176</v>
      </c>
      <c r="C521" s="338">
        <v>39052</v>
      </c>
      <c r="D521" s="337" t="s">
        <v>452</v>
      </c>
      <c r="E521" s="337" t="s">
        <v>459</v>
      </c>
      <c r="F521" s="334">
        <v>1</v>
      </c>
      <c r="G521" s="334">
        <v>1</v>
      </c>
      <c r="H521" s="334">
        <v>10</v>
      </c>
      <c r="I521" s="335">
        <v>1141</v>
      </c>
      <c r="J521" s="336">
        <v>202</v>
      </c>
      <c r="K521" s="356">
        <f>J521/G521</f>
        <v>202</v>
      </c>
      <c r="L521" s="344">
        <f>I521/J521</f>
        <v>5.648514851485149</v>
      </c>
      <c r="M521" s="347">
        <v>577984</v>
      </c>
      <c r="N521" s="348">
        <v>66257</v>
      </c>
      <c r="O521" s="419">
        <f t="shared" si="68"/>
        <v>8.72336507840681</v>
      </c>
    </row>
    <row r="522" spans="1:15" ht="15">
      <c r="A522" s="175">
        <v>519</v>
      </c>
      <c r="B522" s="415" t="s">
        <v>176</v>
      </c>
      <c r="C522" s="338">
        <v>39052</v>
      </c>
      <c r="D522" s="345" t="s">
        <v>452</v>
      </c>
      <c r="E522" s="345" t="s">
        <v>459</v>
      </c>
      <c r="F522" s="346">
        <v>48</v>
      </c>
      <c r="G522" s="346">
        <v>1</v>
      </c>
      <c r="H522" s="346">
        <v>8</v>
      </c>
      <c r="I522" s="335">
        <v>287</v>
      </c>
      <c r="J522" s="336">
        <v>70</v>
      </c>
      <c r="K522" s="340">
        <f>+J522/G522</f>
        <v>70</v>
      </c>
      <c r="L522" s="341">
        <f>+I522/J522</f>
        <v>4.1</v>
      </c>
      <c r="M522" s="347">
        <v>576058</v>
      </c>
      <c r="N522" s="348">
        <v>65904</v>
      </c>
      <c r="O522" s="416">
        <f t="shared" si="68"/>
        <v>8.740865501335275</v>
      </c>
    </row>
    <row r="523" spans="1:15" ht="15">
      <c r="A523" s="175">
        <v>520</v>
      </c>
      <c r="B523" s="417" t="s">
        <v>176</v>
      </c>
      <c r="C523" s="338">
        <v>39052</v>
      </c>
      <c r="D523" s="337" t="s">
        <v>452</v>
      </c>
      <c r="E523" s="337" t="s">
        <v>459</v>
      </c>
      <c r="F523" s="334">
        <v>48</v>
      </c>
      <c r="G523" s="334">
        <v>1</v>
      </c>
      <c r="H523" s="334">
        <v>12</v>
      </c>
      <c r="I523" s="335">
        <v>82</v>
      </c>
      <c r="J523" s="336">
        <v>20</v>
      </c>
      <c r="K523" s="340">
        <f>+J523/G523</f>
        <v>20</v>
      </c>
      <c r="L523" s="341">
        <f>+I523/J523</f>
        <v>4.1</v>
      </c>
      <c r="M523" s="347">
        <v>577402</v>
      </c>
      <c r="N523" s="348">
        <v>66129</v>
      </c>
      <c r="O523" s="416">
        <f t="shared" si="68"/>
        <v>8.731449137292262</v>
      </c>
    </row>
    <row r="524" spans="1:15" ht="15">
      <c r="A524" s="175">
        <v>521</v>
      </c>
      <c r="B524" s="415" t="s">
        <v>696</v>
      </c>
      <c r="C524" s="359">
        <v>39052</v>
      </c>
      <c r="D524" s="345" t="s">
        <v>468</v>
      </c>
      <c r="E524" s="345" t="s">
        <v>398</v>
      </c>
      <c r="F524" s="346">
        <v>49</v>
      </c>
      <c r="G524" s="346">
        <v>5</v>
      </c>
      <c r="H524" s="346">
        <v>5</v>
      </c>
      <c r="I524" s="335">
        <v>1562.5</v>
      </c>
      <c r="J524" s="336">
        <v>266</v>
      </c>
      <c r="K524" s="340">
        <f>IF(I524&lt;&gt;0,J524/G524,"")</f>
        <v>53.2</v>
      </c>
      <c r="L524" s="341">
        <f>IF(I524&lt;&gt;0,I524/J524,"")</f>
        <v>5.87406015037594</v>
      </c>
      <c r="M524" s="347">
        <v>372533.5</v>
      </c>
      <c r="N524" s="348">
        <v>44478</v>
      </c>
      <c r="O524" s="416">
        <f>IF(M524&lt;&gt;0,M524/N524,"")</f>
        <v>8.375680111515805</v>
      </c>
    </row>
    <row r="525" spans="1:15" ht="15">
      <c r="A525" s="175">
        <v>522</v>
      </c>
      <c r="B525" s="422" t="s">
        <v>92</v>
      </c>
      <c r="C525" s="359">
        <v>39052</v>
      </c>
      <c r="D525" s="349" t="s">
        <v>468</v>
      </c>
      <c r="E525" s="349" t="s">
        <v>398</v>
      </c>
      <c r="F525" s="383" t="s">
        <v>510</v>
      </c>
      <c r="G525" s="383" t="s">
        <v>276</v>
      </c>
      <c r="H525" s="383" t="s">
        <v>672</v>
      </c>
      <c r="I525" s="331">
        <v>1617</v>
      </c>
      <c r="J525" s="332">
        <v>271</v>
      </c>
      <c r="K525" s="356">
        <f>J525/G525</f>
        <v>271</v>
      </c>
      <c r="L525" s="344">
        <f>I525/J525</f>
        <v>5.966789667896679</v>
      </c>
      <c r="M525" s="342">
        <v>376170.5</v>
      </c>
      <c r="N525" s="343">
        <v>44680</v>
      </c>
      <c r="O525" s="419">
        <f>+M525/N525</f>
        <v>8.419214413607879</v>
      </c>
    </row>
    <row r="526" spans="1:15" ht="15">
      <c r="A526" s="175">
        <v>523</v>
      </c>
      <c r="B526" s="421" t="s">
        <v>92</v>
      </c>
      <c r="C526" s="359">
        <v>39052</v>
      </c>
      <c r="D526" s="339" t="s">
        <v>468</v>
      </c>
      <c r="E526" s="339" t="s">
        <v>398</v>
      </c>
      <c r="F526" s="333" t="s">
        <v>510</v>
      </c>
      <c r="G526" s="333" t="s">
        <v>289</v>
      </c>
      <c r="H526" s="333" t="s">
        <v>697</v>
      </c>
      <c r="I526" s="331">
        <v>1522</v>
      </c>
      <c r="J526" s="332">
        <v>316</v>
      </c>
      <c r="K526" s="340">
        <f>IF(I526&lt;&gt;0,J526/G526,"")</f>
        <v>63.2</v>
      </c>
      <c r="L526" s="341">
        <f>IF(I526&lt;&gt;0,I526/J526,"")</f>
        <v>4.8164556962025316</v>
      </c>
      <c r="M526" s="342">
        <v>374055.5</v>
      </c>
      <c r="N526" s="343">
        <v>44794</v>
      </c>
      <c r="O526" s="419">
        <f>+M526/N526</f>
        <v>8.350571505112292</v>
      </c>
    </row>
    <row r="527" spans="1:15" ht="15">
      <c r="A527" s="175">
        <v>524</v>
      </c>
      <c r="B527" s="422" t="s">
        <v>92</v>
      </c>
      <c r="C527" s="359">
        <v>39052</v>
      </c>
      <c r="D527" s="349" t="s">
        <v>468</v>
      </c>
      <c r="E527" s="349" t="s">
        <v>398</v>
      </c>
      <c r="F527" s="383" t="s">
        <v>510</v>
      </c>
      <c r="G527" s="383" t="s">
        <v>276</v>
      </c>
      <c r="H527" s="383" t="s">
        <v>292</v>
      </c>
      <c r="I527" s="331">
        <v>1188</v>
      </c>
      <c r="J527" s="332">
        <v>198</v>
      </c>
      <c r="K527" s="340">
        <f>IF(I527&lt;&gt;0,J527/G527,"")</f>
        <v>198</v>
      </c>
      <c r="L527" s="341">
        <f>IF(I527&lt;&gt;0,I527/J527,"")</f>
        <v>6</v>
      </c>
      <c r="M527" s="342">
        <v>377358.5</v>
      </c>
      <c r="N527" s="343">
        <v>44878</v>
      </c>
      <c r="O527" s="416">
        <f>IF(M527&lt;&gt;0,M527/N527,"")</f>
        <v>8.408540933196667</v>
      </c>
    </row>
    <row r="528" spans="1:15" ht="15">
      <c r="A528" s="175">
        <v>525</v>
      </c>
      <c r="B528" s="421" t="s">
        <v>92</v>
      </c>
      <c r="C528" s="359">
        <v>39052</v>
      </c>
      <c r="D528" s="339" t="s">
        <v>468</v>
      </c>
      <c r="E528" s="339" t="s">
        <v>398</v>
      </c>
      <c r="F528" s="333" t="s">
        <v>510</v>
      </c>
      <c r="G528" s="333" t="s">
        <v>276</v>
      </c>
      <c r="H528" s="333" t="s">
        <v>551</v>
      </c>
      <c r="I528" s="331">
        <v>1116</v>
      </c>
      <c r="J528" s="332">
        <v>185</v>
      </c>
      <c r="K528" s="356">
        <f>J528/G528</f>
        <v>185</v>
      </c>
      <c r="L528" s="344">
        <f>I528/J528</f>
        <v>6.032432432432432</v>
      </c>
      <c r="M528" s="342">
        <v>378474.5</v>
      </c>
      <c r="N528" s="343">
        <v>45064</v>
      </c>
      <c r="O528" s="419">
        <f>+M528/N528</f>
        <v>8.398599769217114</v>
      </c>
    </row>
    <row r="529" spans="1:15" ht="15">
      <c r="A529" s="175">
        <v>526</v>
      </c>
      <c r="B529" s="422" t="s">
        <v>92</v>
      </c>
      <c r="C529" s="359">
        <v>39052</v>
      </c>
      <c r="D529" s="349" t="s">
        <v>468</v>
      </c>
      <c r="E529" s="349" t="s">
        <v>398</v>
      </c>
      <c r="F529" s="383" t="s">
        <v>510</v>
      </c>
      <c r="G529" s="383" t="s">
        <v>276</v>
      </c>
      <c r="H529" s="383" t="s">
        <v>368</v>
      </c>
      <c r="I529" s="331">
        <v>301</v>
      </c>
      <c r="J529" s="332">
        <v>60</v>
      </c>
      <c r="K529" s="356">
        <f>J529/G529</f>
        <v>60</v>
      </c>
      <c r="L529" s="344">
        <f>I529/J529</f>
        <v>5.016666666666667</v>
      </c>
      <c r="M529" s="342">
        <v>374553.5</v>
      </c>
      <c r="N529" s="343">
        <v>44904</v>
      </c>
      <c r="O529" s="419">
        <f>+M529/N529</f>
        <v>8.341205683235346</v>
      </c>
    </row>
    <row r="530" spans="1:15" ht="15">
      <c r="A530" s="175">
        <v>527</v>
      </c>
      <c r="B530" s="421" t="s">
        <v>92</v>
      </c>
      <c r="C530" s="359">
        <v>39052</v>
      </c>
      <c r="D530" s="339" t="s">
        <v>468</v>
      </c>
      <c r="E530" s="339" t="s">
        <v>398</v>
      </c>
      <c r="F530" s="333" t="s">
        <v>510</v>
      </c>
      <c r="G530" s="333" t="s">
        <v>276</v>
      </c>
      <c r="H530" s="333" t="s">
        <v>419</v>
      </c>
      <c r="I530" s="331">
        <v>272</v>
      </c>
      <c r="J530" s="332">
        <v>68</v>
      </c>
      <c r="K530" s="356">
        <f>J530/G530</f>
        <v>68</v>
      </c>
      <c r="L530" s="344">
        <f>I530/J530</f>
        <v>4</v>
      </c>
      <c r="M530" s="342">
        <v>378746.5</v>
      </c>
      <c r="N530" s="343">
        <v>45132</v>
      </c>
      <c r="O530" s="419">
        <f>+M530/N530</f>
        <v>8.391972436408757</v>
      </c>
    </row>
    <row r="531" spans="1:15" ht="15">
      <c r="A531" s="175">
        <v>528</v>
      </c>
      <c r="B531" s="422" t="s">
        <v>92</v>
      </c>
      <c r="C531" s="359">
        <v>39052</v>
      </c>
      <c r="D531" s="349" t="s">
        <v>468</v>
      </c>
      <c r="E531" s="349" t="s">
        <v>398</v>
      </c>
      <c r="F531" s="383" t="s">
        <v>510</v>
      </c>
      <c r="G531" s="383" t="s">
        <v>276</v>
      </c>
      <c r="H531" s="383" t="s">
        <v>488</v>
      </c>
      <c r="I531" s="331">
        <v>197</v>
      </c>
      <c r="J531" s="332">
        <v>47</v>
      </c>
      <c r="K531" s="340">
        <f>+J531/G531</f>
        <v>47</v>
      </c>
      <c r="L531" s="344">
        <f>I531/J531</f>
        <v>4.191489361702128</v>
      </c>
      <c r="M531" s="342">
        <v>374252.5</v>
      </c>
      <c r="N531" s="343">
        <v>44844</v>
      </c>
      <c r="O531" s="419">
        <f>+M531/N531</f>
        <v>8.34565382213897</v>
      </c>
    </row>
    <row r="532" spans="1:15" ht="15">
      <c r="A532" s="175">
        <v>529</v>
      </c>
      <c r="B532" s="415" t="s">
        <v>98</v>
      </c>
      <c r="C532" s="338">
        <v>39052</v>
      </c>
      <c r="D532" s="345" t="s">
        <v>455</v>
      </c>
      <c r="E532" s="345" t="s">
        <v>99</v>
      </c>
      <c r="F532" s="346">
        <v>90</v>
      </c>
      <c r="G532" s="346">
        <v>53</v>
      </c>
      <c r="H532" s="346">
        <v>5</v>
      </c>
      <c r="I532" s="335">
        <v>137705.5</v>
      </c>
      <c r="J532" s="336">
        <v>21048</v>
      </c>
      <c r="K532" s="340">
        <f>IF(I532&lt;&gt;0,J532/G532,"")</f>
        <v>397.1320754716981</v>
      </c>
      <c r="L532" s="341">
        <f>IF(I532&lt;&gt;0,I532/J532,"")</f>
        <v>6.542450589129609</v>
      </c>
      <c r="M532" s="347">
        <f>806671+699007+428408.5+133320+137705.5</f>
        <v>2205112</v>
      </c>
      <c r="N532" s="348">
        <f>108387+92156+56693+19301+21048</f>
        <v>297585</v>
      </c>
      <c r="O532" s="416">
        <f>IF(M532&lt;&gt;0,M532/N532,"")</f>
        <v>7.41002402674866</v>
      </c>
    </row>
    <row r="533" spans="1:15" ht="15">
      <c r="A533" s="175">
        <v>530</v>
      </c>
      <c r="B533" s="417" t="s">
        <v>98</v>
      </c>
      <c r="C533" s="338">
        <v>39052</v>
      </c>
      <c r="D533" s="337" t="s">
        <v>455</v>
      </c>
      <c r="E533" s="337" t="s">
        <v>99</v>
      </c>
      <c r="F533" s="334">
        <v>90</v>
      </c>
      <c r="G533" s="334">
        <v>62</v>
      </c>
      <c r="H533" s="334">
        <v>6</v>
      </c>
      <c r="I533" s="335">
        <v>96374</v>
      </c>
      <c r="J533" s="336">
        <v>15913</v>
      </c>
      <c r="K533" s="340">
        <f>IF(I533&lt;&gt;0,J533/G533,"")</f>
        <v>256.66129032258067</v>
      </c>
      <c r="L533" s="341">
        <f>IF(I533&lt;&gt;0,I533/J533,"")</f>
        <v>6.056306164770942</v>
      </c>
      <c r="M533" s="347">
        <f>806671+699007+428408.5+133320+137891.5+96374</f>
        <v>2301672</v>
      </c>
      <c r="N533" s="348">
        <f>108387+92156+56693+19301+21080+15913</f>
        <v>313530</v>
      </c>
      <c r="O533" s="416">
        <f>IF(M533&lt;&gt;0,M533/N533,"")</f>
        <v>7.341153956559181</v>
      </c>
    </row>
    <row r="534" spans="1:15" ht="15">
      <c r="A534" s="175">
        <v>531</v>
      </c>
      <c r="B534" s="415" t="s">
        <v>98</v>
      </c>
      <c r="C534" s="338">
        <v>39052</v>
      </c>
      <c r="D534" s="345" t="s">
        <v>455</v>
      </c>
      <c r="E534" s="345" t="s">
        <v>99</v>
      </c>
      <c r="F534" s="346">
        <v>90</v>
      </c>
      <c r="G534" s="346">
        <v>47</v>
      </c>
      <c r="H534" s="346">
        <v>7</v>
      </c>
      <c r="I534" s="335">
        <v>73504</v>
      </c>
      <c r="J534" s="336">
        <v>13224</v>
      </c>
      <c r="K534" s="356">
        <f>J534/G534</f>
        <v>281.36170212765956</v>
      </c>
      <c r="L534" s="344">
        <f>I534/J534</f>
        <v>5.5583787053841505</v>
      </c>
      <c r="M534" s="347">
        <f>806671+699007+428408.5+133320+137891.5+96374+73504</f>
        <v>2375176</v>
      </c>
      <c r="N534" s="348">
        <f>108387+92156+56693+19301+21080+15913+13224</f>
        <v>326754</v>
      </c>
      <c r="O534" s="419">
        <f>+M534/N534</f>
        <v>7.269003592916996</v>
      </c>
    </row>
    <row r="535" spans="1:15" ht="15">
      <c r="A535" s="175">
        <v>532</v>
      </c>
      <c r="B535" s="415" t="s">
        <v>98</v>
      </c>
      <c r="C535" s="338">
        <v>39052</v>
      </c>
      <c r="D535" s="345" t="s">
        <v>455</v>
      </c>
      <c r="E535" s="345" t="s">
        <v>99</v>
      </c>
      <c r="F535" s="346">
        <v>90</v>
      </c>
      <c r="G535" s="346">
        <v>22</v>
      </c>
      <c r="H535" s="346">
        <v>8</v>
      </c>
      <c r="I535" s="335">
        <v>30884</v>
      </c>
      <c r="J535" s="336">
        <v>6184</v>
      </c>
      <c r="K535" s="348">
        <f>J535/G535</f>
        <v>281.09090909090907</v>
      </c>
      <c r="L535" s="353">
        <f>I535/J535</f>
        <v>4.994178525226391</v>
      </c>
      <c r="M535" s="347">
        <f>806671+699007+428408.5+133320+137891.5+96374+73504+30884</f>
        <v>2406060</v>
      </c>
      <c r="N535" s="348">
        <f>108387+92156+56693+19301+21080+15913+13224+6184</f>
        <v>332938</v>
      </c>
      <c r="O535" s="420">
        <f>M535/N535</f>
        <v>7.226750926598946</v>
      </c>
    </row>
    <row r="536" spans="1:15" ht="15">
      <c r="A536" s="175">
        <v>533</v>
      </c>
      <c r="B536" s="415" t="s">
        <v>98</v>
      </c>
      <c r="C536" s="338">
        <v>39052</v>
      </c>
      <c r="D536" s="345" t="s">
        <v>455</v>
      </c>
      <c r="E536" s="345" t="s">
        <v>99</v>
      </c>
      <c r="F536" s="346">
        <v>90</v>
      </c>
      <c r="G536" s="346">
        <v>11</v>
      </c>
      <c r="H536" s="346">
        <v>12</v>
      </c>
      <c r="I536" s="335">
        <v>17976</v>
      </c>
      <c r="J536" s="336">
        <v>3081</v>
      </c>
      <c r="K536" s="340">
        <f>IF(I536&lt;&gt;0,J536/G536,"")</f>
        <v>280.09090909090907</v>
      </c>
      <c r="L536" s="341">
        <f>IF(I536&lt;&gt;0,I536/J536,"")</f>
        <v>5.834469328140214</v>
      </c>
      <c r="M536" s="347">
        <f>806671+699007+428408.5+133320+137891.5+96374+73504+30884+17454.5+10984.5+8264+17976</f>
        <v>2460739</v>
      </c>
      <c r="N536" s="348">
        <f>108387+92156+56693+19301+21080+15913+13224+6184+3648+2101+1405+3081</f>
        <v>343173</v>
      </c>
      <c r="O536" s="416">
        <f>IF(M536&lt;&gt;0,M536/N536,"")</f>
        <v>7.170549547895668</v>
      </c>
    </row>
    <row r="537" spans="1:15" ht="15">
      <c r="A537" s="175">
        <v>534</v>
      </c>
      <c r="B537" s="415" t="s">
        <v>98</v>
      </c>
      <c r="C537" s="338">
        <v>39052</v>
      </c>
      <c r="D537" s="345" t="s">
        <v>455</v>
      </c>
      <c r="E537" s="345" t="s">
        <v>99</v>
      </c>
      <c r="F537" s="346">
        <v>90</v>
      </c>
      <c r="G537" s="346">
        <v>10</v>
      </c>
      <c r="H537" s="346">
        <v>9</v>
      </c>
      <c r="I537" s="335">
        <v>17454.5</v>
      </c>
      <c r="J537" s="336">
        <v>3648</v>
      </c>
      <c r="K537" s="356">
        <f>J537/G537</f>
        <v>364.8</v>
      </c>
      <c r="L537" s="344">
        <f>I537/J537</f>
        <v>4.784676535087719</v>
      </c>
      <c r="M537" s="347">
        <f>806671+699007+428408.5+133320+137891.5+96374+73504+30884+17454.5</f>
        <v>2423514.5</v>
      </c>
      <c r="N537" s="348">
        <f>108387+92156+56693+19301+21080+15913+13224+6184+3648</f>
        <v>336586</v>
      </c>
      <c r="O537" s="419">
        <f>+M537/N537</f>
        <v>7.2002831371477125</v>
      </c>
    </row>
    <row r="538" spans="1:15" ht="15">
      <c r="A538" s="175">
        <v>535</v>
      </c>
      <c r="B538" s="415" t="s">
        <v>98</v>
      </c>
      <c r="C538" s="338">
        <v>39052</v>
      </c>
      <c r="D538" s="345" t="s">
        <v>455</v>
      </c>
      <c r="E538" s="345" t="s">
        <v>99</v>
      </c>
      <c r="F538" s="346">
        <v>90</v>
      </c>
      <c r="G538" s="346">
        <v>5</v>
      </c>
      <c r="H538" s="346">
        <v>10</v>
      </c>
      <c r="I538" s="335">
        <v>10984.5</v>
      </c>
      <c r="J538" s="336">
        <v>2101</v>
      </c>
      <c r="K538" s="356">
        <f>J538/G538</f>
        <v>420.2</v>
      </c>
      <c r="L538" s="344">
        <f>I538/J538</f>
        <v>5.228224654926225</v>
      </c>
      <c r="M538" s="347">
        <f>806671+699007+428408.5+133320+137891.5+96374+73504+30884+17454.5+10984.5</f>
        <v>2434499</v>
      </c>
      <c r="N538" s="348">
        <f>108387+92156+56693+19301+21080+15913+13224+6184+3648+2101</f>
        <v>338687</v>
      </c>
      <c r="O538" s="419">
        <f>+M538/N538</f>
        <v>7.188049733234521</v>
      </c>
    </row>
    <row r="539" spans="1:15" ht="15">
      <c r="A539" s="175">
        <v>536</v>
      </c>
      <c r="B539" s="415" t="s">
        <v>98</v>
      </c>
      <c r="C539" s="338">
        <v>39052</v>
      </c>
      <c r="D539" s="345" t="s">
        <v>455</v>
      </c>
      <c r="E539" s="362" t="s">
        <v>99</v>
      </c>
      <c r="F539" s="346">
        <v>90</v>
      </c>
      <c r="G539" s="346">
        <v>6</v>
      </c>
      <c r="H539" s="346">
        <v>11</v>
      </c>
      <c r="I539" s="335">
        <v>8264</v>
      </c>
      <c r="J539" s="336">
        <v>1405</v>
      </c>
      <c r="K539" s="350">
        <f>J539/G539</f>
        <v>234.16666666666666</v>
      </c>
      <c r="L539" s="351">
        <f>I539/J539</f>
        <v>5.881850533807829</v>
      </c>
      <c r="M539" s="347">
        <f>806671+699007+428408.5+133320+137891.5+96374+73504+30884+17454.5+10984.5+8264</f>
        <v>2442763</v>
      </c>
      <c r="N539" s="348">
        <f>108387+92156+56693+19301+21080+15913+13224+6184+3648+2101+1405</f>
        <v>340092</v>
      </c>
      <c r="O539" s="423">
        <f>M539/N539</f>
        <v>7.182653517283558</v>
      </c>
    </row>
    <row r="540" spans="1:15" ht="15">
      <c r="A540" s="175">
        <v>537</v>
      </c>
      <c r="B540" s="415" t="s">
        <v>98</v>
      </c>
      <c r="C540" s="338">
        <v>39052</v>
      </c>
      <c r="D540" s="345" t="s">
        <v>455</v>
      </c>
      <c r="E540" s="345" t="s">
        <v>99</v>
      </c>
      <c r="F540" s="346">
        <v>90</v>
      </c>
      <c r="G540" s="346">
        <v>4</v>
      </c>
      <c r="H540" s="346">
        <v>13</v>
      </c>
      <c r="I540" s="335">
        <v>5607</v>
      </c>
      <c r="J540" s="336">
        <v>939</v>
      </c>
      <c r="K540" s="340">
        <f>IF(I540&lt;&gt;0,J540/G540,"")</f>
        <v>234.75</v>
      </c>
      <c r="L540" s="341">
        <f>IF(I540&lt;&gt;0,I540/J540,"")</f>
        <v>5.9712460063897765</v>
      </c>
      <c r="M540" s="347">
        <f>806671+699007+428408.5+133320+137891.5+96374+73504+30884+17454.5+10984.5+8264+17976+5607</f>
        <v>2466346</v>
      </c>
      <c r="N540" s="348">
        <f>108387+92156+56693+19301+21080+15913+13224+6184+3648+2101+1405+3081+939</f>
        <v>344112</v>
      </c>
      <c r="O540" s="416">
        <f>IF(M540&lt;&gt;0,M540/N540,"")</f>
        <v>7.167276933091552</v>
      </c>
    </row>
    <row r="541" spans="1:15" ht="15">
      <c r="A541" s="175">
        <v>538</v>
      </c>
      <c r="B541" s="415" t="s">
        <v>98</v>
      </c>
      <c r="C541" s="338">
        <v>39052</v>
      </c>
      <c r="D541" s="345" t="s">
        <v>455</v>
      </c>
      <c r="E541" s="345" t="s">
        <v>99</v>
      </c>
      <c r="F541" s="346">
        <v>90</v>
      </c>
      <c r="G541" s="346">
        <v>2</v>
      </c>
      <c r="H541" s="346">
        <v>15</v>
      </c>
      <c r="I541" s="335">
        <v>4629</v>
      </c>
      <c r="J541" s="336">
        <v>964</v>
      </c>
      <c r="K541" s="356">
        <f aca="true" t="shared" si="69" ref="K541:K548">J541/G541</f>
        <v>482</v>
      </c>
      <c r="L541" s="344">
        <f aca="true" t="shared" si="70" ref="L541:L548">I541/J541</f>
        <v>4.801867219917012</v>
      </c>
      <c r="M541" s="347">
        <f>806671+699007+428408.5+133320+137891.5+96374+73504+30884+17454.5+10984.5+8264+17976+5607+2782+4629</f>
        <v>2473757</v>
      </c>
      <c r="N541" s="348">
        <f>108387+92156+56693+19301+21080+15913+13224+6184+3648+2101+1405+3081+939+414+964</f>
        <v>345490</v>
      </c>
      <c r="O541" s="419">
        <f>+M541/N541</f>
        <v>7.160140669773365</v>
      </c>
    </row>
    <row r="542" spans="1:15" ht="15">
      <c r="A542" s="175">
        <v>539</v>
      </c>
      <c r="B542" s="415" t="s">
        <v>98</v>
      </c>
      <c r="C542" s="338">
        <v>39052</v>
      </c>
      <c r="D542" s="345" t="s">
        <v>455</v>
      </c>
      <c r="E542" s="345" t="s">
        <v>99</v>
      </c>
      <c r="F542" s="346">
        <v>90</v>
      </c>
      <c r="G542" s="346">
        <v>2</v>
      </c>
      <c r="H542" s="346">
        <v>14</v>
      </c>
      <c r="I542" s="335">
        <v>2782</v>
      </c>
      <c r="J542" s="336">
        <v>414</v>
      </c>
      <c r="K542" s="356">
        <f t="shared" si="69"/>
        <v>207</v>
      </c>
      <c r="L542" s="344">
        <f t="shared" si="70"/>
        <v>6.719806763285024</v>
      </c>
      <c r="M542" s="347">
        <f>806671+699007+428408.5+133320+137891.5+96374+73504+30884+17454.5+10984.5+8264+17976+5607+2782</f>
        <v>2469128</v>
      </c>
      <c r="N542" s="348">
        <f>108387+92156+56693+19301+21080+15913+13224+6184+3648+2101+1405+3081+939+414</f>
        <v>344526</v>
      </c>
      <c r="O542" s="419">
        <f>+M542/N542</f>
        <v>7.1667392301306725</v>
      </c>
    </row>
    <row r="543" spans="1:15" ht="15">
      <c r="A543" s="175">
        <v>540</v>
      </c>
      <c r="B543" s="417" t="s">
        <v>98</v>
      </c>
      <c r="C543" s="338">
        <v>39052</v>
      </c>
      <c r="D543" s="337" t="s">
        <v>455</v>
      </c>
      <c r="E543" s="337" t="s">
        <v>99</v>
      </c>
      <c r="F543" s="333">
        <v>90</v>
      </c>
      <c r="G543" s="334">
        <v>1</v>
      </c>
      <c r="H543" s="334">
        <v>19</v>
      </c>
      <c r="I543" s="335">
        <v>2376</v>
      </c>
      <c r="J543" s="336">
        <v>475</v>
      </c>
      <c r="K543" s="356">
        <f t="shared" si="69"/>
        <v>475</v>
      </c>
      <c r="L543" s="344">
        <f t="shared" si="70"/>
        <v>5.002105263157895</v>
      </c>
      <c r="M543" s="347">
        <f>806671+699007+428408.5+133320+137891.5+96374+73504+30884+17454.5+10984.5+8264+17976+5607+2782+4629+1262+1637+2202+2376</f>
        <v>2481234</v>
      </c>
      <c r="N543" s="348">
        <f>108387+92156+56693+19301+21080+15913+13224+6184+3648+2101+1405+3081+939+414+964+287+585+531+475</f>
        <v>347368</v>
      </c>
      <c r="O543" s="419">
        <f>+M543/N543</f>
        <v>7.142955021763663</v>
      </c>
    </row>
    <row r="544" spans="1:15" ht="15">
      <c r="A544" s="175">
        <v>541</v>
      </c>
      <c r="B544" s="415" t="s">
        <v>98</v>
      </c>
      <c r="C544" s="338">
        <v>39052</v>
      </c>
      <c r="D544" s="345" t="s">
        <v>455</v>
      </c>
      <c r="E544" s="345" t="s">
        <v>99</v>
      </c>
      <c r="F544" s="346">
        <v>90</v>
      </c>
      <c r="G544" s="346">
        <v>1</v>
      </c>
      <c r="H544" s="346">
        <v>26</v>
      </c>
      <c r="I544" s="335">
        <v>2376</v>
      </c>
      <c r="J544" s="336">
        <v>594</v>
      </c>
      <c r="K544" s="350">
        <f t="shared" si="69"/>
        <v>594</v>
      </c>
      <c r="L544" s="351">
        <f t="shared" si="70"/>
        <v>4</v>
      </c>
      <c r="M544" s="347">
        <f>806671+699007+428408.5+133320+137891.5+96374+73504+30884+17454.5+10984.5+8264+17976+5607+2782+4629+1262+1637+2202+2376+352+98+1901+1188+7+2164.5+2376</f>
        <v>2489320.5</v>
      </c>
      <c r="N544" s="348">
        <f>108387+92156+56693+19301+21080+15913+13224+6184+3648+2101+1405+3081+939+414+964+287+585+531+475+88+12+475+297+1+487+594</f>
        <v>349322</v>
      </c>
      <c r="O544" s="423">
        <f>M544/N544</f>
        <v>7.126148653677696</v>
      </c>
    </row>
    <row r="545" spans="1:15" ht="15">
      <c r="A545" s="175">
        <v>542</v>
      </c>
      <c r="B545" s="417" t="s">
        <v>98</v>
      </c>
      <c r="C545" s="338">
        <v>39052</v>
      </c>
      <c r="D545" s="337" t="s">
        <v>455</v>
      </c>
      <c r="E545" s="337" t="s">
        <v>99</v>
      </c>
      <c r="F545" s="334">
        <v>90</v>
      </c>
      <c r="G545" s="334">
        <v>2</v>
      </c>
      <c r="H545" s="334">
        <v>18</v>
      </c>
      <c r="I545" s="335">
        <v>2202</v>
      </c>
      <c r="J545" s="336">
        <v>531</v>
      </c>
      <c r="K545" s="356">
        <f t="shared" si="69"/>
        <v>265.5</v>
      </c>
      <c r="L545" s="344">
        <f t="shared" si="70"/>
        <v>4.146892655367232</v>
      </c>
      <c r="M545" s="347">
        <f>806671+699007+428408.5+133320+137891.5+96374+73504+30884+17454.5+10984.5+8264+17976+5607+2782+4629+1262+1637+2202</f>
        <v>2478858</v>
      </c>
      <c r="N545" s="348">
        <f>108387+92156+56693+19301+21080+15913+13224+6184+3648+2101+1405+3081+939+414+964+287+585+531</f>
        <v>346893</v>
      </c>
      <c r="O545" s="419">
        <f>+M545/N545</f>
        <v>7.145886483728412</v>
      </c>
    </row>
    <row r="546" spans="1:15" ht="15">
      <c r="A546" s="175">
        <v>543</v>
      </c>
      <c r="B546" s="417" t="s">
        <v>98</v>
      </c>
      <c r="C546" s="338">
        <v>39052</v>
      </c>
      <c r="D546" s="337" t="s">
        <v>455</v>
      </c>
      <c r="E546" s="337" t="s">
        <v>99</v>
      </c>
      <c r="F546" s="334">
        <v>90</v>
      </c>
      <c r="G546" s="334">
        <v>1</v>
      </c>
      <c r="H546" s="334">
        <v>25</v>
      </c>
      <c r="I546" s="335">
        <v>2164.5</v>
      </c>
      <c r="J546" s="336">
        <v>487</v>
      </c>
      <c r="K546" s="356">
        <f t="shared" si="69"/>
        <v>487</v>
      </c>
      <c r="L546" s="344">
        <f t="shared" si="70"/>
        <v>4.444558521560575</v>
      </c>
      <c r="M546" s="347">
        <f>806671+699007+428408.5+133320+137891.5+96374+73504+30884+17454.5+10984.5+8264+17976+5607+2782+4629+1262+1637+2202+2376+352+98+1901+1188+7+2164.5</f>
        <v>2486944.5</v>
      </c>
      <c r="N546" s="348">
        <f>108387+92156+56693+19301+21080+15913+13224+6184+3648+2101+1405+3081+939+414+964+287+585+531+475+88+12+475+297+1+487</f>
        <v>348728</v>
      </c>
      <c r="O546" s="423">
        <f>M546/N546</f>
        <v>7.131473526645409</v>
      </c>
    </row>
    <row r="547" spans="1:15" ht="15">
      <c r="A547" s="175">
        <v>544</v>
      </c>
      <c r="B547" s="415" t="s">
        <v>98</v>
      </c>
      <c r="C547" s="338">
        <v>39052</v>
      </c>
      <c r="D547" s="345" t="s">
        <v>455</v>
      </c>
      <c r="E547" s="345" t="s">
        <v>99</v>
      </c>
      <c r="F547" s="346">
        <v>90</v>
      </c>
      <c r="G547" s="346">
        <v>1</v>
      </c>
      <c r="H547" s="346">
        <v>22</v>
      </c>
      <c r="I547" s="335">
        <v>1901</v>
      </c>
      <c r="J547" s="336">
        <v>475</v>
      </c>
      <c r="K547" s="348">
        <f t="shared" si="69"/>
        <v>475</v>
      </c>
      <c r="L547" s="353">
        <f t="shared" si="70"/>
        <v>4.002105263157895</v>
      </c>
      <c r="M547" s="347">
        <f>806671+699007+428408.5+133320+137891.5+96374+73504+30884+17454.5+10984.5+8264+17976+5607+2782+4629+1262+1637+2202+2376+352+98+1901</f>
        <v>2483585</v>
      </c>
      <c r="N547" s="348">
        <f>108387+92156+56693+19301+21080+15913+13224+6184+3648+2101+1405+3081+939+414+964+287+585+531+475+88+12+475</f>
        <v>347943</v>
      </c>
      <c r="O547" s="420">
        <f>M547/N547</f>
        <v>7.137907645792558</v>
      </c>
    </row>
    <row r="548" spans="1:15" ht="15">
      <c r="A548" s="175">
        <v>545</v>
      </c>
      <c r="B548" s="418" t="s">
        <v>98</v>
      </c>
      <c r="C548" s="338">
        <v>39052</v>
      </c>
      <c r="D548" s="354" t="s">
        <v>455</v>
      </c>
      <c r="E548" s="354" t="s">
        <v>99</v>
      </c>
      <c r="F548" s="355">
        <v>90</v>
      </c>
      <c r="G548" s="355">
        <v>2</v>
      </c>
      <c r="H548" s="355">
        <v>17</v>
      </c>
      <c r="I548" s="335">
        <v>1637</v>
      </c>
      <c r="J548" s="336">
        <v>585</v>
      </c>
      <c r="K548" s="356">
        <f t="shared" si="69"/>
        <v>292.5</v>
      </c>
      <c r="L548" s="344">
        <f t="shared" si="70"/>
        <v>2.798290598290598</v>
      </c>
      <c r="M548" s="347">
        <f>806671+699007+428408.5+133320+137891.5+96374+73504+30884+17454.5+10984.5+8264+17976+5607+2782+4629+1262+1637</f>
        <v>2476656</v>
      </c>
      <c r="N548" s="348">
        <f>108387+92156+56693+19301+21080+15913+13224+6184+3648+2101+1405+3081+939+414+964+287+585</f>
        <v>346362</v>
      </c>
      <c r="O548" s="419">
        <f>+M548/N548</f>
        <v>7.15048417551579</v>
      </c>
    </row>
    <row r="549" spans="1:15" ht="15">
      <c r="A549" s="175">
        <v>546</v>
      </c>
      <c r="B549" s="415" t="s">
        <v>98</v>
      </c>
      <c r="C549" s="338">
        <v>39052</v>
      </c>
      <c r="D549" s="345" t="s">
        <v>455</v>
      </c>
      <c r="E549" s="345" t="s">
        <v>99</v>
      </c>
      <c r="F549" s="346">
        <v>90</v>
      </c>
      <c r="G549" s="346">
        <v>1</v>
      </c>
      <c r="H549" s="346">
        <v>16</v>
      </c>
      <c r="I549" s="335">
        <v>1262</v>
      </c>
      <c r="J549" s="336">
        <v>287</v>
      </c>
      <c r="K549" s="340">
        <f>IF(I549&lt;&gt;0,J549/G549,"")</f>
        <v>287</v>
      </c>
      <c r="L549" s="341">
        <f>IF(I549&lt;&gt;0,I549/J549,"")</f>
        <v>4.397212543554007</v>
      </c>
      <c r="M549" s="347">
        <f>806671+699007+428408.5+133320+137891.5+96374+73504+30884+17454.5+10984.5+8264+17976+5607+2782+4629+1262</f>
        <v>2475019</v>
      </c>
      <c r="N549" s="348">
        <f>108387+92156+56693+19301+21080+15913+13224+6184+3648+2101+1405+3081+939+414+964+287</f>
        <v>345777</v>
      </c>
      <c r="O549" s="419">
        <f>+M549/N549</f>
        <v>7.157847398757002</v>
      </c>
    </row>
    <row r="550" spans="1:15" ht="15">
      <c r="A550" s="175">
        <v>547</v>
      </c>
      <c r="B550" s="415" t="s">
        <v>98</v>
      </c>
      <c r="C550" s="338">
        <v>39052</v>
      </c>
      <c r="D550" s="345" t="s">
        <v>455</v>
      </c>
      <c r="E550" s="345" t="s">
        <v>99</v>
      </c>
      <c r="F550" s="346">
        <v>90</v>
      </c>
      <c r="G550" s="346">
        <v>2</v>
      </c>
      <c r="H550" s="346">
        <v>30</v>
      </c>
      <c r="I550" s="335">
        <v>1196</v>
      </c>
      <c r="J550" s="336">
        <v>144</v>
      </c>
      <c r="K550" s="350">
        <f>J550/G550</f>
        <v>72</v>
      </c>
      <c r="L550" s="351">
        <f>I550/J550</f>
        <v>8.305555555555555</v>
      </c>
      <c r="M550" s="347">
        <f>806671+699007+428408.5+133320+137891.5+96374+73504+30884+17454.5+10984.5+8264+17976+5607+2782+4629+1262+1637+2202+2376+352+98+1901+1188+7+2164.5+2376+130+115+75+1196</f>
        <v>2490836.5</v>
      </c>
      <c r="N550" s="348">
        <f>108387+92156+56693+19301+21080+15913+13224+6184+3648+2101+1405+3081+939+414+964+287+585+531+475+88+12+475+297+1+487+594+23+26+15+144</f>
        <v>349530</v>
      </c>
      <c r="O550" s="423">
        <f>M550/N550</f>
        <v>7.126245243612852</v>
      </c>
    </row>
    <row r="551" spans="1:15" ht="15">
      <c r="A551" s="175">
        <v>548</v>
      </c>
      <c r="B551" s="415" t="s">
        <v>98</v>
      </c>
      <c r="C551" s="338">
        <v>39052</v>
      </c>
      <c r="D551" s="345" t="s">
        <v>455</v>
      </c>
      <c r="E551" s="345" t="s">
        <v>99</v>
      </c>
      <c r="F551" s="346">
        <v>90</v>
      </c>
      <c r="G551" s="346">
        <v>2</v>
      </c>
      <c r="H551" s="346">
        <v>30</v>
      </c>
      <c r="I551" s="335">
        <v>1196</v>
      </c>
      <c r="J551" s="336">
        <v>144</v>
      </c>
      <c r="K551" s="356">
        <f>J551/G551</f>
        <v>72</v>
      </c>
      <c r="L551" s="344">
        <f>I551/J551</f>
        <v>8.305555555555555</v>
      </c>
      <c r="M551" s="347">
        <f>806671+699007+428408.5+133320+137891.5+96374+73504+30884+17454.5+10984.5+8264+17976+5607+2782+4629+1262+1637+2202+2376+352+98+1901+1188+7+2164.5+2376+130+115+75+1196</f>
        <v>2490836.5</v>
      </c>
      <c r="N551" s="348">
        <f>108387+92156+56693+19301+21080+15913+13224+6184+3648+2101+1405+3081+939+414+964+287+585+531+475+88+12+475+297+1+487+594+23+26+15+144</f>
        <v>349530</v>
      </c>
      <c r="O551" s="425">
        <f>M551/N551</f>
        <v>7.126245243612852</v>
      </c>
    </row>
    <row r="552" spans="1:15" ht="15">
      <c r="A552" s="175">
        <v>549</v>
      </c>
      <c r="B552" s="415" t="s">
        <v>98</v>
      </c>
      <c r="C552" s="338">
        <v>39052</v>
      </c>
      <c r="D552" s="345" t="s">
        <v>455</v>
      </c>
      <c r="E552" s="345" t="s">
        <v>99</v>
      </c>
      <c r="F552" s="373" t="s">
        <v>602</v>
      </c>
      <c r="G552" s="346">
        <v>1</v>
      </c>
      <c r="H552" s="346">
        <v>23</v>
      </c>
      <c r="I552" s="335">
        <v>1188</v>
      </c>
      <c r="J552" s="336">
        <v>297</v>
      </c>
      <c r="K552" s="340">
        <f>+J552/G552</f>
        <v>297</v>
      </c>
      <c r="L552" s="341">
        <f>+I552/J552</f>
        <v>4</v>
      </c>
      <c r="M552" s="347">
        <f>806671+699007+428408.5+133320+137891.5+96374+73504+30884+17454.5+10984.5+8264+17976+5607+2782+4629+1262+1637+2202+2376+352+98+1901+1188</f>
        <v>2484773</v>
      </c>
      <c r="N552" s="348">
        <f>108387+92156+56693+19301+21080+15913+13224+6184+3648+2101+1405+3081+939+414+964+287+585+531+475+88+12+475+297</f>
        <v>348240</v>
      </c>
      <c r="O552" s="419">
        <f>+M552/N552</f>
        <v>7.135231449575006</v>
      </c>
    </row>
    <row r="553" spans="1:15" ht="15">
      <c r="A553" s="175">
        <v>550</v>
      </c>
      <c r="B553" s="415" t="s">
        <v>98</v>
      </c>
      <c r="C553" s="338">
        <v>39052</v>
      </c>
      <c r="D553" s="345" t="s">
        <v>455</v>
      </c>
      <c r="E553" s="345" t="s">
        <v>99</v>
      </c>
      <c r="F553" s="346">
        <v>90</v>
      </c>
      <c r="G553" s="346">
        <v>1</v>
      </c>
      <c r="H553" s="346">
        <v>20</v>
      </c>
      <c r="I553" s="335">
        <v>352</v>
      </c>
      <c r="J553" s="336">
        <v>88</v>
      </c>
      <c r="K553" s="356">
        <f>J553/G553</f>
        <v>88</v>
      </c>
      <c r="L553" s="344">
        <f>I553/J553</f>
        <v>4</v>
      </c>
      <c r="M553" s="347">
        <f>806671+699007+428408.5+133320+137891.5+96374+73504+30884+17454.5+10984.5+8264+17976+5607+2782+4629+1262+1637+2202+2376+352</f>
        <v>2481586</v>
      </c>
      <c r="N553" s="348">
        <f>108387+92156+56693+19301+21080+15913+13224+6184+3648+2101+1405+3081+939+414+964+287+585+531+475+88</f>
        <v>347456</v>
      </c>
      <c r="O553" s="420">
        <f>M553/N553</f>
        <v>7.142159007183643</v>
      </c>
    </row>
    <row r="554" spans="1:15" ht="15">
      <c r="A554" s="175">
        <v>551</v>
      </c>
      <c r="B554" s="415" t="s">
        <v>98</v>
      </c>
      <c r="C554" s="338">
        <v>39052</v>
      </c>
      <c r="D554" s="345" t="s">
        <v>455</v>
      </c>
      <c r="E554" s="345" t="s">
        <v>99</v>
      </c>
      <c r="F554" s="346">
        <v>90</v>
      </c>
      <c r="G554" s="346">
        <v>1</v>
      </c>
      <c r="H554" s="346">
        <v>28</v>
      </c>
      <c r="I554" s="335">
        <v>130</v>
      </c>
      <c r="J554" s="336">
        <v>26</v>
      </c>
      <c r="K554" s="340">
        <f>IF(I554&lt;&gt;0,J554/G554,"")</f>
        <v>26</v>
      </c>
      <c r="L554" s="341">
        <f>IF(I554&lt;&gt;0,I554/J554,"")</f>
        <v>5</v>
      </c>
      <c r="M554" s="347">
        <f>806671+699007+428408.5+133320+137891.5+96374+73504+30884+17454.5+10984.5+8264+17976+5607+2782+4629+1262+1637+2202+2376+352+98+1901+1188+7+2164.5+2376+130+115</f>
        <v>2489565.5</v>
      </c>
      <c r="N554" s="348">
        <f>108387+92156+56693+19301+21080+15913+13224+6184+3648+2101+1405+3081+939+414+964+287+585+531+475+88+12+475+297+1+487+594+23+26</f>
        <v>349371</v>
      </c>
      <c r="O554" s="416">
        <f>IF(M554&lt;&gt;0,M554/N554,"")</f>
        <v>7.125850456964087</v>
      </c>
    </row>
    <row r="555" spans="1:15" ht="15">
      <c r="A555" s="175">
        <v>552</v>
      </c>
      <c r="B555" s="415" t="s">
        <v>98</v>
      </c>
      <c r="C555" s="338">
        <v>39052</v>
      </c>
      <c r="D555" s="345" t="s">
        <v>455</v>
      </c>
      <c r="E555" s="345" t="s">
        <v>99</v>
      </c>
      <c r="F555" s="346">
        <v>90</v>
      </c>
      <c r="G555" s="346">
        <v>3</v>
      </c>
      <c r="H555" s="346">
        <v>21</v>
      </c>
      <c r="I555" s="335">
        <v>98</v>
      </c>
      <c r="J555" s="336">
        <v>12</v>
      </c>
      <c r="K555" s="356">
        <f aca="true" t="shared" si="71" ref="K555:K564">J555/G555</f>
        <v>4</v>
      </c>
      <c r="L555" s="344">
        <f aca="true" t="shared" si="72" ref="L555:L564">I555/J555</f>
        <v>8.166666666666666</v>
      </c>
      <c r="M555" s="347">
        <f>806671+699007+428408.5+133320+137891.5+96374+73504+30884+17454.5+10984.5+8264+17976+5607+2782+4629+1262+1637+2202+2376+352+98</f>
        <v>2481684</v>
      </c>
      <c r="N555" s="348">
        <f>108387+92156+56693+19301+21080+15913+13224+6184+3648+2101+1405+3081+939+414+964+287+585+531+475+88+12</f>
        <v>347468</v>
      </c>
      <c r="O555" s="419">
        <f>+M555/N555</f>
        <v>7.142194389123603</v>
      </c>
    </row>
    <row r="556" spans="1:15" ht="15">
      <c r="A556" s="175">
        <v>553</v>
      </c>
      <c r="B556" s="415" t="s">
        <v>98</v>
      </c>
      <c r="C556" s="338">
        <v>39052</v>
      </c>
      <c r="D556" s="345" t="s">
        <v>455</v>
      </c>
      <c r="E556" s="345" t="s">
        <v>99</v>
      </c>
      <c r="F556" s="346">
        <v>90</v>
      </c>
      <c r="G556" s="346">
        <v>1</v>
      </c>
      <c r="H556" s="346">
        <v>29</v>
      </c>
      <c r="I556" s="335">
        <v>75</v>
      </c>
      <c r="J556" s="336">
        <v>15</v>
      </c>
      <c r="K556" s="350">
        <f t="shared" si="71"/>
        <v>15</v>
      </c>
      <c r="L556" s="351">
        <f t="shared" si="72"/>
        <v>5</v>
      </c>
      <c r="M556" s="347">
        <f>806671+699007+428408.5+133320+137891.5+96374+73504+30884+17454.5+10984.5+8264+17976+5607+2782+4629+1262+1637+2202+2376+352+98+1901+1188+7+2164.5+2376+130+115+75</f>
        <v>2489640.5</v>
      </c>
      <c r="N556" s="348">
        <f>108387+92156+56693+19301+21080+15913+13224+6184+3648+2101+1405+3081+939+414+964+287+585+531+475+88+12+475+297+1+487+594+23+26+15</f>
        <v>349386</v>
      </c>
      <c r="O556" s="416">
        <f>+M556/N556</f>
        <v>7.125759188977234</v>
      </c>
    </row>
    <row r="557" spans="1:15" ht="15">
      <c r="A557" s="175">
        <v>554</v>
      </c>
      <c r="B557" s="415" t="s">
        <v>98</v>
      </c>
      <c r="C557" s="338">
        <v>39052</v>
      </c>
      <c r="D557" s="345" t="s">
        <v>455</v>
      </c>
      <c r="E557" s="345" t="s">
        <v>99</v>
      </c>
      <c r="F557" s="346">
        <v>90</v>
      </c>
      <c r="G557" s="346">
        <v>1</v>
      </c>
      <c r="H557" s="346">
        <v>24</v>
      </c>
      <c r="I557" s="335">
        <v>7</v>
      </c>
      <c r="J557" s="336">
        <v>1</v>
      </c>
      <c r="K557" s="356">
        <f t="shared" si="71"/>
        <v>1</v>
      </c>
      <c r="L557" s="344">
        <f t="shared" si="72"/>
        <v>7</v>
      </c>
      <c r="M557" s="347">
        <f>806671+699007+428408.5+133320+137891.5+96374+73504+30884+17454.5+10984.5+8264+17976+5607+2782+4629+1262+1637+2202+2376+352+98+1901+1188+7</f>
        <v>2484780</v>
      </c>
      <c r="N557" s="348">
        <f>108387+92156+56693+19301+21080+15913+13224+6184+3648+2101+1405+3081+939+414+964+287+585+531+475+88+12+475+297+1</f>
        <v>348241</v>
      </c>
      <c r="O557" s="423">
        <f>M557/N557</f>
        <v>7.135231061247814</v>
      </c>
    </row>
    <row r="558" spans="1:15" ht="15">
      <c r="A558" s="175">
        <v>555</v>
      </c>
      <c r="B558" s="424" t="s">
        <v>102</v>
      </c>
      <c r="C558" s="359">
        <v>39052</v>
      </c>
      <c r="D558" s="379" t="s">
        <v>453</v>
      </c>
      <c r="E558" s="362" t="s">
        <v>466</v>
      </c>
      <c r="F558" s="361">
        <v>65</v>
      </c>
      <c r="G558" s="361">
        <v>11</v>
      </c>
      <c r="H558" s="361">
        <v>5</v>
      </c>
      <c r="I558" s="331">
        <v>18054</v>
      </c>
      <c r="J558" s="332">
        <v>2827</v>
      </c>
      <c r="K558" s="356">
        <f t="shared" si="71"/>
        <v>257</v>
      </c>
      <c r="L558" s="344">
        <f t="shared" si="72"/>
        <v>6.386275203395826</v>
      </c>
      <c r="M558" s="342">
        <f>317169+252910+70705.5+14758+18054</f>
        <v>673596.5</v>
      </c>
      <c r="N558" s="343">
        <f>41712+33583+9546+2585+2827</f>
        <v>90253</v>
      </c>
      <c r="O558" s="419">
        <f>+M558/N558</f>
        <v>7.4634250385028755</v>
      </c>
    </row>
    <row r="559" spans="1:15" ht="15">
      <c r="A559" s="175">
        <v>556</v>
      </c>
      <c r="B559" s="424" t="s">
        <v>102</v>
      </c>
      <c r="C559" s="359">
        <v>39052</v>
      </c>
      <c r="D559" s="339" t="s">
        <v>453</v>
      </c>
      <c r="E559" s="339" t="s">
        <v>466</v>
      </c>
      <c r="F559" s="333">
        <v>65</v>
      </c>
      <c r="G559" s="333">
        <v>11</v>
      </c>
      <c r="H559" s="333">
        <v>6</v>
      </c>
      <c r="I559" s="331">
        <v>7487</v>
      </c>
      <c r="J559" s="332">
        <v>1405</v>
      </c>
      <c r="K559" s="356">
        <f t="shared" si="71"/>
        <v>127.72727272727273</v>
      </c>
      <c r="L559" s="344">
        <f t="shared" si="72"/>
        <v>5.328825622775801</v>
      </c>
      <c r="M559" s="342">
        <f>317169+252910+70705.5+14758+18054+7487</f>
        <v>681083.5</v>
      </c>
      <c r="N559" s="343">
        <f>41712+33583+9546+2585+2827+1405</f>
        <v>91658</v>
      </c>
      <c r="O559" s="419">
        <f>+M559/N559</f>
        <v>7.430704357502891</v>
      </c>
    </row>
    <row r="560" spans="1:15" ht="15">
      <c r="A560" s="175">
        <v>557</v>
      </c>
      <c r="B560" s="424" t="s">
        <v>102</v>
      </c>
      <c r="C560" s="359">
        <v>39052</v>
      </c>
      <c r="D560" s="379" t="s">
        <v>453</v>
      </c>
      <c r="E560" s="362" t="s">
        <v>466</v>
      </c>
      <c r="F560" s="361">
        <v>65</v>
      </c>
      <c r="G560" s="361">
        <v>8</v>
      </c>
      <c r="H560" s="361">
        <v>7</v>
      </c>
      <c r="I560" s="331">
        <v>5131</v>
      </c>
      <c r="J560" s="332">
        <v>1115</v>
      </c>
      <c r="K560" s="356">
        <f t="shared" si="71"/>
        <v>139.375</v>
      </c>
      <c r="L560" s="344">
        <f t="shared" si="72"/>
        <v>4.601793721973094</v>
      </c>
      <c r="M560" s="342">
        <f>317169+252910+70705.5+14758+18054+7487+5131</f>
        <v>686214.5</v>
      </c>
      <c r="N560" s="343">
        <f>41712+33583+9546+2585+2827+1405+1115</f>
        <v>92773</v>
      </c>
      <c r="O560" s="419">
        <f>+M560/N560</f>
        <v>7.3967048602502885</v>
      </c>
    </row>
    <row r="561" spans="1:15" ht="15">
      <c r="A561" s="175">
        <v>558</v>
      </c>
      <c r="B561" s="424" t="s">
        <v>102</v>
      </c>
      <c r="C561" s="359">
        <v>39052</v>
      </c>
      <c r="D561" s="379" t="s">
        <v>453</v>
      </c>
      <c r="E561" s="362" t="s">
        <v>466</v>
      </c>
      <c r="F561" s="361">
        <v>65</v>
      </c>
      <c r="G561" s="361">
        <v>2</v>
      </c>
      <c r="H561" s="361">
        <v>10</v>
      </c>
      <c r="I561" s="331">
        <v>1536</v>
      </c>
      <c r="J561" s="332">
        <v>296</v>
      </c>
      <c r="K561" s="356">
        <f t="shared" si="71"/>
        <v>148</v>
      </c>
      <c r="L561" s="344">
        <f t="shared" si="72"/>
        <v>5.1891891891891895</v>
      </c>
      <c r="M561" s="342">
        <f>317169+252910+70705.5+14758+18054+7487+5131+530+723+1536</f>
        <v>689003.5</v>
      </c>
      <c r="N561" s="343">
        <f>41712+33583+9546+2585+2827+1405+1115+106+149+296</f>
        <v>93324</v>
      </c>
      <c r="O561" s="419">
        <f>+M561/N561</f>
        <v>7.382918649007758</v>
      </c>
    </row>
    <row r="562" spans="1:15" ht="15">
      <c r="A562" s="175">
        <v>559</v>
      </c>
      <c r="B562" s="424" t="s">
        <v>102</v>
      </c>
      <c r="C562" s="359">
        <v>39052</v>
      </c>
      <c r="D562" s="380" t="s">
        <v>453</v>
      </c>
      <c r="E562" s="380" t="s">
        <v>466</v>
      </c>
      <c r="F562" s="368">
        <v>65</v>
      </c>
      <c r="G562" s="368">
        <v>2</v>
      </c>
      <c r="H562" s="368">
        <v>11</v>
      </c>
      <c r="I562" s="331">
        <v>1196.5</v>
      </c>
      <c r="J562" s="332">
        <v>209</v>
      </c>
      <c r="K562" s="356">
        <f t="shared" si="71"/>
        <v>104.5</v>
      </c>
      <c r="L562" s="344">
        <f t="shared" si="72"/>
        <v>5.72488038277512</v>
      </c>
      <c r="M562" s="342">
        <f>317169+252910+70705.5+14758+18054+7487+5131+530+723+1536+1196.5</f>
        <v>690200</v>
      </c>
      <c r="N562" s="343">
        <f>41712+33583+9546+2585+2827+1405+1115+106+149+296+209</f>
        <v>93533</v>
      </c>
      <c r="O562" s="416">
        <f>IF(M562&lt;&gt;0,M562/N562,"")</f>
        <v>7.379213753434617</v>
      </c>
    </row>
    <row r="563" spans="1:15" ht="15">
      <c r="A563" s="175">
        <v>560</v>
      </c>
      <c r="B563" s="424" t="s">
        <v>102</v>
      </c>
      <c r="C563" s="359">
        <v>39052</v>
      </c>
      <c r="D563" s="379" t="s">
        <v>453</v>
      </c>
      <c r="E563" s="362" t="s">
        <v>466</v>
      </c>
      <c r="F563" s="361">
        <v>65</v>
      </c>
      <c r="G563" s="361">
        <v>1</v>
      </c>
      <c r="H563" s="361">
        <v>9</v>
      </c>
      <c r="I563" s="331">
        <v>723</v>
      </c>
      <c r="J563" s="332">
        <v>149</v>
      </c>
      <c r="K563" s="356">
        <f t="shared" si="71"/>
        <v>149</v>
      </c>
      <c r="L563" s="344">
        <f t="shared" si="72"/>
        <v>4.852348993288591</v>
      </c>
      <c r="M563" s="342">
        <f>317169+252910+70705.5+14758+18054+7487+5131+530+723</f>
        <v>687467.5</v>
      </c>
      <c r="N563" s="343">
        <f>41712+33583+9546+2585+2827+1405+1115+106+149</f>
        <v>93028</v>
      </c>
      <c r="O563" s="419">
        <f>+M563/N563</f>
        <v>7.389898740164251</v>
      </c>
    </row>
    <row r="564" spans="1:15" ht="15">
      <c r="A564" s="175">
        <v>561</v>
      </c>
      <c r="B564" s="424" t="s">
        <v>102</v>
      </c>
      <c r="C564" s="359">
        <v>39052</v>
      </c>
      <c r="D564" s="379" t="s">
        <v>453</v>
      </c>
      <c r="E564" s="362" t="s">
        <v>466</v>
      </c>
      <c r="F564" s="361">
        <v>65</v>
      </c>
      <c r="G564" s="361">
        <v>2</v>
      </c>
      <c r="H564" s="361">
        <v>8</v>
      </c>
      <c r="I564" s="331">
        <v>530</v>
      </c>
      <c r="J564" s="332">
        <v>106</v>
      </c>
      <c r="K564" s="356">
        <f t="shared" si="71"/>
        <v>53</v>
      </c>
      <c r="L564" s="344">
        <f t="shared" si="72"/>
        <v>5</v>
      </c>
      <c r="M564" s="342">
        <f>317169+252910+70705.5+14758+18054+7487+5131+530</f>
        <v>686744.5</v>
      </c>
      <c r="N564" s="343">
        <f>41712+33583+9546+2585+2827+1405+1115+106</f>
        <v>92879</v>
      </c>
      <c r="O564" s="419">
        <f>+M564/N564</f>
        <v>7.39396957331582</v>
      </c>
    </row>
    <row r="565" spans="1:15" ht="15">
      <c r="A565" s="175">
        <v>562</v>
      </c>
      <c r="B565" s="424" t="s">
        <v>102</v>
      </c>
      <c r="C565" s="395">
        <v>39052</v>
      </c>
      <c r="D565" s="394" t="s">
        <v>453</v>
      </c>
      <c r="E565" s="394" t="s">
        <v>466</v>
      </c>
      <c r="F565" s="396">
        <v>65</v>
      </c>
      <c r="G565" s="396">
        <v>1</v>
      </c>
      <c r="H565" s="396">
        <v>12</v>
      </c>
      <c r="I565" s="331">
        <v>335</v>
      </c>
      <c r="J565" s="332">
        <v>65</v>
      </c>
      <c r="K565" s="356">
        <v>65</v>
      </c>
      <c r="L565" s="344">
        <v>5.153846153846154</v>
      </c>
      <c r="M565" s="342">
        <v>690535</v>
      </c>
      <c r="N565" s="343">
        <v>93598</v>
      </c>
      <c r="O565" s="419">
        <v>7.377668326246288</v>
      </c>
    </row>
    <row r="566" spans="1:15" ht="15">
      <c r="A566" s="175">
        <v>563</v>
      </c>
      <c r="B566" s="415" t="s">
        <v>183</v>
      </c>
      <c r="C566" s="338">
        <v>39059</v>
      </c>
      <c r="D566" s="345" t="s">
        <v>455</v>
      </c>
      <c r="E566" s="345" t="s">
        <v>184</v>
      </c>
      <c r="F566" s="346">
        <v>50</v>
      </c>
      <c r="G566" s="346">
        <v>17</v>
      </c>
      <c r="H566" s="346">
        <v>4</v>
      </c>
      <c r="I566" s="335">
        <v>10528</v>
      </c>
      <c r="J566" s="336">
        <v>2058</v>
      </c>
      <c r="K566" s="340">
        <f>IF(I566&lt;&gt;0,J566/G566,"")</f>
        <v>121.05882352941177</v>
      </c>
      <c r="L566" s="341">
        <f>IF(I566&lt;&gt;0,I566/J566,"")</f>
        <v>5.115646258503402</v>
      </c>
      <c r="M566" s="347">
        <f>95976+27053.5+1651.5+10528</f>
        <v>135209</v>
      </c>
      <c r="N566" s="348">
        <f>13133+4039+338+2058</f>
        <v>19568</v>
      </c>
      <c r="O566" s="416">
        <f>IF(M566&lt;&gt;0,M566/N566,"")</f>
        <v>6.909699509403107</v>
      </c>
    </row>
    <row r="567" spans="1:15" ht="15">
      <c r="A567" s="175">
        <v>564</v>
      </c>
      <c r="B567" s="417" t="s">
        <v>183</v>
      </c>
      <c r="C567" s="338">
        <v>39059</v>
      </c>
      <c r="D567" s="337" t="s">
        <v>455</v>
      </c>
      <c r="E567" s="337" t="s">
        <v>184</v>
      </c>
      <c r="F567" s="334">
        <v>50</v>
      </c>
      <c r="G567" s="334">
        <v>21</v>
      </c>
      <c r="H567" s="334">
        <v>5</v>
      </c>
      <c r="I567" s="335">
        <v>5718</v>
      </c>
      <c r="J567" s="336">
        <v>1187</v>
      </c>
      <c r="K567" s="340">
        <f>IF(I567&lt;&gt;0,J567/G567,"")</f>
        <v>56.523809523809526</v>
      </c>
      <c r="L567" s="341">
        <f>IF(I567&lt;&gt;0,I567/J567,"")</f>
        <v>4.817186183656276</v>
      </c>
      <c r="M567" s="347">
        <f>95976+27053.5+1651.5+10528+5178+408</f>
        <v>140795</v>
      </c>
      <c r="N567" s="348">
        <f>13133+4039+338+2058+1187+60</f>
        <v>20815</v>
      </c>
      <c r="O567" s="416">
        <f>IF(M567&lt;&gt;0,M567/N567,"")</f>
        <v>6.764112418928657</v>
      </c>
    </row>
    <row r="568" spans="1:15" ht="15">
      <c r="A568" s="175">
        <v>565</v>
      </c>
      <c r="B568" s="417" t="s">
        <v>183</v>
      </c>
      <c r="C568" s="338">
        <v>39059</v>
      </c>
      <c r="D568" s="337" t="s">
        <v>455</v>
      </c>
      <c r="E568" s="337" t="s">
        <v>184</v>
      </c>
      <c r="F568" s="334">
        <v>50</v>
      </c>
      <c r="G568" s="334">
        <v>2</v>
      </c>
      <c r="H568" s="334">
        <v>11</v>
      </c>
      <c r="I568" s="335">
        <v>3202</v>
      </c>
      <c r="J568" s="336">
        <v>801</v>
      </c>
      <c r="K568" s="356">
        <f>J568/G568</f>
        <v>400.5</v>
      </c>
      <c r="L568" s="344">
        <f>I568/J568</f>
        <v>3.9975031210986267</v>
      </c>
      <c r="M568" s="347">
        <f>95976+27053.5+1651.5+10528+5178+408+2645+2752.5+299+297+3202</f>
        <v>149990.5</v>
      </c>
      <c r="N568" s="348">
        <f>13133+4039+338+2058+1187+60+552+997+67+64+801</f>
        <v>23296</v>
      </c>
      <c r="O568" s="423">
        <f>M568/N568</f>
        <v>6.438465831043956</v>
      </c>
    </row>
    <row r="569" spans="1:15" ht="15">
      <c r="A569" s="175">
        <v>566</v>
      </c>
      <c r="B569" s="415" t="s">
        <v>183</v>
      </c>
      <c r="C569" s="338">
        <v>39059</v>
      </c>
      <c r="D569" s="345" t="s">
        <v>455</v>
      </c>
      <c r="E569" s="345" t="s">
        <v>184</v>
      </c>
      <c r="F569" s="346">
        <v>50</v>
      </c>
      <c r="G569" s="346">
        <v>2</v>
      </c>
      <c r="H569" s="346">
        <v>7</v>
      </c>
      <c r="I569" s="335">
        <v>2752.5</v>
      </c>
      <c r="J569" s="336">
        <v>997</v>
      </c>
      <c r="K569" s="356">
        <f>J569/G569</f>
        <v>498.5</v>
      </c>
      <c r="L569" s="344">
        <f>I569/J569</f>
        <v>2.7607823470411232</v>
      </c>
      <c r="M569" s="347">
        <f>95976+27053.5+1651.5+10528+5178+408+2645+2752.5</f>
        <v>146192.5</v>
      </c>
      <c r="N569" s="348">
        <f>13133+4039+338+2058+1187+60+552+997</f>
        <v>22364</v>
      </c>
      <c r="O569" s="419">
        <f aca="true" t="shared" si="73" ref="O569:O579">+M569/N569</f>
        <v>6.536956716150957</v>
      </c>
    </row>
    <row r="570" spans="1:15" ht="15">
      <c r="A570" s="175">
        <v>567</v>
      </c>
      <c r="B570" s="415" t="s">
        <v>183</v>
      </c>
      <c r="C570" s="338">
        <v>39059</v>
      </c>
      <c r="D570" s="345" t="s">
        <v>455</v>
      </c>
      <c r="E570" s="345" t="s">
        <v>184</v>
      </c>
      <c r="F570" s="346">
        <v>50</v>
      </c>
      <c r="G570" s="346">
        <v>5</v>
      </c>
      <c r="H570" s="346">
        <v>6</v>
      </c>
      <c r="I570" s="335">
        <v>2645</v>
      </c>
      <c r="J570" s="336">
        <v>552</v>
      </c>
      <c r="K570" s="356">
        <f>J570/G570</f>
        <v>110.4</v>
      </c>
      <c r="L570" s="344">
        <f>I570/J570</f>
        <v>4.791666666666667</v>
      </c>
      <c r="M570" s="347">
        <f>95976+27053.5+1651.5+10528+5178+408+2645</f>
        <v>143440</v>
      </c>
      <c r="N570" s="348">
        <f>13133+4039+338+2058+1187+60+552</f>
        <v>21367</v>
      </c>
      <c r="O570" s="419">
        <f t="shared" si="73"/>
        <v>6.713155801001545</v>
      </c>
    </row>
    <row r="571" spans="1:15" ht="15">
      <c r="A571" s="175">
        <v>568</v>
      </c>
      <c r="B571" s="415" t="s">
        <v>183</v>
      </c>
      <c r="C571" s="338">
        <v>39059</v>
      </c>
      <c r="D571" s="345" t="s">
        <v>455</v>
      </c>
      <c r="E571" s="345" t="s">
        <v>184</v>
      </c>
      <c r="F571" s="346">
        <v>50</v>
      </c>
      <c r="G571" s="346">
        <v>1</v>
      </c>
      <c r="H571" s="346">
        <v>12</v>
      </c>
      <c r="I571" s="335">
        <v>2376</v>
      </c>
      <c r="J571" s="336">
        <v>594</v>
      </c>
      <c r="K571" s="340">
        <f>+J571/G571</f>
        <v>594</v>
      </c>
      <c r="L571" s="341">
        <f>+I571/J571</f>
        <v>4</v>
      </c>
      <c r="M571" s="347">
        <f>95976+27053.5+1651.5+10528+5178+408+2645+2752.5+2376+3202+297+299</f>
        <v>152366.5</v>
      </c>
      <c r="N571" s="348">
        <f>13133+4039+338+2058+1187+60+552+997+67+64+801+594</f>
        <v>23890</v>
      </c>
      <c r="O571" s="419">
        <f t="shared" si="73"/>
        <v>6.377835914608623</v>
      </c>
    </row>
    <row r="572" spans="1:15" ht="15">
      <c r="A572" s="175">
        <v>569</v>
      </c>
      <c r="B572" s="415" t="s">
        <v>183</v>
      </c>
      <c r="C572" s="338">
        <v>39059</v>
      </c>
      <c r="D572" s="345" t="s">
        <v>455</v>
      </c>
      <c r="E572" s="345" t="s">
        <v>184</v>
      </c>
      <c r="F572" s="346">
        <v>50</v>
      </c>
      <c r="G572" s="346">
        <v>1</v>
      </c>
      <c r="H572" s="346">
        <v>8</v>
      </c>
      <c r="I572" s="335">
        <v>299</v>
      </c>
      <c r="J572" s="336">
        <v>67</v>
      </c>
      <c r="K572" s="356">
        <f>J572/G572</f>
        <v>67</v>
      </c>
      <c r="L572" s="344">
        <f>I572/J572</f>
        <v>4.462686567164179</v>
      </c>
      <c r="M572" s="347">
        <f>95976+27053.5+1651.5+10528+5178+408+2645+2752.5+299</f>
        <v>146491.5</v>
      </c>
      <c r="N572" s="348">
        <f>13133+4039+338+2058+1187+60+552+997+67</f>
        <v>22431</v>
      </c>
      <c r="O572" s="419">
        <f t="shared" si="73"/>
        <v>6.53076100040123</v>
      </c>
    </row>
    <row r="573" spans="1:15" ht="15">
      <c r="A573" s="175">
        <v>570</v>
      </c>
      <c r="B573" s="415" t="s">
        <v>183</v>
      </c>
      <c r="C573" s="338">
        <v>39059</v>
      </c>
      <c r="D573" s="345" t="s">
        <v>455</v>
      </c>
      <c r="E573" s="345" t="s">
        <v>184</v>
      </c>
      <c r="F573" s="346">
        <v>50</v>
      </c>
      <c r="G573" s="346">
        <v>1</v>
      </c>
      <c r="H573" s="346">
        <v>9</v>
      </c>
      <c r="I573" s="335">
        <v>297</v>
      </c>
      <c r="J573" s="336">
        <v>64</v>
      </c>
      <c r="K573" s="340">
        <f>IF(I573&lt;&gt;0,J573/G573,"")</f>
        <v>64</v>
      </c>
      <c r="L573" s="341">
        <f>IF(I573&lt;&gt;0,I573/J573,"")</f>
        <v>4.640625</v>
      </c>
      <c r="M573" s="347">
        <f>95976+27053.5+1651.5+10528+5178+408+2645+2752.5+299+297</f>
        <v>146788.5</v>
      </c>
      <c r="N573" s="348">
        <f>13133+4039+338+2058+1187+60+552+997+67+64</f>
        <v>22495</v>
      </c>
      <c r="O573" s="419">
        <f t="shared" si="73"/>
        <v>6.525383418537452</v>
      </c>
    </row>
    <row r="574" spans="1:15" ht="15">
      <c r="A574" s="175">
        <v>571</v>
      </c>
      <c r="B574" s="424" t="s">
        <v>208</v>
      </c>
      <c r="C574" s="359">
        <v>39059</v>
      </c>
      <c r="D574" s="379" t="s">
        <v>453</v>
      </c>
      <c r="E574" s="362" t="s">
        <v>322</v>
      </c>
      <c r="F574" s="361">
        <v>32</v>
      </c>
      <c r="G574" s="361">
        <v>7</v>
      </c>
      <c r="H574" s="361">
        <v>6</v>
      </c>
      <c r="I574" s="331">
        <v>1910</v>
      </c>
      <c r="J574" s="332">
        <v>284</v>
      </c>
      <c r="K574" s="356">
        <f aca="true" t="shared" si="74" ref="K574:K584">J574/G574</f>
        <v>40.57142857142857</v>
      </c>
      <c r="L574" s="344">
        <f aca="true" t="shared" si="75" ref="L574:L584">I574/J574</f>
        <v>6.725352112676056</v>
      </c>
      <c r="M574" s="342">
        <f>280+256+110424+58120+3154+1109+911+1910</f>
        <v>176164</v>
      </c>
      <c r="N574" s="343">
        <f>25+29+12021+6283+297+168+163+284</f>
        <v>19270</v>
      </c>
      <c r="O574" s="419">
        <f t="shared" si="73"/>
        <v>9.141878567721847</v>
      </c>
    </row>
    <row r="575" spans="1:15" ht="15">
      <c r="A575" s="175">
        <v>572</v>
      </c>
      <c r="B575" s="424" t="s">
        <v>208</v>
      </c>
      <c r="C575" s="359">
        <v>39059</v>
      </c>
      <c r="D575" s="379" t="s">
        <v>453</v>
      </c>
      <c r="E575" s="362" t="s">
        <v>322</v>
      </c>
      <c r="F575" s="361">
        <v>32</v>
      </c>
      <c r="G575" s="361">
        <v>3</v>
      </c>
      <c r="H575" s="361">
        <v>4</v>
      </c>
      <c r="I575" s="331">
        <v>1109</v>
      </c>
      <c r="J575" s="332">
        <v>168</v>
      </c>
      <c r="K575" s="356">
        <f t="shared" si="74"/>
        <v>56</v>
      </c>
      <c r="L575" s="344">
        <f t="shared" si="75"/>
        <v>6.601190476190476</v>
      </c>
      <c r="M575" s="342">
        <f>280+256+110424+58120+3154+1109</f>
        <v>173343</v>
      </c>
      <c r="N575" s="343">
        <f>25+29+12021+6283+297+168</f>
        <v>18823</v>
      </c>
      <c r="O575" s="419">
        <f t="shared" si="73"/>
        <v>9.209105881102905</v>
      </c>
    </row>
    <row r="576" spans="1:15" ht="15">
      <c r="A576" s="175">
        <v>573</v>
      </c>
      <c r="B576" s="421" t="s">
        <v>208</v>
      </c>
      <c r="C576" s="359">
        <v>39059</v>
      </c>
      <c r="D576" s="339" t="s">
        <v>453</v>
      </c>
      <c r="E576" s="339" t="s">
        <v>322</v>
      </c>
      <c r="F576" s="333">
        <v>32</v>
      </c>
      <c r="G576" s="333">
        <v>4</v>
      </c>
      <c r="H576" s="333">
        <v>5</v>
      </c>
      <c r="I576" s="331">
        <v>911</v>
      </c>
      <c r="J576" s="332">
        <v>163</v>
      </c>
      <c r="K576" s="356">
        <f t="shared" si="74"/>
        <v>40.75</v>
      </c>
      <c r="L576" s="344">
        <f t="shared" si="75"/>
        <v>5.588957055214724</v>
      </c>
      <c r="M576" s="342">
        <f>280+256+110424+58120+3154+1109+911</f>
        <v>174254</v>
      </c>
      <c r="N576" s="343">
        <f>25+29+12021+6283+297+168+163</f>
        <v>18986</v>
      </c>
      <c r="O576" s="419">
        <f t="shared" si="73"/>
        <v>9.178025913831243</v>
      </c>
    </row>
    <row r="577" spans="1:15" ht="15">
      <c r="A577" s="175">
        <v>574</v>
      </c>
      <c r="B577" s="424" t="s">
        <v>208</v>
      </c>
      <c r="C577" s="359">
        <v>39059</v>
      </c>
      <c r="D577" s="379" t="s">
        <v>453</v>
      </c>
      <c r="E577" s="362" t="s">
        <v>322</v>
      </c>
      <c r="F577" s="361">
        <v>32</v>
      </c>
      <c r="G577" s="361">
        <v>2</v>
      </c>
      <c r="H577" s="361">
        <v>7</v>
      </c>
      <c r="I577" s="331">
        <v>492</v>
      </c>
      <c r="J577" s="332">
        <v>70</v>
      </c>
      <c r="K577" s="356">
        <f t="shared" si="74"/>
        <v>35</v>
      </c>
      <c r="L577" s="344">
        <f t="shared" si="75"/>
        <v>7.0285714285714285</v>
      </c>
      <c r="M577" s="342">
        <f>280+256+110424+58120+3154+1109+911+1910+492</f>
        <v>176656</v>
      </c>
      <c r="N577" s="343">
        <f>25+29+12021+6283+297+168+163+284+70</f>
        <v>19340</v>
      </c>
      <c r="O577" s="419">
        <f t="shared" si="73"/>
        <v>9.134229576008273</v>
      </c>
    </row>
    <row r="578" spans="1:15" ht="15">
      <c r="A578" s="175">
        <v>575</v>
      </c>
      <c r="B578" s="424" t="s">
        <v>208</v>
      </c>
      <c r="C578" s="359">
        <v>39059</v>
      </c>
      <c r="D578" s="379" t="s">
        <v>453</v>
      </c>
      <c r="E578" s="362" t="s">
        <v>322</v>
      </c>
      <c r="F578" s="361">
        <v>32</v>
      </c>
      <c r="G578" s="361">
        <v>1</v>
      </c>
      <c r="H578" s="361">
        <v>9</v>
      </c>
      <c r="I578" s="331">
        <v>452</v>
      </c>
      <c r="J578" s="332">
        <v>72</v>
      </c>
      <c r="K578" s="356">
        <f t="shared" si="74"/>
        <v>72</v>
      </c>
      <c r="L578" s="344">
        <f t="shared" si="75"/>
        <v>6.277777777777778</v>
      </c>
      <c r="M578" s="342">
        <f>280+256+110424+58120+3154+1109+911+1910+492+190-0.5+452</f>
        <v>177297.5</v>
      </c>
      <c r="N578" s="343">
        <f>25+29+12021+6283+297+168+163+284+70+38+72</f>
        <v>19450</v>
      </c>
      <c r="O578" s="419">
        <f t="shared" si="73"/>
        <v>9.115552699228791</v>
      </c>
    </row>
    <row r="579" spans="1:15" ht="15">
      <c r="A579" s="175">
        <v>576</v>
      </c>
      <c r="B579" s="424" t="s">
        <v>208</v>
      </c>
      <c r="C579" s="359">
        <v>39059</v>
      </c>
      <c r="D579" s="379" t="s">
        <v>453</v>
      </c>
      <c r="E579" s="362" t="s">
        <v>322</v>
      </c>
      <c r="F579" s="361">
        <v>32</v>
      </c>
      <c r="G579" s="361">
        <v>1</v>
      </c>
      <c r="H579" s="361">
        <v>8</v>
      </c>
      <c r="I579" s="331">
        <v>190</v>
      </c>
      <c r="J579" s="332">
        <v>38</v>
      </c>
      <c r="K579" s="356">
        <f t="shared" si="74"/>
        <v>38</v>
      </c>
      <c r="L579" s="344">
        <f t="shared" si="75"/>
        <v>5</v>
      </c>
      <c r="M579" s="342">
        <f>280+256+110424+58120+3154+1109+911+1910+492+190-0.5</f>
        <v>176845.5</v>
      </c>
      <c r="N579" s="343">
        <f>25+29+12021+6283+297+168+163+284+70+38</f>
        <v>19378</v>
      </c>
      <c r="O579" s="419">
        <f t="shared" si="73"/>
        <v>9.12609660439674</v>
      </c>
    </row>
    <row r="580" spans="1:15" ht="15">
      <c r="A580" s="175">
        <v>577</v>
      </c>
      <c r="B580" s="422" t="s">
        <v>208</v>
      </c>
      <c r="C580" s="359">
        <v>39059</v>
      </c>
      <c r="D580" s="380" t="s">
        <v>453</v>
      </c>
      <c r="E580" s="380" t="s">
        <v>322</v>
      </c>
      <c r="F580" s="368">
        <v>32</v>
      </c>
      <c r="G580" s="368">
        <v>1</v>
      </c>
      <c r="H580" s="368">
        <v>10</v>
      </c>
      <c r="I580" s="331">
        <v>76</v>
      </c>
      <c r="J580" s="332">
        <v>12</v>
      </c>
      <c r="K580" s="356">
        <f t="shared" si="74"/>
        <v>12</v>
      </c>
      <c r="L580" s="344">
        <f t="shared" si="75"/>
        <v>6.333333333333333</v>
      </c>
      <c r="M580" s="342">
        <f>280+256+110424+58120+3154+1109+911+1910+492+190-0.5+452+76</f>
        <v>177373.5</v>
      </c>
      <c r="N580" s="343">
        <f>25+29+12021+6283+297+168+163+284+70+38+72+12</f>
        <v>19462</v>
      </c>
      <c r="O580" s="416">
        <f>IF(M580&lt;&gt;0,M580/N580,"")</f>
        <v>9.11383722125167</v>
      </c>
    </row>
    <row r="581" spans="1:15" ht="15">
      <c r="A581" s="175">
        <v>578</v>
      </c>
      <c r="B581" s="421" t="s">
        <v>208</v>
      </c>
      <c r="C581" s="359">
        <v>39059</v>
      </c>
      <c r="D581" s="339" t="s">
        <v>453</v>
      </c>
      <c r="E581" s="339" t="s">
        <v>322</v>
      </c>
      <c r="F581" s="333">
        <v>32</v>
      </c>
      <c r="G581" s="333">
        <v>1</v>
      </c>
      <c r="H581" s="333">
        <v>11</v>
      </c>
      <c r="I581" s="331">
        <v>71</v>
      </c>
      <c r="J581" s="332">
        <v>12</v>
      </c>
      <c r="K581" s="356">
        <f t="shared" si="74"/>
        <v>12</v>
      </c>
      <c r="L581" s="344">
        <f t="shared" si="75"/>
        <v>5.916666666666667</v>
      </c>
      <c r="M581" s="342">
        <f>280+256+110424+58120+3154+1109+911+1910+492+190-0.5+452+76+71</f>
        <v>177444.5</v>
      </c>
      <c r="N581" s="343">
        <f>25+29+12021+6283+297+168+163+284+70+38+72+12+12</f>
        <v>19474</v>
      </c>
      <c r="O581" s="419">
        <f>+M581/N581</f>
        <v>9.111867104857758</v>
      </c>
    </row>
    <row r="582" spans="1:15" ht="15">
      <c r="A582" s="175">
        <v>579</v>
      </c>
      <c r="B582" s="422" t="s">
        <v>244</v>
      </c>
      <c r="C582" s="374">
        <v>39059</v>
      </c>
      <c r="D582" s="381" t="s">
        <v>460</v>
      </c>
      <c r="E582" s="381" t="s">
        <v>357</v>
      </c>
      <c r="F582" s="375">
        <v>20</v>
      </c>
      <c r="G582" s="375">
        <v>3</v>
      </c>
      <c r="H582" s="375">
        <v>12</v>
      </c>
      <c r="I582" s="376">
        <v>419</v>
      </c>
      <c r="J582" s="377">
        <v>2099</v>
      </c>
      <c r="K582" s="348">
        <f t="shared" si="74"/>
        <v>699.6666666666666</v>
      </c>
      <c r="L582" s="353">
        <f t="shared" si="75"/>
        <v>0.19961886612672702</v>
      </c>
      <c r="M582" s="378">
        <v>133963</v>
      </c>
      <c r="N582" s="348">
        <v>17946</v>
      </c>
      <c r="O582" s="423">
        <f>M582/N582</f>
        <v>7.464783238604703</v>
      </c>
    </row>
    <row r="583" spans="1:15" ht="15">
      <c r="A583" s="175">
        <v>580</v>
      </c>
      <c r="B583" s="422" t="s">
        <v>244</v>
      </c>
      <c r="C583" s="374">
        <v>39059</v>
      </c>
      <c r="D583" s="381" t="s">
        <v>460</v>
      </c>
      <c r="E583" s="381" t="s">
        <v>357</v>
      </c>
      <c r="F583" s="375">
        <v>20</v>
      </c>
      <c r="G583" s="375">
        <v>1</v>
      </c>
      <c r="H583" s="375">
        <v>11</v>
      </c>
      <c r="I583" s="376">
        <v>365</v>
      </c>
      <c r="J583" s="377">
        <v>84</v>
      </c>
      <c r="K583" s="356">
        <f t="shared" si="74"/>
        <v>84</v>
      </c>
      <c r="L583" s="344">
        <f t="shared" si="75"/>
        <v>4.345238095238095</v>
      </c>
      <c r="M583" s="378">
        <v>131864</v>
      </c>
      <c r="N583" s="348">
        <v>17527</v>
      </c>
      <c r="O583" s="419">
        <f>+M583/N583</f>
        <v>7.523478062417984</v>
      </c>
    </row>
    <row r="584" spans="1:15" ht="15">
      <c r="A584" s="175">
        <v>581</v>
      </c>
      <c r="B584" s="427" t="s">
        <v>263</v>
      </c>
      <c r="C584" s="374">
        <v>39059</v>
      </c>
      <c r="D584" s="392" t="s">
        <v>460</v>
      </c>
      <c r="E584" s="392" t="s">
        <v>357</v>
      </c>
      <c r="F584" s="393">
        <v>20</v>
      </c>
      <c r="G584" s="393">
        <v>8</v>
      </c>
      <c r="H584" s="393">
        <v>5</v>
      </c>
      <c r="I584" s="376">
        <v>8747</v>
      </c>
      <c r="J584" s="377">
        <v>1379</v>
      </c>
      <c r="K584" s="350">
        <f t="shared" si="74"/>
        <v>172.375</v>
      </c>
      <c r="L584" s="351">
        <f t="shared" si="75"/>
        <v>6.343002175489485</v>
      </c>
      <c r="M584" s="378">
        <v>121381.5</v>
      </c>
      <c r="N584" s="350">
        <v>15695</v>
      </c>
      <c r="O584" s="423">
        <f>M584/N584</f>
        <v>7.733768716151641</v>
      </c>
    </row>
    <row r="585" spans="1:15" ht="15">
      <c r="A585" s="175">
        <v>582</v>
      </c>
      <c r="B585" s="427" t="s">
        <v>263</v>
      </c>
      <c r="C585" s="397">
        <v>39059</v>
      </c>
      <c r="D585" s="381" t="s">
        <v>460</v>
      </c>
      <c r="E585" s="381" t="s">
        <v>357</v>
      </c>
      <c r="F585" s="375">
        <v>20</v>
      </c>
      <c r="G585" s="375">
        <v>3</v>
      </c>
      <c r="H585" s="375">
        <v>4</v>
      </c>
      <c r="I585" s="376">
        <v>4587</v>
      </c>
      <c r="J585" s="377">
        <v>707</v>
      </c>
      <c r="K585" s="340">
        <f>IF(I585&lt;&gt;0,J585/G585,"")</f>
        <v>235.66666666666666</v>
      </c>
      <c r="L585" s="341">
        <f>IF(I585&lt;&gt;0,I585/J585,"")</f>
        <v>6.487977369165488</v>
      </c>
      <c r="M585" s="378">
        <v>112635</v>
      </c>
      <c r="N585" s="350">
        <v>14316</v>
      </c>
      <c r="O585" s="416">
        <f>IF(M585&lt;&gt;0,M585/N585,"")</f>
        <v>7.867770326906958</v>
      </c>
    </row>
    <row r="586" spans="1:15" ht="15">
      <c r="A586" s="175">
        <v>583</v>
      </c>
      <c r="B586" s="428" t="s">
        <v>263</v>
      </c>
      <c r="C586" s="374">
        <v>39059</v>
      </c>
      <c r="D586" s="381" t="s">
        <v>460</v>
      </c>
      <c r="E586" s="381" t="s">
        <v>357</v>
      </c>
      <c r="F586" s="375">
        <v>20</v>
      </c>
      <c r="G586" s="375">
        <v>3</v>
      </c>
      <c r="H586" s="375">
        <v>6</v>
      </c>
      <c r="I586" s="376">
        <v>4297</v>
      </c>
      <c r="J586" s="377">
        <v>700</v>
      </c>
      <c r="K586" s="356">
        <f>J586/G586</f>
        <v>233.33333333333334</v>
      </c>
      <c r="L586" s="344">
        <f>I586/J586</f>
        <v>6.138571428571429</v>
      </c>
      <c r="M586" s="378">
        <v>125679</v>
      </c>
      <c r="N586" s="350">
        <v>16395</v>
      </c>
      <c r="O586" s="419">
        <f>+M586/N586</f>
        <v>7.665690759377859</v>
      </c>
    </row>
    <row r="587" spans="1:15" ht="15">
      <c r="A587" s="175">
        <v>584</v>
      </c>
      <c r="B587" s="427" t="s">
        <v>263</v>
      </c>
      <c r="C587" s="374">
        <v>39059</v>
      </c>
      <c r="D587" s="381" t="s">
        <v>460</v>
      </c>
      <c r="E587" s="381" t="s">
        <v>357</v>
      </c>
      <c r="F587" s="375">
        <v>21</v>
      </c>
      <c r="G587" s="375">
        <v>3</v>
      </c>
      <c r="H587" s="375">
        <v>9</v>
      </c>
      <c r="I587" s="376">
        <v>4269</v>
      </c>
      <c r="J587" s="377">
        <v>855</v>
      </c>
      <c r="K587" s="356">
        <f>J587/G587</f>
        <v>285</v>
      </c>
      <c r="L587" s="344">
        <f>I587/J587</f>
        <v>4.992982456140351</v>
      </c>
      <c r="M587" s="378">
        <v>130482</v>
      </c>
      <c r="N587" s="350">
        <v>17329</v>
      </c>
      <c r="O587" s="419">
        <f>+M587/N587</f>
        <v>7.529690114836401</v>
      </c>
    </row>
    <row r="588" spans="1:15" ht="15">
      <c r="A588" s="175">
        <v>585</v>
      </c>
      <c r="B588" s="430" t="s">
        <v>263</v>
      </c>
      <c r="C588" s="397">
        <v>39059</v>
      </c>
      <c r="D588" s="398" t="s">
        <v>460</v>
      </c>
      <c r="E588" s="398" t="s">
        <v>357</v>
      </c>
      <c r="F588" s="399">
        <v>20</v>
      </c>
      <c r="G588" s="399">
        <v>1</v>
      </c>
      <c r="H588" s="399">
        <v>7</v>
      </c>
      <c r="I588" s="400">
        <v>424</v>
      </c>
      <c r="J588" s="401">
        <v>61</v>
      </c>
      <c r="K588" s="367">
        <v>61</v>
      </c>
      <c r="L588" s="360">
        <v>6.950819672131147</v>
      </c>
      <c r="M588" s="402">
        <v>126103</v>
      </c>
      <c r="N588" s="367">
        <v>16456</v>
      </c>
      <c r="O588" s="425">
        <v>7.663040836169178</v>
      </c>
    </row>
    <row r="589" spans="1:15" ht="15">
      <c r="A589" s="175">
        <v>586</v>
      </c>
      <c r="B589" s="427" t="s">
        <v>263</v>
      </c>
      <c r="C589" s="374">
        <v>39059</v>
      </c>
      <c r="D589" s="392" t="s">
        <v>460</v>
      </c>
      <c r="E589" s="392" t="s">
        <v>357</v>
      </c>
      <c r="F589" s="393">
        <v>20</v>
      </c>
      <c r="G589" s="393">
        <v>1</v>
      </c>
      <c r="H589" s="393">
        <v>8</v>
      </c>
      <c r="I589" s="376">
        <v>110</v>
      </c>
      <c r="J589" s="377">
        <v>18</v>
      </c>
      <c r="K589" s="350">
        <f aca="true" t="shared" si="76" ref="K589:K596">J589/G589</f>
        <v>18</v>
      </c>
      <c r="L589" s="351">
        <f aca="true" t="shared" si="77" ref="L589:L596">I589/J589</f>
        <v>6.111111111111111</v>
      </c>
      <c r="M589" s="378">
        <v>126213</v>
      </c>
      <c r="N589" s="350">
        <v>16474</v>
      </c>
      <c r="O589" s="423">
        <f>M589/N589</f>
        <v>7.661345149933228</v>
      </c>
    </row>
    <row r="590" spans="1:15" ht="15">
      <c r="A590" s="175">
        <v>587</v>
      </c>
      <c r="B590" s="417" t="s">
        <v>100</v>
      </c>
      <c r="C590" s="338">
        <v>39059</v>
      </c>
      <c r="D590" s="337" t="s">
        <v>277</v>
      </c>
      <c r="E590" s="337" t="s">
        <v>101</v>
      </c>
      <c r="F590" s="334">
        <v>4</v>
      </c>
      <c r="G590" s="334">
        <v>4</v>
      </c>
      <c r="H590" s="334">
        <v>12</v>
      </c>
      <c r="I590" s="335">
        <v>8402</v>
      </c>
      <c r="J590" s="336">
        <v>1001</v>
      </c>
      <c r="K590" s="348">
        <f t="shared" si="76"/>
        <v>250.25</v>
      </c>
      <c r="L590" s="353">
        <f t="shared" si="77"/>
        <v>8.393606393606394</v>
      </c>
      <c r="M590" s="347">
        <f>5003+5487+2620+995+115+453+952+1068+60+117+340+2970+8402</f>
        <v>28582</v>
      </c>
      <c r="N590" s="348">
        <f>1000+688+315+110+14+91+238+267+24+49+68+759+1001</f>
        <v>4624</v>
      </c>
      <c r="O590" s="420">
        <f>M590/N590</f>
        <v>6.181228373702422</v>
      </c>
    </row>
    <row r="591" spans="1:15" ht="15">
      <c r="A591" s="175">
        <v>588</v>
      </c>
      <c r="B591" s="418" t="s">
        <v>100</v>
      </c>
      <c r="C591" s="338">
        <v>39059</v>
      </c>
      <c r="D591" s="357" t="s">
        <v>277</v>
      </c>
      <c r="E591" s="352" t="s">
        <v>101</v>
      </c>
      <c r="F591" s="358">
        <v>4</v>
      </c>
      <c r="G591" s="358">
        <v>2</v>
      </c>
      <c r="H591" s="358">
        <v>11</v>
      </c>
      <c r="I591" s="335">
        <v>2970</v>
      </c>
      <c r="J591" s="336">
        <v>759</v>
      </c>
      <c r="K591" s="348">
        <f t="shared" si="76"/>
        <v>379.5</v>
      </c>
      <c r="L591" s="353">
        <f t="shared" si="77"/>
        <v>3.9130434782608696</v>
      </c>
      <c r="M591" s="347">
        <f>5003+5487+2620+995+115+453+952+1068+60+117+340+2970</f>
        <v>20180</v>
      </c>
      <c r="N591" s="348">
        <f>1000+688+315+110+14+91+238+267+24+49+68+759</f>
        <v>3623</v>
      </c>
      <c r="O591" s="420">
        <f>M591/N591</f>
        <v>5.569969638421198</v>
      </c>
    </row>
    <row r="592" spans="1:15" ht="15">
      <c r="A592" s="175">
        <v>589</v>
      </c>
      <c r="B592" s="417" t="s">
        <v>100</v>
      </c>
      <c r="C592" s="338">
        <v>39059</v>
      </c>
      <c r="D592" s="337" t="s">
        <v>277</v>
      </c>
      <c r="E592" s="337" t="s">
        <v>101</v>
      </c>
      <c r="F592" s="334">
        <v>4</v>
      </c>
      <c r="G592" s="334">
        <v>4</v>
      </c>
      <c r="H592" s="334">
        <v>14</v>
      </c>
      <c r="I592" s="335">
        <v>2390</v>
      </c>
      <c r="J592" s="336">
        <v>600</v>
      </c>
      <c r="K592" s="348">
        <f t="shared" si="76"/>
        <v>150</v>
      </c>
      <c r="L592" s="353">
        <f t="shared" si="77"/>
        <v>3.9833333333333334</v>
      </c>
      <c r="M592" s="347">
        <f>5003+5487+2620+995+115+453+952+1068+60+117+340+2970+8402+414+2390</f>
        <v>31386</v>
      </c>
      <c r="N592" s="348">
        <f>1000+688+315+110+14+91+238+267+24+49+68+759+1001+71+600</f>
        <v>5295</v>
      </c>
      <c r="O592" s="420">
        <f>M592/N592</f>
        <v>5.9274787535410765</v>
      </c>
    </row>
    <row r="593" spans="1:15" ht="15">
      <c r="A593" s="175">
        <v>590</v>
      </c>
      <c r="B593" s="418" t="s">
        <v>100</v>
      </c>
      <c r="C593" s="338">
        <v>39059</v>
      </c>
      <c r="D593" s="357" t="s">
        <v>277</v>
      </c>
      <c r="E593" s="352" t="s">
        <v>101</v>
      </c>
      <c r="F593" s="358">
        <v>4</v>
      </c>
      <c r="G593" s="358">
        <v>1</v>
      </c>
      <c r="H593" s="358">
        <v>17</v>
      </c>
      <c r="I593" s="335">
        <v>1544</v>
      </c>
      <c r="J593" s="336">
        <v>386</v>
      </c>
      <c r="K593" s="348">
        <f t="shared" si="76"/>
        <v>386</v>
      </c>
      <c r="L593" s="353">
        <f t="shared" si="77"/>
        <v>4</v>
      </c>
      <c r="M593" s="347">
        <f>5003+5487+2620+995+115+453+952+1068+60+117+340+2970+8402+414+2390+468+62+1544</f>
        <v>33460</v>
      </c>
      <c r="N593" s="348">
        <f>1000+688+315+110+14+91+238+267+24+49+68+759+1001+71+600+75+10+386</f>
        <v>5766</v>
      </c>
      <c r="O593" s="420">
        <f>M593/N593</f>
        <v>5.80298300381547</v>
      </c>
    </row>
    <row r="594" spans="1:15" ht="15">
      <c r="A594" s="175">
        <v>591</v>
      </c>
      <c r="B594" s="418" t="s">
        <v>100</v>
      </c>
      <c r="C594" s="338">
        <v>39059</v>
      </c>
      <c r="D594" s="357" t="s">
        <v>277</v>
      </c>
      <c r="E594" s="352" t="s">
        <v>101</v>
      </c>
      <c r="F594" s="358">
        <v>4</v>
      </c>
      <c r="G594" s="358">
        <v>1</v>
      </c>
      <c r="H594" s="358">
        <v>7</v>
      </c>
      <c r="I594" s="335">
        <v>1068</v>
      </c>
      <c r="J594" s="336">
        <v>267</v>
      </c>
      <c r="K594" s="356">
        <f t="shared" si="76"/>
        <v>267</v>
      </c>
      <c r="L594" s="344">
        <f t="shared" si="77"/>
        <v>4</v>
      </c>
      <c r="M594" s="347">
        <f>5003+5487+2620+995+115+453+952+1068</f>
        <v>16693</v>
      </c>
      <c r="N594" s="348">
        <f>1000+688+315+110+14+91+238+267</f>
        <v>2723</v>
      </c>
      <c r="O594" s="419">
        <f>+M594/N594</f>
        <v>6.1303709144326115</v>
      </c>
    </row>
    <row r="595" spans="1:15" ht="15">
      <c r="A595" s="175">
        <v>592</v>
      </c>
      <c r="B595" s="418" t="s">
        <v>100</v>
      </c>
      <c r="C595" s="338">
        <v>39059</v>
      </c>
      <c r="D595" s="357" t="s">
        <v>277</v>
      </c>
      <c r="E595" s="352" t="s">
        <v>101</v>
      </c>
      <c r="F595" s="358">
        <v>4</v>
      </c>
      <c r="G595" s="358">
        <v>1</v>
      </c>
      <c r="H595" s="358">
        <v>6</v>
      </c>
      <c r="I595" s="335">
        <v>952</v>
      </c>
      <c r="J595" s="336">
        <v>238</v>
      </c>
      <c r="K595" s="348">
        <f t="shared" si="76"/>
        <v>238</v>
      </c>
      <c r="L595" s="353">
        <f t="shared" si="77"/>
        <v>4</v>
      </c>
      <c r="M595" s="347">
        <f>5003+5487+2620+995+115+453+952</f>
        <v>15625</v>
      </c>
      <c r="N595" s="348">
        <f>1000+688+315+110+14+91+238</f>
        <v>2456</v>
      </c>
      <c r="O595" s="420">
        <f>M595/N595</f>
        <v>6.361970684039088</v>
      </c>
    </row>
    <row r="596" spans="1:15" ht="15">
      <c r="A596" s="175">
        <v>593</v>
      </c>
      <c r="B596" s="418" t="s">
        <v>100</v>
      </c>
      <c r="C596" s="338">
        <v>39059</v>
      </c>
      <c r="D596" s="357" t="s">
        <v>277</v>
      </c>
      <c r="E596" s="352" t="s">
        <v>101</v>
      </c>
      <c r="F596" s="358">
        <v>4</v>
      </c>
      <c r="G596" s="358">
        <v>2</v>
      </c>
      <c r="H596" s="358">
        <v>15</v>
      </c>
      <c r="I596" s="335">
        <v>468</v>
      </c>
      <c r="J596" s="336">
        <v>75</v>
      </c>
      <c r="K596" s="348">
        <f t="shared" si="76"/>
        <v>37.5</v>
      </c>
      <c r="L596" s="353">
        <f t="shared" si="77"/>
        <v>6.24</v>
      </c>
      <c r="M596" s="347">
        <f>5003+5487+2620+995+115+453+952+1068+60+117+340+2970+8402+414+2390+468</f>
        <v>31854</v>
      </c>
      <c r="N596" s="348">
        <f>1000+688+315+110+14+91+238+267+24+49+68+759+1001+71+600+75</f>
        <v>5370</v>
      </c>
      <c r="O596" s="420">
        <f>M596/N596</f>
        <v>5.931843575418994</v>
      </c>
    </row>
    <row r="597" spans="1:15" ht="15">
      <c r="A597" s="175">
        <v>594</v>
      </c>
      <c r="B597" s="417" t="s">
        <v>100</v>
      </c>
      <c r="C597" s="338">
        <v>39059</v>
      </c>
      <c r="D597" s="337" t="s">
        <v>277</v>
      </c>
      <c r="E597" s="337" t="s">
        <v>101</v>
      </c>
      <c r="F597" s="334">
        <v>4</v>
      </c>
      <c r="G597" s="334">
        <v>4</v>
      </c>
      <c r="H597" s="334">
        <v>5</v>
      </c>
      <c r="I597" s="335">
        <v>453</v>
      </c>
      <c r="J597" s="336">
        <v>91</v>
      </c>
      <c r="K597" s="340">
        <f>IF(I597&lt;&gt;0,J597/G597,"")</f>
        <v>22.75</v>
      </c>
      <c r="L597" s="341">
        <f>IF(I597&lt;&gt;0,I597/J597,"")</f>
        <v>4.978021978021978</v>
      </c>
      <c r="M597" s="347">
        <f>5003+5487+2620+995+115+453</f>
        <v>14673</v>
      </c>
      <c r="N597" s="348">
        <f>1000+688+315+110+14+91</f>
        <v>2218</v>
      </c>
      <c r="O597" s="420">
        <f>M597/N597</f>
        <v>6.615419296663661</v>
      </c>
    </row>
    <row r="598" spans="1:15" ht="15">
      <c r="A598" s="175">
        <v>595</v>
      </c>
      <c r="B598" s="417" t="s">
        <v>100</v>
      </c>
      <c r="C598" s="338">
        <v>39059</v>
      </c>
      <c r="D598" s="337" t="s">
        <v>277</v>
      </c>
      <c r="E598" s="337" t="s">
        <v>101</v>
      </c>
      <c r="F598" s="334">
        <v>4</v>
      </c>
      <c r="G598" s="334">
        <v>1</v>
      </c>
      <c r="H598" s="334">
        <v>13</v>
      </c>
      <c r="I598" s="335">
        <v>414</v>
      </c>
      <c r="J598" s="336">
        <v>71</v>
      </c>
      <c r="K598" s="348">
        <f aca="true" t="shared" si="78" ref="K598:K606">J598/G598</f>
        <v>71</v>
      </c>
      <c r="L598" s="353">
        <f aca="true" t="shared" si="79" ref="L598:L606">I598/J598</f>
        <v>5.830985915492958</v>
      </c>
      <c r="M598" s="347">
        <f>5003+5487+2620+995+115+453+952+1068+60+117+340+2970+8402+414</f>
        <v>28996</v>
      </c>
      <c r="N598" s="348">
        <f>1000+688+315+110+14+91+238+267+24+49+68+759+1001+71</f>
        <v>4695</v>
      </c>
      <c r="O598" s="420">
        <f>M598/N598</f>
        <v>6.175931842385516</v>
      </c>
    </row>
    <row r="599" spans="1:15" ht="15">
      <c r="A599" s="175">
        <v>596</v>
      </c>
      <c r="B599" s="418" t="s">
        <v>100</v>
      </c>
      <c r="C599" s="338">
        <v>39059</v>
      </c>
      <c r="D599" s="357" t="s">
        <v>277</v>
      </c>
      <c r="E599" s="352" t="s">
        <v>101</v>
      </c>
      <c r="F599" s="358">
        <v>4</v>
      </c>
      <c r="G599" s="358">
        <v>1</v>
      </c>
      <c r="H599" s="358">
        <v>10</v>
      </c>
      <c r="I599" s="335">
        <v>340</v>
      </c>
      <c r="J599" s="336">
        <v>68</v>
      </c>
      <c r="K599" s="356">
        <f t="shared" si="78"/>
        <v>68</v>
      </c>
      <c r="L599" s="344">
        <f t="shared" si="79"/>
        <v>5</v>
      </c>
      <c r="M599" s="347">
        <f>5003+5487+2620+995+115+453+952+1068+60+117+340</f>
        <v>17210</v>
      </c>
      <c r="N599" s="348">
        <f>1000+688+315+110+14+91+238+267+24+49+68</f>
        <v>2864</v>
      </c>
      <c r="O599" s="416">
        <f>IF(M599&lt;&gt;0,M599/N599,"")</f>
        <v>6.009078212290503</v>
      </c>
    </row>
    <row r="600" spans="1:15" ht="15">
      <c r="A600" s="175">
        <v>597</v>
      </c>
      <c r="B600" s="418" t="s">
        <v>100</v>
      </c>
      <c r="C600" s="338">
        <v>39059</v>
      </c>
      <c r="D600" s="357" t="s">
        <v>277</v>
      </c>
      <c r="E600" s="352" t="s">
        <v>101</v>
      </c>
      <c r="F600" s="358">
        <v>4</v>
      </c>
      <c r="G600" s="358">
        <v>1</v>
      </c>
      <c r="H600" s="358">
        <v>18</v>
      </c>
      <c r="I600" s="335">
        <v>219</v>
      </c>
      <c r="J600" s="336">
        <v>36</v>
      </c>
      <c r="K600" s="348">
        <f t="shared" si="78"/>
        <v>36</v>
      </c>
      <c r="L600" s="353">
        <f t="shared" si="79"/>
        <v>6.083333333333333</v>
      </c>
      <c r="M600" s="347">
        <f>5003+5487+2620+995+115+453+952+1068+60+117+340+2970+8402+414+2390+468+62+1544+219</f>
        <v>33679</v>
      </c>
      <c r="N600" s="348">
        <f>1000+688+315+110+14+91+238+267+24+49+68+759+1001+71+600+75+10+386+36</f>
        <v>5802</v>
      </c>
      <c r="O600" s="419">
        <f>+M600/N600</f>
        <v>5.80472250947949</v>
      </c>
    </row>
    <row r="601" spans="1:15" ht="15">
      <c r="A601" s="175">
        <v>598</v>
      </c>
      <c r="B601" s="418" t="s">
        <v>100</v>
      </c>
      <c r="C601" s="338">
        <v>39059</v>
      </c>
      <c r="D601" s="357" t="s">
        <v>277</v>
      </c>
      <c r="E601" s="352" t="s">
        <v>101</v>
      </c>
      <c r="F601" s="358">
        <v>4</v>
      </c>
      <c r="G601" s="358">
        <v>1</v>
      </c>
      <c r="H601" s="358">
        <v>19</v>
      </c>
      <c r="I601" s="335">
        <v>143</v>
      </c>
      <c r="J601" s="336">
        <v>24</v>
      </c>
      <c r="K601" s="348">
        <f t="shared" si="78"/>
        <v>24</v>
      </c>
      <c r="L601" s="353">
        <f t="shared" si="79"/>
        <v>5.958333333333333</v>
      </c>
      <c r="M601" s="347">
        <f>5003+5487+2620+995+115+453+952+1068+60+117+340+2970+8402+414+2390+468+62+1544+219+143</f>
        <v>33822</v>
      </c>
      <c r="N601" s="348">
        <f>1000+688+315+110+14+91+238+267+24+49+68+759+1001+71+600+75+10+386+36+24</f>
        <v>5826</v>
      </c>
      <c r="O601" s="420">
        <f>M601/N601</f>
        <v>5.805355303810504</v>
      </c>
    </row>
    <row r="602" spans="1:15" ht="15">
      <c r="A602" s="175">
        <v>599</v>
      </c>
      <c r="B602" s="418" t="s">
        <v>100</v>
      </c>
      <c r="C602" s="338">
        <v>39059</v>
      </c>
      <c r="D602" s="357" t="s">
        <v>277</v>
      </c>
      <c r="E602" s="352" t="s">
        <v>101</v>
      </c>
      <c r="F602" s="358">
        <v>4</v>
      </c>
      <c r="G602" s="358">
        <v>1</v>
      </c>
      <c r="H602" s="358">
        <v>20</v>
      </c>
      <c r="I602" s="335">
        <v>127</v>
      </c>
      <c r="J602" s="336">
        <v>22</v>
      </c>
      <c r="K602" s="348">
        <f t="shared" si="78"/>
        <v>22</v>
      </c>
      <c r="L602" s="353">
        <f t="shared" si="79"/>
        <v>5.7727272727272725</v>
      </c>
      <c r="M602" s="347">
        <f>5003+5487+2620+995+115+453+952+1068+60+117+340+2970+8402+414+2390+468+62+1544+219+143+127</f>
        <v>33949</v>
      </c>
      <c r="N602" s="348">
        <f>1000+688+315+110+14+91+238+267+24+49+68+759+1001+71+600+75+10+386+36+24+22</f>
        <v>5848</v>
      </c>
      <c r="O602" s="420">
        <f>M602/N602</f>
        <v>5.805232558139535</v>
      </c>
    </row>
    <row r="603" spans="1:15" ht="15">
      <c r="A603" s="175">
        <v>600</v>
      </c>
      <c r="B603" s="418" t="s">
        <v>100</v>
      </c>
      <c r="C603" s="338">
        <v>39059</v>
      </c>
      <c r="D603" s="357" t="s">
        <v>277</v>
      </c>
      <c r="E603" s="352" t="s">
        <v>101</v>
      </c>
      <c r="F603" s="358">
        <v>4</v>
      </c>
      <c r="G603" s="358">
        <v>1</v>
      </c>
      <c r="H603" s="358">
        <v>9</v>
      </c>
      <c r="I603" s="335">
        <v>117</v>
      </c>
      <c r="J603" s="336">
        <v>49</v>
      </c>
      <c r="K603" s="348">
        <f t="shared" si="78"/>
        <v>49</v>
      </c>
      <c r="L603" s="353">
        <f t="shared" si="79"/>
        <v>2.3877551020408165</v>
      </c>
      <c r="M603" s="347">
        <f>5003+5487+2620+995+115+453+952+1068+60+117</f>
        <v>16870</v>
      </c>
      <c r="N603" s="348">
        <f>1000+688+315+110+14+91+238+267+24+49</f>
        <v>2796</v>
      </c>
      <c r="O603" s="420">
        <f>M603/N603</f>
        <v>6.033619456366237</v>
      </c>
    </row>
    <row r="604" spans="1:15" ht="15">
      <c r="A604" s="175">
        <v>601</v>
      </c>
      <c r="B604" s="418" t="s">
        <v>100</v>
      </c>
      <c r="C604" s="338">
        <v>39059</v>
      </c>
      <c r="D604" s="357" t="s">
        <v>277</v>
      </c>
      <c r="E604" s="352" t="s">
        <v>101</v>
      </c>
      <c r="F604" s="358">
        <v>4</v>
      </c>
      <c r="G604" s="358">
        <v>2</v>
      </c>
      <c r="H604" s="358">
        <v>4</v>
      </c>
      <c r="I604" s="335">
        <v>115</v>
      </c>
      <c r="J604" s="336">
        <v>14</v>
      </c>
      <c r="K604" s="348">
        <f t="shared" si="78"/>
        <v>7</v>
      </c>
      <c r="L604" s="353">
        <f t="shared" si="79"/>
        <v>8.214285714285714</v>
      </c>
      <c r="M604" s="347">
        <f>5003+5487+2620+995+115</f>
        <v>14220</v>
      </c>
      <c r="N604" s="348">
        <f>1000+688+315+110+14</f>
        <v>2127</v>
      </c>
      <c r="O604" s="416">
        <f>IF(M604&lt;&gt;0,M604/N604,"")</f>
        <v>6.685472496473907</v>
      </c>
    </row>
    <row r="605" spans="1:15" ht="15">
      <c r="A605" s="175">
        <v>602</v>
      </c>
      <c r="B605" s="418" t="s">
        <v>100</v>
      </c>
      <c r="C605" s="338">
        <v>39059</v>
      </c>
      <c r="D605" s="357" t="s">
        <v>277</v>
      </c>
      <c r="E605" s="352" t="s">
        <v>101</v>
      </c>
      <c r="F605" s="358">
        <v>4</v>
      </c>
      <c r="G605" s="358">
        <v>1</v>
      </c>
      <c r="H605" s="358">
        <v>16</v>
      </c>
      <c r="I605" s="335">
        <v>62</v>
      </c>
      <c r="J605" s="336">
        <v>10</v>
      </c>
      <c r="K605" s="348">
        <f t="shared" si="78"/>
        <v>10</v>
      </c>
      <c r="L605" s="353">
        <f t="shared" si="79"/>
        <v>6.2</v>
      </c>
      <c r="M605" s="347">
        <f>5003+5487+2620+995+115+453+952+1068+60+117+340+2970+8402+414+2390+468+62</f>
        <v>31916</v>
      </c>
      <c r="N605" s="348">
        <f>1000+688+315+110+14+91+238+267+24+49+68+759+1001+71+600+75+10</f>
        <v>5380</v>
      </c>
      <c r="O605" s="420">
        <f>M605/N605</f>
        <v>5.932342007434944</v>
      </c>
    </row>
    <row r="606" spans="1:15" ht="15">
      <c r="A606" s="175">
        <v>603</v>
      </c>
      <c r="B606" s="418" t="s">
        <v>100</v>
      </c>
      <c r="C606" s="338">
        <v>39059</v>
      </c>
      <c r="D606" s="357" t="s">
        <v>277</v>
      </c>
      <c r="E606" s="352" t="s">
        <v>101</v>
      </c>
      <c r="F606" s="358">
        <v>4</v>
      </c>
      <c r="G606" s="358">
        <v>1</v>
      </c>
      <c r="H606" s="358">
        <v>8</v>
      </c>
      <c r="I606" s="335">
        <v>60</v>
      </c>
      <c r="J606" s="336">
        <v>24</v>
      </c>
      <c r="K606" s="356">
        <f t="shared" si="78"/>
        <v>24</v>
      </c>
      <c r="L606" s="344">
        <f t="shared" si="79"/>
        <v>2.5</v>
      </c>
      <c r="M606" s="347">
        <f>5003+5487+2620+995+115+453+952+1068+60</f>
        <v>16753</v>
      </c>
      <c r="N606" s="348">
        <f>1000+688+315+110+14+91+238+267+24</f>
        <v>2747</v>
      </c>
      <c r="O606" s="420">
        <f>M606/N606</f>
        <v>6.098653076083</v>
      </c>
    </row>
    <row r="607" spans="1:15" ht="15">
      <c r="A607" s="175">
        <v>604</v>
      </c>
      <c r="B607" s="415" t="s">
        <v>112</v>
      </c>
      <c r="C607" s="338">
        <v>39059</v>
      </c>
      <c r="D607" s="345" t="s">
        <v>455</v>
      </c>
      <c r="E607" s="345" t="s">
        <v>300</v>
      </c>
      <c r="F607" s="346">
        <v>45</v>
      </c>
      <c r="G607" s="346">
        <v>3</v>
      </c>
      <c r="H607" s="346">
        <v>4</v>
      </c>
      <c r="I607" s="335">
        <v>291.5</v>
      </c>
      <c r="J607" s="336">
        <v>19</v>
      </c>
      <c r="K607" s="340">
        <f>IF(I607&lt;&gt;0,J607/G607,"")</f>
        <v>6.333333333333333</v>
      </c>
      <c r="L607" s="341">
        <f>IF(I607&lt;&gt;0,I607/J607,"")</f>
        <v>15.342105263157896</v>
      </c>
      <c r="M607" s="347">
        <f>71072+25412.5+1771.5+291.5</f>
        <v>98547.5</v>
      </c>
      <c r="N607" s="348">
        <f>7942+2777+197+19</f>
        <v>10935</v>
      </c>
      <c r="O607" s="416">
        <f>IF(M607&lt;&gt;0,M607/N607,"")</f>
        <v>9.012117055326932</v>
      </c>
    </row>
    <row r="608" spans="1:15" ht="15">
      <c r="A608" s="175">
        <v>605</v>
      </c>
      <c r="B608" s="415" t="s">
        <v>146</v>
      </c>
      <c r="C608" s="338">
        <v>39066</v>
      </c>
      <c r="D608" s="345" t="s">
        <v>455</v>
      </c>
      <c r="E608" s="345" t="s">
        <v>173</v>
      </c>
      <c r="F608" s="346">
        <v>41</v>
      </c>
      <c r="G608" s="346">
        <v>33</v>
      </c>
      <c r="H608" s="346">
        <v>3</v>
      </c>
      <c r="I608" s="335">
        <v>41050.5</v>
      </c>
      <c r="J608" s="336">
        <v>5261</v>
      </c>
      <c r="K608" s="340">
        <f>IF(I608&lt;&gt;0,J608/G608,"")</f>
        <v>159.42424242424244</v>
      </c>
      <c r="L608" s="341">
        <f>IF(I608&lt;&gt;0,I608/J608,"")</f>
        <v>7.802794145599696</v>
      </c>
      <c r="M608" s="347">
        <f>209701.5+109863.5+41050.5</f>
        <v>360615.5</v>
      </c>
      <c r="N608" s="348">
        <f>27729+14260+5261</f>
        <v>47250</v>
      </c>
      <c r="O608" s="416">
        <f>IF(M608&lt;&gt;0,M608/N608,"")</f>
        <v>7.632074074074074</v>
      </c>
    </row>
    <row r="609" spans="1:15" ht="15">
      <c r="A609" s="175">
        <v>606</v>
      </c>
      <c r="B609" s="415" t="s">
        <v>146</v>
      </c>
      <c r="C609" s="338">
        <v>39066</v>
      </c>
      <c r="D609" s="337" t="s">
        <v>455</v>
      </c>
      <c r="E609" s="337" t="s">
        <v>173</v>
      </c>
      <c r="F609" s="334">
        <v>41</v>
      </c>
      <c r="G609" s="334">
        <v>22</v>
      </c>
      <c r="H609" s="334">
        <v>4</v>
      </c>
      <c r="I609" s="335">
        <v>19306.5</v>
      </c>
      <c r="J609" s="336">
        <v>3088</v>
      </c>
      <c r="K609" s="350">
        <f aca="true" t="shared" si="80" ref="K609:K643">J609/G609</f>
        <v>140.36363636363637</v>
      </c>
      <c r="L609" s="351">
        <f aca="true" t="shared" si="81" ref="L609:L643">I609/J609</f>
        <v>6.252104922279793</v>
      </c>
      <c r="M609" s="347">
        <f>209701.5+109863.5+41050.5+19306.5+225</f>
        <v>380147</v>
      </c>
      <c r="N609" s="348">
        <f>27729+14260+5261+3088+18</f>
        <v>50356</v>
      </c>
      <c r="O609" s="416">
        <f>IF(M609&lt;&gt;0,M609/N609,"")</f>
        <v>7.549189768845817</v>
      </c>
    </row>
    <row r="610" spans="1:15" ht="15">
      <c r="A610" s="175">
        <v>607</v>
      </c>
      <c r="B610" s="415" t="s">
        <v>146</v>
      </c>
      <c r="C610" s="338">
        <v>39066</v>
      </c>
      <c r="D610" s="345" t="s">
        <v>455</v>
      </c>
      <c r="E610" s="345" t="s">
        <v>173</v>
      </c>
      <c r="F610" s="346">
        <v>41</v>
      </c>
      <c r="G610" s="346">
        <v>12</v>
      </c>
      <c r="H610" s="346">
        <v>5</v>
      </c>
      <c r="I610" s="335">
        <v>6896.5</v>
      </c>
      <c r="J610" s="336">
        <v>1472</v>
      </c>
      <c r="K610" s="356">
        <f t="shared" si="80"/>
        <v>122.66666666666667</v>
      </c>
      <c r="L610" s="344">
        <f t="shared" si="81"/>
        <v>4.685122282608695</v>
      </c>
      <c r="M610" s="347">
        <f>209701.5+109863.5+41050.5+19306.5+225+6896.5</f>
        <v>387043.5</v>
      </c>
      <c r="N610" s="348">
        <f>27729+14260+5261+3088+18+1472</f>
        <v>51828</v>
      </c>
      <c r="O610" s="419">
        <f>+M610/N610</f>
        <v>7.467845566103264</v>
      </c>
    </row>
    <row r="611" spans="1:15" ht="15">
      <c r="A611" s="175">
        <v>608</v>
      </c>
      <c r="B611" s="415" t="s">
        <v>146</v>
      </c>
      <c r="C611" s="338">
        <v>39066</v>
      </c>
      <c r="D611" s="345" t="s">
        <v>455</v>
      </c>
      <c r="E611" s="362" t="s">
        <v>173</v>
      </c>
      <c r="F611" s="346">
        <v>42</v>
      </c>
      <c r="G611" s="346">
        <v>3</v>
      </c>
      <c r="H611" s="346">
        <v>9</v>
      </c>
      <c r="I611" s="335">
        <v>5538.5</v>
      </c>
      <c r="J611" s="336">
        <v>1614</v>
      </c>
      <c r="K611" s="350">
        <f t="shared" si="80"/>
        <v>538</v>
      </c>
      <c r="L611" s="351">
        <f t="shared" si="81"/>
        <v>3.431536555142503</v>
      </c>
      <c r="M611" s="347">
        <f>209701.5+109863.5+41050.5+19306.5+225+6896.5+1781+2843+2025+5538.5</f>
        <v>399231</v>
      </c>
      <c r="N611" s="348">
        <f>27729+14260+5261+3088+18+1472+334+581+379+1614</f>
        <v>54736</v>
      </c>
      <c r="O611" s="423">
        <f>M611/N611</f>
        <v>7.293755480853552</v>
      </c>
    </row>
    <row r="612" spans="1:15" ht="15">
      <c r="A612" s="175">
        <v>609</v>
      </c>
      <c r="B612" s="415" t="s">
        <v>146</v>
      </c>
      <c r="C612" s="338">
        <v>39066</v>
      </c>
      <c r="D612" s="345" t="s">
        <v>455</v>
      </c>
      <c r="E612" s="345" t="s">
        <v>173</v>
      </c>
      <c r="F612" s="346">
        <v>42</v>
      </c>
      <c r="G612" s="346">
        <v>3</v>
      </c>
      <c r="H612" s="346">
        <v>15</v>
      </c>
      <c r="I612" s="335">
        <v>4531.5</v>
      </c>
      <c r="J612" s="336">
        <v>906</v>
      </c>
      <c r="K612" s="356">
        <f t="shared" si="80"/>
        <v>302</v>
      </c>
      <c r="L612" s="344">
        <f t="shared" si="81"/>
        <v>5.001655629139073</v>
      </c>
      <c r="M612" s="347">
        <f>209701.5+109863.5+41050.5+19306.5+225+6896.5+1781+2843+2025+5538.5+533+831+160+3021+2376+4531.5</f>
        <v>410683.5</v>
      </c>
      <c r="N612" s="348">
        <f>27729+14260+5261+3088+18+1472+334+581+379+1614+148+256+32+605+475+906</f>
        <v>57158</v>
      </c>
      <c r="O612" s="419">
        <f>+M612/N612</f>
        <v>7.1850572098393926</v>
      </c>
    </row>
    <row r="613" spans="1:15" ht="15">
      <c r="A613" s="175">
        <v>610</v>
      </c>
      <c r="B613" s="415" t="s">
        <v>146</v>
      </c>
      <c r="C613" s="338">
        <v>39066</v>
      </c>
      <c r="D613" s="354" t="s">
        <v>455</v>
      </c>
      <c r="E613" s="354" t="s">
        <v>173</v>
      </c>
      <c r="F613" s="355">
        <v>42</v>
      </c>
      <c r="G613" s="355">
        <v>1</v>
      </c>
      <c r="H613" s="355">
        <v>13</v>
      </c>
      <c r="I613" s="335">
        <v>3021</v>
      </c>
      <c r="J613" s="336">
        <v>605</v>
      </c>
      <c r="K613" s="356">
        <f t="shared" si="80"/>
        <v>605</v>
      </c>
      <c r="L613" s="344">
        <f t="shared" si="81"/>
        <v>4.993388429752066</v>
      </c>
      <c r="M613" s="347">
        <f>209701.5+109863.5+41050.5+19306.5+225+6896.5+1781+2843+2025+5538.5+533+831+160+3021</f>
        <v>403776</v>
      </c>
      <c r="N613" s="348">
        <f>27729+14260+5261+3088+18+1472+334+581+379+1614+148+256+32+605</f>
        <v>55777</v>
      </c>
      <c r="O613" s="416">
        <f>IF(M613&lt;&gt;0,M613/N613,"")</f>
        <v>7.239112895996557</v>
      </c>
    </row>
    <row r="614" spans="1:15" ht="15">
      <c r="A614" s="175">
        <v>611</v>
      </c>
      <c r="B614" s="415" t="s">
        <v>146</v>
      </c>
      <c r="C614" s="338">
        <v>39066</v>
      </c>
      <c r="D614" s="345" t="s">
        <v>455</v>
      </c>
      <c r="E614" s="345" t="s">
        <v>173</v>
      </c>
      <c r="F614" s="346">
        <v>42</v>
      </c>
      <c r="G614" s="346">
        <v>2</v>
      </c>
      <c r="H614" s="346">
        <v>7</v>
      </c>
      <c r="I614" s="335">
        <v>2843</v>
      </c>
      <c r="J614" s="336">
        <v>581</v>
      </c>
      <c r="K614" s="356">
        <f t="shared" si="80"/>
        <v>290.5</v>
      </c>
      <c r="L614" s="344">
        <f t="shared" si="81"/>
        <v>4.89328743545611</v>
      </c>
      <c r="M614" s="347">
        <f>209701.5+109863.5+41050.5+19306.5+225+6896.5+1781+2843</f>
        <v>391667.5</v>
      </c>
      <c r="N614" s="348">
        <f>27729+14260+5261+3088+18+1472+334+581</f>
        <v>52743</v>
      </c>
      <c r="O614" s="419">
        <f>+M614/N614</f>
        <v>7.42596173899854</v>
      </c>
    </row>
    <row r="615" spans="1:15" ht="15">
      <c r="A615" s="175">
        <v>612</v>
      </c>
      <c r="B615" s="415" t="s">
        <v>146</v>
      </c>
      <c r="C615" s="338">
        <v>39066</v>
      </c>
      <c r="D615" s="349" t="s">
        <v>455</v>
      </c>
      <c r="E615" s="345" t="s">
        <v>173</v>
      </c>
      <c r="F615" s="346">
        <v>41</v>
      </c>
      <c r="G615" s="346">
        <v>1</v>
      </c>
      <c r="H615" s="346">
        <v>25</v>
      </c>
      <c r="I615" s="335">
        <v>2376</v>
      </c>
      <c r="J615" s="336">
        <v>594</v>
      </c>
      <c r="K615" s="348">
        <f t="shared" si="80"/>
        <v>594</v>
      </c>
      <c r="L615" s="353">
        <f t="shared" si="81"/>
        <v>4</v>
      </c>
      <c r="M615" s="347">
        <f>209701.5+109863.5+41050.5+19306.5+225+6896.5+1781+2843+2025+5538.5+533+831+160+3021+2376+4531.5+96+49+1007+1510.5+1510.5+2013.5+2376</f>
        <v>419246</v>
      </c>
      <c r="N615" s="348">
        <f>27729+14260+5261+3088+18+1472+334+581+379+1614+148+256+32+605+475+906+10+7+252+378+378+504+594</f>
        <v>59281</v>
      </c>
      <c r="O615" s="419">
        <f>+M615/N615</f>
        <v>7.072181643359593</v>
      </c>
    </row>
    <row r="616" spans="1:15" ht="15">
      <c r="A616" s="175">
        <v>613</v>
      </c>
      <c r="B616" s="415" t="s">
        <v>146</v>
      </c>
      <c r="C616" s="338">
        <v>39066</v>
      </c>
      <c r="D616" s="337" t="s">
        <v>455</v>
      </c>
      <c r="E616" s="337" t="s">
        <v>173</v>
      </c>
      <c r="F616" s="333">
        <v>42</v>
      </c>
      <c r="G616" s="334">
        <v>1</v>
      </c>
      <c r="H616" s="334">
        <v>14</v>
      </c>
      <c r="I616" s="335">
        <v>2376</v>
      </c>
      <c r="J616" s="336">
        <v>475</v>
      </c>
      <c r="K616" s="356">
        <f t="shared" si="80"/>
        <v>475</v>
      </c>
      <c r="L616" s="344">
        <f t="shared" si="81"/>
        <v>5.002105263157895</v>
      </c>
      <c r="M616" s="347">
        <f>209701.5+109863.5+41050.5+19306.5+225+6896.5+1781+2843+2025+5538.5+533+831+160+3021+2376</f>
        <v>406152</v>
      </c>
      <c r="N616" s="348">
        <f>27729+14260+5261+3088+18+1472+334+581+379+1614+148+256+32+605+475</f>
        <v>56252</v>
      </c>
      <c r="O616" s="419">
        <f>+M616/N616</f>
        <v>7.220223280950011</v>
      </c>
    </row>
    <row r="617" spans="1:15" ht="15">
      <c r="A617" s="175">
        <v>614</v>
      </c>
      <c r="B617" s="415" t="s">
        <v>146</v>
      </c>
      <c r="C617" s="338">
        <v>39066</v>
      </c>
      <c r="D617" s="345" t="s">
        <v>455</v>
      </c>
      <c r="E617" s="345" t="s">
        <v>173</v>
      </c>
      <c r="F617" s="346">
        <v>42</v>
      </c>
      <c r="G617" s="346">
        <v>5</v>
      </c>
      <c r="H617" s="346">
        <v>8</v>
      </c>
      <c r="I617" s="335">
        <v>2025</v>
      </c>
      <c r="J617" s="336">
        <v>379</v>
      </c>
      <c r="K617" s="356">
        <f t="shared" si="80"/>
        <v>75.8</v>
      </c>
      <c r="L617" s="344">
        <f t="shared" si="81"/>
        <v>5.3430079155672825</v>
      </c>
      <c r="M617" s="347">
        <f>209701.5+109863.5+41050.5+19306.5+225+6896.5+1781+2843+2025</f>
        <v>393692.5</v>
      </c>
      <c r="N617" s="348">
        <f>27729+14260+5261+3088+18+1472+334+581+379</f>
        <v>53122</v>
      </c>
      <c r="O617" s="419">
        <f>+M617/N617</f>
        <v>7.411100862166334</v>
      </c>
    </row>
    <row r="618" spans="1:15" ht="15">
      <c r="A618" s="175">
        <v>615</v>
      </c>
      <c r="B618" s="415" t="s">
        <v>146</v>
      </c>
      <c r="C618" s="338">
        <v>39066</v>
      </c>
      <c r="D618" s="345" t="s">
        <v>455</v>
      </c>
      <c r="E618" s="345" t="s">
        <v>173</v>
      </c>
      <c r="F618" s="361">
        <v>41</v>
      </c>
      <c r="G618" s="346">
        <v>1</v>
      </c>
      <c r="H618" s="346">
        <v>24</v>
      </c>
      <c r="I618" s="335">
        <v>2013.5</v>
      </c>
      <c r="J618" s="336">
        <v>504</v>
      </c>
      <c r="K618" s="356">
        <f t="shared" si="80"/>
        <v>504</v>
      </c>
      <c r="L618" s="344">
        <f t="shared" si="81"/>
        <v>3.9950396825396823</v>
      </c>
      <c r="M618" s="347">
        <f>209701.5+109863.5+41050.5+19306.5+225+6896.5+1781+2843+2025+5538.5+533+831+160+3021+2376+4531.5+96+49+1007+1510.5+1510.5+2013.5</f>
        <v>416870</v>
      </c>
      <c r="N618" s="348">
        <f>27729+14260+5261+3088+18+1472+334+581+379+1614+148+256+32+605+475+906+10+7+252+378+378+504</f>
        <v>58687</v>
      </c>
      <c r="O618" s="419">
        <f>+M618/N618</f>
        <v>7.103276705232846</v>
      </c>
    </row>
    <row r="619" spans="1:15" ht="15">
      <c r="A619" s="175">
        <v>616</v>
      </c>
      <c r="B619" s="415" t="s">
        <v>146</v>
      </c>
      <c r="C619" s="338">
        <v>39066</v>
      </c>
      <c r="D619" s="345" t="s">
        <v>455</v>
      </c>
      <c r="E619" s="345" t="s">
        <v>173</v>
      </c>
      <c r="F619" s="346">
        <v>41</v>
      </c>
      <c r="G619" s="346">
        <v>3</v>
      </c>
      <c r="H619" s="346">
        <v>6</v>
      </c>
      <c r="I619" s="335">
        <v>1781</v>
      </c>
      <c r="J619" s="336">
        <v>334</v>
      </c>
      <c r="K619" s="348">
        <f t="shared" si="80"/>
        <v>111.33333333333333</v>
      </c>
      <c r="L619" s="353">
        <f t="shared" si="81"/>
        <v>5.332335329341317</v>
      </c>
      <c r="M619" s="347">
        <f>209701.5+109863.5+41050.5+19306.5+225+6896.5+1781</f>
        <v>388824.5</v>
      </c>
      <c r="N619" s="348">
        <f>27729+14260+5261+3088+18+1472+334</f>
        <v>52162</v>
      </c>
      <c r="O619" s="420">
        <f>M619/N619</f>
        <v>7.454171619186381</v>
      </c>
    </row>
    <row r="620" spans="1:15" ht="15">
      <c r="A620" s="175">
        <v>617</v>
      </c>
      <c r="B620" s="415" t="s">
        <v>146</v>
      </c>
      <c r="C620" s="338">
        <v>39066</v>
      </c>
      <c r="D620" s="345" t="s">
        <v>455</v>
      </c>
      <c r="E620" s="345" t="s">
        <v>173</v>
      </c>
      <c r="F620" s="346">
        <v>42</v>
      </c>
      <c r="G620" s="346">
        <v>1</v>
      </c>
      <c r="H620" s="346">
        <v>22</v>
      </c>
      <c r="I620" s="335">
        <v>1510.5</v>
      </c>
      <c r="J620" s="336">
        <v>378</v>
      </c>
      <c r="K620" s="350">
        <f t="shared" si="80"/>
        <v>378</v>
      </c>
      <c r="L620" s="351">
        <f t="shared" si="81"/>
        <v>3.996031746031746</v>
      </c>
      <c r="M620" s="347">
        <f>209701.5+109863.5+41050.5+19306.5+225+6896.5+1781+2843+2025+5538.5+533+831+160+3021+2376+4531.5+96+49+1007+1510.5</f>
        <v>413346</v>
      </c>
      <c r="N620" s="348">
        <f>27729+14260+5261+3088+18+1472+334+581+379+1614+148+256+32+605+475+906+10+7+252+378</f>
        <v>57805</v>
      </c>
      <c r="O620" s="423">
        <f>M620/N620</f>
        <v>7.150696306547877</v>
      </c>
    </row>
    <row r="621" spans="1:15" ht="15">
      <c r="A621" s="175">
        <v>618</v>
      </c>
      <c r="B621" s="415" t="s">
        <v>146</v>
      </c>
      <c r="C621" s="338">
        <v>39066</v>
      </c>
      <c r="D621" s="345" t="s">
        <v>455</v>
      </c>
      <c r="E621" s="345" t="s">
        <v>173</v>
      </c>
      <c r="F621" s="346">
        <v>42</v>
      </c>
      <c r="G621" s="346">
        <v>1</v>
      </c>
      <c r="H621" s="346">
        <v>23</v>
      </c>
      <c r="I621" s="335">
        <v>1510.5</v>
      </c>
      <c r="J621" s="336">
        <v>378</v>
      </c>
      <c r="K621" s="356">
        <f t="shared" si="80"/>
        <v>378</v>
      </c>
      <c r="L621" s="344">
        <f t="shared" si="81"/>
        <v>3.996031746031746</v>
      </c>
      <c r="M621" s="347">
        <f>209701.5+109863.5+41050.5+19306.5+225+6896.5+1781+2843+2025+5538.5+533+831+160+3021+2376+4531.5+96+49+1007+1510.5+1510.5</f>
        <v>414856.5</v>
      </c>
      <c r="N621" s="348">
        <f>27729+14260+5261+3088+18+1472+334+581+379+1614+148+256+32+605+475+906+10+7+252+378+378</f>
        <v>58183</v>
      </c>
      <c r="O621" s="425">
        <f>M621/N621</f>
        <v>7.130201261536875</v>
      </c>
    </row>
    <row r="622" spans="1:15" ht="15">
      <c r="A622" s="175">
        <v>619</v>
      </c>
      <c r="B622" s="417" t="s">
        <v>146</v>
      </c>
      <c r="C622" s="338">
        <v>39066</v>
      </c>
      <c r="D622" s="337" t="s">
        <v>455</v>
      </c>
      <c r="E622" s="337" t="s">
        <v>173</v>
      </c>
      <c r="F622" s="334">
        <v>42</v>
      </c>
      <c r="G622" s="334">
        <v>1</v>
      </c>
      <c r="H622" s="334">
        <v>21</v>
      </c>
      <c r="I622" s="335">
        <v>1007</v>
      </c>
      <c r="J622" s="336">
        <v>252</v>
      </c>
      <c r="K622" s="350">
        <f t="shared" si="80"/>
        <v>252</v>
      </c>
      <c r="L622" s="351">
        <f t="shared" si="81"/>
        <v>3.996031746031746</v>
      </c>
      <c r="M622" s="347">
        <f>209701.5+109863.5+41050.5+19306.5+225+6896.5+1781+2843+2025+5538.5+533+831+160+3021+2376+4531.5+96+49+1007</f>
        <v>411835.5</v>
      </c>
      <c r="N622" s="348">
        <f>27729+14260+5261+3088+18+1472+334+581+379+1614+148+256+32+605+475+906+10+7+252</f>
        <v>57427</v>
      </c>
      <c r="O622" s="423">
        <f>M622/N622</f>
        <v>7.171461159384958</v>
      </c>
    </row>
    <row r="623" spans="1:15" ht="15">
      <c r="A623" s="175">
        <v>620</v>
      </c>
      <c r="B623" s="415" t="s">
        <v>146</v>
      </c>
      <c r="C623" s="338">
        <v>39066</v>
      </c>
      <c r="D623" s="345" t="s">
        <v>455</v>
      </c>
      <c r="E623" s="345" t="s">
        <v>173</v>
      </c>
      <c r="F623" s="346">
        <v>42</v>
      </c>
      <c r="G623" s="346">
        <v>2</v>
      </c>
      <c r="H623" s="346">
        <v>11</v>
      </c>
      <c r="I623" s="335">
        <v>831</v>
      </c>
      <c r="J623" s="336">
        <v>256</v>
      </c>
      <c r="K623" s="356">
        <f t="shared" si="80"/>
        <v>128</v>
      </c>
      <c r="L623" s="344">
        <f t="shared" si="81"/>
        <v>3.24609375</v>
      </c>
      <c r="M623" s="347">
        <f>209701.5+109863.5+41050.5+19306.5+225+6896.5+1781+2843+2025+5538.5+533+831</f>
        <v>400595</v>
      </c>
      <c r="N623" s="348">
        <f>27729+14260+5261+3088+18+1472+334+581+379+1614+148+256</f>
        <v>55140</v>
      </c>
      <c r="O623" s="419">
        <f>+M623/N623</f>
        <v>7.265052593398622</v>
      </c>
    </row>
    <row r="624" spans="1:15" ht="15">
      <c r="A624" s="175">
        <v>621</v>
      </c>
      <c r="B624" s="415" t="s">
        <v>146</v>
      </c>
      <c r="C624" s="338">
        <v>39066</v>
      </c>
      <c r="D624" s="345" t="s">
        <v>455</v>
      </c>
      <c r="E624" s="345" t="s">
        <v>173</v>
      </c>
      <c r="F624" s="346">
        <v>42</v>
      </c>
      <c r="G624" s="346">
        <v>3</v>
      </c>
      <c r="H624" s="346">
        <v>10</v>
      </c>
      <c r="I624" s="335">
        <v>533</v>
      </c>
      <c r="J624" s="336">
        <v>148</v>
      </c>
      <c r="K624" s="356">
        <f t="shared" si="80"/>
        <v>49.333333333333336</v>
      </c>
      <c r="L624" s="344">
        <f t="shared" si="81"/>
        <v>3.6013513513513513</v>
      </c>
      <c r="M624" s="347">
        <f>209701.5+109863.5+41050.5+19306.5+225+6896.5+1781+2843+2025+5538.5+533</f>
        <v>399764</v>
      </c>
      <c r="N624" s="348">
        <f>27729+14260+5261+3088+18+1472+334+581+379+1614+148</f>
        <v>54884</v>
      </c>
      <c r="O624" s="416">
        <f>IF(M624&lt;&gt;0,M624/N624,"")</f>
        <v>7.28379855695649</v>
      </c>
    </row>
    <row r="625" spans="1:15" ht="15">
      <c r="A625" s="175">
        <v>622</v>
      </c>
      <c r="B625" s="415" t="s">
        <v>146</v>
      </c>
      <c r="C625" s="338">
        <v>39066</v>
      </c>
      <c r="D625" s="345" t="s">
        <v>455</v>
      </c>
      <c r="E625" s="345" t="s">
        <v>173</v>
      </c>
      <c r="F625" s="346">
        <v>42</v>
      </c>
      <c r="G625" s="346">
        <v>1</v>
      </c>
      <c r="H625" s="346">
        <v>12</v>
      </c>
      <c r="I625" s="335">
        <v>160</v>
      </c>
      <c r="J625" s="336">
        <v>32</v>
      </c>
      <c r="K625" s="356">
        <f t="shared" si="80"/>
        <v>32</v>
      </c>
      <c r="L625" s="344">
        <f t="shared" si="81"/>
        <v>5</v>
      </c>
      <c r="M625" s="347">
        <f>209701.5+109863.5+41050.5+19306.5+225+6896.5+1781+2843+2025+5538.5+533+831+160</f>
        <v>400755</v>
      </c>
      <c r="N625" s="348">
        <f>27729+14260+5261+3088+18+1472+334+581+379+1614+148+256+32</f>
        <v>55172</v>
      </c>
      <c r="O625" s="419">
        <f>+M625/N625</f>
        <v>7.2637388530413975</v>
      </c>
    </row>
    <row r="626" spans="1:15" ht="15">
      <c r="A626" s="175">
        <v>623</v>
      </c>
      <c r="B626" s="415" t="s">
        <v>146</v>
      </c>
      <c r="C626" s="338">
        <v>39066</v>
      </c>
      <c r="D626" s="345" t="s">
        <v>455</v>
      </c>
      <c r="E626" s="345" t="s">
        <v>173</v>
      </c>
      <c r="F626" s="346">
        <v>42</v>
      </c>
      <c r="G626" s="346">
        <v>3</v>
      </c>
      <c r="H626" s="346">
        <v>16</v>
      </c>
      <c r="I626" s="335">
        <v>96</v>
      </c>
      <c r="J626" s="336">
        <v>10</v>
      </c>
      <c r="K626" s="356">
        <f t="shared" si="80"/>
        <v>3.3333333333333335</v>
      </c>
      <c r="L626" s="344">
        <f t="shared" si="81"/>
        <v>9.6</v>
      </c>
      <c r="M626" s="347">
        <f>209701.5+109863.5+41050.5+19306.5+225+6896.5+1781+2843+2025+5538.5+533+831+160+3021+2376+4531.5+96</f>
        <v>410779.5</v>
      </c>
      <c r="N626" s="348">
        <f>27729+14260+5261+3088+18+1472+334+581+379+1614+148+256+32+605+475+906+10</f>
        <v>57168</v>
      </c>
      <c r="O626" s="419">
        <f>+M626/N626</f>
        <v>7.185479638958858</v>
      </c>
    </row>
    <row r="627" spans="1:15" ht="15">
      <c r="A627" s="175">
        <v>624</v>
      </c>
      <c r="B627" s="415" t="s">
        <v>146</v>
      </c>
      <c r="C627" s="338">
        <v>39066</v>
      </c>
      <c r="D627" s="345" t="s">
        <v>455</v>
      </c>
      <c r="E627" s="345" t="s">
        <v>173</v>
      </c>
      <c r="F627" s="346">
        <v>42</v>
      </c>
      <c r="G627" s="346">
        <v>1</v>
      </c>
      <c r="H627" s="346">
        <v>20</v>
      </c>
      <c r="I627" s="335">
        <v>49</v>
      </c>
      <c r="J627" s="336">
        <v>7</v>
      </c>
      <c r="K627" s="356">
        <f t="shared" si="80"/>
        <v>7</v>
      </c>
      <c r="L627" s="344">
        <f t="shared" si="81"/>
        <v>7</v>
      </c>
      <c r="M627" s="347">
        <f>209701.5+109863.5+41050.5+19306.5+225+6896.5+1781+2843+2025+5538.5+533+831+160+3021+2376+4531.5+96+49</f>
        <v>410828.5</v>
      </c>
      <c r="N627" s="348">
        <f>27729+14260+5261+3088+18+1472+334+581+379+1614+148+256+32+605+475+906+10+7</f>
        <v>57175</v>
      </c>
      <c r="O627" s="423">
        <f>M627/N627</f>
        <v>7.185456930476607</v>
      </c>
    </row>
    <row r="628" spans="1:15" ht="15">
      <c r="A628" s="175">
        <v>625</v>
      </c>
      <c r="B628" s="421" t="s">
        <v>197</v>
      </c>
      <c r="C628" s="359">
        <v>39066</v>
      </c>
      <c r="D628" s="379" t="s">
        <v>453</v>
      </c>
      <c r="E628" s="362" t="s">
        <v>464</v>
      </c>
      <c r="F628" s="361">
        <v>183</v>
      </c>
      <c r="G628" s="361">
        <v>187</v>
      </c>
      <c r="H628" s="361">
        <v>3</v>
      </c>
      <c r="I628" s="331">
        <v>1057112</v>
      </c>
      <c r="J628" s="332">
        <v>151061</v>
      </c>
      <c r="K628" s="356">
        <f t="shared" si="80"/>
        <v>807.812834224599</v>
      </c>
      <c r="L628" s="344">
        <f t="shared" si="81"/>
        <v>6.997914749670663</v>
      </c>
      <c r="M628" s="342">
        <f>1182111.5+571701+1057112</f>
        <v>2810924.5</v>
      </c>
      <c r="N628" s="343">
        <f>169230+82491+151061</f>
        <v>402782</v>
      </c>
      <c r="O628" s="419">
        <f aca="true" t="shared" si="82" ref="O628:O636">+M628/N628</f>
        <v>6.97877387768073</v>
      </c>
    </row>
    <row r="629" spans="1:15" ht="15">
      <c r="A629" s="175">
        <v>626</v>
      </c>
      <c r="B629" s="421" t="s">
        <v>197</v>
      </c>
      <c r="C629" s="359">
        <v>39066</v>
      </c>
      <c r="D629" s="339" t="s">
        <v>453</v>
      </c>
      <c r="E629" s="339" t="s">
        <v>464</v>
      </c>
      <c r="F629" s="333">
        <v>183</v>
      </c>
      <c r="G629" s="333">
        <v>178</v>
      </c>
      <c r="H629" s="333">
        <v>4</v>
      </c>
      <c r="I629" s="331">
        <f>222438-23</f>
        <v>222415</v>
      </c>
      <c r="J629" s="332">
        <v>33037</v>
      </c>
      <c r="K629" s="356">
        <f t="shared" si="80"/>
        <v>185.6011235955056</v>
      </c>
      <c r="L629" s="344">
        <f t="shared" si="81"/>
        <v>6.732300148318552</v>
      </c>
      <c r="M629" s="342">
        <f>1182111.5+571701+1057112+222438-23</f>
        <v>3033339.5</v>
      </c>
      <c r="N629" s="343">
        <f>169230+82491+151061+33037</f>
        <v>435819</v>
      </c>
      <c r="O629" s="419">
        <f t="shared" si="82"/>
        <v>6.960090083268513</v>
      </c>
    </row>
    <row r="630" spans="1:15" ht="15">
      <c r="A630" s="175">
        <v>627</v>
      </c>
      <c r="B630" s="421" t="s">
        <v>197</v>
      </c>
      <c r="C630" s="359">
        <v>39066</v>
      </c>
      <c r="D630" s="379" t="s">
        <v>453</v>
      </c>
      <c r="E630" s="362" t="s">
        <v>464</v>
      </c>
      <c r="F630" s="361">
        <v>183</v>
      </c>
      <c r="G630" s="361">
        <v>56</v>
      </c>
      <c r="H630" s="361">
        <v>5</v>
      </c>
      <c r="I630" s="331">
        <v>32518</v>
      </c>
      <c r="J630" s="332">
        <v>6240</v>
      </c>
      <c r="K630" s="356">
        <f t="shared" si="80"/>
        <v>111.42857142857143</v>
      </c>
      <c r="L630" s="344">
        <f t="shared" si="81"/>
        <v>5.211217948717949</v>
      </c>
      <c r="M630" s="342">
        <f>1182111.5+571701+1057112+222438-23+32518</f>
        <v>3065857.5</v>
      </c>
      <c r="N630" s="343">
        <f>169230+82491+151061+33037+6240</f>
        <v>442059</v>
      </c>
      <c r="O630" s="419">
        <f t="shared" si="82"/>
        <v>6.9354034190006315</v>
      </c>
    </row>
    <row r="631" spans="1:15" ht="15">
      <c r="A631" s="175">
        <v>628</v>
      </c>
      <c r="B631" s="421" t="s">
        <v>197</v>
      </c>
      <c r="C631" s="359">
        <v>39066</v>
      </c>
      <c r="D631" s="379" t="s">
        <v>453</v>
      </c>
      <c r="E631" s="362" t="s">
        <v>464</v>
      </c>
      <c r="F631" s="361">
        <v>183</v>
      </c>
      <c r="G631" s="361">
        <v>23</v>
      </c>
      <c r="H631" s="361">
        <v>6</v>
      </c>
      <c r="I631" s="331">
        <v>14705</v>
      </c>
      <c r="J631" s="332">
        <v>4042</v>
      </c>
      <c r="K631" s="356">
        <f t="shared" si="80"/>
        <v>175.7391304347826</v>
      </c>
      <c r="L631" s="344">
        <f t="shared" si="81"/>
        <v>3.6380504700643246</v>
      </c>
      <c r="M631" s="342">
        <f>1182111.5+571701+1057112+222438-23+32518+14705</f>
        <v>3080562.5</v>
      </c>
      <c r="N631" s="343">
        <f>169230+82491+151061+33037+6240+4042</f>
        <v>446101</v>
      </c>
      <c r="O631" s="419">
        <f t="shared" si="82"/>
        <v>6.905526999491147</v>
      </c>
    </row>
    <row r="632" spans="1:15" ht="15">
      <c r="A632" s="175">
        <v>629</v>
      </c>
      <c r="B632" s="421" t="s">
        <v>197</v>
      </c>
      <c r="C632" s="359">
        <v>39066</v>
      </c>
      <c r="D632" s="379" t="s">
        <v>453</v>
      </c>
      <c r="E632" s="362" t="s">
        <v>464</v>
      </c>
      <c r="F632" s="361">
        <v>183</v>
      </c>
      <c r="G632" s="361">
        <v>12</v>
      </c>
      <c r="H632" s="361">
        <v>7</v>
      </c>
      <c r="I632" s="331">
        <v>6718</v>
      </c>
      <c r="J632" s="332">
        <v>1655</v>
      </c>
      <c r="K632" s="356">
        <f t="shared" si="80"/>
        <v>137.91666666666666</v>
      </c>
      <c r="L632" s="344">
        <f t="shared" si="81"/>
        <v>4.059214501510574</v>
      </c>
      <c r="M632" s="342">
        <f>1182111.5+571701+1057112+222438-23+32518+14705+6718</f>
        <v>3087280.5</v>
      </c>
      <c r="N632" s="343">
        <f>169230+82491+151061+33037+6240+4042+1655</f>
        <v>447756</v>
      </c>
      <c r="O632" s="419">
        <f t="shared" si="82"/>
        <v>6.895006432074612</v>
      </c>
    </row>
    <row r="633" spans="1:15" ht="15">
      <c r="A633" s="175">
        <v>630</v>
      </c>
      <c r="B633" s="421" t="s">
        <v>197</v>
      </c>
      <c r="C633" s="359">
        <v>39066</v>
      </c>
      <c r="D633" s="379" t="s">
        <v>453</v>
      </c>
      <c r="E633" s="362" t="s">
        <v>464</v>
      </c>
      <c r="F633" s="361">
        <v>183</v>
      </c>
      <c r="G633" s="361">
        <v>6</v>
      </c>
      <c r="H633" s="361">
        <v>8</v>
      </c>
      <c r="I633" s="331">
        <v>2937</v>
      </c>
      <c r="J633" s="332">
        <v>674</v>
      </c>
      <c r="K633" s="356">
        <f t="shared" si="80"/>
        <v>112.33333333333333</v>
      </c>
      <c r="L633" s="344">
        <f t="shared" si="81"/>
        <v>4.357566765578635</v>
      </c>
      <c r="M633" s="342">
        <f>1182111.5+571701+1057112+222438-23+32518+14705+6718+2937-1</f>
        <v>3090216.5</v>
      </c>
      <c r="N633" s="343">
        <f>169230+82491+151061+33037+6240+4042+1655+674</f>
        <v>448430</v>
      </c>
      <c r="O633" s="419">
        <f t="shared" si="82"/>
        <v>6.891190375309413</v>
      </c>
    </row>
    <row r="634" spans="1:15" ht="15">
      <c r="A634" s="175">
        <v>631</v>
      </c>
      <c r="B634" s="421" t="s">
        <v>197</v>
      </c>
      <c r="C634" s="359">
        <v>39066</v>
      </c>
      <c r="D634" s="379" t="s">
        <v>453</v>
      </c>
      <c r="E634" s="362" t="s">
        <v>464</v>
      </c>
      <c r="F634" s="361">
        <v>183</v>
      </c>
      <c r="G634" s="361">
        <v>4</v>
      </c>
      <c r="H634" s="361">
        <v>10</v>
      </c>
      <c r="I634" s="331">
        <v>2701</v>
      </c>
      <c r="J634" s="332">
        <v>740</v>
      </c>
      <c r="K634" s="356">
        <f t="shared" si="80"/>
        <v>185</v>
      </c>
      <c r="L634" s="344">
        <f t="shared" si="81"/>
        <v>3.65</v>
      </c>
      <c r="M634" s="342">
        <f>1182111.5+571701+1057112+222438-23+32518+14705+6718+2937-1+2526+2701</f>
        <v>3095443.5</v>
      </c>
      <c r="N634" s="343">
        <f>169230+82491+151061+33037+6240+4042+1655+674+706+740</f>
        <v>449876</v>
      </c>
      <c r="O634" s="419">
        <f t="shared" si="82"/>
        <v>6.880659337239595</v>
      </c>
    </row>
    <row r="635" spans="1:15" ht="15">
      <c r="A635" s="175">
        <v>632</v>
      </c>
      <c r="B635" s="421" t="s">
        <v>197</v>
      </c>
      <c r="C635" s="359">
        <v>39066</v>
      </c>
      <c r="D635" s="379" t="s">
        <v>453</v>
      </c>
      <c r="E635" s="362" t="s">
        <v>464</v>
      </c>
      <c r="F635" s="361">
        <v>183</v>
      </c>
      <c r="G635" s="361">
        <v>4</v>
      </c>
      <c r="H635" s="361">
        <v>9</v>
      </c>
      <c r="I635" s="331">
        <v>2526</v>
      </c>
      <c r="J635" s="332">
        <v>706</v>
      </c>
      <c r="K635" s="356">
        <f t="shared" si="80"/>
        <v>176.5</v>
      </c>
      <c r="L635" s="344">
        <f t="shared" si="81"/>
        <v>3.5779036827195467</v>
      </c>
      <c r="M635" s="342">
        <f>1182111.5+571701+1057112+222438-23+32518+14705+6718+2937-1+2526</f>
        <v>3092742.5</v>
      </c>
      <c r="N635" s="343">
        <f>169230+82491+151061+33037+6240+4042+1655+674+706</f>
        <v>449136</v>
      </c>
      <c r="O635" s="419">
        <f t="shared" si="82"/>
        <v>6.885982196929215</v>
      </c>
    </row>
    <row r="636" spans="1:15" ht="15">
      <c r="A636" s="175">
        <v>633</v>
      </c>
      <c r="B636" s="421" t="s">
        <v>197</v>
      </c>
      <c r="C636" s="359">
        <v>39066</v>
      </c>
      <c r="D636" s="339" t="s">
        <v>453</v>
      </c>
      <c r="E636" s="339" t="s">
        <v>464</v>
      </c>
      <c r="F636" s="333">
        <v>183</v>
      </c>
      <c r="G636" s="333">
        <v>1</v>
      </c>
      <c r="H636" s="333">
        <v>21</v>
      </c>
      <c r="I636" s="331">
        <v>1782</v>
      </c>
      <c r="J636" s="332">
        <v>510</v>
      </c>
      <c r="K636" s="356">
        <f t="shared" si="80"/>
        <v>510</v>
      </c>
      <c r="L636" s="344">
        <f t="shared" si="81"/>
        <v>3.4941176470588236</v>
      </c>
      <c r="M636" s="342">
        <f>1182111.5+571701+1057112+222438-23+32518+14705+6718+2937-1+2526+2701+500+346+252+140+231+168+126+168+112+84+1782</f>
        <v>3099352.5</v>
      </c>
      <c r="N636" s="343">
        <f>169230+82491+151061+33037+6240+4042+1655+674+706+740+92+65+36+20+33+24+18+24+16+12+510</f>
        <v>450726</v>
      </c>
      <c r="O636" s="419">
        <f t="shared" si="82"/>
        <v>6.8763561454187245</v>
      </c>
    </row>
    <row r="637" spans="1:15" ht="15">
      <c r="A637" s="175">
        <v>634</v>
      </c>
      <c r="B637" s="424" t="s">
        <v>197</v>
      </c>
      <c r="C637" s="359">
        <v>39066</v>
      </c>
      <c r="D637" s="379" t="s">
        <v>453</v>
      </c>
      <c r="E637" s="362" t="s">
        <v>464</v>
      </c>
      <c r="F637" s="361">
        <v>183</v>
      </c>
      <c r="G637" s="361">
        <v>1</v>
      </c>
      <c r="H637" s="361">
        <v>22</v>
      </c>
      <c r="I637" s="331">
        <v>1782</v>
      </c>
      <c r="J637" s="332">
        <v>178</v>
      </c>
      <c r="K637" s="356">
        <f t="shared" si="80"/>
        <v>178</v>
      </c>
      <c r="L637" s="344">
        <f t="shared" si="81"/>
        <v>10.01123595505618</v>
      </c>
      <c r="M637" s="342">
        <f>1182111.5+571701+1057112+222438-23+32518+14705+6718+2937-1+2526+2701+500+346+252+140+231+168+126+168+112+84+1782+1782</f>
        <v>3101134.5</v>
      </c>
      <c r="N637" s="343">
        <f>169230+82491+151061+33037+6240+4042+1655+674+706+740+92+65+36+20+33+24+18+24+16+12+510+178</f>
        <v>450904</v>
      </c>
      <c r="O637" s="416">
        <f>IF(M637&lt;&gt;0,M637/N637,"")</f>
        <v>6.877593678477015</v>
      </c>
    </row>
    <row r="638" spans="1:15" ht="15">
      <c r="A638" s="175">
        <v>635</v>
      </c>
      <c r="B638" s="424" t="s">
        <v>197</v>
      </c>
      <c r="C638" s="359">
        <v>39066</v>
      </c>
      <c r="D638" s="379" t="s">
        <v>453</v>
      </c>
      <c r="E638" s="362" t="s">
        <v>464</v>
      </c>
      <c r="F638" s="361">
        <v>183</v>
      </c>
      <c r="G638" s="361">
        <v>1</v>
      </c>
      <c r="H638" s="361">
        <v>23</v>
      </c>
      <c r="I638" s="331">
        <v>950</v>
      </c>
      <c r="J638" s="332">
        <v>190</v>
      </c>
      <c r="K638" s="356">
        <f t="shared" si="80"/>
        <v>190</v>
      </c>
      <c r="L638" s="344">
        <f t="shared" si="81"/>
        <v>5</v>
      </c>
      <c r="M638" s="342">
        <f>1182111.5+571701+1057112+222438-23+32518+14705+6718+2937-1+2526+2701+500+346+252+140+231+168+126+168+112+84+1782+1782+950</f>
        <v>3102084.5</v>
      </c>
      <c r="N638" s="343">
        <f>169230+82491+151061+33037+6240+4042+1655+674+706+740+92+65+36+20+33+24+18+24+16+12+510+178+190</f>
        <v>451094</v>
      </c>
      <c r="O638" s="419">
        <f aca="true" t="shared" si="83" ref="O638:O643">+M638/N638</f>
        <v>6.876802839319521</v>
      </c>
    </row>
    <row r="639" spans="1:15" ht="15">
      <c r="A639" s="175">
        <v>636</v>
      </c>
      <c r="B639" s="424" t="s">
        <v>198</v>
      </c>
      <c r="C639" s="359">
        <v>39066</v>
      </c>
      <c r="D639" s="379" t="s">
        <v>453</v>
      </c>
      <c r="E639" s="362" t="s">
        <v>464</v>
      </c>
      <c r="F639" s="361">
        <v>183</v>
      </c>
      <c r="G639" s="361">
        <v>1</v>
      </c>
      <c r="H639" s="361">
        <v>24</v>
      </c>
      <c r="I639" s="331">
        <v>832</v>
      </c>
      <c r="J639" s="332">
        <v>166</v>
      </c>
      <c r="K639" s="356">
        <f t="shared" si="80"/>
        <v>166</v>
      </c>
      <c r="L639" s="344">
        <f t="shared" si="81"/>
        <v>5.0120481927710845</v>
      </c>
      <c r="M639" s="342">
        <f>1182111.5+571701+1057112+222438-23+32518+14705+6718+2937-1+2526+2701+500+346+252+140+231+168+126+168+112+84+1782+1782+950+832</f>
        <v>3102916.5</v>
      </c>
      <c r="N639" s="343">
        <f>169230+82491+151061+33037+6240+4042+1655+674+706+740+92+65+36+20+33+24+18+24+16+12+510+178+190+166</f>
        <v>451260</v>
      </c>
      <c r="O639" s="419">
        <f t="shared" si="83"/>
        <v>6.876116872756282</v>
      </c>
    </row>
    <row r="640" spans="1:15" ht="15">
      <c r="A640" s="175">
        <v>637</v>
      </c>
      <c r="B640" s="421" t="s">
        <v>197</v>
      </c>
      <c r="C640" s="359">
        <v>39066</v>
      </c>
      <c r="D640" s="379" t="s">
        <v>453</v>
      </c>
      <c r="E640" s="362" t="s">
        <v>464</v>
      </c>
      <c r="F640" s="361">
        <v>183</v>
      </c>
      <c r="G640" s="361">
        <v>2</v>
      </c>
      <c r="H640" s="361">
        <v>11</v>
      </c>
      <c r="I640" s="331">
        <v>500</v>
      </c>
      <c r="J640" s="332">
        <v>92</v>
      </c>
      <c r="K640" s="356">
        <f t="shared" si="80"/>
        <v>46</v>
      </c>
      <c r="L640" s="344">
        <f t="shared" si="81"/>
        <v>5.434782608695652</v>
      </c>
      <c r="M640" s="342">
        <f>1182111.5+571701+1057112+222438-23+32518+14705+6718+2937-1+2526+2701+500</f>
        <v>3095943.5</v>
      </c>
      <c r="N640" s="343">
        <f>169230+82491+151061+33037+6240+4042+1655+674+706+740+92</f>
        <v>449968</v>
      </c>
      <c r="O640" s="419">
        <f t="shared" si="83"/>
        <v>6.880363714753049</v>
      </c>
    </row>
    <row r="641" spans="1:15" ht="15">
      <c r="A641" s="175">
        <v>638</v>
      </c>
      <c r="B641" s="421" t="s">
        <v>197</v>
      </c>
      <c r="C641" s="359">
        <v>39066</v>
      </c>
      <c r="D641" s="379" t="s">
        <v>453</v>
      </c>
      <c r="E641" s="362" t="s">
        <v>464</v>
      </c>
      <c r="F641" s="361">
        <v>183</v>
      </c>
      <c r="G641" s="361">
        <v>2</v>
      </c>
      <c r="H641" s="361">
        <v>12</v>
      </c>
      <c r="I641" s="331">
        <v>346</v>
      </c>
      <c r="J641" s="332">
        <v>65</v>
      </c>
      <c r="K641" s="356">
        <f t="shared" si="80"/>
        <v>32.5</v>
      </c>
      <c r="L641" s="344">
        <f t="shared" si="81"/>
        <v>5.323076923076923</v>
      </c>
      <c r="M641" s="342">
        <f>1182111.5+571701+1057112+222438-23+32518+14705+6718+2937-1+2526+2701+500+346</f>
        <v>3096289.5</v>
      </c>
      <c r="N641" s="343">
        <f>169230+82491+151061+33037+6240+4042+1655+674+706+740+92+65</f>
        <v>450033</v>
      </c>
      <c r="O641" s="419">
        <f t="shared" si="83"/>
        <v>6.880138789822079</v>
      </c>
    </row>
    <row r="642" spans="1:15" ht="15">
      <c r="A642" s="175">
        <v>639</v>
      </c>
      <c r="B642" s="421" t="s">
        <v>197</v>
      </c>
      <c r="C642" s="359">
        <v>39066</v>
      </c>
      <c r="D642" s="379" t="s">
        <v>453</v>
      </c>
      <c r="E642" s="362" t="s">
        <v>464</v>
      </c>
      <c r="F642" s="361">
        <v>183</v>
      </c>
      <c r="G642" s="361">
        <v>1</v>
      </c>
      <c r="H642" s="361">
        <v>13</v>
      </c>
      <c r="I642" s="331">
        <v>252</v>
      </c>
      <c r="J642" s="332">
        <v>36</v>
      </c>
      <c r="K642" s="356">
        <f t="shared" si="80"/>
        <v>36</v>
      </c>
      <c r="L642" s="344">
        <f t="shared" si="81"/>
        <v>7</v>
      </c>
      <c r="M642" s="342">
        <f>1182111.5+571701+1057112+222438-23+32518+14705+6718+2937-1+2526+2701+500+346+252</f>
        <v>3096541.5</v>
      </c>
      <c r="N642" s="343">
        <f>169230+82491+151061+33037+6240+4042+1655+674+706+740+92+65+36</f>
        <v>450069</v>
      </c>
      <c r="O642" s="419">
        <f t="shared" si="83"/>
        <v>6.880148377248822</v>
      </c>
    </row>
    <row r="643" spans="1:15" ht="15">
      <c r="A643" s="175">
        <v>640</v>
      </c>
      <c r="B643" s="421" t="s">
        <v>197</v>
      </c>
      <c r="C643" s="359">
        <v>39066</v>
      </c>
      <c r="D643" s="380" t="s">
        <v>453</v>
      </c>
      <c r="E643" s="380" t="s">
        <v>464</v>
      </c>
      <c r="F643" s="368">
        <v>183</v>
      </c>
      <c r="G643" s="368">
        <v>1</v>
      </c>
      <c r="H643" s="368">
        <v>15</v>
      </c>
      <c r="I643" s="331">
        <v>231</v>
      </c>
      <c r="J643" s="332">
        <v>33</v>
      </c>
      <c r="K643" s="356">
        <f t="shared" si="80"/>
        <v>33</v>
      </c>
      <c r="L643" s="344">
        <f t="shared" si="81"/>
        <v>7</v>
      </c>
      <c r="M643" s="342">
        <f>1182111.5+571701+1057112+222438-23+32518+14705+6718+2937-1+2526+2701+500+346+252+140+231</f>
        <v>3096912.5</v>
      </c>
      <c r="N643" s="343">
        <f>169230+82491+151061+33037+6240+4042+1655+674+706+740+92+65+36+20+33</f>
        <v>450122</v>
      </c>
      <c r="O643" s="419">
        <f t="shared" si="83"/>
        <v>6.880162489280684</v>
      </c>
    </row>
    <row r="644" spans="1:15" ht="15">
      <c r="A644" s="175">
        <v>641</v>
      </c>
      <c r="B644" s="421" t="s">
        <v>197</v>
      </c>
      <c r="C644" s="395">
        <v>39066</v>
      </c>
      <c r="D644" s="394" t="s">
        <v>453</v>
      </c>
      <c r="E644" s="394" t="s">
        <v>464</v>
      </c>
      <c r="F644" s="396">
        <v>183</v>
      </c>
      <c r="G644" s="396">
        <v>1</v>
      </c>
      <c r="H644" s="396">
        <v>16</v>
      </c>
      <c r="I644" s="331">
        <v>168</v>
      </c>
      <c r="J644" s="332">
        <v>24</v>
      </c>
      <c r="K644" s="356">
        <v>24</v>
      </c>
      <c r="L644" s="344">
        <v>7</v>
      </c>
      <c r="M644" s="342">
        <v>3097080.5</v>
      </c>
      <c r="N644" s="343">
        <v>450146</v>
      </c>
      <c r="O644" s="419">
        <v>6.880168878541629</v>
      </c>
    </row>
    <row r="645" spans="1:15" ht="15">
      <c r="A645" s="175">
        <v>642</v>
      </c>
      <c r="B645" s="421" t="s">
        <v>197</v>
      </c>
      <c r="C645" s="359">
        <v>39066</v>
      </c>
      <c r="D645" s="339" t="s">
        <v>453</v>
      </c>
      <c r="E645" s="339" t="s">
        <v>464</v>
      </c>
      <c r="F645" s="333">
        <v>183</v>
      </c>
      <c r="G645" s="333">
        <v>1</v>
      </c>
      <c r="H645" s="333">
        <v>18</v>
      </c>
      <c r="I645" s="331">
        <v>168</v>
      </c>
      <c r="J645" s="332">
        <v>24</v>
      </c>
      <c r="K645" s="356">
        <f>J645/G645</f>
        <v>24</v>
      </c>
      <c r="L645" s="344">
        <f>I645/J645</f>
        <v>7</v>
      </c>
      <c r="M645" s="342">
        <f>1182111.5+571701+1057112+222438-23+32518+14705+6718+2937-1+2526+2701+500+346+252+140+231+168+126+168</f>
        <v>3097374.5</v>
      </c>
      <c r="N645" s="343">
        <f>169230+82491+151061+33037+6240+4042+1655+674+706+740+92+65+36+20+33+24+18+24</f>
        <v>450188</v>
      </c>
      <c r="O645" s="419">
        <f>+M645/N645</f>
        <v>6.880180058109056</v>
      </c>
    </row>
    <row r="646" spans="1:15" ht="15">
      <c r="A646" s="175">
        <v>643</v>
      </c>
      <c r="B646" s="421" t="s">
        <v>197</v>
      </c>
      <c r="C646" s="359">
        <v>39066</v>
      </c>
      <c r="D646" s="379" t="s">
        <v>453</v>
      </c>
      <c r="E646" s="362" t="s">
        <v>464</v>
      </c>
      <c r="F646" s="361">
        <v>183</v>
      </c>
      <c r="G646" s="361">
        <v>1</v>
      </c>
      <c r="H646" s="361">
        <v>14</v>
      </c>
      <c r="I646" s="331">
        <v>140</v>
      </c>
      <c r="J646" s="332">
        <v>20</v>
      </c>
      <c r="K646" s="356">
        <f>J646/G646</f>
        <v>20</v>
      </c>
      <c r="L646" s="344">
        <f>I646/J646</f>
        <v>7</v>
      </c>
      <c r="M646" s="342">
        <f>1182111.5+571701+1057112+222438-23+32518+14705+6718+2937-1+2526+2701+500+346+252+140</f>
        <v>3096681.5</v>
      </c>
      <c r="N646" s="343">
        <f>169230+82491+151061+33037+6240+4042+1655+674+706+740+92+65+36+20</f>
        <v>450089</v>
      </c>
      <c r="O646" s="419">
        <f>+M646/N646</f>
        <v>6.880153702934309</v>
      </c>
    </row>
    <row r="647" spans="1:15" ht="15">
      <c r="A647" s="175">
        <v>644</v>
      </c>
      <c r="B647" s="421" t="s">
        <v>197</v>
      </c>
      <c r="C647" s="359">
        <v>39066</v>
      </c>
      <c r="D647" s="339" t="s">
        <v>453</v>
      </c>
      <c r="E647" s="339" t="s">
        <v>464</v>
      </c>
      <c r="F647" s="333">
        <v>183</v>
      </c>
      <c r="G647" s="333">
        <v>1</v>
      </c>
      <c r="H647" s="333">
        <v>17</v>
      </c>
      <c r="I647" s="331">
        <v>126</v>
      </c>
      <c r="J647" s="332">
        <v>18</v>
      </c>
      <c r="K647" s="356">
        <f>J647/G647</f>
        <v>18</v>
      </c>
      <c r="L647" s="344">
        <f>I647/J647</f>
        <v>7</v>
      </c>
      <c r="M647" s="342">
        <f>1182111.5+571701+1057112+222438-23+32518+14705+6718+2937-1+2526+2701+500+346+252+140+231+168+126</f>
        <v>3097206.5</v>
      </c>
      <c r="N647" s="343">
        <f>169230+82491+151061+33037+6240+4042+1655+674+706+740+92+65+36+20+33+24+18</f>
        <v>450164</v>
      </c>
      <c r="O647" s="419">
        <f>+M647/N647</f>
        <v>6.880173670040252</v>
      </c>
    </row>
    <row r="648" spans="1:15" ht="15">
      <c r="A648" s="175">
        <v>645</v>
      </c>
      <c r="B648" s="421" t="s">
        <v>197</v>
      </c>
      <c r="C648" s="359">
        <v>39066</v>
      </c>
      <c r="D648" s="379" t="s">
        <v>453</v>
      </c>
      <c r="E648" s="362" t="s">
        <v>464</v>
      </c>
      <c r="F648" s="361">
        <v>183</v>
      </c>
      <c r="G648" s="361">
        <v>1</v>
      </c>
      <c r="H648" s="361">
        <v>19</v>
      </c>
      <c r="I648" s="331">
        <v>112</v>
      </c>
      <c r="J648" s="332">
        <v>16</v>
      </c>
      <c r="K648" s="356">
        <f>J648/G648</f>
        <v>16</v>
      </c>
      <c r="L648" s="344">
        <f>I648/J648</f>
        <v>7</v>
      </c>
      <c r="M648" s="342">
        <f>1182111.5+571701+1057112+222438-23+32518+14705+6718+2937-1+2526+2701+500+346+252+140+231+168+126+168+112</f>
        <v>3097486.5</v>
      </c>
      <c r="N648" s="343">
        <f>169230+82491+151061+33037+6240+4042+1655+674+706+740+92+65+36+20+33+24+18+24+16</f>
        <v>450204</v>
      </c>
      <c r="O648" s="419">
        <f>+M648/N648</f>
        <v>6.880184316443213</v>
      </c>
    </row>
    <row r="649" spans="1:15" ht="15">
      <c r="A649" s="175">
        <v>646</v>
      </c>
      <c r="B649" s="421" t="s">
        <v>197</v>
      </c>
      <c r="C649" s="359">
        <v>39066</v>
      </c>
      <c r="D649" s="339" t="s">
        <v>453</v>
      </c>
      <c r="E649" s="339" t="s">
        <v>464</v>
      </c>
      <c r="F649" s="333">
        <v>183</v>
      </c>
      <c r="G649" s="333">
        <v>1</v>
      </c>
      <c r="H649" s="333">
        <v>20</v>
      </c>
      <c r="I649" s="331">
        <v>84</v>
      </c>
      <c r="J649" s="332">
        <v>12</v>
      </c>
      <c r="K649" s="356">
        <f>J649/G649</f>
        <v>12</v>
      </c>
      <c r="L649" s="344">
        <f>I649/J649</f>
        <v>7</v>
      </c>
      <c r="M649" s="342">
        <f>1182111.5+571701+1057112+222438-23+32518+14705+6718+2937-1+2526+2701+500+346+252+140+231+168+126+168+112+84</f>
        <v>3097570.5</v>
      </c>
      <c r="N649" s="343">
        <f>169230+82491+151061+33037+6240+4042+1655+674+706+740+92+65+36+20+33+24+18+24+16+12</f>
        <v>450216</v>
      </c>
      <c r="O649" s="419">
        <f>+M649/N649</f>
        <v>6.880187509995202</v>
      </c>
    </row>
    <row r="650" spans="1:15" ht="15">
      <c r="A650" s="175">
        <v>647</v>
      </c>
      <c r="B650" s="415" t="s">
        <v>199</v>
      </c>
      <c r="C650" s="338">
        <v>39066</v>
      </c>
      <c r="D650" s="345" t="s">
        <v>455</v>
      </c>
      <c r="E650" s="345" t="s">
        <v>456</v>
      </c>
      <c r="F650" s="346">
        <v>51</v>
      </c>
      <c r="G650" s="346">
        <v>48</v>
      </c>
      <c r="H650" s="346">
        <v>3</v>
      </c>
      <c r="I650" s="335">
        <v>144826</v>
      </c>
      <c r="J650" s="336">
        <v>18766</v>
      </c>
      <c r="K650" s="340">
        <f>IF(I650&lt;&gt;0,J650/G650,"")</f>
        <v>390.9583333333333</v>
      </c>
      <c r="L650" s="341">
        <f>IF(I650&lt;&gt;0,I650/J650,"")</f>
        <v>7.717467760844079</v>
      </c>
      <c r="M650" s="347">
        <f>413847+223134.5+144826</f>
        <v>781807.5</v>
      </c>
      <c r="N650" s="348">
        <f>50367+26840+18766</f>
        <v>95973</v>
      </c>
      <c r="O650" s="416">
        <f>IF(M650&lt;&gt;0,M650/N650,"")</f>
        <v>8.146119221030915</v>
      </c>
    </row>
    <row r="651" spans="1:15" ht="15">
      <c r="A651" s="175">
        <v>648</v>
      </c>
      <c r="B651" s="417" t="s">
        <v>199</v>
      </c>
      <c r="C651" s="338">
        <v>39066</v>
      </c>
      <c r="D651" s="337" t="s">
        <v>455</v>
      </c>
      <c r="E651" s="337" t="s">
        <v>456</v>
      </c>
      <c r="F651" s="334">
        <v>51</v>
      </c>
      <c r="G651" s="334">
        <v>41</v>
      </c>
      <c r="H651" s="334">
        <v>4</v>
      </c>
      <c r="I651" s="335">
        <v>34457</v>
      </c>
      <c r="J651" s="336">
        <v>4967</v>
      </c>
      <c r="K651" s="340">
        <f>IF(I651&lt;&gt;0,J651/G651,"")</f>
        <v>121.14634146341463</v>
      </c>
      <c r="L651" s="341">
        <f>IF(I651&lt;&gt;0,I651/J651,"")</f>
        <v>6.937185423797061</v>
      </c>
      <c r="M651" s="347">
        <f>413847+223134.5+144826+34457</f>
        <v>816264.5</v>
      </c>
      <c r="N651" s="348">
        <f>50367+26840+18766+4967</f>
        <v>100940</v>
      </c>
      <c r="O651" s="416">
        <f>IF(M651&lt;&gt;0,M651/N651,"")</f>
        <v>8.08663067168615</v>
      </c>
    </row>
    <row r="652" spans="1:15" ht="15">
      <c r="A652" s="175">
        <v>649</v>
      </c>
      <c r="B652" s="415" t="s">
        <v>199</v>
      </c>
      <c r="C652" s="338">
        <v>39066</v>
      </c>
      <c r="D652" s="345" t="s">
        <v>455</v>
      </c>
      <c r="E652" s="345" t="s">
        <v>456</v>
      </c>
      <c r="F652" s="346">
        <v>51</v>
      </c>
      <c r="G652" s="346">
        <v>21</v>
      </c>
      <c r="H652" s="346">
        <v>5</v>
      </c>
      <c r="I652" s="335">
        <v>11124</v>
      </c>
      <c r="J652" s="336">
        <v>1852</v>
      </c>
      <c r="K652" s="356">
        <f>J652/G652</f>
        <v>88.19047619047619</v>
      </c>
      <c r="L652" s="344">
        <f>I652/J652</f>
        <v>6.006479481641469</v>
      </c>
      <c r="M652" s="347">
        <f>413847+223134.5+144826+34457+11124</f>
        <v>827388.5</v>
      </c>
      <c r="N652" s="348">
        <f>50367+26840+18766+4967+1852</f>
        <v>102792</v>
      </c>
      <c r="O652" s="419">
        <f>+M652/N652</f>
        <v>8.04915265779438</v>
      </c>
    </row>
    <row r="653" spans="1:15" ht="15">
      <c r="A653" s="175">
        <v>650</v>
      </c>
      <c r="B653" s="415" t="s">
        <v>199</v>
      </c>
      <c r="C653" s="338">
        <v>39066</v>
      </c>
      <c r="D653" s="345" t="s">
        <v>455</v>
      </c>
      <c r="E653" s="345" t="s">
        <v>456</v>
      </c>
      <c r="F653" s="346">
        <v>51</v>
      </c>
      <c r="G653" s="346">
        <v>6</v>
      </c>
      <c r="H653" s="346">
        <v>7</v>
      </c>
      <c r="I653" s="335">
        <v>6963</v>
      </c>
      <c r="J653" s="336">
        <v>1244</v>
      </c>
      <c r="K653" s="356">
        <f>J653/G653</f>
        <v>207.33333333333334</v>
      </c>
      <c r="L653" s="344">
        <f>I653/J653</f>
        <v>5.597266881028939</v>
      </c>
      <c r="M653" s="347">
        <f>413847+223134.5+144826+34457+11124+4855+6963</f>
        <v>839206.5</v>
      </c>
      <c r="N653" s="348">
        <f>50367+26840+18766+4967+1852+788+1244</f>
        <v>104824</v>
      </c>
      <c r="O653" s="419">
        <f>+M653/N653</f>
        <v>8.00586220712814</v>
      </c>
    </row>
    <row r="654" spans="1:15" ht="15">
      <c r="A654" s="175">
        <v>651</v>
      </c>
      <c r="B654" s="415" t="s">
        <v>199</v>
      </c>
      <c r="C654" s="338">
        <v>39066</v>
      </c>
      <c r="D654" s="345" t="s">
        <v>455</v>
      </c>
      <c r="E654" s="345" t="s">
        <v>456</v>
      </c>
      <c r="F654" s="346">
        <v>51</v>
      </c>
      <c r="G654" s="346">
        <v>6</v>
      </c>
      <c r="H654" s="346">
        <v>6</v>
      </c>
      <c r="I654" s="335">
        <v>4855</v>
      </c>
      <c r="J654" s="336">
        <v>788</v>
      </c>
      <c r="K654" s="348">
        <f>J654/G654</f>
        <v>131.33333333333334</v>
      </c>
      <c r="L654" s="353">
        <f>I654/J654</f>
        <v>6.161167512690355</v>
      </c>
      <c r="M654" s="347">
        <f>413847+223134.5+144826+34457+11124+4855</f>
        <v>832243.5</v>
      </c>
      <c r="N654" s="348">
        <f>50367+26840+18766+4967+1852+788</f>
        <v>103580</v>
      </c>
      <c r="O654" s="420">
        <f>M654/N654</f>
        <v>8.0347895346592</v>
      </c>
    </row>
    <row r="655" spans="1:15" ht="15">
      <c r="A655" s="175">
        <v>652</v>
      </c>
      <c r="B655" s="415" t="s">
        <v>199</v>
      </c>
      <c r="C655" s="338">
        <v>39066</v>
      </c>
      <c r="D655" s="345" t="s">
        <v>455</v>
      </c>
      <c r="E655" s="362" t="s">
        <v>456</v>
      </c>
      <c r="F655" s="346">
        <v>51</v>
      </c>
      <c r="G655" s="346">
        <v>5</v>
      </c>
      <c r="H655" s="346">
        <v>9</v>
      </c>
      <c r="I655" s="335">
        <v>4250</v>
      </c>
      <c r="J655" s="336">
        <v>551</v>
      </c>
      <c r="K655" s="350">
        <f>J655/G655</f>
        <v>110.2</v>
      </c>
      <c r="L655" s="351">
        <f>I655/J655</f>
        <v>7.713248638838476</v>
      </c>
      <c r="M655" s="347">
        <f>413847+223134.5+144826+34457+11124+4855+6963+1425+4250</f>
        <v>844881.5</v>
      </c>
      <c r="N655" s="348">
        <f>50367+26840+18766+4967+1852+788+1244+168+551</f>
        <v>105543</v>
      </c>
      <c r="O655" s="423">
        <f>M655/N655</f>
        <v>8.005092711027732</v>
      </c>
    </row>
    <row r="656" spans="1:15" ht="15">
      <c r="A656" s="175">
        <v>653</v>
      </c>
      <c r="B656" s="415" t="s">
        <v>199</v>
      </c>
      <c r="C656" s="338">
        <v>39066</v>
      </c>
      <c r="D656" s="345" t="s">
        <v>455</v>
      </c>
      <c r="E656" s="345" t="s">
        <v>456</v>
      </c>
      <c r="F656" s="346">
        <v>51</v>
      </c>
      <c r="G656" s="346">
        <v>5</v>
      </c>
      <c r="H656" s="346">
        <v>10</v>
      </c>
      <c r="I656" s="335">
        <v>4097</v>
      </c>
      <c r="J656" s="336">
        <v>838</v>
      </c>
      <c r="K656" s="356">
        <f>J656/G656</f>
        <v>167.6</v>
      </c>
      <c r="L656" s="344">
        <f>I656/J656</f>
        <v>4.889021479713604</v>
      </c>
      <c r="M656" s="347">
        <f>413847+223134.5+144826+34457+11124+4855+6963+1425+4250+4097-648</f>
        <v>848330.5</v>
      </c>
      <c r="N656" s="348">
        <f>50367+26840+18766+4967+1852+788+1244+168+551+838-138</f>
        <v>106243</v>
      </c>
      <c r="O656" s="416">
        <f>IF(M656&lt;&gt;0,M656/N656,"")</f>
        <v>7.984813117099479</v>
      </c>
    </row>
    <row r="657" spans="1:15" ht="15">
      <c r="A657" s="175">
        <v>654</v>
      </c>
      <c r="B657" s="415" t="s">
        <v>199</v>
      </c>
      <c r="C657" s="338">
        <v>39066</v>
      </c>
      <c r="D657" s="345" t="s">
        <v>455</v>
      </c>
      <c r="E657" s="345" t="s">
        <v>456</v>
      </c>
      <c r="F657" s="346">
        <v>51</v>
      </c>
      <c r="G657" s="346">
        <v>4</v>
      </c>
      <c r="H657" s="346">
        <v>11</v>
      </c>
      <c r="I657" s="335">
        <v>1477</v>
      </c>
      <c r="J657" s="336">
        <v>305</v>
      </c>
      <c r="K657" s="340">
        <f>IF(I657&lt;&gt;0,J657/G657,"")</f>
        <v>76.25</v>
      </c>
      <c r="L657" s="341">
        <f>IF(I657&lt;&gt;0,I657/J657,"")</f>
        <v>4.842622950819672</v>
      </c>
      <c r="M657" s="347">
        <f>413847+223134.5+144826+34457+11124+4855+6963+1425+4250+4097-648+1477</f>
        <v>849807.5</v>
      </c>
      <c r="N657" s="348">
        <f>50367+26840+18766+4967+1852+788+1244+168+551+838-138+305</f>
        <v>106548</v>
      </c>
      <c r="O657" s="416">
        <f>IF(M657&lt;&gt;0,M657/N657,"")</f>
        <v>7.9758184104816605</v>
      </c>
    </row>
    <row r="658" spans="1:15" ht="15">
      <c r="A658" s="175">
        <v>655</v>
      </c>
      <c r="B658" s="415" t="s">
        <v>199</v>
      </c>
      <c r="C658" s="338">
        <v>39066</v>
      </c>
      <c r="D658" s="345" t="s">
        <v>455</v>
      </c>
      <c r="E658" s="345" t="s">
        <v>456</v>
      </c>
      <c r="F658" s="346">
        <v>51</v>
      </c>
      <c r="G658" s="346">
        <v>1</v>
      </c>
      <c r="H658" s="346">
        <v>8</v>
      </c>
      <c r="I658" s="335">
        <v>1425</v>
      </c>
      <c r="J658" s="336">
        <v>168</v>
      </c>
      <c r="K658" s="356">
        <f>J658/G658</f>
        <v>168</v>
      </c>
      <c r="L658" s="344">
        <f>I658/J658</f>
        <v>8.482142857142858</v>
      </c>
      <c r="M658" s="347">
        <f>413847+223134.5+144826+34457+11124+4855+6963+1425</f>
        <v>840631.5</v>
      </c>
      <c r="N658" s="348">
        <f>50367+26840+18766+4967+1852+788+1244+168</f>
        <v>104992</v>
      </c>
      <c r="O658" s="416">
        <f>IF(M658&lt;&gt;0,M658/N658,"")</f>
        <v>8.006624314233465</v>
      </c>
    </row>
    <row r="659" spans="1:15" ht="15">
      <c r="A659" s="175">
        <v>656</v>
      </c>
      <c r="B659" s="415" t="s">
        <v>199</v>
      </c>
      <c r="C659" s="338">
        <v>39066</v>
      </c>
      <c r="D659" s="345" t="s">
        <v>455</v>
      </c>
      <c r="E659" s="345" t="s">
        <v>456</v>
      </c>
      <c r="F659" s="346">
        <v>51</v>
      </c>
      <c r="G659" s="346">
        <v>1</v>
      </c>
      <c r="H659" s="346">
        <v>16</v>
      </c>
      <c r="I659" s="335">
        <v>402</v>
      </c>
      <c r="J659" s="336">
        <v>134</v>
      </c>
      <c r="K659" s="356">
        <f>J659/G659</f>
        <v>134</v>
      </c>
      <c r="L659" s="344">
        <f>I659/J659</f>
        <v>3</v>
      </c>
      <c r="M659" s="347">
        <f>413847+223134.5+144826+34457+11124+4855+6963+1425+4250+4097-648+1477+76+648+10+402</f>
        <v>850943.5</v>
      </c>
      <c r="N659" s="348">
        <f>50367+26840+18766+4967+1852+788+1244+168+551+838-138+305+19+138+1+134</f>
        <v>106840</v>
      </c>
      <c r="O659" s="419">
        <f>+M659/N659</f>
        <v>7.9646527517783605</v>
      </c>
    </row>
    <row r="660" spans="1:15" ht="15">
      <c r="A660" s="175">
        <v>657</v>
      </c>
      <c r="B660" s="415" t="s">
        <v>199</v>
      </c>
      <c r="C660" s="338">
        <v>39066</v>
      </c>
      <c r="D660" s="345" t="s">
        <v>455</v>
      </c>
      <c r="E660" s="345" t="s">
        <v>456</v>
      </c>
      <c r="F660" s="346">
        <v>51</v>
      </c>
      <c r="G660" s="346">
        <v>1</v>
      </c>
      <c r="H660" s="346">
        <v>12</v>
      </c>
      <c r="I660" s="335">
        <v>76</v>
      </c>
      <c r="J660" s="336">
        <v>19</v>
      </c>
      <c r="K660" s="356">
        <f>J660/G660</f>
        <v>19</v>
      </c>
      <c r="L660" s="344">
        <f>I660/J660</f>
        <v>4</v>
      </c>
      <c r="M660" s="347">
        <f>413847+223134.5+144826+34457+11124+4855+6963+1425+4250+4097-648+1477+76+648</f>
        <v>850531.5</v>
      </c>
      <c r="N660" s="348">
        <f>50367+26840+18766+4967+1852+788+1244+168+551+838-138+305+19+138</f>
        <v>106705</v>
      </c>
      <c r="O660" s="419">
        <f>+M660/N660</f>
        <v>7.97086828171126</v>
      </c>
    </row>
    <row r="661" spans="1:15" ht="15">
      <c r="A661" s="175">
        <v>658</v>
      </c>
      <c r="B661" s="417" t="s">
        <v>199</v>
      </c>
      <c r="C661" s="338">
        <v>39066</v>
      </c>
      <c r="D661" s="337" t="s">
        <v>455</v>
      </c>
      <c r="E661" s="337" t="s">
        <v>456</v>
      </c>
      <c r="F661" s="334">
        <v>51</v>
      </c>
      <c r="G661" s="334">
        <v>1</v>
      </c>
      <c r="H661" s="334">
        <v>14</v>
      </c>
      <c r="I661" s="335">
        <v>10</v>
      </c>
      <c r="J661" s="336">
        <v>1</v>
      </c>
      <c r="K661" s="350">
        <f>J661/G661</f>
        <v>1</v>
      </c>
      <c r="L661" s="351">
        <f>I661/J661</f>
        <v>10</v>
      </c>
      <c r="M661" s="347">
        <f>413847+223134.5+144826+34457+11124+4855+6963+1425+4250+4097-648+1477+76+648+10</f>
        <v>850541.5</v>
      </c>
      <c r="N661" s="348">
        <f>50367+26840+18766+4967+1852+788+1244+168+551+838-138+305+19+138+1</f>
        <v>106706</v>
      </c>
      <c r="O661" s="423">
        <f>M661/N661</f>
        <v>7.970887297808933</v>
      </c>
    </row>
    <row r="662" spans="1:15" ht="15">
      <c r="A662" s="175">
        <v>659</v>
      </c>
      <c r="B662" s="415" t="s">
        <v>209</v>
      </c>
      <c r="C662" s="338">
        <v>39066</v>
      </c>
      <c r="D662" s="345" t="s">
        <v>454</v>
      </c>
      <c r="E662" s="345" t="s">
        <v>461</v>
      </c>
      <c r="F662" s="346">
        <v>95</v>
      </c>
      <c r="G662" s="346">
        <v>91</v>
      </c>
      <c r="H662" s="346">
        <v>3</v>
      </c>
      <c r="I662" s="335">
        <v>464996</v>
      </c>
      <c r="J662" s="336">
        <v>59280</v>
      </c>
      <c r="K662" s="340">
        <f>IF(I662&lt;&gt;0,J662/G662,"")</f>
        <v>651.4285714285714</v>
      </c>
      <c r="L662" s="341">
        <f>IF(I662&lt;&gt;0,I662/J662,"")</f>
        <v>7.8440620782726045</v>
      </c>
      <c r="M662" s="347">
        <v>1542415</v>
      </c>
      <c r="N662" s="348">
        <v>197974</v>
      </c>
      <c r="O662" s="416">
        <f>IF(M662&lt;&gt;0,M662/N662,"")</f>
        <v>7.790997807792943</v>
      </c>
    </row>
    <row r="663" spans="1:15" ht="15">
      <c r="A663" s="175">
        <v>660</v>
      </c>
      <c r="B663" s="417" t="s">
        <v>209</v>
      </c>
      <c r="C663" s="338">
        <v>39066</v>
      </c>
      <c r="D663" s="337" t="s">
        <v>454</v>
      </c>
      <c r="E663" s="337" t="s">
        <v>461</v>
      </c>
      <c r="F663" s="334">
        <v>91</v>
      </c>
      <c r="G663" s="334">
        <v>87</v>
      </c>
      <c r="H663" s="334">
        <v>4</v>
      </c>
      <c r="I663" s="335">
        <v>113805</v>
      </c>
      <c r="J663" s="336">
        <v>17354</v>
      </c>
      <c r="K663" s="340">
        <f>IF(I663&lt;&gt;0,J663/G663,"")</f>
        <v>199.4712643678161</v>
      </c>
      <c r="L663" s="341">
        <f>IF(I663&lt;&gt;0,I663/J663,"")</f>
        <v>6.557854097038147</v>
      </c>
      <c r="M663" s="347">
        <v>1656220</v>
      </c>
      <c r="N663" s="348">
        <v>215328</v>
      </c>
      <c r="O663" s="420">
        <f>M663/N663</f>
        <v>7.6916146529945015</v>
      </c>
    </row>
    <row r="664" spans="1:15" ht="15">
      <c r="A664" s="175">
        <v>661</v>
      </c>
      <c r="B664" s="415" t="s">
        <v>209</v>
      </c>
      <c r="C664" s="338">
        <v>39066</v>
      </c>
      <c r="D664" s="345" t="s">
        <v>454</v>
      </c>
      <c r="E664" s="345" t="s">
        <v>461</v>
      </c>
      <c r="F664" s="346">
        <v>91</v>
      </c>
      <c r="G664" s="346">
        <v>61</v>
      </c>
      <c r="H664" s="346">
        <v>5</v>
      </c>
      <c r="I664" s="335">
        <v>53915</v>
      </c>
      <c r="J664" s="336">
        <v>10777</v>
      </c>
      <c r="K664" s="340">
        <f>+J664/G664</f>
        <v>176.672131147541</v>
      </c>
      <c r="L664" s="344">
        <f>I664/J664</f>
        <v>5.002783706040642</v>
      </c>
      <c r="M664" s="347">
        <v>1710135</v>
      </c>
      <c r="N664" s="348">
        <v>226105</v>
      </c>
      <c r="O664" s="419">
        <f>+M664/N664</f>
        <v>7.563455031954181</v>
      </c>
    </row>
    <row r="665" spans="1:15" ht="15">
      <c r="A665" s="175">
        <v>662</v>
      </c>
      <c r="B665" s="415" t="s">
        <v>209</v>
      </c>
      <c r="C665" s="338">
        <v>39066</v>
      </c>
      <c r="D665" s="345" t="s">
        <v>454</v>
      </c>
      <c r="E665" s="345" t="s">
        <v>461</v>
      </c>
      <c r="F665" s="346">
        <v>91</v>
      </c>
      <c r="G665" s="346">
        <v>32</v>
      </c>
      <c r="H665" s="346">
        <v>6</v>
      </c>
      <c r="I665" s="335">
        <v>25324</v>
      </c>
      <c r="J665" s="336">
        <v>4706</v>
      </c>
      <c r="K665" s="340">
        <f>IF(I665&lt;&gt;0,J665/G665,"")</f>
        <v>147.0625</v>
      </c>
      <c r="L665" s="341">
        <f>IF(I665&lt;&gt;0,I665/J665,"")</f>
        <v>5.3812154696132595</v>
      </c>
      <c r="M665" s="347">
        <v>1735459</v>
      </c>
      <c r="N665" s="348">
        <v>230811</v>
      </c>
      <c r="O665" s="419">
        <f>+M665/N665</f>
        <v>7.518961401319695</v>
      </c>
    </row>
    <row r="666" spans="1:15" ht="15">
      <c r="A666" s="175">
        <v>663</v>
      </c>
      <c r="B666" s="415" t="s">
        <v>209</v>
      </c>
      <c r="C666" s="338">
        <v>39066</v>
      </c>
      <c r="D666" s="345" t="s">
        <v>454</v>
      </c>
      <c r="E666" s="345" t="s">
        <v>461</v>
      </c>
      <c r="F666" s="346">
        <v>91</v>
      </c>
      <c r="G666" s="346">
        <v>22</v>
      </c>
      <c r="H666" s="346">
        <v>8</v>
      </c>
      <c r="I666" s="335">
        <v>18828</v>
      </c>
      <c r="J666" s="336">
        <v>3600</v>
      </c>
      <c r="K666" s="356">
        <f aca="true" t="shared" si="84" ref="K666:K671">J666/G666</f>
        <v>163.63636363636363</v>
      </c>
      <c r="L666" s="344">
        <f aca="true" t="shared" si="85" ref="L666:L671">I666/J666</f>
        <v>5.23</v>
      </c>
      <c r="M666" s="347">
        <v>1768437</v>
      </c>
      <c r="N666" s="348">
        <v>237291</v>
      </c>
      <c r="O666" s="419">
        <f>+M666/N666</f>
        <v>7.4526088220792195</v>
      </c>
    </row>
    <row r="667" spans="1:15" ht="15">
      <c r="A667" s="175">
        <v>664</v>
      </c>
      <c r="B667" s="415" t="s">
        <v>209</v>
      </c>
      <c r="C667" s="338">
        <v>39066</v>
      </c>
      <c r="D667" s="345" t="s">
        <v>454</v>
      </c>
      <c r="E667" s="345" t="s">
        <v>461</v>
      </c>
      <c r="F667" s="346">
        <v>91</v>
      </c>
      <c r="G667" s="346">
        <v>24</v>
      </c>
      <c r="H667" s="346">
        <v>7</v>
      </c>
      <c r="I667" s="335">
        <v>13632</v>
      </c>
      <c r="J667" s="336">
        <v>2800</v>
      </c>
      <c r="K667" s="356">
        <f t="shared" si="84"/>
        <v>116.66666666666667</v>
      </c>
      <c r="L667" s="344">
        <f t="shared" si="85"/>
        <v>4.868571428571428</v>
      </c>
      <c r="M667" s="347">
        <v>1749105</v>
      </c>
      <c r="N667" s="348">
        <v>233613</v>
      </c>
      <c r="O667" s="419">
        <f>+M667/N667</f>
        <v>7.4871903532765725</v>
      </c>
    </row>
    <row r="668" spans="1:15" ht="15">
      <c r="A668" s="175">
        <v>665</v>
      </c>
      <c r="B668" s="415" t="s">
        <v>209</v>
      </c>
      <c r="C668" s="338">
        <v>39066</v>
      </c>
      <c r="D668" s="345" t="s">
        <v>454</v>
      </c>
      <c r="E668" s="345" t="s">
        <v>461</v>
      </c>
      <c r="F668" s="346">
        <v>91</v>
      </c>
      <c r="G668" s="346">
        <v>13</v>
      </c>
      <c r="H668" s="346">
        <v>9</v>
      </c>
      <c r="I668" s="335">
        <v>7655</v>
      </c>
      <c r="J668" s="336">
        <v>1253</v>
      </c>
      <c r="K668" s="356">
        <f t="shared" si="84"/>
        <v>96.38461538461539</v>
      </c>
      <c r="L668" s="344">
        <f t="shared" si="85"/>
        <v>6.109337589784517</v>
      </c>
      <c r="M668" s="347">
        <v>1776092</v>
      </c>
      <c r="N668" s="348">
        <v>238544</v>
      </c>
      <c r="O668" s="416">
        <f>IF(M668&lt;&gt;0,M668/N668,"")</f>
        <v>7.445553021664766</v>
      </c>
    </row>
    <row r="669" spans="1:15" ht="15">
      <c r="A669" s="175">
        <v>666</v>
      </c>
      <c r="B669" s="415" t="s">
        <v>209</v>
      </c>
      <c r="C669" s="338">
        <v>39066</v>
      </c>
      <c r="D669" s="345" t="s">
        <v>454</v>
      </c>
      <c r="E669" s="345" t="s">
        <v>461</v>
      </c>
      <c r="F669" s="346">
        <v>91</v>
      </c>
      <c r="G669" s="346">
        <v>7</v>
      </c>
      <c r="H669" s="346">
        <v>10</v>
      </c>
      <c r="I669" s="335">
        <v>1899</v>
      </c>
      <c r="J669" s="336">
        <v>287</v>
      </c>
      <c r="K669" s="348">
        <f t="shared" si="84"/>
        <v>41</v>
      </c>
      <c r="L669" s="353">
        <f t="shared" si="85"/>
        <v>6.616724738675958</v>
      </c>
      <c r="M669" s="347">
        <v>1777991</v>
      </c>
      <c r="N669" s="348">
        <v>238831</v>
      </c>
      <c r="O669" s="416">
        <f>IF(M669&lt;&gt;0,M669/N669,"")</f>
        <v>7.444557029866307</v>
      </c>
    </row>
    <row r="670" spans="1:15" ht="15">
      <c r="A670" s="175">
        <v>667</v>
      </c>
      <c r="B670" s="418" t="s">
        <v>209</v>
      </c>
      <c r="C670" s="338">
        <v>39066</v>
      </c>
      <c r="D670" s="354" t="s">
        <v>454</v>
      </c>
      <c r="E670" s="354" t="s">
        <v>461</v>
      </c>
      <c r="F670" s="355">
        <v>91</v>
      </c>
      <c r="G670" s="355">
        <v>1</v>
      </c>
      <c r="H670" s="355">
        <v>14</v>
      </c>
      <c r="I670" s="335">
        <v>1750</v>
      </c>
      <c r="J670" s="336">
        <v>525</v>
      </c>
      <c r="K670" s="356">
        <f t="shared" si="84"/>
        <v>525</v>
      </c>
      <c r="L670" s="344">
        <f t="shared" si="85"/>
        <v>3.3333333333333335</v>
      </c>
      <c r="M670" s="347">
        <v>1782515</v>
      </c>
      <c r="N670" s="348">
        <v>239855</v>
      </c>
      <c r="O670" s="416">
        <f>IF(M670&lt;&gt;0,M670/N670,"")</f>
        <v>7.431635779950387</v>
      </c>
    </row>
    <row r="671" spans="1:15" ht="15">
      <c r="A671" s="175">
        <v>668</v>
      </c>
      <c r="B671" s="415" t="s">
        <v>209</v>
      </c>
      <c r="C671" s="338">
        <v>39066</v>
      </c>
      <c r="D671" s="345" t="s">
        <v>454</v>
      </c>
      <c r="E671" s="345" t="s">
        <v>461</v>
      </c>
      <c r="F671" s="346">
        <v>91</v>
      </c>
      <c r="G671" s="346">
        <v>1</v>
      </c>
      <c r="H671" s="346">
        <v>33</v>
      </c>
      <c r="I671" s="335">
        <v>1312</v>
      </c>
      <c r="J671" s="336">
        <v>164</v>
      </c>
      <c r="K671" s="350">
        <f t="shared" si="84"/>
        <v>164</v>
      </c>
      <c r="L671" s="351">
        <f t="shared" si="85"/>
        <v>8</v>
      </c>
      <c r="M671" s="347">
        <v>1784417</v>
      </c>
      <c r="N671" s="348">
        <v>240219</v>
      </c>
      <c r="O671" s="423">
        <f>M671/N671</f>
        <v>7.428292516412108</v>
      </c>
    </row>
    <row r="672" spans="1:15" ht="15">
      <c r="A672" s="175">
        <v>669</v>
      </c>
      <c r="B672" s="415" t="s">
        <v>209</v>
      </c>
      <c r="C672" s="338">
        <v>39066</v>
      </c>
      <c r="D672" s="345" t="s">
        <v>454</v>
      </c>
      <c r="E672" s="345" t="s">
        <v>459</v>
      </c>
      <c r="F672" s="346">
        <v>91</v>
      </c>
      <c r="G672" s="346">
        <v>2</v>
      </c>
      <c r="H672" s="346">
        <v>13</v>
      </c>
      <c r="I672" s="335">
        <v>1214</v>
      </c>
      <c r="J672" s="336">
        <v>237</v>
      </c>
      <c r="K672" s="340">
        <f>IF(I672&lt;&gt;0,J672/G672,"")</f>
        <v>118.5</v>
      </c>
      <c r="L672" s="341">
        <f>IF(I672&lt;&gt;0,I672/J672,"")</f>
        <v>5.122362869198312</v>
      </c>
      <c r="M672" s="347">
        <v>1780765</v>
      </c>
      <c r="N672" s="348">
        <v>239330</v>
      </c>
      <c r="O672" s="419">
        <f>+M672/N672</f>
        <v>7.440625914009944</v>
      </c>
    </row>
    <row r="673" spans="1:15" ht="15">
      <c r="A673" s="175">
        <v>670</v>
      </c>
      <c r="B673" s="415" t="s">
        <v>209</v>
      </c>
      <c r="C673" s="338">
        <v>39066</v>
      </c>
      <c r="D673" s="345" t="s">
        <v>454</v>
      </c>
      <c r="E673" s="345" t="s">
        <v>459</v>
      </c>
      <c r="F673" s="346">
        <v>91</v>
      </c>
      <c r="G673" s="346">
        <v>3</v>
      </c>
      <c r="H673" s="346">
        <v>11</v>
      </c>
      <c r="I673" s="335">
        <v>1004</v>
      </c>
      <c r="J673" s="336">
        <v>160</v>
      </c>
      <c r="K673" s="356">
        <f>J673/G673</f>
        <v>53.333333333333336</v>
      </c>
      <c r="L673" s="344">
        <f>I673/J673</f>
        <v>6.275</v>
      </c>
      <c r="M673" s="347">
        <v>1779477</v>
      </c>
      <c r="N673" s="348">
        <v>239088</v>
      </c>
      <c r="O673" s="419">
        <f>+M673/N673</f>
        <v>7.4427700260991765</v>
      </c>
    </row>
    <row r="674" spans="1:15" ht="15">
      <c r="A674" s="175">
        <v>671</v>
      </c>
      <c r="B674" s="415" t="s">
        <v>209</v>
      </c>
      <c r="C674" s="338">
        <v>39066</v>
      </c>
      <c r="D674" s="345" t="s">
        <v>454</v>
      </c>
      <c r="E674" s="345" t="s">
        <v>461</v>
      </c>
      <c r="F674" s="346">
        <v>91</v>
      </c>
      <c r="G674" s="346">
        <v>2</v>
      </c>
      <c r="H674" s="346">
        <v>42</v>
      </c>
      <c r="I674" s="335">
        <v>684</v>
      </c>
      <c r="J674" s="336">
        <v>249</v>
      </c>
      <c r="K674" s="367">
        <f>J674/G674</f>
        <v>124.5</v>
      </c>
      <c r="L674" s="360">
        <f>I674/J674</f>
        <v>2.746987951807229</v>
      </c>
      <c r="M674" s="347">
        <v>1785133</v>
      </c>
      <c r="N674" s="348">
        <v>240476</v>
      </c>
      <c r="O674" s="423">
        <f>M674/N674</f>
        <v>7.423331226400971</v>
      </c>
    </row>
    <row r="675" spans="1:15" ht="15">
      <c r="A675" s="175">
        <v>672</v>
      </c>
      <c r="B675" s="415" t="s">
        <v>209</v>
      </c>
      <c r="C675" s="338">
        <v>39066</v>
      </c>
      <c r="D675" s="345" t="s">
        <v>454</v>
      </c>
      <c r="E675" s="345" t="s">
        <v>461</v>
      </c>
      <c r="F675" s="346">
        <v>91</v>
      </c>
      <c r="G675" s="346">
        <v>5</v>
      </c>
      <c r="H675" s="346">
        <v>11</v>
      </c>
      <c r="I675" s="335">
        <v>482</v>
      </c>
      <c r="J675" s="336">
        <v>91</v>
      </c>
      <c r="K675" s="340">
        <f>IF(I675&lt;&gt;0,J675/G675,"")</f>
        <v>18.2</v>
      </c>
      <c r="L675" s="341">
        <f>IF(I675&lt;&gt;0,I675/J675,"")</f>
        <v>5.2967032967032965</v>
      </c>
      <c r="M675" s="347">
        <v>1778473</v>
      </c>
      <c r="N675" s="348">
        <v>238922</v>
      </c>
      <c r="O675" s="416">
        <f>IF(M675&lt;&gt;0,M675/N675,"")</f>
        <v>7.443738960832405</v>
      </c>
    </row>
    <row r="676" spans="1:15" ht="15">
      <c r="A676" s="175">
        <v>673</v>
      </c>
      <c r="B676" s="415" t="s">
        <v>209</v>
      </c>
      <c r="C676" s="338">
        <v>39066</v>
      </c>
      <c r="D676" s="345" t="s">
        <v>454</v>
      </c>
      <c r="E676" s="345" t="s">
        <v>461</v>
      </c>
      <c r="F676" s="346">
        <v>91</v>
      </c>
      <c r="G676" s="346">
        <v>1</v>
      </c>
      <c r="H676" s="346">
        <v>43</v>
      </c>
      <c r="I676" s="335">
        <v>319</v>
      </c>
      <c r="J676" s="336">
        <v>118</v>
      </c>
      <c r="K676" s="350">
        <f aca="true" t="shared" si="86" ref="K676:K682">J676/G676</f>
        <v>118</v>
      </c>
      <c r="L676" s="351">
        <f aca="true" t="shared" si="87" ref="L676:L682">I676/J676</f>
        <v>2.7033898305084745</v>
      </c>
      <c r="M676" s="347">
        <v>1785452</v>
      </c>
      <c r="N676" s="348">
        <v>240594</v>
      </c>
      <c r="O676" s="416">
        <f>+M676/N676</f>
        <v>7.421016317946416</v>
      </c>
    </row>
    <row r="677" spans="1:15" ht="15">
      <c r="A677" s="175">
        <v>674</v>
      </c>
      <c r="B677" s="415" t="s">
        <v>209</v>
      </c>
      <c r="C677" s="338">
        <v>39066</v>
      </c>
      <c r="D677" s="345" t="s">
        <v>454</v>
      </c>
      <c r="E677" s="345" t="s">
        <v>459</v>
      </c>
      <c r="F677" s="346">
        <v>91</v>
      </c>
      <c r="G677" s="346">
        <v>2</v>
      </c>
      <c r="H677" s="346">
        <v>12</v>
      </c>
      <c r="I677" s="335">
        <v>74</v>
      </c>
      <c r="J677" s="336">
        <v>11</v>
      </c>
      <c r="K677" s="356">
        <f t="shared" si="86"/>
        <v>5.5</v>
      </c>
      <c r="L677" s="344">
        <f t="shared" si="87"/>
        <v>6.7272727272727275</v>
      </c>
      <c r="M677" s="347">
        <v>1779551</v>
      </c>
      <c r="N677" s="348">
        <v>239093</v>
      </c>
      <c r="O677" s="419">
        <f>+M677/N677</f>
        <v>7.442923883175166</v>
      </c>
    </row>
    <row r="678" spans="1:15" ht="15">
      <c r="A678" s="175">
        <v>675</v>
      </c>
      <c r="B678" s="415" t="s">
        <v>209</v>
      </c>
      <c r="C678" s="338">
        <v>39066</v>
      </c>
      <c r="D678" s="345" t="s">
        <v>454</v>
      </c>
      <c r="E678" s="345" t="s">
        <v>461</v>
      </c>
      <c r="F678" s="346">
        <v>91</v>
      </c>
      <c r="G678" s="346">
        <v>1</v>
      </c>
      <c r="H678" s="346">
        <v>41</v>
      </c>
      <c r="I678" s="335">
        <v>32</v>
      </c>
      <c r="J678" s="336">
        <v>8</v>
      </c>
      <c r="K678" s="356">
        <f t="shared" si="86"/>
        <v>8</v>
      </c>
      <c r="L678" s="344">
        <f t="shared" si="87"/>
        <v>4</v>
      </c>
      <c r="M678" s="347">
        <v>1784449</v>
      </c>
      <c r="N678" s="348">
        <v>240227</v>
      </c>
      <c r="O678" s="425">
        <f>M678/N678</f>
        <v>7.428178347979203</v>
      </c>
    </row>
    <row r="679" spans="1:15" ht="15">
      <c r="A679" s="175">
        <v>676</v>
      </c>
      <c r="B679" s="418" t="s">
        <v>256</v>
      </c>
      <c r="C679" s="338">
        <v>39066</v>
      </c>
      <c r="D679" s="357" t="s">
        <v>277</v>
      </c>
      <c r="E679" s="352" t="s">
        <v>341</v>
      </c>
      <c r="F679" s="358">
        <v>1</v>
      </c>
      <c r="G679" s="358">
        <v>1</v>
      </c>
      <c r="H679" s="358">
        <v>9</v>
      </c>
      <c r="I679" s="335">
        <v>1664</v>
      </c>
      <c r="J679" s="336">
        <v>416</v>
      </c>
      <c r="K679" s="356">
        <f t="shared" si="86"/>
        <v>416</v>
      </c>
      <c r="L679" s="353">
        <f t="shared" si="87"/>
        <v>4</v>
      </c>
      <c r="M679" s="347">
        <f>14477.5+2970+1782+212+268+420+1068+793+147+1664</f>
        <v>23801.5</v>
      </c>
      <c r="N679" s="348">
        <f>2638+495+297+23+28+84+267+109+36+416</f>
        <v>4393</v>
      </c>
      <c r="O679" s="419">
        <f>+M679/N679</f>
        <v>5.4180514454814475</v>
      </c>
    </row>
    <row r="680" spans="1:15" ht="15">
      <c r="A680" s="175">
        <v>677</v>
      </c>
      <c r="B680" s="418" t="s">
        <v>256</v>
      </c>
      <c r="C680" s="338">
        <v>39066</v>
      </c>
      <c r="D680" s="357" t="s">
        <v>277</v>
      </c>
      <c r="E680" s="352" t="s">
        <v>341</v>
      </c>
      <c r="F680" s="358">
        <v>1</v>
      </c>
      <c r="G680" s="358">
        <v>1</v>
      </c>
      <c r="H680" s="358">
        <v>6</v>
      </c>
      <c r="I680" s="335">
        <v>1068</v>
      </c>
      <c r="J680" s="336">
        <v>267</v>
      </c>
      <c r="K680" s="348">
        <f t="shared" si="86"/>
        <v>267</v>
      </c>
      <c r="L680" s="353">
        <f t="shared" si="87"/>
        <v>4</v>
      </c>
      <c r="M680" s="347">
        <f>14477.5+2970+1782+212+268+420+1068</f>
        <v>21197.5</v>
      </c>
      <c r="N680" s="348">
        <f>2638+495+297+23+28+84+267</f>
        <v>3832</v>
      </c>
      <c r="O680" s="416">
        <f>IF(M680&lt;&gt;0,M680/N680,"")</f>
        <v>5.531706680584551</v>
      </c>
    </row>
    <row r="681" spans="1:15" ht="15">
      <c r="A681" s="175">
        <v>678</v>
      </c>
      <c r="B681" s="418" t="s">
        <v>256</v>
      </c>
      <c r="C681" s="338">
        <v>39066</v>
      </c>
      <c r="D681" s="354" t="s">
        <v>277</v>
      </c>
      <c r="E681" s="354" t="s">
        <v>341</v>
      </c>
      <c r="F681" s="355">
        <v>1</v>
      </c>
      <c r="G681" s="355">
        <v>1</v>
      </c>
      <c r="H681" s="355">
        <v>7</v>
      </c>
      <c r="I681" s="335">
        <v>793</v>
      </c>
      <c r="J681" s="336">
        <v>109</v>
      </c>
      <c r="K681" s="356">
        <f t="shared" si="86"/>
        <v>109</v>
      </c>
      <c r="L681" s="344">
        <f t="shared" si="87"/>
        <v>7.275229357798165</v>
      </c>
      <c r="M681" s="347">
        <f>14477.5+2970+1782+212+268+420+1068+793</f>
        <v>21990.5</v>
      </c>
      <c r="N681" s="348">
        <f>2638+495+297+23+28+84+267+109</f>
        <v>3941</v>
      </c>
      <c r="O681" s="419">
        <f>+M681/N681</f>
        <v>5.5799289520426285</v>
      </c>
    </row>
    <row r="682" spans="1:15" ht="15">
      <c r="A682" s="175">
        <v>679</v>
      </c>
      <c r="B682" s="418" t="s">
        <v>256</v>
      </c>
      <c r="C682" s="338">
        <v>39066</v>
      </c>
      <c r="D682" s="357" t="s">
        <v>277</v>
      </c>
      <c r="E682" s="345" t="s">
        <v>341</v>
      </c>
      <c r="F682" s="358">
        <v>1</v>
      </c>
      <c r="G682" s="358">
        <v>1</v>
      </c>
      <c r="H682" s="358">
        <v>5</v>
      </c>
      <c r="I682" s="335">
        <v>420</v>
      </c>
      <c r="J682" s="336">
        <v>84</v>
      </c>
      <c r="K682" s="348">
        <f t="shared" si="86"/>
        <v>84</v>
      </c>
      <c r="L682" s="353">
        <f t="shared" si="87"/>
        <v>5</v>
      </c>
      <c r="M682" s="347">
        <f>14477.5+2970+1782+212+268+420</f>
        <v>20129.5</v>
      </c>
      <c r="N682" s="348">
        <f>2638+495+297+23+28+84</f>
        <v>3565</v>
      </c>
      <c r="O682" s="420">
        <f>M682/N682</f>
        <v>5.646423562412342</v>
      </c>
    </row>
    <row r="683" spans="1:15" ht="15">
      <c r="A683" s="175">
        <v>680</v>
      </c>
      <c r="B683" s="417" t="s">
        <v>256</v>
      </c>
      <c r="C683" s="338">
        <v>39066</v>
      </c>
      <c r="D683" s="337" t="s">
        <v>277</v>
      </c>
      <c r="E683" s="337" t="s">
        <v>341</v>
      </c>
      <c r="F683" s="334">
        <v>1</v>
      </c>
      <c r="G683" s="334">
        <v>1</v>
      </c>
      <c r="H683" s="334">
        <v>4</v>
      </c>
      <c r="I683" s="335">
        <v>268</v>
      </c>
      <c r="J683" s="336">
        <v>28</v>
      </c>
      <c r="K683" s="340">
        <f>IF(I683&lt;&gt;0,J683/G683,"")</f>
        <v>28</v>
      </c>
      <c r="L683" s="341">
        <f>IF(I683&lt;&gt;0,I683/J683,"")</f>
        <v>9.571428571428571</v>
      </c>
      <c r="M683" s="347">
        <f>14477.5+2970+1782+212+268</f>
        <v>19709.5</v>
      </c>
      <c r="N683" s="348">
        <f>2638+495+297+23+28</f>
        <v>3481</v>
      </c>
      <c r="O683" s="420">
        <f>M683/N683</f>
        <v>5.6620224073542085</v>
      </c>
    </row>
    <row r="684" spans="1:15" ht="15">
      <c r="A684" s="175">
        <v>681</v>
      </c>
      <c r="B684" s="418" t="s">
        <v>256</v>
      </c>
      <c r="C684" s="338">
        <v>39066</v>
      </c>
      <c r="D684" s="357" t="s">
        <v>277</v>
      </c>
      <c r="E684" s="345" t="s">
        <v>341</v>
      </c>
      <c r="F684" s="358">
        <v>1</v>
      </c>
      <c r="G684" s="358">
        <v>1</v>
      </c>
      <c r="H684" s="358">
        <v>10</v>
      </c>
      <c r="I684" s="335">
        <v>235</v>
      </c>
      <c r="J684" s="336">
        <v>41</v>
      </c>
      <c r="K684" s="348">
        <f aca="true" t="shared" si="88" ref="K684:K701">J684/G684</f>
        <v>41</v>
      </c>
      <c r="L684" s="353">
        <f aca="true" t="shared" si="89" ref="L684:L701">I684/J684</f>
        <v>5.7317073170731705</v>
      </c>
      <c r="M684" s="347">
        <f>14477.5+2970+1782+212+268+420+1068+793+147+1664+235</f>
        <v>24036.5</v>
      </c>
      <c r="N684" s="348">
        <f>2638+495+297+23+28+84+267+109+36+416+41</f>
        <v>4434</v>
      </c>
      <c r="O684" s="420">
        <f>M684/N684</f>
        <v>5.420951736580966</v>
      </c>
    </row>
    <row r="685" spans="1:15" ht="15">
      <c r="A685" s="175">
        <v>682</v>
      </c>
      <c r="B685" s="418" t="s">
        <v>256</v>
      </c>
      <c r="C685" s="338">
        <v>39066</v>
      </c>
      <c r="D685" s="357" t="s">
        <v>277</v>
      </c>
      <c r="E685" s="352" t="s">
        <v>341</v>
      </c>
      <c r="F685" s="358">
        <v>1</v>
      </c>
      <c r="G685" s="358">
        <v>1</v>
      </c>
      <c r="H685" s="358">
        <v>3</v>
      </c>
      <c r="I685" s="335">
        <v>212</v>
      </c>
      <c r="J685" s="336">
        <v>23</v>
      </c>
      <c r="K685" s="348">
        <f t="shared" si="88"/>
        <v>23</v>
      </c>
      <c r="L685" s="353">
        <f t="shared" si="89"/>
        <v>9.217391304347826</v>
      </c>
      <c r="M685" s="347">
        <f>14477.5+2970+1782+212</f>
        <v>19441.5</v>
      </c>
      <c r="N685" s="348">
        <f>2638+495+297+23</f>
        <v>3453</v>
      </c>
      <c r="O685" s="416">
        <f>IF(M685&lt;&gt;0,M685/N685,"")</f>
        <v>5.6303214596003475</v>
      </c>
    </row>
    <row r="686" spans="1:15" ht="15">
      <c r="A686" s="175">
        <v>683</v>
      </c>
      <c r="B686" s="417" t="s">
        <v>256</v>
      </c>
      <c r="C686" s="338">
        <v>39066</v>
      </c>
      <c r="D686" s="337" t="s">
        <v>277</v>
      </c>
      <c r="E686" s="345" t="s">
        <v>341</v>
      </c>
      <c r="F686" s="334">
        <v>1</v>
      </c>
      <c r="G686" s="334">
        <v>1</v>
      </c>
      <c r="H686" s="334">
        <v>8</v>
      </c>
      <c r="I686" s="335">
        <v>147</v>
      </c>
      <c r="J686" s="336">
        <v>36</v>
      </c>
      <c r="K686" s="348">
        <f t="shared" si="88"/>
        <v>36</v>
      </c>
      <c r="L686" s="353">
        <f t="shared" si="89"/>
        <v>4.083333333333333</v>
      </c>
      <c r="M686" s="347">
        <f>14477.5+2970+1782+212+268+420+1068+793+147</f>
        <v>22137.5</v>
      </c>
      <c r="N686" s="348">
        <f>2638+495+297+23+28+84+267+109+36</f>
        <v>3977</v>
      </c>
      <c r="O686" s="420">
        <f>M686/N686</f>
        <v>5.566381694744782</v>
      </c>
    </row>
    <row r="687" spans="1:15" ht="15">
      <c r="A687" s="175">
        <v>684</v>
      </c>
      <c r="B687" s="424" t="s">
        <v>93</v>
      </c>
      <c r="C687" s="359">
        <v>39066</v>
      </c>
      <c r="D687" s="379" t="s">
        <v>453</v>
      </c>
      <c r="E687" s="362" t="s">
        <v>466</v>
      </c>
      <c r="F687" s="361">
        <v>40</v>
      </c>
      <c r="G687" s="361">
        <v>14</v>
      </c>
      <c r="H687" s="361">
        <v>3</v>
      </c>
      <c r="I687" s="331">
        <v>41071</v>
      </c>
      <c r="J687" s="332">
        <v>3570</v>
      </c>
      <c r="K687" s="356">
        <f t="shared" si="88"/>
        <v>255</v>
      </c>
      <c r="L687" s="344">
        <f t="shared" si="89"/>
        <v>11.504481792717087</v>
      </c>
      <c r="M687" s="342">
        <f>257213+151003+41071</f>
        <v>449287</v>
      </c>
      <c r="N687" s="343">
        <f>28845+15597+3570</f>
        <v>48012</v>
      </c>
      <c r="O687" s="419">
        <f aca="true" t="shared" si="90" ref="O687:O701">+M687/N687</f>
        <v>9.357806381737898</v>
      </c>
    </row>
    <row r="688" spans="1:15" ht="15">
      <c r="A688" s="175">
        <v>685</v>
      </c>
      <c r="B688" s="421" t="s">
        <v>93</v>
      </c>
      <c r="C688" s="359">
        <v>39066</v>
      </c>
      <c r="D688" s="339" t="s">
        <v>453</v>
      </c>
      <c r="E688" s="339" t="s">
        <v>466</v>
      </c>
      <c r="F688" s="333">
        <v>40</v>
      </c>
      <c r="G688" s="333">
        <v>5</v>
      </c>
      <c r="H688" s="333">
        <v>4</v>
      </c>
      <c r="I688" s="331">
        <v>3039</v>
      </c>
      <c r="J688" s="332">
        <v>371</v>
      </c>
      <c r="K688" s="356">
        <f t="shared" si="88"/>
        <v>74.2</v>
      </c>
      <c r="L688" s="344">
        <f t="shared" si="89"/>
        <v>8.191374663072777</v>
      </c>
      <c r="M688" s="342">
        <f>257213+151003+41071+3039</f>
        <v>452326</v>
      </c>
      <c r="N688" s="343">
        <f>28845+15597+3570+371</f>
        <v>48383</v>
      </c>
      <c r="O688" s="419">
        <f t="shared" si="90"/>
        <v>9.348862203666577</v>
      </c>
    </row>
    <row r="689" spans="1:15" ht="15">
      <c r="A689" s="175">
        <v>686</v>
      </c>
      <c r="B689" s="424" t="s">
        <v>93</v>
      </c>
      <c r="C689" s="359">
        <v>39066</v>
      </c>
      <c r="D689" s="379" t="s">
        <v>453</v>
      </c>
      <c r="E689" s="362" t="s">
        <v>466</v>
      </c>
      <c r="F689" s="361">
        <v>40</v>
      </c>
      <c r="G689" s="361">
        <v>5</v>
      </c>
      <c r="H689" s="361">
        <v>6</v>
      </c>
      <c r="I689" s="331">
        <v>2600</v>
      </c>
      <c r="J689" s="332">
        <v>361</v>
      </c>
      <c r="K689" s="356">
        <f t="shared" si="88"/>
        <v>72.2</v>
      </c>
      <c r="L689" s="344">
        <f t="shared" si="89"/>
        <v>7.202216066481994</v>
      </c>
      <c r="M689" s="342">
        <f>257213+151003+41071+3039+1124+2600</f>
        <v>456050</v>
      </c>
      <c r="N689" s="343">
        <f>28845+15597+3570+371+164+361</f>
        <v>48908</v>
      </c>
      <c r="O689" s="419">
        <f t="shared" si="90"/>
        <v>9.324650363948638</v>
      </c>
    </row>
    <row r="690" spans="1:15" ht="15">
      <c r="A690" s="175">
        <v>687</v>
      </c>
      <c r="B690" s="422" t="s">
        <v>93</v>
      </c>
      <c r="C690" s="359">
        <v>39066</v>
      </c>
      <c r="D690" s="380" t="s">
        <v>453</v>
      </c>
      <c r="E690" s="380" t="s">
        <v>466</v>
      </c>
      <c r="F690" s="368">
        <v>40</v>
      </c>
      <c r="G690" s="368">
        <v>1</v>
      </c>
      <c r="H690" s="368">
        <v>14</v>
      </c>
      <c r="I690" s="331">
        <v>2186</v>
      </c>
      <c r="J690" s="332">
        <v>301</v>
      </c>
      <c r="K690" s="356">
        <f t="shared" si="88"/>
        <v>301</v>
      </c>
      <c r="L690" s="344">
        <f t="shared" si="89"/>
        <v>7.262458471760797</v>
      </c>
      <c r="M690" s="342">
        <f>257213+151003+41071+3039+1124+2600+762+234-1+751+237+161+2174+2174+2186</f>
        <v>464728</v>
      </c>
      <c r="N690" s="343">
        <f>28845+15597+3570+371+164+361+96+27+88+46+29+300+300+301</f>
        <v>50095</v>
      </c>
      <c r="O690" s="419">
        <f t="shared" si="90"/>
        <v>9.276933825731112</v>
      </c>
    </row>
    <row r="691" spans="1:15" ht="15">
      <c r="A691" s="175">
        <v>688</v>
      </c>
      <c r="B691" s="424" t="s">
        <v>93</v>
      </c>
      <c r="C691" s="359">
        <v>39066</v>
      </c>
      <c r="D691" s="379" t="s">
        <v>453</v>
      </c>
      <c r="E691" s="362" t="s">
        <v>466</v>
      </c>
      <c r="F691" s="361">
        <v>40</v>
      </c>
      <c r="G691" s="361">
        <v>1</v>
      </c>
      <c r="H691" s="361">
        <v>12</v>
      </c>
      <c r="I691" s="331">
        <v>2174</v>
      </c>
      <c r="J691" s="332">
        <v>300</v>
      </c>
      <c r="K691" s="356">
        <f t="shared" si="88"/>
        <v>300</v>
      </c>
      <c r="L691" s="344">
        <f t="shared" si="89"/>
        <v>7.246666666666667</v>
      </c>
      <c r="M691" s="342">
        <f>257213+151003+41071+3039+1124+2600+762+234-1+751+237+161+2174</f>
        <v>460368</v>
      </c>
      <c r="N691" s="343">
        <f>28845+15597+3570+371+164+361+96+27+88+46+29+300</f>
        <v>49494</v>
      </c>
      <c r="O691" s="419">
        <f t="shared" si="90"/>
        <v>9.30149108982907</v>
      </c>
    </row>
    <row r="692" spans="1:15" ht="15">
      <c r="A692" s="175">
        <v>689</v>
      </c>
      <c r="B692" s="424" t="s">
        <v>93</v>
      </c>
      <c r="C692" s="359">
        <v>39066</v>
      </c>
      <c r="D692" s="379" t="s">
        <v>453</v>
      </c>
      <c r="E692" s="362" t="s">
        <v>466</v>
      </c>
      <c r="F692" s="361">
        <v>40</v>
      </c>
      <c r="G692" s="361">
        <v>1</v>
      </c>
      <c r="H692" s="361">
        <v>13</v>
      </c>
      <c r="I692" s="331">
        <v>2174</v>
      </c>
      <c r="J692" s="332">
        <v>300</v>
      </c>
      <c r="K692" s="356">
        <f t="shared" si="88"/>
        <v>300</v>
      </c>
      <c r="L692" s="344">
        <f t="shared" si="89"/>
        <v>7.246666666666667</v>
      </c>
      <c r="M692" s="342">
        <f>257213+151003+41071+3039+1124+2600+762+234-1+751+237+161+2174+2174</f>
        <v>462542</v>
      </c>
      <c r="N692" s="343">
        <f>28845+15597+3570+371+164+361+96+27+88+46+29+300+300</f>
        <v>49794</v>
      </c>
      <c r="O692" s="419">
        <f t="shared" si="90"/>
        <v>9.2891111378881</v>
      </c>
    </row>
    <row r="693" spans="1:15" ht="15">
      <c r="A693" s="175">
        <v>690</v>
      </c>
      <c r="B693" s="424" t="s">
        <v>93</v>
      </c>
      <c r="C693" s="359">
        <v>39066</v>
      </c>
      <c r="D693" s="379" t="s">
        <v>453</v>
      </c>
      <c r="E693" s="362" t="s">
        <v>466</v>
      </c>
      <c r="F693" s="361">
        <v>40</v>
      </c>
      <c r="G693" s="361">
        <v>1</v>
      </c>
      <c r="H693" s="361">
        <v>17</v>
      </c>
      <c r="I693" s="331">
        <v>2014</v>
      </c>
      <c r="J693" s="332">
        <v>202</v>
      </c>
      <c r="K693" s="356">
        <f t="shared" si="88"/>
        <v>202</v>
      </c>
      <c r="L693" s="344">
        <f t="shared" si="89"/>
        <v>9.970297029702971</v>
      </c>
      <c r="M693" s="342">
        <f>257213+151003+41071+3039+1124+2600+762+234-1+751+237+161+2174+2174+2186+252+1487+2014</f>
        <v>468481</v>
      </c>
      <c r="N693" s="343">
        <f>28845+15597+3570+371+164+361+96+27+88+46+29+300+300+301+32+239+202</f>
        <v>50568</v>
      </c>
      <c r="O693" s="419">
        <f t="shared" si="90"/>
        <v>9.26437668090492</v>
      </c>
    </row>
    <row r="694" spans="1:15" ht="15">
      <c r="A694" s="175">
        <v>691</v>
      </c>
      <c r="B694" s="424" t="s">
        <v>93</v>
      </c>
      <c r="C694" s="359">
        <v>39066</v>
      </c>
      <c r="D694" s="379" t="s">
        <v>453</v>
      </c>
      <c r="E694" s="362" t="s">
        <v>466</v>
      </c>
      <c r="F694" s="361">
        <v>40</v>
      </c>
      <c r="G694" s="361">
        <v>2</v>
      </c>
      <c r="H694" s="361">
        <v>16</v>
      </c>
      <c r="I694" s="331">
        <v>1487</v>
      </c>
      <c r="J694" s="332">
        <v>239</v>
      </c>
      <c r="K694" s="356">
        <f t="shared" si="88"/>
        <v>119.5</v>
      </c>
      <c r="L694" s="344">
        <f t="shared" si="89"/>
        <v>6.2217573221757325</v>
      </c>
      <c r="M694" s="342">
        <f>257213+151003+41071+3039+1124+2600+762+234-1+751+237+161+2174+2174+2186+252+1487</f>
        <v>466467</v>
      </c>
      <c r="N694" s="343">
        <f>28845+15597+3570+371+164+361+96+27+88+46+29+300+300+301+32+239</f>
        <v>50366</v>
      </c>
      <c r="O694" s="419">
        <f t="shared" si="90"/>
        <v>9.261545487034905</v>
      </c>
    </row>
    <row r="695" spans="1:15" ht="15">
      <c r="A695" s="175">
        <v>692</v>
      </c>
      <c r="B695" s="424" t="s">
        <v>93</v>
      </c>
      <c r="C695" s="359">
        <v>39066</v>
      </c>
      <c r="D695" s="379" t="s">
        <v>453</v>
      </c>
      <c r="E695" s="362" t="s">
        <v>466</v>
      </c>
      <c r="F695" s="361">
        <v>40</v>
      </c>
      <c r="G695" s="361">
        <v>3</v>
      </c>
      <c r="H695" s="361">
        <v>5</v>
      </c>
      <c r="I695" s="331">
        <v>1124</v>
      </c>
      <c r="J695" s="332">
        <v>164</v>
      </c>
      <c r="K695" s="356">
        <f t="shared" si="88"/>
        <v>54.666666666666664</v>
      </c>
      <c r="L695" s="344">
        <f t="shared" si="89"/>
        <v>6.853658536585366</v>
      </c>
      <c r="M695" s="342">
        <f>257213+151003+41071+3039+1124</f>
        <v>453450</v>
      </c>
      <c r="N695" s="343">
        <f>28845+15597+3570+371+164</f>
        <v>48547</v>
      </c>
      <c r="O695" s="419">
        <f t="shared" si="90"/>
        <v>9.340432982470595</v>
      </c>
    </row>
    <row r="696" spans="1:15" ht="15">
      <c r="A696" s="175">
        <v>693</v>
      </c>
      <c r="B696" s="424" t="s">
        <v>93</v>
      </c>
      <c r="C696" s="359">
        <v>39066</v>
      </c>
      <c r="D696" s="379" t="s">
        <v>453</v>
      </c>
      <c r="E696" s="362" t="s">
        <v>466</v>
      </c>
      <c r="F696" s="361">
        <v>40</v>
      </c>
      <c r="G696" s="361">
        <v>2</v>
      </c>
      <c r="H696" s="361">
        <v>7</v>
      </c>
      <c r="I696" s="331">
        <v>762</v>
      </c>
      <c r="J696" s="332">
        <v>96</v>
      </c>
      <c r="K696" s="356">
        <f t="shared" si="88"/>
        <v>48</v>
      </c>
      <c r="L696" s="344">
        <f t="shared" si="89"/>
        <v>7.9375</v>
      </c>
      <c r="M696" s="342">
        <f>257213+151003+41071+3039+1124+2600+762</f>
        <v>456812</v>
      </c>
      <c r="N696" s="343">
        <f>28845+15597+3570+371+164+361+96</f>
        <v>49004</v>
      </c>
      <c r="O696" s="419">
        <f t="shared" si="90"/>
        <v>9.321932903436455</v>
      </c>
    </row>
    <row r="697" spans="1:15" ht="15">
      <c r="A697" s="175">
        <v>694</v>
      </c>
      <c r="B697" s="424" t="s">
        <v>93</v>
      </c>
      <c r="C697" s="359">
        <v>39066</v>
      </c>
      <c r="D697" s="379" t="s">
        <v>453</v>
      </c>
      <c r="E697" s="362" t="s">
        <v>466</v>
      </c>
      <c r="F697" s="361">
        <v>40</v>
      </c>
      <c r="G697" s="361">
        <v>1</v>
      </c>
      <c r="H697" s="361">
        <v>9</v>
      </c>
      <c r="I697" s="331">
        <v>751</v>
      </c>
      <c r="J697" s="332">
        <v>88</v>
      </c>
      <c r="K697" s="356">
        <f t="shared" si="88"/>
        <v>88</v>
      </c>
      <c r="L697" s="344">
        <f t="shared" si="89"/>
        <v>8.534090909090908</v>
      </c>
      <c r="M697" s="342">
        <f>257213+151003+41071+3039+1124+2600+762+234-1+751</f>
        <v>457796</v>
      </c>
      <c r="N697" s="343">
        <f>28845+15597+3570+371+164+361+96+27+88</f>
        <v>49119</v>
      </c>
      <c r="O697" s="419">
        <f t="shared" si="90"/>
        <v>9.320140882346953</v>
      </c>
    </row>
    <row r="698" spans="1:15" ht="15">
      <c r="A698" s="175">
        <v>695</v>
      </c>
      <c r="B698" s="421" t="s">
        <v>93</v>
      </c>
      <c r="C698" s="359">
        <v>39066</v>
      </c>
      <c r="D698" s="339" t="s">
        <v>453</v>
      </c>
      <c r="E698" s="339" t="s">
        <v>466</v>
      </c>
      <c r="F698" s="333">
        <v>40</v>
      </c>
      <c r="G698" s="333">
        <v>1</v>
      </c>
      <c r="H698" s="333">
        <v>15</v>
      </c>
      <c r="I698" s="331">
        <v>252</v>
      </c>
      <c r="J698" s="332">
        <v>32</v>
      </c>
      <c r="K698" s="356">
        <f t="shared" si="88"/>
        <v>32</v>
      </c>
      <c r="L698" s="344">
        <f t="shared" si="89"/>
        <v>7.875</v>
      </c>
      <c r="M698" s="342">
        <f>257213+151003+41071+3039+1124+2600+762+234-1+751+237+161+2174+2174+2186+252</f>
        <v>464980</v>
      </c>
      <c r="N698" s="343">
        <f>28845+15597+3570+371+164+361+96+27+88+46+29+300+300+301+32</f>
        <v>50127</v>
      </c>
      <c r="O698" s="419">
        <f t="shared" si="90"/>
        <v>9.276038861292317</v>
      </c>
    </row>
    <row r="699" spans="1:15" ht="15">
      <c r="A699" s="175">
        <v>696</v>
      </c>
      <c r="B699" s="424" t="s">
        <v>93</v>
      </c>
      <c r="C699" s="359">
        <v>39066</v>
      </c>
      <c r="D699" s="379" t="s">
        <v>453</v>
      </c>
      <c r="E699" s="362" t="s">
        <v>466</v>
      </c>
      <c r="F699" s="361">
        <v>40</v>
      </c>
      <c r="G699" s="361">
        <v>1</v>
      </c>
      <c r="H699" s="361">
        <v>10</v>
      </c>
      <c r="I699" s="331">
        <v>237</v>
      </c>
      <c r="J699" s="332">
        <v>46</v>
      </c>
      <c r="K699" s="356">
        <f t="shared" si="88"/>
        <v>46</v>
      </c>
      <c r="L699" s="344">
        <f t="shared" si="89"/>
        <v>5.1521739130434785</v>
      </c>
      <c r="M699" s="342">
        <f>257213+151003+41071+3039+1124+2600+762+234-1+751+237</f>
        <v>458033</v>
      </c>
      <c r="N699" s="343">
        <f>28845+15597+3570+371+164+361+96+27+88+46</f>
        <v>49165</v>
      </c>
      <c r="O699" s="419">
        <f t="shared" si="90"/>
        <v>9.31624122851622</v>
      </c>
    </row>
    <row r="700" spans="1:15" ht="15">
      <c r="A700" s="175">
        <v>697</v>
      </c>
      <c r="B700" s="424" t="s">
        <v>93</v>
      </c>
      <c r="C700" s="359">
        <v>39066</v>
      </c>
      <c r="D700" s="379" t="s">
        <v>453</v>
      </c>
      <c r="E700" s="362" t="s">
        <v>466</v>
      </c>
      <c r="F700" s="361">
        <v>40</v>
      </c>
      <c r="G700" s="361">
        <v>1</v>
      </c>
      <c r="H700" s="361">
        <v>8</v>
      </c>
      <c r="I700" s="331">
        <v>234</v>
      </c>
      <c r="J700" s="332">
        <v>27</v>
      </c>
      <c r="K700" s="356">
        <f t="shared" si="88"/>
        <v>27</v>
      </c>
      <c r="L700" s="344">
        <f t="shared" si="89"/>
        <v>8.666666666666666</v>
      </c>
      <c r="M700" s="342">
        <f>257213+151003+41071+3039+1124+2600+762+234-1</f>
        <v>457045</v>
      </c>
      <c r="N700" s="343">
        <f>28845+15597+3570+371+164+361+96+27</f>
        <v>49031</v>
      </c>
      <c r="O700" s="419">
        <f t="shared" si="90"/>
        <v>9.32155167139157</v>
      </c>
    </row>
    <row r="701" spans="1:15" ht="15">
      <c r="A701" s="175">
        <v>698</v>
      </c>
      <c r="B701" s="424" t="s">
        <v>93</v>
      </c>
      <c r="C701" s="359">
        <v>39066</v>
      </c>
      <c r="D701" s="379" t="s">
        <v>453</v>
      </c>
      <c r="E701" s="362" t="s">
        <v>466</v>
      </c>
      <c r="F701" s="361">
        <v>40</v>
      </c>
      <c r="G701" s="361">
        <v>1</v>
      </c>
      <c r="H701" s="361">
        <v>11</v>
      </c>
      <c r="I701" s="331">
        <v>161</v>
      </c>
      <c r="J701" s="332">
        <v>29</v>
      </c>
      <c r="K701" s="356">
        <f t="shared" si="88"/>
        <v>29</v>
      </c>
      <c r="L701" s="344">
        <f t="shared" si="89"/>
        <v>5.551724137931035</v>
      </c>
      <c r="M701" s="342">
        <f>257213+151003+41071+3039+1124+2600+762+234-1+751+237+161</f>
        <v>458194</v>
      </c>
      <c r="N701" s="343">
        <f>28845+15597+3570+371+164+361+96+27+88+46+29</f>
        <v>49194</v>
      </c>
      <c r="O701" s="419">
        <f t="shared" si="90"/>
        <v>9.314022035207545</v>
      </c>
    </row>
    <row r="702" spans="1:15" ht="15">
      <c r="A702" s="175">
        <v>699</v>
      </c>
      <c r="B702" s="415" t="s">
        <v>127</v>
      </c>
      <c r="C702" s="338">
        <v>39073</v>
      </c>
      <c r="D702" s="345" t="s">
        <v>525</v>
      </c>
      <c r="E702" s="345" t="s">
        <v>525</v>
      </c>
      <c r="F702" s="346">
        <v>51</v>
      </c>
      <c r="G702" s="346">
        <v>51</v>
      </c>
      <c r="H702" s="346">
        <v>2</v>
      </c>
      <c r="I702" s="335">
        <v>155630</v>
      </c>
      <c r="J702" s="336">
        <v>18932</v>
      </c>
      <c r="K702" s="340">
        <f>IF(I702&lt;&gt;0,J702/G702,"")</f>
        <v>371.2156862745098</v>
      </c>
      <c r="L702" s="341">
        <f>IF(I702&lt;&gt;0,I702/J702,"")</f>
        <v>8.220473272765688</v>
      </c>
      <c r="M702" s="347">
        <f>145565+155630</f>
        <v>301195</v>
      </c>
      <c r="N702" s="348">
        <f>17748+18932</f>
        <v>36680</v>
      </c>
      <c r="O702" s="416">
        <f>IF(M702&lt;&gt;0,M702/N702,"")</f>
        <v>8.211423118865866</v>
      </c>
    </row>
    <row r="703" spans="1:15" ht="15">
      <c r="A703" s="175">
        <v>700</v>
      </c>
      <c r="B703" s="415" t="s">
        <v>127</v>
      </c>
      <c r="C703" s="338">
        <v>39073</v>
      </c>
      <c r="D703" s="345" t="s">
        <v>525</v>
      </c>
      <c r="E703" s="345" t="s">
        <v>525</v>
      </c>
      <c r="F703" s="334">
        <v>51</v>
      </c>
      <c r="G703" s="334">
        <v>50</v>
      </c>
      <c r="H703" s="334">
        <v>3</v>
      </c>
      <c r="I703" s="335">
        <v>55982</v>
      </c>
      <c r="J703" s="336">
        <v>7628</v>
      </c>
      <c r="K703" s="340">
        <f>IF(I703&lt;&gt;0,J703/G703,"")</f>
        <v>152.56</v>
      </c>
      <c r="L703" s="341">
        <f>IF(I703&lt;&gt;0,I703/J703,"")</f>
        <v>7.339014158363923</v>
      </c>
      <c r="M703" s="347">
        <f>145565+155630+55982</f>
        <v>357177</v>
      </c>
      <c r="N703" s="348">
        <f>17748+18932+7628</f>
        <v>44308</v>
      </c>
      <c r="O703" s="416">
        <f>IF(M703&lt;&gt;0,M703/N703,"")</f>
        <v>8.061230477566127</v>
      </c>
    </row>
    <row r="704" spans="1:15" ht="15">
      <c r="A704" s="175">
        <v>701</v>
      </c>
      <c r="B704" s="415" t="s">
        <v>127</v>
      </c>
      <c r="C704" s="338">
        <v>39073</v>
      </c>
      <c r="D704" s="345" t="s">
        <v>525</v>
      </c>
      <c r="E704" s="345" t="s">
        <v>525</v>
      </c>
      <c r="F704" s="346">
        <v>51</v>
      </c>
      <c r="G704" s="346">
        <v>29</v>
      </c>
      <c r="H704" s="346">
        <v>4</v>
      </c>
      <c r="I704" s="335">
        <v>15271</v>
      </c>
      <c r="J704" s="336">
        <v>2641</v>
      </c>
      <c r="K704" s="356">
        <f aca="true" t="shared" si="91" ref="K704:K709">J704/G704</f>
        <v>91.06896551724138</v>
      </c>
      <c r="L704" s="344">
        <f aca="true" t="shared" si="92" ref="L704:L709">I704/J704</f>
        <v>5.78227943960621</v>
      </c>
      <c r="M704" s="347">
        <f>145565+155630+55982+15271</f>
        <v>372448</v>
      </c>
      <c r="N704" s="348">
        <f>17748+18932+7628+2641</f>
        <v>46949</v>
      </c>
      <c r="O704" s="419">
        <f>+M704/N704</f>
        <v>7.933033717438071</v>
      </c>
    </row>
    <row r="705" spans="1:15" ht="15">
      <c r="A705" s="175">
        <v>702</v>
      </c>
      <c r="B705" s="415" t="s">
        <v>127</v>
      </c>
      <c r="C705" s="338">
        <v>39073</v>
      </c>
      <c r="D705" s="345" t="s">
        <v>455</v>
      </c>
      <c r="E705" s="345" t="s">
        <v>525</v>
      </c>
      <c r="F705" s="346">
        <v>50</v>
      </c>
      <c r="G705" s="346">
        <v>22</v>
      </c>
      <c r="H705" s="346">
        <v>7</v>
      </c>
      <c r="I705" s="335">
        <v>11300.5</v>
      </c>
      <c r="J705" s="336">
        <v>2010</v>
      </c>
      <c r="K705" s="356">
        <f t="shared" si="91"/>
        <v>91.36363636363636</v>
      </c>
      <c r="L705" s="344">
        <f t="shared" si="92"/>
        <v>5.622139303482587</v>
      </c>
      <c r="M705" s="347">
        <f>145565+155630+55982+15271+7453.5+9440+11300.5</f>
        <v>400642</v>
      </c>
      <c r="N705" s="348">
        <f>17748+18932+7628+2641+1317+1724+2010</f>
        <v>52000</v>
      </c>
      <c r="O705" s="419">
        <f>+M705/N705</f>
        <v>7.704653846153846</v>
      </c>
    </row>
    <row r="706" spans="1:15" ht="15">
      <c r="A706" s="175">
        <v>703</v>
      </c>
      <c r="B706" s="415" t="s">
        <v>127</v>
      </c>
      <c r="C706" s="338">
        <v>39073</v>
      </c>
      <c r="D706" s="345" t="s">
        <v>525</v>
      </c>
      <c r="E706" s="345" t="s">
        <v>525</v>
      </c>
      <c r="F706" s="346">
        <v>50</v>
      </c>
      <c r="G706" s="346">
        <v>19</v>
      </c>
      <c r="H706" s="346">
        <v>6</v>
      </c>
      <c r="I706" s="335">
        <v>9440</v>
      </c>
      <c r="J706" s="336">
        <v>1724</v>
      </c>
      <c r="K706" s="356">
        <f t="shared" si="91"/>
        <v>90.73684210526316</v>
      </c>
      <c r="L706" s="344">
        <f t="shared" si="92"/>
        <v>5.475638051044084</v>
      </c>
      <c r="M706" s="347">
        <f>145565+155630+55982+15271+7453.5+9440</f>
        <v>389341.5</v>
      </c>
      <c r="N706" s="348">
        <f>17748+18932+7628+2641+1317+1724</f>
        <v>49990</v>
      </c>
      <c r="O706" s="419">
        <f>+M706/N706</f>
        <v>7.788387677535507</v>
      </c>
    </row>
    <row r="707" spans="1:15" ht="15">
      <c r="A707" s="175">
        <v>704</v>
      </c>
      <c r="B707" s="415" t="s">
        <v>127</v>
      </c>
      <c r="C707" s="338">
        <v>39073</v>
      </c>
      <c r="D707" s="345" t="s">
        <v>525</v>
      </c>
      <c r="E707" s="345" t="s">
        <v>525</v>
      </c>
      <c r="F707" s="346">
        <v>51</v>
      </c>
      <c r="G707" s="346">
        <v>13</v>
      </c>
      <c r="H707" s="346">
        <v>5</v>
      </c>
      <c r="I707" s="335">
        <v>7453.5</v>
      </c>
      <c r="J707" s="336">
        <v>1317</v>
      </c>
      <c r="K707" s="348">
        <f t="shared" si="91"/>
        <v>101.3076923076923</v>
      </c>
      <c r="L707" s="353">
        <f t="shared" si="92"/>
        <v>5.659453302961276</v>
      </c>
      <c r="M707" s="347">
        <f>145565+155630+55982+15271+7453.5</f>
        <v>379901.5</v>
      </c>
      <c r="N707" s="348">
        <f>17748+18932+7628+2641+1317</f>
        <v>48266</v>
      </c>
      <c r="O707" s="420">
        <f>M707/N707</f>
        <v>7.870996146355613</v>
      </c>
    </row>
    <row r="708" spans="1:15" ht="15">
      <c r="A708" s="175">
        <v>705</v>
      </c>
      <c r="B708" s="415" t="s">
        <v>127</v>
      </c>
      <c r="C708" s="338">
        <v>39073</v>
      </c>
      <c r="D708" s="345" t="s">
        <v>525</v>
      </c>
      <c r="E708" s="345" t="s">
        <v>525</v>
      </c>
      <c r="F708" s="346">
        <v>50</v>
      </c>
      <c r="G708" s="346">
        <v>17</v>
      </c>
      <c r="H708" s="346">
        <v>8</v>
      </c>
      <c r="I708" s="335">
        <v>7141.5</v>
      </c>
      <c r="J708" s="336">
        <v>1184</v>
      </c>
      <c r="K708" s="356">
        <f t="shared" si="91"/>
        <v>69.6470588235294</v>
      </c>
      <c r="L708" s="344">
        <f t="shared" si="92"/>
        <v>6.031672297297297</v>
      </c>
      <c r="M708" s="347">
        <f>145565+155630+55982+15271+7453.5+9440+11300.5+7141.5</f>
        <v>407783.5</v>
      </c>
      <c r="N708" s="348">
        <f>17748+18932+7628+2641+1317+1724+2010+1184</f>
        <v>53184</v>
      </c>
      <c r="O708" s="419">
        <f>+M708/N708</f>
        <v>7.66740937123947</v>
      </c>
    </row>
    <row r="709" spans="1:15" ht="15">
      <c r="A709" s="175">
        <v>706</v>
      </c>
      <c r="B709" s="415" t="s">
        <v>127</v>
      </c>
      <c r="C709" s="338">
        <v>39073</v>
      </c>
      <c r="D709" s="345" t="s">
        <v>455</v>
      </c>
      <c r="E709" s="345" t="s">
        <v>525</v>
      </c>
      <c r="F709" s="346">
        <v>50</v>
      </c>
      <c r="G709" s="346">
        <v>3</v>
      </c>
      <c r="H709" s="346">
        <v>13</v>
      </c>
      <c r="I709" s="335">
        <v>4621</v>
      </c>
      <c r="J709" s="336">
        <v>1001</v>
      </c>
      <c r="K709" s="356">
        <f t="shared" si="91"/>
        <v>333.6666666666667</v>
      </c>
      <c r="L709" s="344">
        <f t="shared" si="92"/>
        <v>4.616383616383616</v>
      </c>
      <c r="M709" s="347">
        <f>145565+155630+55982+15271+7453.5+9440+11300.5+7141.5+2772.5+2945+30+431+4621</f>
        <v>418583</v>
      </c>
      <c r="N709" s="348">
        <f>17748+18932+7628+2641+1317+1724+2010+1184+553+655+5+131+1001</f>
        <v>55529</v>
      </c>
      <c r="O709" s="420">
        <f>M709/N709</f>
        <v>7.538097210466603</v>
      </c>
    </row>
    <row r="710" spans="1:15" ht="15">
      <c r="A710" s="175">
        <v>707</v>
      </c>
      <c r="B710" s="415" t="s">
        <v>127</v>
      </c>
      <c r="C710" s="338">
        <v>39073</v>
      </c>
      <c r="D710" s="345" t="s">
        <v>525</v>
      </c>
      <c r="E710" s="345" t="s">
        <v>525</v>
      </c>
      <c r="F710" s="346">
        <v>50</v>
      </c>
      <c r="G710" s="346">
        <v>5</v>
      </c>
      <c r="H710" s="346">
        <v>10</v>
      </c>
      <c r="I710" s="335">
        <v>2945</v>
      </c>
      <c r="J710" s="336">
        <v>655</v>
      </c>
      <c r="K710" s="340">
        <f>IF(I710&lt;&gt;0,J710/G710,"")</f>
        <v>131</v>
      </c>
      <c r="L710" s="341">
        <f>IF(I710&lt;&gt;0,I710/J710,"")</f>
        <v>4.4961832061068705</v>
      </c>
      <c r="M710" s="347">
        <f>145565+155630+55982+15271+7453.5+9440+11300.5+7141.5+2772.5+2945</f>
        <v>413501</v>
      </c>
      <c r="N710" s="348">
        <f>17748+18932+7628+2641+1317+1724+2010+1184+553+655</f>
        <v>54392</v>
      </c>
      <c r="O710" s="416">
        <f>IF(M710&lt;&gt;0,M710/N710,"")</f>
        <v>7.602239299897044</v>
      </c>
    </row>
    <row r="711" spans="1:15" ht="15">
      <c r="A711" s="175">
        <v>708</v>
      </c>
      <c r="B711" s="415" t="s">
        <v>127</v>
      </c>
      <c r="C711" s="338">
        <v>39073</v>
      </c>
      <c r="D711" s="345" t="s">
        <v>455</v>
      </c>
      <c r="E711" s="345" t="s">
        <v>525</v>
      </c>
      <c r="F711" s="346">
        <v>50</v>
      </c>
      <c r="G711" s="346">
        <v>8</v>
      </c>
      <c r="H711" s="346">
        <v>9</v>
      </c>
      <c r="I711" s="335">
        <v>2772.5</v>
      </c>
      <c r="J711" s="336">
        <v>553</v>
      </c>
      <c r="K711" s="356">
        <f>J711/G711</f>
        <v>69.125</v>
      </c>
      <c r="L711" s="344">
        <f>I711/J711</f>
        <v>5.013562386980109</v>
      </c>
      <c r="M711" s="347">
        <f>145565+155630+55982+15271+7453.5+9440+11300.5+7141.5+2772.5</f>
        <v>410556</v>
      </c>
      <c r="N711" s="348">
        <f>17748+18932+7628+2641+1317+1724+2010+1184+553</f>
        <v>53737</v>
      </c>
      <c r="O711" s="416">
        <f>IF(M711&lt;&gt;0,M711/N711,"")</f>
        <v>7.640099000688538</v>
      </c>
    </row>
    <row r="712" spans="1:15" ht="15">
      <c r="A712" s="175">
        <v>709</v>
      </c>
      <c r="B712" s="415" t="s">
        <v>127</v>
      </c>
      <c r="C712" s="338">
        <v>39073</v>
      </c>
      <c r="D712" s="345" t="s">
        <v>455</v>
      </c>
      <c r="E712" s="345" t="s">
        <v>525</v>
      </c>
      <c r="F712" s="346">
        <v>50</v>
      </c>
      <c r="G712" s="346">
        <v>2</v>
      </c>
      <c r="H712" s="346">
        <v>12</v>
      </c>
      <c r="I712" s="335">
        <v>431</v>
      </c>
      <c r="J712" s="336">
        <v>131</v>
      </c>
      <c r="K712" s="356">
        <f>J712/G712</f>
        <v>65.5</v>
      </c>
      <c r="L712" s="344">
        <f>I712/J712</f>
        <v>3.2900763358778624</v>
      </c>
      <c r="M712" s="347">
        <f>145565+155630+55982+15271+7453.5+9440+11300.5+7141.5+2772.5+2945+30+431</f>
        <v>413962</v>
      </c>
      <c r="N712" s="348">
        <f>17748+18932+7628+2641+1317+1724+2010+1184+553+655+5+131</f>
        <v>54528</v>
      </c>
      <c r="O712" s="419">
        <f>+M712/N712</f>
        <v>7.591732687793427</v>
      </c>
    </row>
    <row r="713" spans="1:15" ht="15">
      <c r="A713" s="175">
        <v>710</v>
      </c>
      <c r="B713" s="415" t="s">
        <v>127</v>
      </c>
      <c r="C713" s="338">
        <v>39073</v>
      </c>
      <c r="D713" s="345" t="s">
        <v>525</v>
      </c>
      <c r="E713" s="345" t="s">
        <v>525</v>
      </c>
      <c r="F713" s="373" t="s">
        <v>698</v>
      </c>
      <c r="G713" s="346">
        <v>1</v>
      </c>
      <c r="H713" s="346">
        <v>15</v>
      </c>
      <c r="I713" s="335">
        <v>400</v>
      </c>
      <c r="J713" s="336">
        <v>110</v>
      </c>
      <c r="K713" s="340">
        <f>+J713/G713</f>
        <v>110</v>
      </c>
      <c r="L713" s="341">
        <f>+I713/J713</f>
        <v>3.6363636363636362</v>
      </c>
      <c r="M713" s="347">
        <f>145565+155630+55982+15271+7453.5+9440+11300.5+7141.5+2772.5+2945+30+431+4621+226+400</f>
        <v>419209</v>
      </c>
      <c r="N713" s="348">
        <f>17748+18932+7628+2641+1317+1724+2010+1184+553+655+5+131+1001+24+110</f>
        <v>55663</v>
      </c>
      <c r="O713" s="419">
        <f>+M713/N713</f>
        <v>7.531196665648635</v>
      </c>
    </row>
    <row r="714" spans="1:15" ht="15">
      <c r="A714" s="175">
        <v>711</v>
      </c>
      <c r="B714" s="415" t="s">
        <v>127</v>
      </c>
      <c r="C714" s="338">
        <v>39073</v>
      </c>
      <c r="D714" s="345" t="s">
        <v>525</v>
      </c>
      <c r="E714" s="345" t="s">
        <v>525</v>
      </c>
      <c r="F714" s="346">
        <v>50</v>
      </c>
      <c r="G714" s="346">
        <v>1</v>
      </c>
      <c r="H714" s="346">
        <v>14</v>
      </c>
      <c r="I714" s="335">
        <v>226</v>
      </c>
      <c r="J714" s="336">
        <v>24</v>
      </c>
      <c r="K714" s="340">
        <f>+J714/G714</f>
        <v>24</v>
      </c>
      <c r="L714" s="341">
        <f>+I714/J714</f>
        <v>9.416666666666666</v>
      </c>
      <c r="M714" s="347">
        <f>145565+155630+55982+15271+7453.5+9440+11300.5+7141.5+2772.5+2945+30+431+4621+226</f>
        <v>418809</v>
      </c>
      <c r="N714" s="348">
        <f>17748+18932+7628+2641+1317+1724+2010+1184+553+655+5+131+1001+24</f>
        <v>55553</v>
      </c>
      <c r="O714" s="419">
        <f>+M714/N714</f>
        <v>7.538908789804331</v>
      </c>
    </row>
    <row r="715" spans="1:15" ht="15">
      <c r="A715" s="175">
        <v>712</v>
      </c>
      <c r="B715" s="415" t="s">
        <v>127</v>
      </c>
      <c r="C715" s="338">
        <v>39073</v>
      </c>
      <c r="D715" s="345" t="s">
        <v>525</v>
      </c>
      <c r="E715" s="345" t="s">
        <v>525</v>
      </c>
      <c r="F715" s="346">
        <v>50</v>
      </c>
      <c r="G715" s="346">
        <v>1</v>
      </c>
      <c r="H715" s="346">
        <v>16</v>
      </c>
      <c r="I715" s="335">
        <v>118</v>
      </c>
      <c r="J715" s="336">
        <v>22</v>
      </c>
      <c r="K715" s="356">
        <f>J715/G715</f>
        <v>22</v>
      </c>
      <c r="L715" s="344">
        <f>I715/J715</f>
        <v>5.363636363636363</v>
      </c>
      <c r="M715" s="347">
        <f>145565+155630+55982+15271+7453.5+9440+11300.5+7141.5+2772.5+2945+30+431+4621+226+400+118</f>
        <v>419327</v>
      </c>
      <c r="N715" s="348">
        <f>17748+18932+7628+2641+1317+1724+2010+1184+553+655+5+131+1001+24+110+22</f>
        <v>55685</v>
      </c>
      <c r="O715" s="423">
        <f>M715/N715</f>
        <v>7.530340307084493</v>
      </c>
    </row>
    <row r="716" spans="1:15" ht="15">
      <c r="A716" s="175">
        <v>713</v>
      </c>
      <c r="B716" s="415" t="s">
        <v>127</v>
      </c>
      <c r="C716" s="338">
        <v>39073</v>
      </c>
      <c r="D716" s="345" t="s">
        <v>525</v>
      </c>
      <c r="E716" s="345" t="s">
        <v>525</v>
      </c>
      <c r="F716" s="346">
        <v>50</v>
      </c>
      <c r="G716" s="346">
        <v>1</v>
      </c>
      <c r="H716" s="346">
        <v>17</v>
      </c>
      <c r="I716" s="335">
        <v>79</v>
      </c>
      <c r="J716" s="336">
        <v>13</v>
      </c>
      <c r="K716" s="356">
        <f>J716/G716</f>
        <v>13</v>
      </c>
      <c r="L716" s="344">
        <f>I716/J716</f>
        <v>6.076923076923077</v>
      </c>
      <c r="M716" s="347">
        <f>145565+155630+55982+15271+7453.5+9440+11300.5+7141.5+2772.5+2945+30+431+4621+226+400+118+79</f>
        <v>419406</v>
      </c>
      <c r="N716" s="348">
        <f>17748+18932+7628+2641+1317+1724+2010+1184+553+655+5+131+1001+24+110+22+13</f>
        <v>55698</v>
      </c>
      <c r="O716" s="419">
        <f>+M716/N716</f>
        <v>7.530001077237962</v>
      </c>
    </row>
    <row r="717" spans="1:15" ht="15">
      <c r="A717" s="175">
        <v>714</v>
      </c>
      <c r="B717" s="415" t="s">
        <v>127</v>
      </c>
      <c r="C717" s="338">
        <v>39073</v>
      </c>
      <c r="D717" s="345" t="s">
        <v>455</v>
      </c>
      <c r="E717" s="345" t="s">
        <v>525</v>
      </c>
      <c r="F717" s="346">
        <v>50</v>
      </c>
      <c r="G717" s="346">
        <v>1</v>
      </c>
      <c r="H717" s="346">
        <v>11</v>
      </c>
      <c r="I717" s="335">
        <v>30</v>
      </c>
      <c r="J717" s="336">
        <v>5</v>
      </c>
      <c r="K717" s="340">
        <f>IF(I717&lt;&gt;0,J717/G717,"")</f>
        <v>5</v>
      </c>
      <c r="L717" s="341">
        <f>IF(I717&lt;&gt;0,I717/J717,"")</f>
        <v>6</v>
      </c>
      <c r="M717" s="347">
        <f>145565+155630+55982+15271+7453.5+9440+11300.5+7141.5+2772.5+2945+30</f>
        <v>413531</v>
      </c>
      <c r="N717" s="348">
        <f>17748+18932+7628+2641+1317+1724+2010+1184+553+655+5</f>
        <v>54397</v>
      </c>
      <c r="O717" s="416">
        <f>IF(M717&lt;&gt;0,M717/N717,"")</f>
        <v>7.60209202713385</v>
      </c>
    </row>
    <row r="718" spans="1:15" ht="15">
      <c r="A718" s="175">
        <v>715</v>
      </c>
      <c r="B718" s="422" t="s">
        <v>136</v>
      </c>
      <c r="C718" s="338">
        <v>39073</v>
      </c>
      <c r="D718" s="349" t="s">
        <v>277</v>
      </c>
      <c r="E718" s="349" t="s">
        <v>137</v>
      </c>
      <c r="F718" s="368">
        <v>5</v>
      </c>
      <c r="G718" s="355">
        <v>3</v>
      </c>
      <c r="H718" s="368">
        <v>11</v>
      </c>
      <c r="I718" s="331">
        <v>4272</v>
      </c>
      <c r="J718" s="332">
        <v>1068</v>
      </c>
      <c r="K718" s="356">
        <f aca="true" t="shared" si="93" ref="K718:K727">J718/G718</f>
        <v>356</v>
      </c>
      <c r="L718" s="344">
        <f aca="true" t="shared" si="94" ref="L718:L727">I718/J718</f>
        <v>4</v>
      </c>
      <c r="M718" s="342">
        <v>21607.5</v>
      </c>
      <c r="N718" s="343">
        <v>3648</v>
      </c>
      <c r="O718" s="419">
        <f>+M718/N718</f>
        <v>5.923108552631579</v>
      </c>
    </row>
    <row r="719" spans="1:15" ht="15">
      <c r="A719" s="175">
        <v>716</v>
      </c>
      <c r="B719" s="418" t="s">
        <v>136</v>
      </c>
      <c r="C719" s="338">
        <v>39073</v>
      </c>
      <c r="D719" s="357" t="s">
        <v>277</v>
      </c>
      <c r="E719" s="352" t="s">
        <v>137</v>
      </c>
      <c r="F719" s="358">
        <v>5</v>
      </c>
      <c r="G719" s="358">
        <v>5</v>
      </c>
      <c r="H719" s="358">
        <v>2</v>
      </c>
      <c r="I719" s="335">
        <v>2937</v>
      </c>
      <c r="J719" s="336">
        <v>367</v>
      </c>
      <c r="K719" s="348">
        <f t="shared" si="93"/>
        <v>73.4</v>
      </c>
      <c r="L719" s="353">
        <f t="shared" si="94"/>
        <v>8.002724795640328</v>
      </c>
      <c r="M719" s="347">
        <f>8236.5+2937</f>
        <v>11173.5</v>
      </c>
      <c r="N719" s="348">
        <f>976+367</f>
        <v>1343</v>
      </c>
      <c r="O719" s="416">
        <f>IF(M719&lt;&gt;0,M719/N719,"")</f>
        <v>8.319806403574088</v>
      </c>
    </row>
    <row r="720" spans="1:15" ht="15">
      <c r="A720" s="175">
        <v>717</v>
      </c>
      <c r="B720" s="418" t="s">
        <v>136</v>
      </c>
      <c r="C720" s="338">
        <v>39073</v>
      </c>
      <c r="D720" s="357" t="s">
        <v>277</v>
      </c>
      <c r="E720" s="352" t="s">
        <v>137</v>
      </c>
      <c r="F720" s="358">
        <v>5</v>
      </c>
      <c r="G720" s="358">
        <v>1</v>
      </c>
      <c r="H720" s="358">
        <v>5</v>
      </c>
      <c r="I720" s="335">
        <v>1780</v>
      </c>
      <c r="J720" s="336">
        <v>445</v>
      </c>
      <c r="K720" s="348">
        <f t="shared" si="93"/>
        <v>445</v>
      </c>
      <c r="L720" s="353">
        <f t="shared" si="94"/>
        <v>4</v>
      </c>
      <c r="M720" s="347">
        <f>8236.5+2937+796+64+1780</f>
        <v>13813.5</v>
      </c>
      <c r="N720" s="348">
        <f>976+367+81+7+445</f>
        <v>1876</v>
      </c>
      <c r="O720" s="420">
        <f>M720/N720</f>
        <v>7.363272921108742</v>
      </c>
    </row>
    <row r="721" spans="1:15" ht="15">
      <c r="A721" s="175">
        <v>718</v>
      </c>
      <c r="B721" s="418" t="s">
        <v>136</v>
      </c>
      <c r="C721" s="338">
        <v>39073</v>
      </c>
      <c r="D721" s="357" t="s">
        <v>277</v>
      </c>
      <c r="E721" s="352" t="s">
        <v>137</v>
      </c>
      <c r="F721" s="358">
        <v>5</v>
      </c>
      <c r="G721" s="358">
        <v>1</v>
      </c>
      <c r="H721" s="358">
        <v>6</v>
      </c>
      <c r="I721" s="335">
        <v>1780</v>
      </c>
      <c r="J721" s="336">
        <v>445</v>
      </c>
      <c r="K721" s="348">
        <f t="shared" si="93"/>
        <v>445</v>
      </c>
      <c r="L721" s="353">
        <f t="shared" si="94"/>
        <v>4</v>
      </c>
      <c r="M721" s="347">
        <f>8236.5+2937+796+64+1780+1780</f>
        <v>15593.5</v>
      </c>
      <c r="N721" s="348">
        <f>976+367+81+7+445+445</f>
        <v>2321</v>
      </c>
      <c r="O721" s="416">
        <f>IF(M721&lt;&gt;0,M721/N721,"")</f>
        <v>6.718440327445067</v>
      </c>
    </row>
    <row r="722" spans="1:15" ht="15">
      <c r="A722" s="175">
        <v>719</v>
      </c>
      <c r="B722" s="418" t="s">
        <v>136</v>
      </c>
      <c r="C722" s="338">
        <v>39073</v>
      </c>
      <c r="D722" s="357" t="s">
        <v>277</v>
      </c>
      <c r="E722" s="352" t="s">
        <v>137</v>
      </c>
      <c r="F722" s="358">
        <v>5</v>
      </c>
      <c r="G722" s="358">
        <v>3</v>
      </c>
      <c r="H722" s="358">
        <v>7</v>
      </c>
      <c r="I722" s="335">
        <v>1015</v>
      </c>
      <c r="J722" s="336">
        <v>135</v>
      </c>
      <c r="K722" s="356">
        <f t="shared" si="93"/>
        <v>45</v>
      </c>
      <c r="L722" s="344">
        <f t="shared" si="94"/>
        <v>7.518518518518518</v>
      </c>
      <c r="M722" s="347">
        <f>8236.5+2937+796+64+1780+1780+1015</f>
        <v>16608.5</v>
      </c>
      <c r="N722" s="348">
        <f>976+367+81+7+445+445+135</f>
        <v>2456</v>
      </c>
      <c r="O722" s="419">
        <f>+M722/N722</f>
        <v>6.762418566775244</v>
      </c>
    </row>
    <row r="723" spans="1:15" ht="15">
      <c r="A723" s="175">
        <v>720</v>
      </c>
      <c r="B723" s="417" t="s">
        <v>136</v>
      </c>
      <c r="C723" s="338">
        <v>39073</v>
      </c>
      <c r="D723" s="337" t="s">
        <v>277</v>
      </c>
      <c r="E723" s="337" t="s">
        <v>137</v>
      </c>
      <c r="F723" s="334">
        <v>5</v>
      </c>
      <c r="G723" s="334">
        <v>2</v>
      </c>
      <c r="H723" s="334">
        <v>3</v>
      </c>
      <c r="I723" s="335">
        <v>796</v>
      </c>
      <c r="J723" s="336">
        <v>81</v>
      </c>
      <c r="K723" s="350">
        <f t="shared" si="93"/>
        <v>40.5</v>
      </c>
      <c r="L723" s="351">
        <f t="shared" si="94"/>
        <v>9.82716049382716</v>
      </c>
      <c r="M723" s="347">
        <f>8236.5+2937+796</f>
        <v>11969.5</v>
      </c>
      <c r="N723" s="348">
        <f>976+367+81</f>
        <v>1424</v>
      </c>
      <c r="O723" s="420">
        <f>M723/N723</f>
        <v>8.405547752808989</v>
      </c>
    </row>
    <row r="724" spans="1:15" ht="15">
      <c r="A724" s="175">
        <v>721</v>
      </c>
      <c r="B724" s="418" t="s">
        <v>136</v>
      </c>
      <c r="C724" s="338">
        <v>39073</v>
      </c>
      <c r="D724" s="357" t="s">
        <v>277</v>
      </c>
      <c r="E724" s="352" t="s">
        <v>137</v>
      </c>
      <c r="F724" s="358">
        <v>5</v>
      </c>
      <c r="G724" s="358">
        <v>1</v>
      </c>
      <c r="H724" s="358">
        <v>8</v>
      </c>
      <c r="I724" s="335">
        <v>464</v>
      </c>
      <c r="J724" s="336">
        <v>63</v>
      </c>
      <c r="K724" s="356">
        <f t="shared" si="93"/>
        <v>63</v>
      </c>
      <c r="L724" s="344">
        <f t="shared" si="94"/>
        <v>7.365079365079365</v>
      </c>
      <c r="M724" s="347">
        <f>8236.5+2937+796+64+1780+1780+1015+464</f>
        <v>17072.5</v>
      </c>
      <c r="N724" s="348">
        <f>976+367+81+7+445+445+135+63</f>
        <v>2519</v>
      </c>
      <c r="O724" s="419">
        <f>+M724/N724</f>
        <v>6.777491067884081</v>
      </c>
    </row>
    <row r="725" spans="1:15" ht="15">
      <c r="A725" s="175">
        <v>722</v>
      </c>
      <c r="B725" s="417" t="s">
        <v>136</v>
      </c>
      <c r="C725" s="338">
        <v>39073</v>
      </c>
      <c r="D725" s="337" t="s">
        <v>277</v>
      </c>
      <c r="E725" s="337" t="s">
        <v>137</v>
      </c>
      <c r="F725" s="334">
        <v>5</v>
      </c>
      <c r="G725" s="334">
        <v>1</v>
      </c>
      <c r="H725" s="334">
        <v>9</v>
      </c>
      <c r="I725" s="335">
        <v>233</v>
      </c>
      <c r="J725" s="336">
        <v>49</v>
      </c>
      <c r="K725" s="348">
        <f t="shared" si="93"/>
        <v>49</v>
      </c>
      <c r="L725" s="353">
        <f t="shared" si="94"/>
        <v>4.755102040816326</v>
      </c>
      <c r="M725" s="347">
        <f>8236.5+2937+796+64+1780+1780+1015+464+233</f>
        <v>17305.5</v>
      </c>
      <c r="N725" s="348">
        <f>976+367+81+7+445+445+135+63+49</f>
        <v>2568</v>
      </c>
      <c r="O725" s="420">
        <f>M725/N725</f>
        <v>6.7389018691588785</v>
      </c>
    </row>
    <row r="726" spans="1:15" ht="15">
      <c r="A726" s="175">
        <v>723</v>
      </c>
      <c r="B726" s="418" t="s">
        <v>136</v>
      </c>
      <c r="C726" s="338">
        <v>39073</v>
      </c>
      <c r="D726" s="357" t="s">
        <v>277</v>
      </c>
      <c r="E726" s="352" t="s">
        <v>137</v>
      </c>
      <c r="F726" s="358">
        <v>5</v>
      </c>
      <c r="G726" s="358">
        <v>1</v>
      </c>
      <c r="H726" s="358">
        <v>4</v>
      </c>
      <c r="I726" s="335">
        <v>64</v>
      </c>
      <c r="J726" s="336">
        <v>7</v>
      </c>
      <c r="K726" s="356">
        <f t="shared" si="93"/>
        <v>7</v>
      </c>
      <c r="L726" s="344">
        <f t="shared" si="94"/>
        <v>9.142857142857142</v>
      </c>
      <c r="M726" s="347">
        <f>8236.5+2937+796+64</f>
        <v>12033.5</v>
      </c>
      <c r="N726" s="348">
        <f>976+367+81+7</f>
        <v>1431</v>
      </c>
      <c r="O726" s="419">
        <f>+M726/N726</f>
        <v>8.409154437456325</v>
      </c>
    </row>
    <row r="727" spans="1:15" ht="15">
      <c r="A727" s="175">
        <v>724</v>
      </c>
      <c r="B727" s="418" t="s">
        <v>136</v>
      </c>
      <c r="C727" s="338">
        <v>39073</v>
      </c>
      <c r="D727" s="357" t="s">
        <v>277</v>
      </c>
      <c r="E727" s="352" t="s">
        <v>137</v>
      </c>
      <c r="F727" s="358">
        <v>5</v>
      </c>
      <c r="G727" s="358">
        <v>1</v>
      </c>
      <c r="H727" s="358">
        <v>10</v>
      </c>
      <c r="I727" s="335">
        <v>30</v>
      </c>
      <c r="J727" s="336">
        <v>12</v>
      </c>
      <c r="K727" s="356">
        <f t="shared" si="93"/>
        <v>12</v>
      </c>
      <c r="L727" s="344">
        <f t="shared" si="94"/>
        <v>2.5</v>
      </c>
      <c r="M727" s="347">
        <f>8236.5+2937+796+64+1780+1780+1015+464+233+30</f>
        <v>17335.5</v>
      </c>
      <c r="N727" s="348">
        <f>976+367+81+7+445+445+135+63+49+12</f>
        <v>2580</v>
      </c>
      <c r="O727" s="419">
        <f>+M727/N727</f>
        <v>6.719186046511628</v>
      </c>
    </row>
    <row r="728" spans="1:15" ht="15">
      <c r="A728" s="175">
        <v>725</v>
      </c>
      <c r="B728" s="415" t="s">
        <v>203</v>
      </c>
      <c r="C728" s="338">
        <v>39073</v>
      </c>
      <c r="D728" s="345" t="s">
        <v>455</v>
      </c>
      <c r="E728" s="345" t="s">
        <v>455</v>
      </c>
      <c r="F728" s="346">
        <v>186</v>
      </c>
      <c r="G728" s="346">
        <v>186</v>
      </c>
      <c r="H728" s="346">
        <v>2</v>
      </c>
      <c r="I728" s="335">
        <v>996891</v>
      </c>
      <c r="J728" s="336">
        <v>140459</v>
      </c>
      <c r="K728" s="340">
        <f>IF(I728&lt;&gt;0,J728/G728,"")</f>
        <v>755.1559139784946</v>
      </c>
      <c r="L728" s="341">
        <f>IF(I728&lt;&gt;0,I728/J728,"")</f>
        <v>7.0973807303198795</v>
      </c>
      <c r="M728" s="347">
        <f>585035+996891</f>
        <v>1581926</v>
      </c>
      <c r="N728" s="348">
        <f>86553+140459</f>
        <v>227012</v>
      </c>
      <c r="O728" s="416">
        <f>IF(M728&lt;&gt;0,M728/N728,"")</f>
        <v>6.968468627209134</v>
      </c>
    </row>
    <row r="729" spans="1:15" ht="15">
      <c r="A729" s="175">
        <v>726</v>
      </c>
      <c r="B729" s="417" t="s">
        <v>203</v>
      </c>
      <c r="C729" s="338">
        <v>39073</v>
      </c>
      <c r="D729" s="337" t="s">
        <v>455</v>
      </c>
      <c r="E729" s="337" t="s">
        <v>455</v>
      </c>
      <c r="F729" s="334">
        <v>186</v>
      </c>
      <c r="G729" s="334">
        <v>183</v>
      </c>
      <c r="H729" s="334">
        <v>3</v>
      </c>
      <c r="I729" s="335">
        <v>491242.5</v>
      </c>
      <c r="J729" s="336">
        <v>66355</v>
      </c>
      <c r="K729" s="340">
        <f>IF(I729&lt;&gt;0,J729/G729,"")</f>
        <v>362.59562841530055</v>
      </c>
      <c r="L729" s="341">
        <f>IF(I729&lt;&gt;0,I729/J729,"")</f>
        <v>7.40324768291764</v>
      </c>
      <c r="M729" s="347">
        <f>585035+996891+491242.5</f>
        <v>2073168.5</v>
      </c>
      <c r="N729" s="348">
        <f>86553+140459+66355</f>
        <v>293367</v>
      </c>
      <c r="O729" s="416">
        <f>IF(M729&lt;&gt;0,M729/N729,"")</f>
        <v>7.066808809443462</v>
      </c>
    </row>
    <row r="730" spans="1:15" ht="15">
      <c r="A730" s="175">
        <v>727</v>
      </c>
      <c r="B730" s="415" t="s">
        <v>203</v>
      </c>
      <c r="C730" s="338">
        <v>39073</v>
      </c>
      <c r="D730" s="345" t="s">
        <v>455</v>
      </c>
      <c r="E730" s="345" t="s">
        <v>455</v>
      </c>
      <c r="F730" s="346">
        <v>186</v>
      </c>
      <c r="G730" s="346">
        <v>137</v>
      </c>
      <c r="H730" s="346">
        <v>4</v>
      </c>
      <c r="I730" s="335">
        <v>184490.5</v>
      </c>
      <c r="J730" s="336">
        <v>26647</v>
      </c>
      <c r="K730" s="340">
        <f>+J730/G730</f>
        <v>194.5036496350365</v>
      </c>
      <c r="L730" s="344">
        <f aca="true" t="shared" si="95" ref="L730:L743">I730/J730</f>
        <v>6.923499831125455</v>
      </c>
      <c r="M730" s="347">
        <f>585035+996891+491242.5+184490.5</f>
        <v>2257659</v>
      </c>
      <c r="N730" s="348">
        <f>86553+140459+66355+26647</f>
        <v>320014</v>
      </c>
      <c r="O730" s="419">
        <f>+M730/N730</f>
        <v>7.054875724187067</v>
      </c>
    </row>
    <row r="731" spans="1:15" ht="15">
      <c r="A731" s="175">
        <v>728</v>
      </c>
      <c r="B731" s="415" t="s">
        <v>203</v>
      </c>
      <c r="C731" s="338">
        <v>39073</v>
      </c>
      <c r="D731" s="345" t="s">
        <v>455</v>
      </c>
      <c r="E731" s="345" t="s">
        <v>455</v>
      </c>
      <c r="F731" s="346">
        <v>186</v>
      </c>
      <c r="G731" s="346">
        <v>46</v>
      </c>
      <c r="H731" s="346">
        <v>5</v>
      </c>
      <c r="I731" s="335">
        <v>82961.5</v>
      </c>
      <c r="J731" s="336">
        <v>26647</v>
      </c>
      <c r="K731" s="348">
        <f aca="true" t="shared" si="96" ref="K731:K743">J731/G731</f>
        <v>579.2826086956521</v>
      </c>
      <c r="L731" s="353">
        <f t="shared" si="95"/>
        <v>3.1133523473561753</v>
      </c>
      <c r="M731" s="347">
        <f>585035+996891+491242.5+184490.5</f>
        <v>2257659</v>
      </c>
      <c r="N731" s="348">
        <f>86553+140459+66355+26647</f>
        <v>320014</v>
      </c>
      <c r="O731" s="420">
        <f>M731/N731</f>
        <v>7.054875724187067</v>
      </c>
    </row>
    <row r="732" spans="1:15" ht="15">
      <c r="A732" s="175">
        <v>729</v>
      </c>
      <c r="B732" s="415" t="s">
        <v>203</v>
      </c>
      <c r="C732" s="338">
        <v>39073</v>
      </c>
      <c r="D732" s="345" t="s">
        <v>455</v>
      </c>
      <c r="E732" s="362" t="s">
        <v>455</v>
      </c>
      <c r="F732" s="346">
        <v>186</v>
      </c>
      <c r="G732" s="346">
        <v>4</v>
      </c>
      <c r="H732" s="346">
        <v>8</v>
      </c>
      <c r="I732" s="335">
        <v>24501.5</v>
      </c>
      <c r="J732" s="336">
        <v>4854</v>
      </c>
      <c r="K732" s="350">
        <f t="shared" si="96"/>
        <v>1213.5</v>
      </c>
      <c r="L732" s="351">
        <f t="shared" si="95"/>
        <v>5.047692624639472</v>
      </c>
      <c r="M732" s="347">
        <f>585035+996891+491242.5+184490.5+17956.5+82961.5+2380+24501</f>
        <v>2385458</v>
      </c>
      <c r="N732" s="348">
        <f>86553+140459+66355+26647+3232+11969+430+4854</f>
        <v>340499</v>
      </c>
      <c r="O732" s="423">
        <f>M732/N732</f>
        <v>7.005770942058567</v>
      </c>
    </row>
    <row r="733" spans="1:15" ht="15">
      <c r="A733" s="175">
        <v>730</v>
      </c>
      <c r="B733" s="415" t="s">
        <v>203</v>
      </c>
      <c r="C733" s="338">
        <v>39073</v>
      </c>
      <c r="D733" s="345" t="s">
        <v>455</v>
      </c>
      <c r="E733" s="345" t="s">
        <v>455</v>
      </c>
      <c r="F733" s="346">
        <v>186</v>
      </c>
      <c r="G733" s="346">
        <v>25</v>
      </c>
      <c r="H733" s="346">
        <v>6</v>
      </c>
      <c r="I733" s="335">
        <v>17956.5</v>
      </c>
      <c r="J733" s="336">
        <v>3232</v>
      </c>
      <c r="K733" s="356">
        <f t="shared" si="96"/>
        <v>129.28</v>
      </c>
      <c r="L733" s="344">
        <f t="shared" si="95"/>
        <v>5.555847772277228</v>
      </c>
      <c r="M733" s="347">
        <f>585035+996891+491242.5+184490.5+17956.5+82961.5</f>
        <v>2358577</v>
      </c>
      <c r="N733" s="348">
        <f>86553+140459+66355+26647+3232+11969</f>
        <v>335215</v>
      </c>
      <c r="O733" s="419">
        <f>+M733/N733</f>
        <v>7.036012708261862</v>
      </c>
    </row>
    <row r="734" spans="1:15" ht="15">
      <c r="A734" s="175">
        <v>731</v>
      </c>
      <c r="B734" s="415" t="s">
        <v>203</v>
      </c>
      <c r="C734" s="338">
        <v>39073</v>
      </c>
      <c r="D734" s="345" t="s">
        <v>455</v>
      </c>
      <c r="E734" s="345" t="s">
        <v>455</v>
      </c>
      <c r="F734" s="346">
        <v>186</v>
      </c>
      <c r="G734" s="346">
        <v>5</v>
      </c>
      <c r="H734" s="346">
        <v>9</v>
      </c>
      <c r="I734" s="335">
        <v>8405</v>
      </c>
      <c r="J734" s="336">
        <v>1984</v>
      </c>
      <c r="K734" s="356">
        <f t="shared" si="96"/>
        <v>396.8</v>
      </c>
      <c r="L734" s="344">
        <f t="shared" si="95"/>
        <v>4.236391129032258</v>
      </c>
      <c r="M734" s="347">
        <f>585035+996891+491242.5+184490.5+17956.5+82961.5+2380+24501+8405</f>
        <v>2393863</v>
      </c>
      <c r="N734" s="348">
        <f>86553+140459+66355+26647+3232+11969+430+4854+1984</f>
        <v>342483</v>
      </c>
      <c r="O734" s="416">
        <f>IF(M734&lt;&gt;0,M734/N734,"")</f>
        <v>6.989727957300071</v>
      </c>
    </row>
    <row r="735" spans="1:15" ht="15">
      <c r="A735" s="175">
        <v>732</v>
      </c>
      <c r="B735" s="415" t="s">
        <v>203</v>
      </c>
      <c r="C735" s="338">
        <v>39073</v>
      </c>
      <c r="D735" s="345" t="s">
        <v>455</v>
      </c>
      <c r="E735" s="345" t="s">
        <v>455</v>
      </c>
      <c r="F735" s="346">
        <v>186</v>
      </c>
      <c r="G735" s="346">
        <v>2</v>
      </c>
      <c r="H735" s="346">
        <v>11</v>
      </c>
      <c r="I735" s="335">
        <v>3378.5</v>
      </c>
      <c r="J735" s="336">
        <v>1198</v>
      </c>
      <c r="K735" s="356">
        <f t="shared" si="96"/>
        <v>599</v>
      </c>
      <c r="L735" s="344">
        <f t="shared" si="95"/>
        <v>2.8201168614357264</v>
      </c>
      <c r="M735" s="347">
        <f>585035+996891+491242.5+184490.5+17956.5+82961.5+2380+24501+8405+848+3378.5</f>
        <v>2398089.5</v>
      </c>
      <c r="N735" s="348">
        <f>86553+140459+66355+26647+3232+11969+430+4854+1984+350+1198</f>
        <v>344031</v>
      </c>
      <c r="O735" s="419">
        <f>+M735/N735</f>
        <v>6.970562245844125</v>
      </c>
    </row>
    <row r="736" spans="1:15" ht="15">
      <c r="A736" s="175">
        <v>733</v>
      </c>
      <c r="B736" s="415" t="s">
        <v>203</v>
      </c>
      <c r="C736" s="338">
        <v>39073</v>
      </c>
      <c r="D736" s="345" t="s">
        <v>455</v>
      </c>
      <c r="E736" s="345" t="s">
        <v>455</v>
      </c>
      <c r="F736" s="346">
        <v>186</v>
      </c>
      <c r="G736" s="346">
        <v>9</v>
      </c>
      <c r="H736" s="346">
        <v>7</v>
      </c>
      <c r="I736" s="335">
        <v>2380</v>
      </c>
      <c r="J736" s="336">
        <v>430</v>
      </c>
      <c r="K736" s="356">
        <f t="shared" si="96"/>
        <v>47.77777777777778</v>
      </c>
      <c r="L736" s="344">
        <f t="shared" si="95"/>
        <v>5.534883720930233</v>
      </c>
      <c r="M736" s="347">
        <f>585035+996891+491242.5+184490.5+17956.5+82961.5+2380</f>
        <v>2360957</v>
      </c>
      <c r="N736" s="348">
        <f>86553+140459+66355+26647+3232+11969+430</f>
        <v>335645</v>
      </c>
      <c r="O736" s="416">
        <f>IF(M736&lt;&gt;0,M736/N736,"")</f>
        <v>7.034089588702349</v>
      </c>
    </row>
    <row r="737" spans="1:15" ht="15">
      <c r="A737" s="175">
        <v>734</v>
      </c>
      <c r="B737" s="417" t="s">
        <v>203</v>
      </c>
      <c r="C737" s="338">
        <v>39073</v>
      </c>
      <c r="D737" s="337" t="s">
        <v>455</v>
      </c>
      <c r="E737" s="337" t="s">
        <v>455</v>
      </c>
      <c r="F737" s="334">
        <v>186</v>
      </c>
      <c r="G737" s="334">
        <v>1</v>
      </c>
      <c r="H737" s="334">
        <v>16</v>
      </c>
      <c r="I737" s="335">
        <v>1782</v>
      </c>
      <c r="J737" s="336">
        <v>446</v>
      </c>
      <c r="K737" s="350">
        <f t="shared" si="96"/>
        <v>446</v>
      </c>
      <c r="L737" s="351">
        <f t="shared" si="95"/>
        <v>3.995515695067265</v>
      </c>
      <c r="M737" s="347">
        <f>585035+996891+491242.5+184490.5+17956.5+82961.5+2380+24501+8405+848+3378.5+140+497.5+1510.5+178+1782</f>
        <v>2402197.5</v>
      </c>
      <c r="N737" s="348">
        <f>86553+140459+66355+26647+3232+11969+430+4854+1984+350+1198+35+100+378+18+446</f>
        <v>345008</v>
      </c>
      <c r="O737" s="423">
        <f>M737/N737</f>
        <v>6.962729849742614</v>
      </c>
    </row>
    <row r="738" spans="1:15" ht="15">
      <c r="A738" s="175">
        <v>735</v>
      </c>
      <c r="B738" s="415" t="s">
        <v>203</v>
      </c>
      <c r="C738" s="338">
        <v>39073</v>
      </c>
      <c r="D738" s="345" t="s">
        <v>455</v>
      </c>
      <c r="E738" s="345" t="s">
        <v>455</v>
      </c>
      <c r="F738" s="346">
        <v>186</v>
      </c>
      <c r="G738" s="346">
        <v>1</v>
      </c>
      <c r="H738" s="346">
        <v>14</v>
      </c>
      <c r="I738" s="335">
        <v>1510.5</v>
      </c>
      <c r="J738" s="336">
        <v>378</v>
      </c>
      <c r="K738" s="356">
        <f t="shared" si="96"/>
        <v>378</v>
      </c>
      <c r="L738" s="344">
        <f t="shared" si="95"/>
        <v>3.996031746031746</v>
      </c>
      <c r="M738" s="347">
        <f>585035+996891+491242.5+184490.5+17956.5+82961.5+2380+24501+8405+848+3378.5+140+497.5+1510.5</f>
        <v>2400237.5</v>
      </c>
      <c r="N738" s="348">
        <f>86553+140459+66355+26647+3232+11969+430+4854+1984+350+1198+35+100+378</f>
        <v>344544</v>
      </c>
      <c r="O738" s="419">
        <f>+M738/N738</f>
        <v>6.966417932107365</v>
      </c>
    </row>
    <row r="739" spans="1:15" ht="15">
      <c r="A739" s="175">
        <v>736</v>
      </c>
      <c r="B739" s="415" t="s">
        <v>203</v>
      </c>
      <c r="C739" s="338">
        <v>39073</v>
      </c>
      <c r="D739" s="345" t="s">
        <v>455</v>
      </c>
      <c r="E739" s="345" t="s">
        <v>455</v>
      </c>
      <c r="F739" s="346">
        <v>186</v>
      </c>
      <c r="G739" s="346">
        <v>1</v>
      </c>
      <c r="H739" s="346">
        <v>10</v>
      </c>
      <c r="I739" s="335">
        <v>848</v>
      </c>
      <c r="J739" s="336">
        <v>350</v>
      </c>
      <c r="K739" s="356">
        <f t="shared" si="96"/>
        <v>350</v>
      </c>
      <c r="L739" s="344">
        <f t="shared" si="95"/>
        <v>2.422857142857143</v>
      </c>
      <c r="M739" s="347">
        <f>585035+996891+491242.5+184490.5+17956.5+82961.5+2380+24501+8405+848</f>
        <v>2394711</v>
      </c>
      <c r="N739" s="348">
        <f>86553+140459+66355+26647+3232+11969+430+4854+1984+350</f>
        <v>342833</v>
      </c>
      <c r="O739" s="416">
        <f>IF(M739&lt;&gt;0,M739/N739,"")</f>
        <v>6.985065615037059</v>
      </c>
    </row>
    <row r="740" spans="1:15" ht="15">
      <c r="A740" s="175">
        <v>737</v>
      </c>
      <c r="B740" s="415" t="s">
        <v>203</v>
      </c>
      <c r="C740" s="338">
        <v>39073</v>
      </c>
      <c r="D740" s="345" t="s">
        <v>455</v>
      </c>
      <c r="E740" s="345" t="s">
        <v>455</v>
      </c>
      <c r="F740" s="346">
        <v>186</v>
      </c>
      <c r="G740" s="346">
        <v>1</v>
      </c>
      <c r="H740" s="346">
        <v>13</v>
      </c>
      <c r="I740" s="335">
        <v>497.5</v>
      </c>
      <c r="J740" s="336">
        <v>100</v>
      </c>
      <c r="K740" s="356">
        <f t="shared" si="96"/>
        <v>100</v>
      </c>
      <c r="L740" s="344">
        <f t="shared" si="95"/>
        <v>4.975</v>
      </c>
      <c r="M740" s="347">
        <f>585035+996891+491242.5+184490.5+17956.5+82961.5+2380+24501+8405+848+3378.5+140+497.5</f>
        <v>2398727</v>
      </c>
      <c r="N740" s="348">
        <f>86553+140459+66355+26647+3232+11969+430+4854+1984+350+1198+35+100</f>
        <v>344166</v>
      </c>
      <c r="O740" s="419">
        <f>+M740/N740</f>
        <v>6.969680328678603</v>
      </c>
    </row>
    <row r="741" spans="1:15" ht="15">
      <c r="A741" s="175">
        <v>738</v>
      </c>
      <c r="B741" s="415" t="s">
        <v>203</v>
      </c>
      <c r="C741" s="338">
        <v>39073</v>
      </c>
      <c r="D741" s="345" t="s">
        <v>455</v>
      </c>
      <c r="E741" s="345" t="s">
        <v>455</v>
      </c>
      <c r="F741" s="346">
        <v>186</v>
      </c>
      <c r="G741" s="346">
        <v>1</v>
      </c>
      <c r="H741" s="346">
        <v>15</v>
      </c>
      <c r="I741" s="335">
        <v>178</v>
      </c>
      <c r="J741" s="336">
        <v>18</v>
      </c>
      <c r="K741" s="356">
        <f t="shared" si="96"/>
        <v>18</v>
      </c>
      <c r="L741" s="344">
        <f t="shared" si="95"/>
        <v>9.88888888888889</v>
      </c>
      <c r="M741" s="347">
        <f>585035+996891+491242.5+184490.5+17956.5+82961.5+2380+24501+8405+848+3378.5+140+497.5+1510.5+178</f>
        <v>2400415.5</v>
      </c>
      <c r="N741" s="348">
        <f>86553+140459+66355+26647+3232+11969+430+4854+1984+350+1198+35+100+378+18</f>
        <v>344562</v>
      </c>
      <c r="O741" s="419">
        <f>+M741/N741</f>
        <v>6.966570602678183</v>
      </c>
    </row>
    <row r="742" spans="1:15" ht="15">
      <c r="A742" s="175">
        <v>739</v>
      </c>
      <c r="B742" s="426" t="s">
        <v>203</v>
      </c>
      <c r="C742" s="385">
        <v>39073</v>
      </c>
      <c r="D742" s="384" t="s">
        <v>455</v>
      </c>
      <c r="E742" s="384" t="s">
        <v>455</v>
      </c>
      <c r="F742" s="386">
        <v>186</v>
      </c>
      <c r="G742" s="386">
        <v>1</v>
      </c>
      <c r="H742" s="386">
        <v>12</v>
      </c>
      <c r="I742" s="387">
        <v>140</v>
      </c>
      <c r="J742" s="388">
        <v>35</v>
      </c>
      <c r="K742" s="356">
        <f t="shared" si="96"/>
        <v>35</v>
      </c>
      <c r="L742" s="344">
        <f t="shared" si="95"/>
        <v>4</v>
      </c>
      <c r="M742" s="389">
        <v>2398229.5</v>
      </c>
      <c r="N742" s="390">
        <v>344066</v>
      </c>
      <c r="O742" s="420">
        <f>M742/N742</f>
        <v>6.970260066382613</v>
      </c>
    </row>
    <row r="743" spans="1:15" ht="15">
      <c r="A743" s="175">
        <v>740</v>
      </c>
      <c r="B743" s="415" t="s">
        <v>203</v>
      </c>
      <c r="C743" s="338">
        <v>39073</v>
      </c>
      <c r="D743" s="345" t="s">
        <v>455</v>
      </c>
      <c r="E743" s="345" t="s">
        <v>455</v>
      </c>
      <c r="F743" s="346">
        <v>186</v>
      </c>
      <c r="G743" s="346">
        <v>1</v>
      </c>
      <c r="H743" s="346">
        <v>17</v>
      </c>
      <c r="I743" s="335">
        <v>14</v>
      </c>
      <c r="J743" s="336">
        <v>2</v>
      </c>
      <c r="K743" s="356">
        <f t="shared" si="96"/>
        <v>2</v>
      </c>
      <c r="L743" s="344">
        <f t="shared" si="95"/>
        <v>7</v>
      </c>
      <c r="M743" s="347">
        <f>585035+996891+491242.5+184490.5+17956.5+82961.5+2380+24501+8405+848+3378.5+140+497.5+1510.5+178+1782+17</f>
        <v>2402214.5</v>
      </c>
      <c r="N743" s="348">
        <f>86553+140459+66355+26647+3232+11969+430+4854+1984+350+1198+35+100+378+18+446+2</f>
        <v>345010</v>
      </c>
      <c r="O743" s="423">
        <f>M743/N743</f>
        <v>6.962738761195328</v>
      </c>
    </row>
    <row r="744" spans="1:15" ht="15">
      <c r="A744" s="175">
        <v>741</v>
      </c>
      <c r="B744" s="424" t="s">
        <v>243</v>
      </c>
      <c r="C744" s="359">
        <v>39073</v>
      </c>
      <c r="D744" s="362" t="s">
        <v>447</v>
      </c>
      <c r="E744" s="362" t="s">
        <v>298</v>
      </c>
      <c r="F744" s="361">
        <v>112</v>
      </c>
      <c r="G744" s="361">
        <v>112</v>
      </c>
      <c r="H744" s="361">
        <v>2</v>
      </c>
      <c r="I744" s="363">
        <v>1289903.5</v>
      </c>
      <c r="J744" s="364">
        <v>169709</v>
      </c>
      <c r="K744" s="340">
        <f>IF(I744&lt;&gt;0,J744/G744,"")</f>
        <v>1515.2589285714287</v>
      </c>
      <c r="L744" s="341">
        <f>IF(I744&lt;&gt;0,I744/J744,"")</f>
        <v>7.6006782197762055</v>
      </c>
      <c r="M744" s="365">
        <f>789768+1289903.5</f>
        <v>2079671.5</v>
      </c>
      <c r="N744" s="348">
        <f>106210+169709</f>
        <v>275919</v>
      </c>
      <c r="O744" s="416">
        <f>IF(M744&lt;&gt;0,M744/N744,"")</f>
        <v>7.537253686770393</v>
      </c>
    </row>
    <row r="745" spans="1:15" ht="15">
      <c r="A745" s="175">
        <v>742</v>
      </c>
      <c r="B745" s="421" t="s">
        <v>243</v>
      </c>
      <c r="C745" s="359">
        <v>39073</v>
      </c>
      <c r="D745" s="339" t="s">
        <v>447</v>
      </c>
      <c r="E745" s="339" t="s">
        <v>298</v>
      </c>
      <c r="F745" s="333">
        <v>112</v>
      </c>
      <c r="G745" s="333">
        <v>112</v>
      </c>
      <c r="H745" s="333">
        <v>3</v>
      </c>
      <c r="I745" s="363">
        <v>386658</v>
      </c>
      <c r="J745" s="364">
        <v>52723</v>
      </c>
      <c r="K745" s="340">
        <f>IF(I745&lt;&gt;0,J745/G745,"")</f>
        <v>470.74107142857144</v>
      </c>
      <c r="L745" s="341">
        <f>IF(I745&lt;&gt;0,I745/J745,"")</f>
        <v>7.333763253229141</v>
      </c>
      <c r="M745" s="365">
        <f>789768+1289903.5+386658</f>
        <v>2466329.5</v>
      </c>
      <c r="N745" s="348">
        <f>106210+169709+52723</f>
        <v>328642</v>
      </c>
      <c r="O745" s="416">
        <f>IF(M745&lt;&gt;0,M745/N745,"")</f>
        <v>7.504608358030927</v>
      </c>
    </row>
    <row r="746" spans="1:15" ht="15">
      <c r="A746" s="175">
        <v>743</v>
      </c>
      <c r="B746" s="424" t="s">
        <v>243</v>
      </c>
      <c r="C746" s="359">
        <v>39073</v>
      </c>
      <c r="D746" s="362" t="s">
        <v>447</v>
      </c>
      <c r="E746" s="362" t="s">
        <v>298</v>
      </c>
      <c r="F746" s="361">
        <v>112</v>
      </c>
      <c r="G746" s="361">
        <v>102</v>
      </c>
      <c r="H746" s="361">
        <v>4</v>
      </c>
      <c r="I746" s="363">
        <v>174047.5</v>
      </c>
      <c r="J746" s="364">
        <v>26534</v>
      </c>
      <c r="K746" s="356">
        <f>J746/G746</f>
        <v>260.1372549019608</v>
      </c>
      <c r="L746" s="344">
        <f>I746/J746</f>
        <v>6.559414336323208</v>
      </c>
      <c r="M746" s="365">
        <f>789768+1289903.5+386658+174047.5</f>
        <v>2640377</v>
      </c>
      <c r="N746" s="348">
        <f>106210+169709+52723+26534</f>
        <v>355176</v>
      </c>
      <c r="O746" s="419">
        <f>+M746/N746</f>
        <v>7.4339961033403155</v>
      </c>
    </row>
    <row r="747" spans="1:15" ht="15">
      <c r="A747" s="175">
        <v>744</v>
      </c>
      <c r="B747" s="424" t="s">
        <v>243</v>
      </c>
      <c r="C747" s="359">
        <v>39073</v>
      </c>
      <c r="D747" s="362" t="s">
        <v>447</v>
      </c>
      <c r="E747" s="362" t="s">
        <v>298</v>
      </c>
      <c r="F747" s="361">
        <v>112</v>
      </c>
      <c r="G747" s="361">
        <v>43</v>
      </c>
      <c r="H747" s="361">
        <v>5</v>
      </c>
      <c r="I747" s="363">
        <v>53640.5</v>
      </c>
      <c r="J747" s="364">
        <v>10972</v>
      </c>
      <c r="K747" s="340">
        <f>IF(I747&lt;&gt;0,J747/G747,"")</f>
        <v>255.1627906976744</v>
      </c>
      <c r="L747" s="341">
        <f>IF(I747&lt;&gt;0,I747/J747,"")</f>
        <v>4.888853445133066</v>
      </c>
      <c r="M747" s="365">
        <f>789768+1289903.5+386658+174047.5+53640.5</f>
        <v>2694017.5</v>
      </c>
      <c r="N747" s="348">
        <f>106210+169709+52723+26534+10972</f>
        <v>366148</v>
      </c>
      <c r="O747" s="416">
        <f>IF(M747&lt;&gt;0,M747/N747,"")</f>
        <v>7.357728295661864</v>
      </c>
    </row>
    <row r="748" spans="1:15" ht="15">
      <c r="A748" s="175">
        <v>745</v>
      </c>
      <c r="B748" s="424" t="s">
        <v>243</v>
      </c>
      <c r="C748" s="359">
        <v>39073</v>
      </c>
      <c r="D748" s="362" t="s">
        <v>447</v>
      </c>
      <c r="E748" s="362" t="s">
        <v>298</v>
      </c>
      <c r="F748" s="361">
        <v>112</v>
      </c>
      <c r="G748" s="361">
        <v>10</v>
      </c>
      <c r="H748" s="361">
        <v>9</v>
      </c>
      <c r="I748" s="363">
        <v>19067</v>
      </c>
      <c r="J748" s="364">
        <v>3834</v>
      </c>
      <c r="K748" s="340">
        <f>IF(I748&lt;&gt;0,J748/G748,"")</f>
        <v>383.4</v>
      </c>
      <c r="L748" s="341">
        <f>IF(I748&lt;&gt;0,I748/J748,"")</f>
        <v>4.9731351069379235</v>
      </c>
      <c r="M748" s="365">
        <f>789768+1289903.5+386658+174047.5+53640.5+11222+13202+16336.5+19067</f>
        <v>2753845</v>
      </c>
      <c r="N748" s="348">
        <f>106210+169709+52723+26534+10972+2184+2814+3779+3834</f>
        <v>378759</v>
      </c>
      <c r="O748" s="416">
        <f>IF(M748&lt;&gt;0,M748/N748,"")</f>
        <v>7.270705118558239</v>
      </c>
    </row>
    <row r="749" spans="1:15" ht="15">
      <c r="A749" s="175">
        <v>746</v>
      </c>
      <c r="B749" s="424" t="s">
        <v>243</v>
      </c>
      <c r="C749" s="359">
        <v>39073</v>
      </c>
      <c r="D749" s="362" t="s">
        <v>447</v>
      </c>
      <c r="E749" s="362" t="s">
        <v>298</v>
      </c>
      <c r="F749" s="361">
        <v>112</v>
      </c>
      <c r="G749" s="361">
        <v>10</v>
      </c>
      <c r="H749" s="361">
        <v>8</v>
      </c>
      <c r="I749" s="363">
        <v>16336.5</v>
      </c>
      <c r="J749" s="364">
        <v>3779</v>
      </c>
      <c r="K749" s="340">
        <f>IF(I749&lt;&gt;0,J749/G749,"")</f>
        <v>377.9</v>
      </c>
      <c r="L749" s="341">
        <f>IF(I749&lt;&gt;0,I749/J749,"")</f>
        <v>4.32296903942842</v>
      </c>
      <c r="M749" s="365">
        <f>789768+1289903.5+386658+174047.5+53640.5+11222+13202+16336.5</f>
        <v>2734778</v>
      </c>
      <c r="N749" s="348">
        <f>106210+169709+52723+26534+10972+2184+2814+3779</f>
        <v>374925</v>
      </c>
      <c r="O749" s="416">
        <f>IF(M749&lt;&gt;0,M749/N749,"")</f>
        <v>7.294200173368007</v>
      </c>
    </row>
    <row r="750" spans="1:15" ht="15">
      <c r="A750" s="175">
        <v>747</v>
      </c>
      <c r="B750" s="424" t="s">
        <v>243</v>
      </c>
      <c r="C750" s="359">
        <v>39073</v>
      </c>
      <c r="D750" s="362" t="s">
        <v>447</v>
      </c>
      <c r="E750" s="362" t="s">
        <v>298</v>
      </c>
      <c r="F750" s="361">
        <v>112</v>
      </c>
      <c r="G750" s="361">
        <v>11</v>
      </c>
      <c r="H750" s="361">
        <v>7</v>
      </c>
      <c r="I750" s="363">
        <v>13202</v>
      </c>
      <c r="J750" s="364">
        <v>2814</v>
      </c>
      <c r="K750" s="356">
        <f>J750/G750</f>
        <v>255.8181818181818</v>
      </c>
      <c r="L750" s="344">
        <f>I750/J750</f>
        <v>4.691542288557214</v>
      </c>
      <c r="M750" s="365">
        <f>789768+1289903.5+386658+174047.5+53640.5+11222+13202</f>
        <v>2718441.5</v>
      </c>
      <c r="N750" s="348">
        <f>106210+169709+52723+26534+10972+2184+2814</f>
        <v>371146</v>
      </c>
      <c r="O750" s="416">
        <f>IF(M750&lt;&gt;0,M750/N750,"")</f>
        <v>7.32445318015013</v>
      </c>
    </row>
    <row r="751" spans="1:15" ht="15">
      <c r="A751" s="175">
        <v>748</v>
      </c>
      <c r="B751" s="424" t="s">
        <v>243</v>
      </c>
      <c r="C751" s="359">
        <v>39073</v>
      </c>
      <c r="D751" s="362" t="s">
        <v>447</v>
      </c>
      <c r="E751" s="362" t="s">
        <v>298</v>
      </c>
      <c r="F751" s="361">
        <v>112</v>
      </c>
      <c r="G751" s="361">
        <v>12</v>
      </c>
      <c r="H751" s="361">
        <v>6</v>
      </c>
      <c r="I751" s="363">
        <v>11222</v>
      </c>
      <c r="J751" s="364">
        <v>2184</v>
      </c>
      <c r="K751" s="340">
        <f>IF(I751&lt;&gt;0,J751/G751,"")</f>
        <v>182</v>
      </c>
      <c r="L751" s="341">
        <f>IF(I751&lt;&gt;0,I751/J751,"")</f>
        <v>5.138278388278389</v>
      </c>
      <c r="M751" s="365">
        <f>789768+1289903.5+386658+174047.5+53640.5+11222</f>
        <v>2705239.5</v>
      </c>
      <c r="N751" s="348">
        <f>106210+169709+52723+26534+10972+2184</f>
        <v>368332</v>
      </c>
      <c r="O751" s="416">
        <f>IF(M751&lt;&gt;0,M751/N751,"")</f>
        <v>7.34456821563155</v>
      </c>
    </row>
    <row r="752" spans="1:15" ht="15">
      <c r="A752" s="175">
        <v>749</v>
      </c>
      <c r="B752" s="424" t="s">
        <v>243</v>
      </c>
      <c r="C752" s="359">
        <v>39073</v>
      </c>
      <c r="D752" s="362" t="s">
        <v>447</v>
      </c>
      <c r="E752" s="362" t="s">
        <v>298</v>
      </c>
      <c r="F752" s="361">
        <v>112</v>
      </c>
      <c r="G752" s="361">
        <v>8</v>
      </c>
      <c r="H752" s="361">
        <v>10</v>
      </c>
      <c r="I752" s="363">
        <v>4695</v>
      </c>
      <c r="J752" s="364">
        <v>945</v>
      </c>
      <c r="K752" s="356">
        <f>J752/G752</f>
        <v>118.125</v>
      </c>
      <c r="L752" s="344">
        <f>I752/J752</f>
        <v>4.968253968253968</v>
      </c>
      <c r="M752" s="365">
        <f>789768+1289903.5+386658+174047.5+53640.5+11222+13202+16336.5+19067+4695</f>
        <v>2758540</v>
      </c>
      <c r="N752" s="348">
        <f>106210+169709+52723+26534+10972+2184+2814+3779+3834+945</f>
        <v>379704</v>
      </c>
      <c r="O752" s="419">
        <f>+M752/N752</f>
        <v>7.26497482249331</v>
      </c>
    </row>
    <row r="753" spans="1:15" ht="15">
      <c r="A753" s="175">
        <v>750</v>
      </c>
      <c r="B753" s="424" t="s">
        <v>243</v>
      </c>
      <c r="C753" s="359">
        <v>39073</v>
      </c>
      <c r="D753" s="362" t="s">
        <v>447</v>
      </c>
      <c r="E753" s="362" t="s">
        <v>298</v>
      </c>
      <c r="F753" s="361">
        <v>112</v>
      </c>
      <c r="G753" s="361">
        <v>4</v>
      </c>
      <c r="H753" s="361">
        <v>12</v>
      </c>
      <c r="I753" s="363">
        <v>4541</v>
      </c>
      <c r="J753" s="364">
        <v>777</v>
      </c>
      <c r="K753" s="356">
        <f>J753/G753</f>
        <v>194.25</v>
      </c>
      <c r="L753" s="344">
        <f>I753/J753</f>
        <v>5.844272844272845</v>
      </c>
      <c r="M753" s="365">
        <f>789768+1289903.5+386658+174047.5+53640.5+11222+13202+16336.5+19067+4695+1360+4541</f>
        <v>2764441</v>
      </c>
      <c r="N753" s="348">
        <f>106210+169709+52723+26534+10972+2184+2814+3779+3834+945+312+777</f>
        <v>380793</v>
      </c>
      <c r="O753" s="419">
        <f>+M753/N753</f>
        <v>7.259694899853726</v>
      </c>
    </row>
    <row r="754" spans="1:15" ht="15">
      <c r="A754" s="175">
        <v>751</v>
      </c>
      <c r="B754" s="429" t="s">
        <v>243</v>
      </c>
      <c r="C754" s="395">
        <v>39073</v>
      </c>
      <c r="D754" s="394" t="s">
        <v>447</v>
      </c>
      <c r="E754" s="394" t="s">
        <v>298</v>
      </c>
      <c r="F754" s="396">
        <v>112</v>
      </c>
      <c r="G754" s="396">
        <v>2</v>
      </c>
      <c r="H754" s="396">
        <v>15</v>
      </c>
      <c r="I754" s="363">
        <v>3319</v>
      </c>
      <c r="J754" s="364">
        <v>761</v>
      </c>
      <c r="K754" s="340">
        <v>380.5</v>
      </c>
      <c r="L754" s="341">
        <v>4.361366622864652</v>
      </c>
      <c r="M754" s="365">
        <v>2768305</v>
      </c>
      <c r="N754" s="390">
        <v>381663</v>
      </c>
      <c r="O754" s="416">
        <v>7.25327055543765</v>
      </c>
    </row>
    <row r="755" spans="1:15" ht="15">
      <c r="A755" s="175">
        <v>752</v>
      </c>
      <c r="B755" s="424" t="s">
        <v>243</v>
      </c>
      <c r="C755" s="359">
        <v>39073</v>
      </c>
      <c r="D755" s="362" t="s">
        <v>447</v>
      </c>
      <c r="E755" s="380" t="s">
        <v>298</v>
      </c>
      <c r="F755" s="361">
        <v>112</v>
      </c>
      <c r="G755" s="361">
        <v>1</v>
      </c>
      <c r="H755" s="361">
        <v>26</v>
      </c>
      <c r="I755" s="363">
        <v>1510</v>
      </c>
      <c r="J755" s="364">
        <v>302</v>
      </c>
      <c r="K755" s="356">
        <f>J755/G755</f>
        <v>302</v>
      </c>
      <c r="L755" s="344">
        <f>I755/J755</f>
        <v>5</v>
      </c>
      <c r="M755" s="365">
        <f>2774422+0</f>
        <v>2774422</v>
      </c>
      <c r="N755" s="348">
        <f>382904+0</f>
        <v>382904</v>
      </c>
      <c r="O755" s="419">
        <f>+M755/N755</f>
        <v>7.245737835070932</v>
      </c>
    </row>
    <row r="756" spans="1:15" ht="15">
      <c r="A756" s="175">
        <v>753</v>
      </c>
      <c r="B756" s="421" t="s">
        <v>243</v>
      </c>
      <c r="C756" s="359">
        <v>39073</v>
      </c>
      <c r="D756" s="339" t="s">
        <v>447</v>
      </c>
      <c r="E756" s="339" t="s">
        <v>298</v>
      </c>
      <c r="F756" s="333">
        <v>112</v>
      </c>
      <c r="G756" s="333">
        <v>3</v>
      </c>
      <c r="H756" s="333">
        <v>17</v>
      </c>
      <c r="I756" s="363">
        <v>1437</v>
      </c>
      <c r="J756" s="364">
        <v>298</v>
      </c>
      <c r="K756" s="340">
        <f>IF(I756&lt;&gt;0,J756/G756,"")</f>
        <v>99.33333333333333</v>
      </c>
      <c r="L756" s="341">
        <f>IF(I756&lt;&gt;0,I756/J756,"")</f>
        <v>4.822147651006712</v>
      </c>
      <c r="M756" s="365">
        <f>2764986+3319+554+1437</f>
        <v>2770296</v>
      </c>
      <c r="N756" s="348">
        <f>380902+761+128+298</f>
        <v>382089</v>
      </c>
      <c r="O756" s="416">
        <f>IF(M756&lt;&gt;0,M756/N756,"")</f>
        <v>7.250394541585861</v>
      </c>
    </row>
    <row r="757" spans="1:15" ht="15">
      <c r="A757" s="175">
        <v>754</v>
      </c>
      <c r="B757" s="424" t="s">
        <v>243</v>
      </c>
      <c r="C757" s="359">
        <v>39073</v>
      </c>
      <c r="D757" s="362" t="s">
        <v>447</v>
      </c>
      <c r="E757" s="362" t="s">
        <v>298</v>
      </c>
      <c r="F757" s="361">
        <v>112</v>
      </c>
      <c r="G757" s="361">
        <v>3</v>
      </c>
      <c r="H757" s="361">
        <v>11</v>
      </c>
      <c r="I757" s="363">
        <v>1360</v>
      </c>
      <c r="J757" s="364">
        <v>312</v>
      </c>
      <c r="K757" s="356">
        <f>J757/G757</f>
        <v>104</v>
      </c>
      <c r="L757" s="344">
        <f>I757/J757</f>
        <v>4.358974358974359</v>
      </c>
      <c r="M757" s="365">
        <f>789768+1289903.5+386658+174047.5+53640.5+11222+13202+16336.5+19067+4695+1360</f>
        <v>2759900</v>
      </c>
      <c r="N757" s="348">
        <f>106210+169709+52723+26534+10972+2184+2814+3779+3834+945+312</f>
        <v>380016</v>
      </c>
      <c r="O757" s="419">
        <f>+M757/N757</f>
        <v>7.2625889436234266</v>
      </c>
    </row>
    <row r="758" spans="1:15" ht="15">
      <c r="A758" s="175">
        <v>755</v>
      </c>
      <c r="B758" s="421" t="s">
        <v>243</v>
      </c>
      <c r="C758" s="359">
        <v>39073</v>
      </c>
      <c r="D758" s="339" t="s">
        <v>447</v>
      </c>
      <c r="E758" s="339" t="s">
        <v>298</v>
      </c>
      <c r="F758" s="333">
        <v>112</v>
      </c>
      <c r="G758" s="333">
        <v>1</v>
      </c>
      <c r="H758" s="333">
        <v>25</v>
      </c>
      <c r="I758" s="363">
        <v>1188</v>
      </c>
      <c r="J758" s="364">
        <v>238</v>
      </c>
      <c r="K758" s="340">
        <f>IF(I758&lt;&gt;0,J758/G758,"")</f>
        <v>238</v>
      </c>
      <c r="L758" s="341">
        <f>IF(I758&lt;&gt;0,I758/J758,"")</f>
        <v>4.991596638655462</v>
      </c>
      <c r="M758" s="365">
        <f>2771335+176+213+1188</f>
        <v>2772912</v>
      </c>
      <c r="N758" s="348">
        <f>382307+0+26+31+238</f>
        <v>382602</v>
      </c>
      <c r="O758" s="416">
        <f>IF(M758&lt;&gt;0,M758/N758,"")</f>
        <v>7.247510467796823</v>
      </c>
    </row>
    <row r="759" spans="1:15" ht="15">
      <c r="A759" s="175">
        <v>756</v>
      </c>
      <c r="B759" s="421" t="s">
        <v>243</v>
      </c>
      <c r="C759" s="359">
        <v>39073</v>
      </c>
      <c r="D759" s="339" t="s">
        <v>447</v>
      </c>
      <c r="E759" s="339" t="s">
        <v>298</v>
      </c>
      <c r="F759" s="333">
        <v>112</v>
      </c>
      <c r="G759" s="333">
        <v>2</v>
      </c>
      <c r="H759" s="333">
        <v>16</v>
      </c>
      <c r="I759" s="363">
        <v>554</v>
      </c>
      <c r="J759" s="364">
        <v>128</v>
      </c>
      <c r="K759" s="340">
        <f>IF(I759&lt;&gt;0,J759/G759,"")</f>
        <v>64</v>
      </c>
      <c r="L759" s="341">
        <f>IF(I759&lt;&gt;0,I759/J759,"")</f>
        <v>4.328125</v>
      </c>
      <c r="M759" s="365">
        <f>2764986+3319+554</f>
        <v>2768859</v>
      </c>
      <c r="N759" s="348">
        <f>380902+761+128</f>
        <v>381791</v>
      </c>
      <c r="O759" s="416">
        <f>IF(M759&lt;&gt;0,M759/N759,"")</f>
        <v>7.25228986539756</v>
      </c>
    </row>
    <row r="760" spans="1:15" ht="15">
      <c r="A760" s="175">
        <v>757</v>
      </c>
      <c r="B760" s="422" t="s">
        <v>243</v>
      </c>
      <c r="C760" s="359">
        <v>39073</v>
      </c>
      <c r="D760" s="380" t="s">
        <v>447</v>
      </c>
      <c r="E760" s="380" t="s">
        <v>298</v>
      </c>
      <c r="F760" s="368">
        <v>112</v>
      </c>
      <c r="G760" s="368">
        <v>1</v>
      </c>
      <c r="H760" s="368">
        <v>14</v>
      </c>
      <c r="I760" s="363">
        <v>400</v>
      </c>
      <c r="J760" s="364">
        <v>80</v>
      </c>
      <c r="K760" s="356">
        <f>J760/G760</f>
        <v>80</v>
      </c>
      <c r="L760" s="344">
        <f>I760/J760</f>
        <v>5</v>
      </c>
      <c r="M760" s="365">
        <f>2764986+0</f>
        <v>2764986</v>
      </c>
      <c r="N760" s="348">
        <f>380902+0</f>
        <v>380902</v>
      </c>
      <c r="O760" s="419">
        <f>+M760/N760</f>
        <v>7.25904825913227</v>
      </c>
    </row>
    <row r="761" spans="1:15" ht="15">
      <c r="A761" s="175">
        <v>758</v>
      </c>
      <c r="B761" s="424" t="s">
        <v>243</v>
      </c>
      <c r="C761" s="359">
        <v>39073</v>
      </c>
      <c r="D761" s="362" t="s">
        <v>447</v>
      </c>
      <c r="E761" s="362" t="s">
        <v>298</v>
      </c>
      <c r="F761" s="361">
        <v>112</v>
      </c>
      <c r="G761" s="361">
        <v>1</v>
      </c>
      <c r="H761" s="361">
        <v>20</v>
      </c>
      <c r="I761" s="363">
        <v>295</v>
      </c>
      <c r="J761" s="364">
        <v>59</v>
      </c>
      <c r="K761" s="340">
        <f>IF(I761&lt;&gt;0,J761/G761,"")</f>
        <v>59</v>
      </c>
      <c r="L761" s="341">
        <f>IF(I761&lt;&gt;0,I761/J761,"")</f>
        <v>5</v>
      </c>
      <c r="M761" s="365">
        <f>2770576+0+295</f>
        <v>2770871</v>
      </c>
      <c r="N761" s="348">
        <f>382159+0+59</f>
        <v>382218</v>
      </c>
      <c r="O761" s="419">
        <f>+M761/N761</f>
        <v>7.249451883480108</v>
      </c>
    </row>
    <row r="762" spans="1:15" ht="15">
      <c r="A762" s="175">
        <v>759</v>
      </c>
      <c r="B762" s="424" t="s">
        <v>243</v>
      </c>
      <c r="C762" s="359">
        <v>39073</v>
      </c>
      <c r="D762" s="362" t="s">
        <v>447</v>
      </c>
      <c r="E762" s="362" t="s">
        <v>298</v>
      </c>
      <c r="F762" s="361">
        <v>112</v>
      </c>
      <c r="G762" s="361">
        <v>1</v>
      </c>
      <c r="H762" s="361">
        <v>22</v>
      </c>
      <c r="I762" s="363">
        <v>273</v>
      </c>
      <c r="J762" s="364">
        <v>41</v>
      </c>
      <c r="K762" s="340">
        <f>IF(I762&lt;&gt;0,J762/G762,"")</f>
        <v>41</v>
      </c>
      <c r="L762" s="341">
        <f>IF(I762&lt;&gt;0,I762/J762,"")</f>
        <v>6.658536585365853</v>
      </c>
      <c r="M762" s="365">
        <f>2771335+0</f>
        <v>2771335</v>
      </c>
      <c r="N762" s="348">
        <f>382307+0</f>
        <v>382307</v>
      </c>
      <c r="O762" s="419">
        <f>+M762/N762</f>
        <v>7.248977915654173</v>
      </c>
    </row>
    <row r="763" spans="1:15" ht="15">
      <c r="A763" s="175">
        <v>760</v>
      </c>
      <c r="B763" s="424" t="s">
        <v>243</v>
      </c>
      <c r="C763" s="359">
        <v>39073</v>
      </c>
      <c r="D763" s="362" t="s">
        <v>447</v>
      </c>
      <c r="E763" s="362" t="s">
        <v>298</v>
      </c>
      <c r="F763" s="361">
        <v>112</v>
      </c>
      <c r="G763" s="361">
        <v>1</v>
      </c>
      <c r="H763" s="361">
        <v>19</v>
      </c>
      <c r="I763" s="363">
        <v>272</v>
      </c>
      <c r="J763" s="364">
        <v>68</v>
      </c>
      <c r="K763" s="348">
        <f>J763/G763</f>
        <v>68</v>
      </c>
      <c r="L763" s="353">
        <f>I763/J763</f>
        <v>4</v>
      </c>
      <c r="M763" s="365">
        <f>2770576+0</f>
        <v>2770576</v>
      </c>
      <c r="N763" s="348">
        <f>382159+0</f>
        <v>382159</v>
      </c>
      <c r="O763" s="420">
        <f>M763/N763</f>
        <v>7.2497991673622755</v>
      </c>
    </row>
    <row r="764" spans="1:15" ht="15">
      <c r="A764" s="175">
        <v>761</v>
      </c>
      <c r="B764" s="424" t="s">
        <v>243</v>
      </c>
      <c r="C764" s="359">
        <v>39073</v>
      </c>
      <c r="D764" s="362" t="s">
        <v>447</v>
      </c>
      <c r="E764" s="362" t="s">
        <v>298</v>
      </c>
      <c r="F764" s="361">
        <v>112</v>
      </c>
      <c r="G764" s="361">
        <v>1</v>
      </c>
      <c r="H764" s="361">
        <v>24</v>
      </c>
      <c r="I764" s="363">
        <v>213</v>
      </c>
      <c r="J764" s="364">
        <v>31</v>
      </c>
      <c r="K764" s="348">
        <f>J764/G764</f>
        <v>31</v>
      </c>
      <c r="L764" s="353">
        <f>I764/J764</f>
        <v>6.870967741935484</v>
      </c>
      <c r="M764" s="365">
        <f>2771335+176+213</f>
        <v>2771724</v>
      </c>
      <c r="N764" s="348">
        <f>382307+0+26+31</f>
        <v>382364</v>
      </c>
      <c r="O764" s="419">
        <f>+M764/N764</f>
        <v>7.24891464677637</v>
      </c>
    </row>
    <row r="765" spans="1:15" ht="15">
      <c r="A765" s="175">
        <v>762</v>
      </c>
      <c r="B765" s="424" t="s">
        <v>243</v>
      </c>
      <c r="C765" s="359">
        <v>39073</v>
      </c>
      <c r="D765" s="362" t="s">
        <v>447</v>
      </c>
      <c r="E765" s="362" t="s">
        <v>298</v>
      </c>
      <c r="F765" s="361">
        <v>112</v>
      </c>
      <c r="G765" s="361">
        <v>1</v>
      </c>
      <c r="H765" s="361">
        <v>23</v>
      </c>
      <c r="I765" s="363">
        <v>176</v>
      </c>
      <c r="J765" s="364">
        <v>26</v>
      </c>
      <c r="K765" s="340">
        <f>IF(I765&lt;&gt;0,J765/G765,"")</f>
        <v>26</v>
      </c>
      <c r="L765" s="341">
        <f>IF(I765&lt;&gt;0,I765/J765,"")</f>
        <v>6.769230769230769</v>
      </c>
      <c r="M765" s="365">
        <f>2771335+176</f>
        <v>2771511</v>
      </c>
      <c r="N765" s="348">
        <f>382307+0+26</f>
        <v>382333</v>
      </c>
      <c r="O765" s="416">
        <f>IF(M765&lt;&gt;0,M765/N765,"")</f>
        <v>7.248945291146723</v>
      </c>
    </row>
    <row r="766" spans="1:15" ht="15">
      <c r="A766" s="175">
        <v>763</v>
      </c>
      <c r="B766" s="424" t="s">
        <v>243</v>
      </c>
      <c r="C766" s="359">
        <v>39073</v>
      </c>
      <c r="D766" s="362" t="s">
        <v>447</v>
      </c>
      <c r="E766" s="362" t="s">
        <v>298</v>
      </c>
      <c r="F766" s="361">
        <v>112</v>
      </c>
      <c r="G766" s="361">
        <v>1</v>
      </c>
      <c r="H766" s="361">
        <v>13</v>
      </c>
      <c r="I766" s="363">
        <v>145</v>
      </c>
      <c r="J766" s="364">
        <v>29</v>
      </c>
      <c r="K766" s="340">
        <f>IF(I766&lt;&gt;0,J766/G766,"")</f>
        <v>29</v>
      </c>
      <c r="L766" s="341">
        <f>IF(I766&lt;&gt;0,I766/J766,"")</f>
        <v>5</v>
      </c>
      <c r="M766" s="365">
        <f>789768+1289903.5+386658+174047.5+53640.5+11222+13202+16336.5+19067+4695+1360+4541+145</f>
        <v>2764586</v>
      </c>
      <c r="N766" s="348">
        <f>106210+169709+52723+26534+10972+2184+2814+3779+3834+945+312+777+29</f>
        <v>380822</v>
      </c>
      <c r="O766" s="419">
        <f>+M766/N766</f>
        <v>7.259522821685722</v>
      </c>
    </row>
    <row r="767" spans="1:15" ht="15">
      <c r="A767" s="175">
        <v>764</v>
      </c>
      <c r="B767" s="424" t="s">
        <v>243</v>
      </c>
      <c r="C767" s="359">
        <v>39073</v>
      </c>
      <c r="D767" s="362" t="s">
        <v>447</v>
      </c>
      <c r="E767" s="380" t="s">
        <v>298</v>
      </c>
      <c r="F767" s="361">
        <v>112</v>
      </c>
      <c r="G767" s="361">
        <v>1</v>
      </c>
      <c r="H767" s="361">
        <v>27</v>
      </c>
      <c r="I767" s="363">
        <v>65</v>
      </c>
      <c r="J767" s="364">
        <v>13</v>
      </c>
      <c r="K767" s="340">
        <f>IF(I767&lt;&gt;0,J767/G767,"")</f>
        <v>13</v>
      </c>
      <c r="L767" s="341">
        <f>IF(I767&lt;&gt;0,I767/J767,"")</f>
        <v>5</v>
      </c>
      <c r="M767" s="365">
        <f>2774487</f>
        <v>2774487</v>
      </c>
      <c r="N767" s="348">
        <f>382917</f>
        <v>382917</v>
      </c>
      <c r="O767" s="416">
        <f>IF(M767&lt;&gt;0,M767/N767,"")</f>
        <v>7.245661592459985</v>
      </c>
    </row>
    <row r="768" spans="1:15" ht="15">
      <c r="A768" s="175">
        <v>765</v>
      </c>
      <c r="B768" s="422" t="s">
        <v>254</v>
      </c>
      <c r="C768" s="359">
        <v>39073</v>
      </c>
      <c r="D768" s="379" t="s">
        <v>453</v>
      </c>
      <c r="E768" s="362" t="s">
        <v>322</v>
      </c>
      <c r="F768" s="361">
        <v>60</v>
      </c>
      <c r="G768" s="361">
        <v>60</v>
      </c>
      <c r="H768" s="361">
        <v>2</v>
      </c>
      <c r="I768" s="331">
        <v>736993</v>
      </c>
      <c r="J768" s="332">
        <v>80041</v>
      </c>
      <c r="K768" s="356">
        <f aca="true" t="shared" si="97" ref="K768:K787">J768/G768</f>
        <v>1334.0166666666667</v>
      </c>
      <c r="L768" s="344">
        <f aca="true" t="shared" si="98" ref="L768:L787">I768/J768</f>
        <v>9.20769355705201</v>
      </c>
      <c r="M768" s="342">
        <f>699081+736993</f>
        <v>1436074</v>
      </c>
      <c r="N768" s="343">
        <f>78037+80041</f>
        <v>158078</v>
      </c>
      <c r="O768" s="419">
        <f aca="true" t="shared" si="99" ref="O768:O780">+M768/N768</f>
        <v>9.084591151203837</v>
      </c>
    </row>
    <row r="769" spans="1:15" ht="15">
      <c r="A769" s="175">
        <v>766</v>
      </c>
      <c r="B769" s="422" t="s">
        <v>254</v>
      </c>
      <c r="C769" s="359">
        <v>39073</v>
      </c>
      <c r="D769" s="339" t="s">
        <v>453</v>
      </c>
      <c r="E769" s="339" t="s">
        <v>322</v>
      </c>
      <c r="F769" s="333">
        <v>60</v>
      </c>
      <c r="G769" s="333">
        <v>60</v>
      </c>
      <c r="H769" s="333">
        <v>3</v>
      </c>
      <c r="I769" s="331">
        <v>318216</v>
      </c>
      <c r="J769" s="332">
        <v>36145</v>
      </c>
      <c r="K769" s="356">
        <f t="shared" si="97"/>
        <v>602.4166666666666</v>
      </c>
      <c r="L769" s="344">
        <f t="shared" si="98"/>
        <v>8.803873288144972</v>
      </c>
      <c r="M769" s="342">
        <f>699081+736993+318216</f>
        <v>1754290</v>
      </c>
      <c r="N769" s="343">
        <f>78037+80041+36145</f>
        <v>194223</v>
      </c>
      <c r="O769" s="419">
        <f t="shared" si="99"/>
        <v>9.032349412788392</v>
      </c>
    </row>
    <row r="770" spans="1:15" ht="15">
      <c r="A770" s="175">
        <v>767</v>
      </c>
      <c r="B770" s="422" t="s">
        <v>254</v>
      </c>
      <c r="C770" s="359">
        <v>39073</v>
      </c>
      <c r="D770" s="379" t="s">
        <v>453</v>
      </c>
      <c r="E770" s="362" t="s">
        <v>322</v>
      </c>
      <c r="F770" s="361">
        <v>60</v>
      </c>
      <c r="G770" s="361">
        <v>51</v>
      </c>
      <c r="H770" s="361">
        <v>4</v>
      </c>
      <c r="I770" s="331">
        <v>148350</v>
      </c>
      <c r="J770" s="332">
        <v>17661</v>
      </c>
      <c r="K770" s="356">
        <f t="shared" si="97"/>
        <v>346.29411764705884</v>
      </c>
      <c r="L770" s="344">
        <f t="shared" si="98"/>
        <v>8.399864107355189</v>
      </c>
      <c r="M770" s="342">
        <f>699081+736993+318216+148350</f>
        <v>1902640</v>
      </c>
      <c r="N770" s="343">
        <f>78037+80041+36145+17661</f>
        <v>211884</v>
      </c>
      <c r="O770" s="419">
        <f t="shared" si="99"/>
        <v>8.979630363783958</v>
      </c>
    </row>
    <row r="771" spans="1:15" ht="15">
      <c r="A771" s="175">
        <v>768</v>
      </c>
      <c r="B771" s="422" t="s">
        <v>254</v>
      </c>
      <c r="C771" s="359">
        <v>39073</v>
      </c>
      <c r="D771" s="379" t="s">
        <v>453</v>
      </c>
      <c r="E771" s="362" t="s">
        <v>322</v>
      </c>
      <c r="F771" s="361">
        <v>60</v>
      </c>
      <c r="G771" s="361">
        <v>24</v>
      </c>
      <c r="H771" s="361">
        <v>5</v>
      </c>
      <c r="I771" s="331">
        <v>83269</v>
      </c>
      <c r="J771" s="332">
        <v>10172</v>
      </c>
      <c r="K771" s="356">
        <f t="shared" si="97"/>
        <v>423.8333333333333</v>
      </c>
      <c r="L771" s="344">
        <f t="shared" si="98"/>
        <v>8.186099095556429</v>
      </c>
      <c r="M771" s="342">
        <f>699081+736993+318216+148350+83269</f>
        <v>1985909</v>
      </c>
      <c r="N771" s="343">
        <f>78037+80041+36145+17661+10172</f>
        <v>222056</v>
      </c>
      <c r="O771" s="419">
        <f t="shared" si="99"/>
        <v>8.943280073494975</v>
      </c>
    </row>
    <row r="772" spans="1:15" ht="15">
      <c r="A772" s="175">
        <v>769</v>
      </c>
      <c r="B772" s="422" t="s">
        <v>254</v>
      </c>
      <c r="C772" s="359">
        <v>39073</v>
      </c>
      <c r="D772" s="379" t="s">
        <v>453</v>
      </c>
      <c r="E772" s="362" t="s">
        <v>322</v>
      </c>
      <c r="F772" s="361">
        <v>60</v>
      </c>
      <c r="G772" s="361">
        <v>4</v>
      </c>
      <c r="H772" s="361">
        <v>6</v>
      </c>
      <c r="I772" s="331">
        <v>13464</v>
      </c>
      <c r="J772" s="332">
        <v>1277</v>
      </c>
      <c r="K772" s="356">
        <f t="shared" si="97"/>
        <v>319.25</v>
      </c>
      <c r="L772" s="344">
        <f t="shared" si="98"/>
        <v>10.543461237274864</v>
      </c>
      <c r="M772" s="342">
        <f>699081+736993+318216+148350+83269+13464</f>
        <v>1999373</v>
      </c>
      <c r="N772" s="343">
        <f>78037+80041+36145+17661+10172+1277</f>
        <v>223333</v>
      </c>
      <c r="O772" s="419">
        <f t="shared" si="99"/>
        <v>8.95242977974594</v>
      </c>
    </row>
    <row r="773" spans="1:15" ht="15">
      <c r="A773" s="175">
        <v>770</v>
      </c>
      <c r="B773" s="422" t="s">
        <v>254</v>
      </c>
      <c r="C773" s="359">
        <v>39073</v>
      </c>
      <c r="D773" s="379" t="s">
        <v>453</v>
      </c>
      <c r="E773" s="362" t="s">
        <v>322</v>
      </c>
      <c r="F773" s="361">
        <v>60</v>
      </c>
      <c r="G773" s="361">
        <v>3</v>
      </c>
      <c r="H773" s="361">
        <v>8</v>
      </c>
      <c r="I773" s="331">
        <v>3459</v>
      </c>
      <c r="J773" s="332">
        <v>1543</v>
      </c>
      <c r="K773" s="356">
        <f t="shared" si="97"/>
        <v>514.3333333333334</v>
      </c>
      <c r="L773" s="344">
        <f t="shared" si="98"/>
        <v>2.2417368762151653</v>
      </c>
      <c r="M773" s="342">
        <f>699081+736993+318216+148350+83269+13464+1073-2.5+3459</f>
        <v>2003902.5</v>
      </c>
      <c r="N773" s="343">
        <f>78037+80041+36145+17661+10172+1277+200+1543</f>
        <v>225076</v>
      </c>
      <c r="O773" s="419">
        <f t="shared" si="99"/>
        <v>8.90322602143276</v>
      </c>
    </row>
    <row r="774" spans="1:15" ht="15">
      <c r="A774" s="175">
        <v>771</v>
      </c>
      <c r="B774" s="422" t="s">
        <v>254</v>
      </c>
      <c r="C774" s="359">
        <v>39073</v>
      </c>
      <c r="D774" s="379" t="s">
        <v>453</v>
      </c>
      <c r="E774" s="362" t="s">
        <v>322</v>
      </c>
      <c r="F774" s="361">
        <v>60</v>
      </c>
      <c r="G774" s="361">
        <v>3</v>
      </c>
      <c r="H774" s="361">
        <v>10</v>
      </c>
      <c r="I774" s="331">
        <v>2344</v>
      </c>
      <c r="J774" s="332">
        <v>389</v>
      </c>
      <c r="K774" s="356">
        <f t="shared" si="97"/>
        <v>129.66666666666666</v>
      </c>
      <c r="L774" s="344">
        <f t="shared" si="98"/>
        <v>6.025706940874036</v>
      </c>
      <c r="M774" s="342">
        <f>699081+736993+318216+148350+83269+13464+1073-2.5+3459+2218+2344</f>
        <v>2008464.5</v>
      </c>
      <c r="N774" s="343">
        <f>78037+80041+36145+17661+10172+1277+200+1543+444+389</f>
        <v>225909</v>
      </c>
      <c r="O774" s="419">
        <f t="shared" si="99"/>
        <v>8.890590901646238</v>
      </c>
    </row>
    <row r="775" spans="1:15" ht="15">
      <c r="A775" s="175">
        <v>772</v>
      </c>
      <c r="B775" s="422" t="s">
        <v>254</v>
      </c>
      <c r="C775" s="359">
        <v>39073</v>
      </c>
      <c r="D775" s="379" t="s">
        <v>453</v>
      </c>
      <c r="E775" s="362" t="s">
        <v>322</v>
      </c>
      <c r="F775" s="361">
        <v>60</v>
      </c>
      <c r="G775" s="361">
        <v>2</v>
      </c>
      <c r="H775" s="361">
        <v>9</v>
      </c>
      <c r="I775" s="331">
        <v>2218</v>
      </c>
      <c r="J775" s="332">
        <v>444</v>
      </c>
      <c r="K775" s="356">
        <f t="shared" si="97"/>
        <v>222</v>
      </c>
      <c r="L775" s="344">
        <f t="shared" si="98"/>
        <v>4.995495495495495</v>
      </c>
      <c r="M775" s="342">
        <f>699081+736993+318216+148350+83269+13464+1073-2.5+3459+2218</f>
        <v>2006120.5</v>
      </c>
      <c r="N775" s="343">
        <f>78037+80041+36145+17661+10172+1277+200+1543+444</f>
        <v>225520</v>
      </c>
      <c r="O775" s="419">
        <f t="shared" si="99"/>
        <v>8.895532547002484</v>
      </c>
    </row>
    <row r="776" spans="1:15" ht="15">
      <c r="A776" s="175">
        <v>773</v>
      </c>
      <c r="B776" s="422" t="s">
        <v>254</v>
      </c>
      <c r="C776" s="359">
        <v>39073</v>
      </c>
      <c r="D776" s="379" t="s">
        <v>453</v>
      </c>
      <c r="E776" s="362" t="s">
        <v>322</v>
      </c>
      <c r="F776" s="361">
        <v>60</v>
      </c>
      <c r="G776" s="361">
        <v>2</v>
      </c>
      <c r="H776" s="361">
        <v>11</v>
      </c>
      <c r="I776" s="331">
        <v>2077</v>
      </c>
      <c r="J776" s="332">
        <v>644</v>
      </c>
      <c r="K776" s="356">
        <f t="shared" si="97"/>
        <v>322</v>
      </c>
      <c r="L776" s="344">
        <f t="shared" si="98"/>
        <v>3.2251552795031055</v>
      </c>
      <c r="M776" s="342">
        <f>699081+736993+318216+148350+83269+13464+1073-2.5+3459+2218+2344+2077</f>
        <v>2010541.5</v>
      </c>
      <c r="N776" s="343">
        <f>78037+80041+36145+17661+10172+1277+200+1543+444+389+644</f>
        <v>226553</v>
      </c>
      <c r="O776" s="419">
        <f t="shared" si="99"/>
        <v>8.87448632328859</v>
      </c>
    </row>
    <row r="777" spans="1:15" ht="15">
      <c r="A777" s="175">
        <v>774</v>
      </c>
      <c r="B777" s="422" t="s">
        <v>254</v>
      </c>
      <c r="C777" s="359">
        <v>39073</v>
      </c>
      <c r="D777" s="380" t="s">
        <v>453</v>
      </c>
      <c r="E777" s="380" t="s">
        <v>322</v>
      </c>
      <c r="F777" s="368">
        <v>60</v>
      </c>
      <c r="G777" s="368">
        <v>1</v>
      </c>
      <c r="H777" s="368">
        <v>14</v>
      </c>
      <c r="I777" s="331">
        <v>1365</v>
      </c>
      <c r="J777" s="332">
        <v>228</v>
      </c>
      <c r="K777" s="356">
        <f t="shared" si="97"/>
        <v>228</v>
      </c>
      <c r="L777" s="344">
        <f t="shared" si="98"/>
        <v>5.9868421052631575</v>
      </c>
      <c r="M777" s="342">
        <f>699081+736993+318216+148350+83269+13464+1073-2.5+3459+2218+2344+2077+628+1317+1365</f>
        <v>2013851.5</v>
      </c>
      <c r="N777" s="343">
        <f>78037+80041+36145+17661+10172+1277+200+1543+444+389+644+89+223+228</f>
        <v>227093</v>
      </c>
      <c r="O777" s="419">
        <f t="shared" si="99"/>
        <v>8.867959382279507</v>
      </c>
    </row>
    <row r="778" spans="1:15" ht="15">
      <c r="A778" s="175">
        <v>775</v>
      </c>
      <c r="B778" s="422" t="s">
        <v>254</v>
      </c>
      <c r="C778" s="359">
        <v>39073</v>
      </c>
      <c r="D778" s="379" t="s">
        <v>453</v>
      </c>
      <c r="E778" s="362" t="s">
        <v>322</v>
      </c>
      <c r="F778" s="361">
        <v>60</v>
      </c>
      <c r="G778" s="361">
        <v>1</v>
      </c>
      <c r="H778" s="361">
        <v>13</v>
      </c>
      <c r="I778" s="331">
        <v>1317</v>
      </c>
      <c r="J778" s="332">
        <v>223</v>
      </c>
      <c r="K778" s="356">
        <f t="shared" si="97"/>
        <v>223</v>
      </c>
      <c r="L778" s="344">
        <f t="shared" si="98"/>
        <v>5.9058295964125564</v>
      </c>
      <c r="M778" s="342">
        <f>699081+736993+318216+148350+83269+13464+1073-2.5+3459+2218+2344+2077+628+1317</f>
        <v>2012486.5</v>
      </c>
      <c r="N778" s="343">
        <f>78037+80041+36145+17661+10172+1277+200+1543+444+389+644+89+223</f>
        <v>226865</v>
      </c>
      <c r="O778" s="419">
        <f t="shared" si="99"/>
        <v>8.870854913715204</v>
      </c>
    </row>
    <row r="779" spans="1:15" ht="15">
      <c r="A779" s="175">
        <v>776</v>
      </c>
      <c r="B779" s="422" t="s">
        <v>254</v>
      </c>
      <c r="C779" s="359">
        <v>39073</v>
      </c>
      <c r="D779" s="379" t="s">
        <v>453</v>
      </c>
      <c r="E779" s="362" t="s">
        <v>322</v>
      </c>
      <c r="F779" s="361">
        <v>60</v>
      </c>
      <c r="G779" s="361">
        <v>1</v>
      </c>
      <c r="H779" s="361">
        <v>7</v>
      </c>
      <c r="I779" s="331">
        <v>1073</v>
      </c>
      <c r="J779" s="332">
        <v>200</v>
      </c>
      <c r="K779" s="356">
        <f t="shared" si="97"/>
        <v>200</v>
      </c>
      <c r="L779" s="344">
        <f t="shared" si="98"/>
        <v>5.365</v>
      </c>
      <c r="M779" s="342">
        <f>699081+736993+318216+148350+83269+13464+1073-2.5</f>
        <v>2000443.5</v>
      </c>
      <c r="N779" s="343">
        <f>78037+80041+36145+17661+10172+1277+200</f>
        <v>223533</v>
      </c>
      <c r="O779" s="419">
        <f t="shared" si="99"/>
        <v>8.949208841647541</v>
      </c>
    </row>
    <row r="780" spans="1:15" ht="15">
      <c r="A780" s="175">
        <v>777</v>
      </c>
      <c r="B780" s="422" t="s">
        <v>254</v>
      </c>
      <c r="C780" s="359">
        <v>39073</v>
      </c>
      <c r="D780" s="379" t="s">
        <v>453</v>
      </c>
      <c r="E780" s="362" t="s">
        <v>322</v>
      </c>
      <c r="F780" s="361">
        <v>60</v>
      </c>
      <c r="G780" s="361">
        <v>1</v>
      </c>
      <c r="H780" s="361">
        <v>12</v>
      </c>
      <c r="I780" s="331">
        <v>628</v>
      </c>
      <c r="J780" s="332">
        <v>89</v>
      </c>
      <c r="K780" s="356">
        <f t="shared" si="97"/>
        <v>89</v>
      </c>
      <c r="L780" s="344">
        <f t="shared" si="98"/>
        <v>7.056179775280899</v>
      </c>
      <c r="M780" s="342">
        <f>699081+736993+318216+148350+83269+13464+1073-2.5+3459+2218+2344+2077+628</f>
        <v>2011169.5</v>
      </c>
      <c r="N780" s="343">
        <f>78037+80041+36145+17661+10172+1277+200+1543+444+389+644+89</f>
        <v>226642</v>
      </c>
      <c r="O780" s="419">
        <f t="shared" si="99"/>
        <v>8.873772292867164</v>
      </c>
    </row>
    <row r="781" spans="1:15" ht="15">
      <c r="A781" s="175">
        <v>778</v>
      </c>
      <c r="B781" s="421" t="s">
        <v>259</v>
      </c>
      <c r="C781" s="359">
        <v>39073</v>
      </c>
      <c r="D781" s="339" t="s">
        <v>468</v>
      </c>
      <c r="E781" s="339" t="s">
        <v>398</v>
      </c>
      <c r="F781" s="333" t="s">
        <v>699</v>
      </c>
      <c r="G781" s="333" t="s">
        <v>699</v>
      </c>
      <c r="H781" s="333" t="s">
        <v>648</v>
      </c>
      <c r="I781" s="331">
        <v>28388</v>
      </c>
      <c r="J781" s="332">
        <v>4133</v>
      </c>
      <c r="K781" s="350">
        <f t="shared" si="97"/>
        <v>153.07407407407408</v>
      </c>
      <c r="L781" s="351">
        <f t="shared" si="98"/>
        <v>6.868618436970723</v>
      </c>
      <c r="M781" s="342">
        <v>199071.5</v>
      </c>
      <c r="N781" s="343">
        <v>24375</v>
      </c>
      <c r="O781" s="420">
        <f>M781/N781</f>
        <v>8.167035897435898</v>
      </c>
    </row>
    <row r="782" spans="1:15" ht="15">
      <c r="A782" s="175">
        <v>779</v>
      </c>
      <c r="B782" s="422" t="s">
        <v>259</v>
      </c>
      <c r="C782" s="359">
        <v>39073</v>
      </c>
      <c r="D782" s="349" t="s">
        <v>468</v>
      </c>
      <c r="E782" s="349" t="s">
        <v>398</v>
      </c>
      <c r="F782" s="383" t="s">
        <v>699</v>
      </c>
      <c r="G782" s="383" t="s">
        <v>292</v>
      </c>
      <c r="H782" s="383" t="s">
        <v>650</v>
      </c>
      <c r="I782" s="331">
        <v>3756</v>
      </c>
      <c r="J782" s="332">
        <v>644</v>
      </c>
      <c r="K782" s="356">
        <f t="shared" si="97"/>
        <v>64.4</v>
      </c>
      <c r="L782" s="344">
        <f t="shared" si="98"/>
        <v>5.832298136645963</v>
      </c>
      <c r="M782" s="342">
        <v>202827.5</v>
      </c>
      <c r="N782" s="343">
        <v>25019</v>
      </c>
      <c r="O782" s="419">
        <f aca="true" t="shared" si="100" ref="O782:O787">+M782/N782</f>
        <v>8.106938726567808</v>
      </c>
    </row>
    <row r="783" spans="1:15" ht="15">
      <c r="A783" s="175">
        <v>780</v>
      </c>
      <c r="B783" s="422" t="s">
        <v>259</v>
      </c>
      <c r="C783" s="359">
        <v>39073</v>
      </c>
      <c r="D783" s="349" t="s">
        <v>468</v>
      </c>
      <c r="E783" s="349" t="s">
        <v>398</v>
      </c>
      <c r="F783" s="383" t="s">
        <v>699</v>
      </c>
      <c r="G783" s="383" t="s">
        <v>697</v>
      </c>
      <c r="H783" s="383" t="s">
        <v>289</v>
      </c>
      <c r="I783" s="331">
        <v>3051</v>
      </c>
      <c r="J783" s="332">
        <v>698</v>
      </c>
      <c r="K783" s="356">
        <f t="shared" si="97"/>
        <v>116.33333333333333</v>
      </c>
      <c r="L783" s="344">
        <f t="shared" si="98"/>
        <v>4.371060171919771</v>
      </c>
      <c r="M783" s="342">
        <v>205878.5</v>
      </c>
      <c r="N783" s="343">
        <v>25717</v>
      </c>
      <c r="O783" s="419">
        <f t="shared" si="100"/>
        <v>8.005541081774702</v>
      </c>
    </row>
    <row r="784" spans="1:15" ht="15">
      <c r="A784" s="175">
        <v>781</v>
      </c>
      <c r="B784" s="422" t="s">
        <v>259</v>
      </c>
      <c r="C784" s="359">
        <v>39073</v>
      </c>
      <c r="D784" s="349" t="s">
        <v>468</v>
      </c>
      <c r="E784" s="349" t="s">
        <v>398</v>
      </c>
      <c r="F784" s="383" t="s">
        <v>699</v>
      </c>
      <c r="G784" s="383" t="s">
        <v>276</v>
      </c>
      <c r="H784" s="383" t="s">
        <v>368</v>
      </c>
      <c r="I784" s="331">
        <v>1594</v>
      </c>
      <c r="J784" s="332">
        <v>314</v>
      </c>
      <c r="K784" s="356">
        <f t="shared" si="97"/>
        <v>314</v>
      </c>
      <c r="L784" s="344">
        <f t="shared" si="98"/>
        <v>5.076433121019108</v>
      </c>
      <c r="M784" s="342">
        <v>210250</v>
      </c>
      <c r="N784" s="343">
        <v>26703</v>
      </c>
      <c r="O784" s="419">
        <f t="shared" si="100"/>
        <v>7.87364715575029</v>
      </c>
    </row>
    <row r="785" spans="1:15" ht="15">
      <c r="A785" s="175">
        <v>782</v>
      </c>
      <c r="B785" s="422" t="s">
        <v>259</v>
      </c>
      <c r="C785" s="359">
        <v>39073</v>
      </c>
      <c r="D785" s="349" t="s">
        <v>468</v>
      </c>
      <c r="E785" s="349" t="s">
        <v>398</v>
      </c>
      <c r="F785" s="383" t="s">
        <v>699</v>
      </c>
      <c r="G785" s="383" t="s">
        <v>299</v>
      </c>
      <c r="H785" s="383" t="s">
        <v>488</v>
      </c>
      <c r="I785" s="331">
        <v>1243</v>
      </c>
      <c r="J785" s="332">
        <v>259</v>
      </c>
      <c r="K785" s="356">
        <f t="shared" si="97"/>
        <v>129.5</v>
      </c>
      <c r="L785" s="344">
        <f t="shared" si="98"/>
        <v>4.7992277992278</v>
      </c>
      <c r="M785" s="342">
        <v>207706</v>
      </c>
      <c r="N785" s="343">
        <v>26210</v>
      </c>
      <c r="O785" s="419">
        <f t="shared" si="100"/>
        <v>7.924685234643266</v>
      </c>
    </row>
    <row r="786" spans="1:15" ht="15">
      <c r="A786" s="175">
        <v>783</v>
      </c>
      <c r="B786" s="422" t="s">
        <v>259</v>
      </c>
      <c r="C786" s="359">
        <v>39073</v>
      </c>
      <c r="D786" s="349" t="s">
        <v>468</v>
      </c>
      <c r="E786" s="349" t="s">
        <v>398</v>
      </c>
      <c r="F786" s="383" t="s">
        <v>699</v>
      </c>
      <c r="G786" s="383" t="s">
        <v>299</v>
      </c>
      <c r="H786" s="383" t="s">
        <v>488</v>
      </c>
      <c r="I786" s="331">
        <v>950</v>
      </c>
      <c r="J786" s="332">
        <v>179</v>
      </c>
      <c r="K786" s="356">
        <f t="shared" si="97"/>
        <v>89.5</v>
      </c>
      <c r="L786" s="344">
        <f t="shared" si="98"/>
        <v>5.307262569832402</v>
      </c>
      <c r="M786" s="342">
        <v>208656</v>
      </c>
      <c r="N786" s="343">
        <v>26389</v>
      </c>
      <c r="O786" s="419">
        <f t="shared" si="100"/>
        <v>7.906930918185608</v>
      </c>
    </row>
    <row r="787" spans="1:15" ht="15.75" thickBot="1">
      <c r="A787" s="175">
        <v>784</v>
      </c>
      <c r="B787" s="431" t="s">
        <v>259</v>
      </c>
      <c r="C787" s="432">
        <v>39073</v>
      </c>
      <c r="D787" s="433" t="s">
        <v>468</v>
      </c>
      <c r="E787" s="433" t="s">
        <v>398</v>
      </c>
      <c r="F787" s="434" t="s">
        <v>699</v>
      </c>
      <c r="G787" s="434" t="s">
        <v>648</v>
      </c>
      <c r="H787" s="434" t="s">
        <v>697</v>
      </c>
      <c r="I787" s="435">
        <v>584.5</v>
      </c>
      <c r="J787" s="436">
        <v>144</v>
      </c>
      <c r="K787" s="437">
        <f t="shared" si="97"/>
        <v>48</v>
      </c>
      <c r="L787" s="438">
        <f t="shared" si="98"/>
        <v>4.059027777777778</v>
      </c>
      <c r="M787" s="439">
        <v>206463</v>
      </c>
      <c r="N787" s="440">
        <v>25861</v>
      </c>
      <c r="O787" s="441">
        <f t="shared" si="100"/>
        <v>7.983565987394146</v>
      </c>
    </row>
    <row r="788" spans="1:15" ht="12.75">
      <c r="A788" s="445"/>
      <c r="B788" s="448"/>
      <c r="C788" s="449"/>
      <c r="D788" s="449"/>
      <c r="E788" s="449"/>
      <c r="F788" s="446"/>
      <c r="G788" s="447"/>
      <c r="H788" s="450"/>
      <c r="I788" s="451">
        <f>SUM(I4:I787)</f>
        <v>11463428.4</v>
      </c>
      <c r="J788" s="452">
        <f>SUM(J4:J787)</f>
        <v>1720463</v>
      </c>
      <c r="K788" s="450"/>
      <c r="L788" s="450"/>
      <c r="M788" s="450"/>
      <c r="N788" s="450"/>
      <c r="O788" s="450"/>
    </row>
    <row r="789" spans="1:7" ht="12.75">
      <c r="A789" s="41"/>
      <c r="B789" s="39"/>
      <c r="C789" s="31"/>
      <c r="D789" s="31"/>
      <c r="E789" s="31"/>
      <c r="F789" s="289"/>
      <c r="G789" s="226"/>
    </row>
    <row r="790" spans="1:15" ht="13.5">
      <c r="A790" s="41"/>
      <c r="B790" s="39"/>
      <c r="C790" s="442"/>
      <c r="D790" s="443"/>
      <c r="E790" s="443"/>
      <c r="F790" s="443"/>
      <c r="G790" s="443"/>
      <c r="K790" s="490" t="s">
        <v>118</v>
      </c>
      <c r="L790" s="527"/>
      <c r="M790" s="527"/>
      <c r="N790" s="527"/>
      <c r="O790" s="527"/>
    </row>
    <row r="791" spans="1:15" ht="12.75">
      <c r="A791" s="41"/>
      <c r="B791" s="39"/>
      <c r="C791" s="443"/>
      <c r="D791" s="443"/>
      <c r="E791" s="443"/>
      <c r="F791" s="443"/>
      <c r="G791" s="443"/>
      <c r="K791" s="527"/>
      <c r="L791" s="527"/>
      <c r="M791" s="527"/>
      <c r="N791" s="527"/>
      <c r="O791" s="527"/>
    </row>
    <row r="792" spans="1:15" ht="12.75">
      <c r="A792" s="41"/>
      <c r="B792" s="39"/>
      <c r="C792" s="443"/>
      <c r="D792" s="443"/>
      <c r="E792" s="443"/>
      <c r="F792" s="443"/>
      <c r="G792" s="443"/>
      <c r="K792" s="527"/>
      <c r="L792" s="527"/>
      <c r="M792" s="527"/>
      <c r="N792" s="527"/>
      <c r="O792" s="527"/>
    </row>
    <row r="793" spans="1:15" ht="8.25" customHeight="1">
      <c r="A793" s="41"/>
      <c r="B793" s="39"/>
      <c r="C793" s="443"/>
      <c r="D793" s="443"/>
      <c r="E793" s="443"/>
      <c r="F793" s="443"/>
      <c r="G793" s="443"/>
      <c r="K793" s="527"/>
      <c r="L793" s="527"/>
      <c r="M793" s="527"/>
      <c r="N793" s="527"/>
      <c r="O793" s="527"/>
    </row>
    <row r="794" spans="1:15" ht="12.75">
      <c r="A794" s="41"/>
      <c r="B794" s="39"/>
      <c r="C794" s="443"/>
      <c r="D794" s="443"/>
      <c r="E794" s="443"/>
      <c r="F794" s="443"/>
      <c r="G794" s="443"/>
      <c r="K794" s="527"/>
      <c r="L794" s="527"/>
      <c r="M794" s="527"/>
      <c r="N794" s="527"/>
      <c r="O794" s="527"/>
    </row>
    <row r="795" spans="1:15" ht="93.75" customHeight="1">
      <c r="A795" s="41"/>
      <c r="B795" s="39"/>
      <c r="C795" s="443"/>
      <c r="D795" s="443"/>
      <c r="E795" s="443"/>
      <c r="F795" s="443"/>
      <c r="G795" s="443"/>
      <c r="K795" s="527"/>
      <c r="L795" s="527"/>
      <c r="M795" s="527"/>
      <c r="N795" s="527"/>
      <c r="O795" s="527"/>
    </row>
    <row r="796" spans="1:15" ht="12.75">
      <c r="A796" s="41"/>
      <c r="B796" s="39"/>
      <c r="C796" s="31"/>
      <c r="D796" s="443"/>
      <c r="E796" s="443"/>
      <c r="F796" s="289"/>
      <c r="G796" s="226"/>
      <c r="K796" s="178"/>
      <c r="L796" s="177"/>
      <c r="M796" s="177"/>
      <c r="N796" s="305"/>
      <c r="O796" s="227"/>
    </row>
    <row r="797" spans="1:15" ht="13.5">
      <c r="A797" s="41"/>
      <c r="B797" s="39"/>
      <c r="C797" s="444"/>
      <c r="D797" s="443"/>
      <c r="E797" s="443"/>
      <c r="F797" s="443"/>
      <c r="G797" s="443"/>
      <c r="K797" s="528" t="s">
        <v>275</v>
      </c>
      <c r="L797" s="527"/>
      <c r="M797" s="527"/>
      <c r="N797" s="527"/>
      <c r="O797" s="527"/>
    </row>
    <row r="798" spans="1:15" ht="12.75">
      <c r="A798" s="41"/>
      <c r="B798" s="39"/>
      <c r="C798" s="443"/>
      <c r="D798" s="443"/>
      <c r="E798" s="443"/>
      <c r="F798" s="443"/>
      <c r="G798" s="443"/>
      <c r="K798" s="527"/>
      <c r="L798" s="527"/>
      <c r="M798" s="527"/>
      <c r="N798" s="527"/>
      <c r="O798" s="527"/>
    </row>
    <row r="799" spans="1:15" ht="12.75">
      <c r="A799" s="41"/>
      <c r="B799" s="39"/>
      <c r="C799" s="443"/>
      <c r="D799" s="443"/>
      <c r="E799" s="443"/>
      <c r="F799" s="443"/>
      <c r="G799" s="443"/>
      <c r="K799" s="527"/>
      <c r="L799" s="527"/>
      <c r="M799" s="527"/>
      <c r="N799" s="527"/>
      <c r="O799" s="527"/>
    </row>
    <row r="800" spans="1:15" ht="12.75">
      <c r="A800" s="41"/>
      <c r="B800" s="39"/>
      <c r="C800" s="443"/>
      <c r="D800" s="443"/>
      <c r="E800" s="443"/>
      <c r="F800" s="443"/>
      <c r="G800" s="443"/>
      <c r="K800" s="527"/>
      <c r="L800" s="527"/>
      <c r="M800" s="527"/>
      <c r="N800" s="527"/>
      <c r="O800" s="527"/>
    </row>
    <row r="801" spans="1:15" ht="12.75">
      <c r="A801" s="41"/>
      <c r="B801" s="39"/>
      <c r="C801" s="443"/>
      <c r="D801" s="443"/>
      <c r="E801" s="443"/>
      <c r="F801" s="443"/>
      <c r="G801" s="443"/>
      <c r="K801" s="527"/>
      <c r="L801" s="527"/>
      <c r="M801" s="527"/>
      <c r="N801" s="527"/>
      <c r="O801" s="527"/>
    </row>
    <row r="802" spans="1:15" ht="12.75">
      <c r="A802" s="41"/>
      <c r="B802" s="39"/>
      <c r="C802" s="443"/>
      <c r="D802" s="443"/>
      <c r="E802" s="443"/>
      <c r="F802" s="443"/>
      <c r="G802" s="443"/>
      <c r="K802" s="527"/>
      <c r="L802" s="527"/>
      <c r="M802" s="527"/>
      <c r="N802" s="527"/>
      <c r="O802" s="527"/>
    </row>
    <row r="803" spans="1:15" ht="100.5" customHeight="1">
      <c r="A803" s="41"/>
      <c r="B803" s="39"/>
      <c r="C803" s="39"/>
      <c r="D803" s="39"/>
      <c r="E803" s="39"/>
      <c r="F803" s="39"/>
      <c r="G803" s="39"/>
      <c r="K803" s="529"/>
      <c r="L803" s="529"/>
      <c r="M803" s="529"/>
      <c r="N803" s="529"/>
      <c r="O803" s="529"/>
    </row>
    <row r="804" spans="1:7" ht="12.75">
      <c r="A804" s="41"/>
      <c r="B804" s="39"/>
      <c r="C804" s="31"/>
      <c r="D804" s="31"/>
      <c r="E804" s="31"/>
      <c r="F804" s="289"/>
      <c r="G804" s="226"/>
    </row>
    <row r="805" spans="1:7" ht="12.75">
      <c r="A805" s="41"/>
      <c r="B805" s="39"/>
      <c r="C805" s="31"/>
      <c r="D805" s="31"/>
      <c r="E805" s="31"/>
      <c r="F805" s="289"/>
      <c r="G805" s="226"/>
    </row>
  </sheetData>
  <sheetProtection/>
  <mergeCells count="12">
    <mergeCell ref="E2:E3"/>
    <mergeCell ref="F2:F3"/>
    <mergeCell ref="A1:O1"/>
    <mergeCell ref="K790:O795"/>
    <mergeCell ref="B2:B3"/>
    <mergeCell ref="C2:C3"/>
    <mergeCell ref="D2:D3"/>
    <mergeCell ref="K797:O803"/>
    <mergeCell ref="G2:G3"/>
    <mergeCell ref="H2:H3"/>
    <mergeCell ref="I2:L2"/>
    <mergeCell ref="M2:O2"/>
  </mergeCells>
  <printOptions/>
  <pageMargins left="0.75" right="0.75" top="1" bottom="1" header="0.5" footer="0.5"/>
  <pageSetup orientation="portrait" paperSize="9"/>
  <ignoredErrors>
    <ignoredError sqref="G58:J63 K4:N12 O4:O11 N120:N133 F120:J158 K131:M133 F195 F261:J276 K287:L292 F287:J341 F445:J503 K453:N460 I630:I787 K544:L548 F514:H787 J514:J787 I514:I628 K684:L709 K766:L787 G4:J56" numberStoredAsText="1"/>
    <ignoredError sqref="K58:O63 K120:M130 K134:N158 O120:O158 K293:L321 K445:N452 K461:L503 M461:N499 K514:L543 K549:L683 K710:L765 O12:O56 K13:N56 O215:O238 M215:N238 O241:O276 O239:O240 M241:N276 O284:O336 O337:O340 K352:L384 M352:N384 M401:N413 M504:N543 M710:M765 M287:M292 N287:N321 K340:L340 M341:N341 K341:L341 M340 N322:N340 I629 M293:M321 K322:L339 M322:M339 M500:N503" numberStoredAsText="1" formula="1"/>
    <ignoredError sqref="K64:O64 O73:O119 K76:M119 K159:M165 N159:N165 N166 K166:M166 O159:O165 O180:O214 K176:N179 K180:L238 M180:N214 O277:O278 O279 K241:L278 M277:N278 O280:O283 O385:O387 O341:O384 K390:L413 O416:O446 M385:N389 K385:L389 M390:N400 O390:O415 K416:N444 O451:O781 K504:L513" formula="1"/>
    <ignoredError sqref="O215:O238 M215:N238 O241:O276 O239:O240 M241:N276 O284:O336 O337:O340 K352:L384 M352:N384 M401:N413 M504:N543 M710:M765" formula="1" unlockedFormula="1"/>
    <ignoredError sqref="M239:N240 M284:N286 K342:L351 M342:N351 M414:N414 N544:N787 M544:M709 M766:M787" unlockedFormula="1"/>
    <ignoredError sqref="M287:M292 N287:N321 K340:L340 M341:N341 K341:L341 M340 N322:N340 I629" numberStoredAsText="1" unlockedFormula="1"/>
    <ignoredError sqref="M293:M321 K322:L339 M322:M339 M500:N503" numberStoredAsText="1" formula="1" unlockedFormula="1"/>
  </ignoredErrors>
</worksheet>
</file>

<file path=xl/worksheets/sheet4.xml><?xml version="1.0" encoding="utf-8"?>
<worksheet xmlns="http://schemas.openxmlformats.org/spreadsheetml/2006/main" xmlns:r="http://schemas.openxmlformats.org/officeDocument/2006/relationships">
  <dimension ref="A1:S104"/>
  <sheetViews>
    <sheetView zoomScale="110" zoomScaleNormal="110" zoomScalePageLayoutView="0" workbookViewId="0" topLeftCell="A1">
      <selection activeCell="A95" sqref="A95:E95"/>
    </sheetView>
  </sheetViews>
  <sheetFormatPr defaultColWidth="9.140625" defaultRowHeight="12.75"/>
  <cols>
    <col min="1" max="1" width="3.57421875" style="195" bestFit="1" customWidth="1"/>
    <col min="2" max="2" width="5.28125" style="196" bestFit="1" customWidth="1"/>
    <col min="3" max="3" width="8.00390625" style="197" bestFit="1" customWidth="1"/>
    <col min="4" max="4" width="3.57421875" style="195" bestFit="1" customWidth="1"/>
    <col min="5" max="5" width="3.00390625" style="195" bestFit="1" customWidth="1"/>
    <col min="6" max="6" width="5.421875" style="198" bestFit="1" customWidth="1"/>
    <col min="7" max="7" width="12.421875" style="199" bestFit="1" customWidth="1"/>
    <col min="8" max="8" width="9.421875" style="198" bestFit="1" customWidth="1"/>
    <col min="9" max="9" width="3.421875" style="195" bestFit="1" customWidth="1"/>
    <col min="10" max="10" width="10.7109375" style="200" bestFit="1" customWidth="1"/>
    <col min="11" max="11" width="7.28125" style="201" bestFit="1" customWidth="1"/>
    <col min="12" max="12" width="6.7109375" style="202" bestFit="1" customWidth="1"/>
    <col min="13" max="13" width="3.57421875" style="203" bestFit="1" customWidth="1"/>
    <col min="14" max="14" width="12.421875" style="199" bestFit="1" customWidth="1"/>
    <col min="15" max="15" width="9.421875" style="198" bestFit="1" customWidth="1"/>
    <col min="16" max="16" width="8.421875" style="204" bestFit="1" customWidth="1"/>
    <col min="17" max="17" width="31.00390625" style="197" bestFit="1" customWidth="1"/>
    <col min="18" max="18" width="7.28125" style="201" bestFit="1" customWidth="1"/>
    <col min="19" max="19" width="6.7109375" style="202" bestFit="1" customWidth="1"/>
    <col min="20" max="16384" width="9.140625" style="192" customWidth="1"/>
  </cols>
  <sheetData>
    <row r="1" spans="1:19" ht="14.25" thickBot="1">
      <c r="A1" s="179">
        <v>1</v>
      </c>
      <c r="B1" s="180" t="s">
        <v>119</v>
      </c>
      <c r="C1" s="181" t="s">
        <v>120</v>
      </c>
      <c r="D1" s="182">
        <v>10</v>
      </c>
      <c r="E1" s="183">
        <v>3</v>
      </c>
      <c r="F1" s="184">
        <v>56</v>
      </c>
      <c r="G1" s="185">
        <v>8693868.8</v>
      </c>
      <c r="H1" s="186">
        <v>1116813</v>
      </c>
      <c r="I1" s="179">
        <v>4</v>
      </c>
      <c r="J1" s="187">
        <v>3067842</v>
      </c>
      <c r="K1" s="188">
        <v>355957</v>
      </c>
      <c r="L1" s="189">
        <f aca="true" t="shared" si="0" ref="L1:L53">SUM(K1/H1)</f>
        <v>0.3187256953491766</v>
      </c>
      <c r="M1" s="184">
        <v>15</v>
      </c>
      <c r="N1" s="185">
        <v>4982432.6</v>
      </c>
      <c r="O1" s="190">
        <v>687078</v>
      </c>
      <c r="P1" s="191">
        <f aca="true" t="shared" si="1" ref="P1:P53">SUM(O1/H1)</f>
        <v>0.6152131108789027</v>
      </c>
      <c r="Q1" s="194" t="s">
        <v>121</v>
      </c>
      <c r="R1" s="188">
        <v>169709</v>
      </c>
      <c r="S1" s="189">
        <f aca="true" t="shared" si="2" ref="S1:S53">SUM(R1/H1)</f>
        <v>0.1519582956143956</v>
      </c>
    </row>
    <row r="2" spans="1:19" ht="14.25" thickBot="1">
      <c r="A2" s="179">
        <v>2</v>
      </c>
      <c r="B2" s="180" t="s">
        <v>122</v>
      </c>
      <c r="C2" s="181" t="s">
        <v>120</v>
      </c>
      <c r="D2" s="182">
        <v>11</v>
      </c>
      <c r="E2" s="183">
        <v>2</v>
      </c>
      <c r="F2" s="193">
        <v>60</v>
      </c>
      <c r="G2" s="185">
        <v>5118873.69</v>
      </c>
      <c r="H2" s="186">
        <v>659058</v>
      </c>
      <c r="I2" s="179">
        <v>4</v>
      </c>
      <c r="J2" s="187">
        <v>1283953.79</v>
      </c>
      <c r="K2" s="188">
        <v>146284</v>
      </c>
      <c r="L2" s="189">
        <f t="shared" si="0"/>
        <v>0.22195922058453124</v>
      </c>
      <c r="M2" s="184">
        <v>15</v>
      </c>
      <c r="N2" s="185">
        <v>2107896.5</v>
      </c>
      <c r="O2" s="190">
        <v>296904</v>
      </c>
      <c r="P2" s="191">
        <f t="shared" si="1"/>
        <v>0.4504975282903781</v>
      </c>
      <c r="Q2" s="222" t="s">
        <v>123</v>
      </c>
      <c r="R2" s="188">
        <v>124215</v>
      </c>
      <c r="S2" s="189">
        <f t="shared" si="2"/>
        <v>0.18847354861028923</v>
      </c>
    </row>
    <row r="3" spans="1:19" ht="14.25" thickBot="1">
      <c r="A3" s="179">
        <v>3</v>
      </c>
      <c r="B3" s="180" t="s">
        <v>124</v>
      </c>
      <c r="C3" s="181" t="s">
        <v>120</v>
      </c>
      <c r="D3" s="182">
        <v>10</v>
      </c>
      <c r="E3" s="183">
        <v>3</v>
      </c>
      <c r="F3" s="193">
        <v>62</v>
      </c>
      <c r="G3" s="185">
        <v>6529727.8</v>
      </c>
      <c r="H3" s="186">
        <v>890276</v>
      </c>
      <c r="I3" s="179">
        <v>5</v>
      </c>
      <c r="J3" s="187">
        <v>3682940.5</v>
      </c>
      <c r="K3" s="188">
        <v>511626</v>
      </c>
      <c r="L3" s="189">
        <f t="shared" si="0"/>
        <v>0.5746824580242531</v>
      </c>
      <c r="M3" s="184">
        <v>16</v>
      </c>
      <c r="N3" s="185">
        <v>4246958.5</v>
      </c>
      <c r="O3" s="190">
        <v>616836</v>
      </c>
      <c r="P3" s="191">
        <f t="shared" si="1"/>
        <v>0.6928592930731593</v>
      </c>
      <c r="Q3" s="194" t="s">
        <v>125</v>
      </c>
      <c r="R3" s="188">
        <v>453903</v>
      </c>
      <c r="S3" s="189">
        <f t="shared" si="2"/>
        <v>0.5098452614694768</v>
      </c>
    </row>
    <row r="4" spans="1:19" ht="14.25" thickBot="1">
      <c r="A4" s="179">
        <v>4</v>
      </c>
      <c r="B4" s="180" t="s">
        <v>149</v>
      </c>
      <c r="C4" s="181" t="s">
        <v>120</v>
      </c>
      <c r="D4" s="182">
        <v>10</v>
      </c>
      <c r="E4" s="183">
        <v>3</v>
      </c>
      <c r="F4" s="193">
        <v>61</v>
      </c>
      <c r="G4" s="185">
        <v>7092188.4</v>
      </c>
      <c r="H4" s="186">
        <v>992303</v>
      </c>
      <c r="I4" s="179">
        <v>3</v>
      </c>
      <c r="J4" s="187">
        <v>2723182.5</v>
      </c>
      <c r="K4" s="188">
        <v>383964</v>
      </c>
      <c r="L4" s="189">
        <f t="shared" si="0"/>
        <v>0.38694229484340975</v>
      </c>
      <c r="M4" s="184">
        <v>17</v>
      </c>
      <c r="N4" s="185">
        <v>5464750.5</v>
      </c>
      <c r="O4" s="190">
        <v>798920</v>
      </c>
      <c r="P4" s="191">
        <f t="shared" si="1"/>
        <v>0.8051169854369079</v>
      </c>
      <c r="Q4" s="194" t="s">
        <v>150</v>
      </c>
      <c r="R4" s="188">
        <v>302980</v>
      </c>
      <c r="S4" s="189">
        <f t="shared" si="2"/>
        <v>0.30533012597966547</v>
      </c>
    </row>
    <row r="5" spans="1:19" ht="14.25" thickBot="1">
      <c r="A5" s="179">
        <v>5</v>
      </c>
      <c r="B5" s="180" t="s">
        <v>151</v>
      </c>
      <c r="C5" s="181" t="s">
        <v>152</v>
      </c>
      <c r="D5" s="182">
        <v>10</v>
      </c>
      <c r="E5" s="183">
        <v>3</v>
      </c>
      <c r="F5" s="193">
        <v>59</v>
      </c>
      <c r="G5" s="185">
        <v>9179093.2</v>
      </c>
      <c r="H5" s="186">
        <v>1224946</v>
      </c>
      <c r="I5" s="179">
        <v>3</v>
      </c>
      <c r="J5" s="187">
        <v>4795747.5</v>
      </c>
      <c r="K5" s="188">
        <v>625765</v>
      </c>
      <c r="L5" s="189">
        <f t="shared" si="0"/>
        <v>0.5108510905786867</v>
      </c>
      <c r="M5" s="184">
        <v>19</v>
      </c>
      <c r="N5" s="185">
        <v>7048989.5</v>
      </c>
      <c r="O5" s="190">
        <v>968870</v>
      </c>
      <c r="P5" s="191">
        <f t="shared" si="1"/>
        <v>0.7909491520442534</v>
      </c>
      <c r="Q5" s="194" t="s">
        <v>153</v>
      </c>
      <c r="R5" s="188">
        <v>274655</v>
      </c>
      <c r="S5" s="189">
        <f t="shared" si="2"/>
        <v>0.22421804716289534</v>
      </c>
    </row>
    <row r="6" spans="1:19" ht="14.25" thickBot="1">
      <c r="A6" s="179">
        <v>6</v>
      </c>
      <c r="B6" s="180" t="s">
        <v>154</v>
      </c>
      <c r="C6" s="181" t="s">
        <v>152</v>
      </c>
      <c r="D6" s="182">
        <v>10</v>
      </c>
      <c r="E6" s="183">
        <v>3</v>
      </c>
      <c r="F6" s="193">
        <v>51</v>
      </c>
      <c r="G6" s="185">
        <v>8785125.1</v>
      </c>
      <c r="H6" s="186">
        <v>1151294</v>
      </c>
      <c r="I6" s="179">
        <v>5</v>
      </c>
      <c r="J6" s="187">
        <v>1872291.5</v>
      </c>
      <c r="K6" s="188">
        <v>216438</v>
      </c>
      <c r="L6" s="189">
        <f t="shared" si="0"/>
        <v>0.18799542080476403</v>
      </c>
      <c r="M6" s="184">
        <v>17</v>
      </c>
      <c r="N6" s="185">
        <v>5912494</v>
      </c>
      <c r="O6" s="190">
        <v>810354</v>
      </c>
      <c r="P6" s="191">
        <f t="shared" si="1"/>
        <v>0.7038636525509557</v>
      </c>
      <c r="Q6" s="194" t="s">
        <v>153</v>
      </c>
      <c r="R6" s="188">
        <v>238848</v>
      </c>
      <c r="S6" s="189">
        <f t="shared" si="2"/>
        <v>0.20746047490910227</v>
      </c>
    </row>
    <row r="7" spans="1:19" ht="14.25" thickBot="1">
      <c r="A7" s="179">
        <v>7</v>
      </c>
      <c r="B7" s="180" t="s">
        <v>155</v>
      </c>
      <c r="C7" s="181" t="s">
        <v>152</v>
      </c>
      <c r="D7" s="182">
        <v>9</v>
      </c>
      <c r="E7" s="183">
        <v>4</v>
      </c>
      <c r="F7" s="193">
        <v>52</v>
      </c>
      <c r="G7" s="185">
        <v>6302662.94</v>
      </c>
      <c r="H7" s="186">
        <v>828699</v>
      </c>
      <c r="I7" s="179">
        <v>4</v>
      </c>
      <c r="J7" s="187">
        <v>1331644</v>
      </c>
      <c r="K7" s="188">
        <v>154379</v>
      </c>
      <c r="L7" s="189">
        <f t="shared" si="0"/>
        <v>0.18629080039917992</v>
      </c>
      <c r="M7" s="184">
        <v>18</v>
      </c>
      <c r="N7" s="185">
        <v>3602022.94</v>
      </c>
      <c r="O7" s="190">
        <v>511804</v>
      </c>
      <c r="P7" s="191">
        <f t="shared" si="1"/>
        <v>0.6175993937485142</v>
      </c>
      <c r="Q7" s="194" t="s">
        <v>153</v>
      </c>
      <c r="R7" s="188">
        <v>139396</v>
      </c>
      <c r="S7" s="189">
        <f t="shared" si="2"/>
        <v>0.16821065308393035</v>
      </c>
    </row>
    <row r="8" spans="1:19" ht="14.25" thickBot="1">
      <c r="A8" s="179">
        <v>8</v>
      </c>
      <c r="B8" s="180" t="s">
        <v>156</v>
      </c>
      <c r="C8" s="181" t="s">
        <v>152</v>
      </c>
      <c r="D8" s="182">
        <v>9</v>
      </c>
      <c r="E8" s="183">
        <v>4</v>
      </c>
      <c r="F8" s="184">
        <v>62</v>
      </c>
      <c r="G8" s="185">
        <v>6060298</v>
      </c>
      <c r="H8" s="186">
        <v>783267</v>
      </c>
      <c r="I8" s="179">
        <v>5</v>
      </c>
      <c r="J8" s="187">
        <v>2873712.5</v>
      </c>
      <c r="K8" s="188">
        <v>340864</v>
      </c>
      <c r="L8" s="189">
        <f t="shared" si="0"/>
        <v>0.4351823835294989</v>
      </c>
      <c r="M8" s="184">
        <v>19</v>
      </c>
      <c r="N8" s="185">
        <v>2347661.5</v>
      </c>
      <c r="O8" s="190">
        <v>347738</v>
      </c>
      <c r="P8" s="191">
        <f t="shared" si="1"/>
        <v>0.44395844584286076</v>
      </c>
      <c r="Q8" s="222" t="s">
        <v>157</v>
      </c>
      <c r="R8" s="188">
        <v>121457</v>
      </c>
      <c r="S8" s="189">
        <f t="shared" si="2"/>
        <v>0.15506462036572458</v>
      </c>
    </row>
    <row r="9" spans="1:19" ht="14.25" thickBot="1">
      <c r="A9" s="179">
        <v>9</v>
      </c>
      <c r="B9" s="180" t="s">
        <v>158</v>
      </c>
      <c r="C9" s="181" t="s">
        <v>159</v>
      </c>
      <c r="D9" s="182">
        <v>9</v>
      </c>
      <c r="E9" s="183">
        <v>4</v>
      </c>
      <c r="F9" s="193">
        <v>61</v>
      </c>
      <c r="G9" s="185">
        <v>5290968</v>
      </c>
      <c r="H9" s="186">
        <v>677853</v>
      </c>
      <c r="I9" s="179">
        <v>6</v>
      </c>
      <c r="J9" s="187">
        <v>1015200</v>
      </c>
      <c r="K9" s="188">
        <v>116014</v>
      </c>
      <c r="L9" s="189">
        <f t="shared" si="0"/>
        <v>0.17114920196561792</v>
      </c>
      <c r="M9" s="184">
        <v>17</v>
      </c>
      <c r="N9" s="185">
        <v>1671440</v>
      </c>
      <c r="O9" s="190">
        <v>246439</v>
      </c>
      <c r="P9" s="191">
        <f t="shared" si="1"/>
        <v>0.36355817559264325</v>
      </c>
      <c r="Q9" s="222" t="s">
        <v>157</v>
      </c>
      <c r="R9" s="188">
        <v>81309</v>
      </c>
      <c r="S9" s="189">
        <f t="shared" si="2"/>
        <v>0.11995078578983939</v>
      </c>
    </row>
    <row r="10" spans="1:19" ht="14.25" thickBot="1">
      <c r="A10" s="179">
        <v>10</v>
      </c>
      <c r="B10" s="180" t="s">
        <v>154</v>
      </c>
      <c r="C10" s="181" t="s">
        <v>159</v>
      </c>
      <c r="D10" s="182">
        <v>9</v>
      </c>
      <c r="E10" s="183">
        <v>4</v>
      </c>
      <c r="F10" s="193">
        <v>65</v>
      </c>
      <c r="G10" s="185">
        <v>5088140.05</v>
      </c>
      <c r="H10" s="186">
        <v>653289</v>
      </c>
      <c r="I10" s="179">
        <v>6</v>
      </c>
      <c r="J10" s="187">
        <v>2472897</v>
      </c>
      <c r="K10" s="188">
        <v>296568</v>
      </c>
      <c r="L10" s="189">
        <f t="shared" si="0"/>
        <v>0.45396141676960733</v>
      </c>
      <c r="M10" s="184">
        <v>21</v>
      </c>
      <c r="N10" s="185">
        <v>1588352.55</v>
      </c>
      <c r="O10" s="190">
        <v>230463</v>
      </c>
      <c r="P10" s="191">
        <f t="shared" si="1"/>
        <v>0.35277342799281786</v>
      </c>
      <c r="Q10" s="222" t="s">
        <v>160</v>
      </c>
      <c r="R10" s="188">
        <v>102037</v>
      </c>
      <c r="S10" s="189">
        <f t="shared" si="2"/>
        <v>0.15618968021809643</v>
      </c>
    </row>
    <row r="11" spans="1:19" ht="14.25" thickBot="1">
      <c r="A11" s="179">
        <v>11</v>
      </c>
      <c r="B11" s="180" t="s">
        <v>155</v>
      </c>
      <c r="C11" s="181" t="s">
        <v>159</v>
      </c>
      <c r="D11" s="182">
        <v>10</v>
      </c>
      <c r="E11" s="183">
        <v>3</v>
      </c>
      <c r="F11" s="193">
        <v>69</v>
      </c>
      <c r="G11" s="185">
        <v>4964952.3</v>
      </c>
      <c r="H11" s="186">
        <v>638421</v>
      </c>
      <c r="I11" s="179">
        <v>6</v>
      </c>
      <c r="J11" s="187">
        <v>1956043.5</v>
      </c>
      <c r="K11" s="188">
        <v>227604</v>
      </c>
      <c r="L11" s="189">
        <f t="shared" si="0"/>
        <v>0.3565108290610741</v>
      </c>
      <c r="M11" s="184">
        <v>22</v>
      </c>
      <c r="N11" s="185">
        <v>1714676</v>
      </c>
      <c r="O11" s="190">
        <v>241825</v>
      </c>
      <c r="P11" s="191">
        <f t="shared" si="1"/>
        <v>0.3787860988282027</v>
      </c>
      <c r="Q11" s="194" t="s">
        <v>161</v>
      </c>
      <c r="R11" s="188">
        <v>86101</v>
      </c>
      <c r="S11" s="189">
        <f t="shared" si="2"/>
        <v>0.1348655511018591</v>
      </c>
    </row>
    <row r="12" spans="1:19" ht="14.25" thickBot="1">
      <c r="A12" s="179">
        <v>12</v>
      </c>
      <c r="B12" s="180" t="s">
        <v>156</v>
      </c>
      <c r="C12" s="181" t="s">
        <v>159</v>
      </c>
      <c r="D12" s="182">
        <v>9</v>
      </c>
      <c r="E12" s="183">
        <v>4</v>
      </c>
      <c r="F12" s="193">
        <v>66</v>
      </c>
      <c r="G12" s="185">
        <v>7269818.42</v>
      </c>
      <c r="H12" s="186">
        <v>928595</v>
      </c>
      <c r="I12" s="179">
        <v>7</v>
      </c>
      <c r="J12" s="187">
        <v>4723762.92</v>
      </c>
      <c r="K12" s="188">
        <v>577212</v>
      </c>
      <c r="L12" s="189">
        <f t="shared" si="0"/>
        <v>0.6215971440724967</v>
      </c>
      <c r="M12" s="184">
        <v>21</v>
      </c>
      <c r="N12" s="185">
        <v>2021747.9</v>
      </c>
      <c r="O12" s="190">
        <v>274352</v>
      </c>
      <c r="P12" s="191">
        <f t="shared" si="1"/>
        <v>0.29544850015345764</v>
      </c>
      <c r="Q12" s="223" t="s">
        <v>162</v>
      </c>
      <c r="R12" s="188">
        <v>400017</v>
      </c>
      <c r="S12" s="189">
        <f t="shared" si="2"/>
        <v>0.4307766033631454</v>
      </c>
    </row>
    <row r="13" spans="1:19" ht="14.25" thickBot="1">
      <c r="A13" s="179">
        <v>13</v>
      </c>
      <c r="B13" s="180" t="s">
        <v>163</v>
      </c>
      <c r="C13" s="181" t="s">
        <v>159</v>
      </c>
      <c r="D13" s="182">
        <v>9</v>
      </c>
      <c r="E13" s="183">
        <v>4</v>
      </c>
      <c r="F13" s="193">
        <v>73</v>
      </c>
      <c r="G13" s="185">
        <v>6114106.5</v>
      </c>
      <c r="H13" s="186">
        <v>774233</v>
      </c>
      <c r="I13" s="179">
        <v>4</v>
      </c>
      <c r="J13" s="187">
        <v>2046232.5</v>
      </c>
      <c r="K13" s="188">
        <v>196021</v>
      </c>
      <c r="L13" s="189">
        <f t="shared" si="0"/>
        <v>0.2531808899904809</v>
      </c>
      <c r="M13" s="184">
        <v>22</v>
      </c>
      <c r="N13" s="185">
        <v>1677088</v>
      </c>
      <c r="O13" s="190">
        <v>229561</v>
      </c>
      <c r="P13" s="191">
        <f t="shared" si="1"/>
        <v>0.2965011824605771</v>
      </c>
      <c r="Q13" s="223" t="s">
        <v>162</v>
      </c>
      <c r="R13" s="188">
        <v>186496</v>
      </c>
      <c r="S13" s="189">
        <f t="shared" si="2"/>
        <v>0.24087839190527915</v>
      </c>
    </row>
    <row r="14" spans="1:19" ht="14.25" thickBot="1">
      <c r="A14" s="179">
        <v>14</v>
      </c>
      <c r="B14" s="180" t="s">
        <v>164</v>
      </c>
      <c r="C14" s="181" t="s">
        <v>165</v>
      </c>
      <c r="D14" s="182">
        <v>10</v>
      </c>
      <c r="E14" s="183">
        <v>3</v>
      </c>
      <c r="F14" s="193">
        <v>70</v>
      </c>
      <c r="G14" s="185">
        <v>4961927.9</v>
      </c>
      <c r="H14" s="186">
        <v>628822</v>
      </c>
      <c r="I14" s="179">
        <v>3</v>
      </c>
      <c r="J14" s="187">
        <v>862608.5</v>
      </c>
      <c r="K14" s="188">
        <v>100043</v>
      </c>
      <c r="L14" s="189">
        <f t="shared" si="0"/>
        <v>0.15909589677205951</v>
      </c>
      <c r="M14" s="184">
        <v>21</v>
      </c>
      <c r="N14" s="185">
        <v>1369908.4</v>
      </c>
      <c r="O14" s="190">
        <v>187040</v>
      </c>
      <c r="P14" s="191">
        <f t="shared" si="1"/>
        <v>0.2974450639449638</v>
      </c>
      <c r="Q14" s="194" t="s">
        <v>166</v>
      </c>
      <c r="R14" s="188">
        <v>113536</v>
      </c>
      <c r="S14" s="189">
        <f t="shared" si="2"/>
        <v>0.1805534793629994</v>
      </c>
    </row>
    <row r="15" spans="1:19" ht="14.25" thickBot="1">
      <c r="A15" s="179">
        <v>15</v>
      </c>
      <c r="B15" s="180" t="s">
        <v>167</v>
      </c>
      <c r="C15" s="181" t="s">
        <v>165</v>
      </c>
      <c r="D15" s="182">
        <v>11</v>
      </c>
      <c r="E15" s="183">
        <v>2</v>
      </c>
      <c r="F15" s="184">
        <v>80</v>
      </c>
      <c r="G15" s="185">
        <v>3793841.7</v>
      </c>
      <c r="H15" s="186">
        <v>487888</v>
      </c>
      <c r="I15" s="179">
        <v>8</v>
      </c>
      <c r="J15" s="187">
        <v>1316910.5</v>
      </c>
      <c r="K15" s="188">
        <v>145325</v>
      </c>
      <c r="L15" s="189">
        <f t="shared" si="0"/>
        <v>0.29786549371987014</v>
      </c>
      <c r="M15" s="184">
        <v>22</v>
      </c>
      <c r="N15" s="185">
        <v>698457</v>
      </c>
      <c r="O15" s="190">
        <v>104479</v>
      </c>
      <c r="P15" s="191">
        <f t="shared" si="1"/>
        <v>0.21414545961368184</v>
      </c>
      <c r="Q15" s="222" t="s">
        <v>168</v>
      </c>
      <c r="R15" s="188">
        <v>73516</v>
      </c>
      <c r="S15" s="189">
        <f t="shared" si="2"/>
        <v>0.15068212376611026</v>
      </c>
    </row>
    <row r="16" spans="1:19" ht="14.25" thickBot="1">
      <c r="A16" s="179">
        <v>16</v>
      </c>
      <c r="B16" s="180" t="s">
        <v>169</v>
      </c>
      <c r="C16" s="181" t="s">
        <v>165</v>
      </c>
      <c r="D16" s="182">
        <v>10</v>
      </c>
      <c r="E16" s="183">
        <v>3</v>
      </c>
      <c r="F16" s="184">
        <v>90</v>
      </c>
      <c r="G16" s="185">
        <v>3559223.45</v>
      </c>
      <c r="H16" s="186">
        <v>471342</v>
      </c>
      <c r="I16" s="179">
        <v>7</v>
      </c>
      <c r="J16" s="187">
        <v>1560286</v>
      </c>
      <c r="K16" s="188">
        <v>186713</v>
      </c>
      <c r="L16" s="189">
        <f t="shared" si="0"/>
        <v>0.3961306227749702</v>
      </c>
      <c r="M16" s="184">
        <v>27</v>
      </c>
      <c r="N16" s="185">
        <v>738315.5</v>
      </c>
      <c r="O16" s="190">
        <v>107568</v>
      </c>
      <c r="P16" s="191">
        <f t="shared" si="1"/>
        <v>0.22821645429433404</v>
      </c>
      <c r="Q16" s="222" t="s">
        <v>0</v>
      </c>
      <c r="R16" s="188">
        <v>70778</v>
      </c>
      <c r="S16" s="189">
        <f t="shared" si="2"/>
        <v>0.1501627268522644</v>
      </c>
    </row>
    <row r="17" spans="1:19" ht="14.25" thickBot="1">
      <c r="A17" s="179">
        <v>17</v>
      </c>
      <c r="B17" s="180" t="s">
        <v>1</v>
      </c>
      <c r="C17" s="181" t="s">
        <v>165</v>
      </c>
      <c r="D17" s="182">
        <v>10</v>
      </c>
      <c r="E17" s="183">
        <v>3</v>
      </c>
      <c r="F17" s="184">
        <v>71</v>
      </c>
      <c r="G17" s="185">
        <v>4495714.65</v>
      </c>
      <c r="H17" s="186">
        <v>593277</v>
      </c>
      <c r="I17" s="179">
        <v>4</v>
      </c>
      <c r="J17" s="187">
        <v>2537879</v>
      </c>
      <c r="K17" s="188">
        <v>316879</v>
      </c>
      <c r="L17" s="189">
        <f t="shared" si="0"/>
        <v>0.5341164413924693</v>
      </c>
      <c r="M17" s="184">
        <v>19</v>
      </c>
      <c r="N17" s="185">
        <v>1827729.5</v>
      </c>
      <c r="O17" s="190">
        <v>253779</v>
      </c>
      <c r="P17" s="191">
        <f t="shared" si="1"/>
        <v>0.42775802871171476</v>
      </c>
      <c r="Q17" s="194" t="s">
        <v>2</v>
      </c>
      <c r="R17" s="188">
        <v>189829</v>
      </c>
      <c r="S17" s="189">
        <f t="shared" si="2"/>
        <v>0.31996689573335896</v>
      </c>
    </row>
    <row r="18" spans="1:19" ht="14.25" thickBot="1">
      <c r="A18" s="179">
        <v>18</v>
      </c>
      <c r="B18" s="180" t="s">
        <v>3</v>
      </c>
      <c r="C18" s="181" t="s">
        <v>4</v>
      </c>
      <c r="D18" s="182">
        <v>10</v>
      </c>
      <c r="E18" s="183">
        <v>3</v>
      </c>
      <c r="F18" s="193">
        <v>76</v>
      </c>
      <c r="G18" s="185">
        <v>3359765</v>
      </c>
      <c r="H18" s="186">
        <v>442122</v>
      </c>
      <c r="I18" s="179">
        <v>6</v>
      </c>
      <c r="J18" s="187">
        <v>1353681</v>
      </c>
      <c r="K18" s="188">
        <v>157965</v>
      </c>
      <c r="L18" s="189">
        <f t="shared" si="0"/>
        <v>0.35728825980159323</v>
      </c>
      <c r="M18" s="184">
        <v>26</v>
      </c>
      <c r="N18" s="185">
        <v>870655</v>
      </c>
      <c r="O18" s="190">
        <v>126269</v>
      </c>
      <c r="P18" s="191">
        <f t="shared" si="1"/>
        <v>0.2855976404702774</v>
      </c>
      <c r="Q18" s="194" t="s">
        <v>2</v>
      </c>
      <c r="R18" s="188">
        <v>87354</v>
      </c>
      <c r="S18" s="189">
        <f t="shared" si="2"/>
        <v>0.1975789487969384</v>
      </c>
    </row>
    <row r="19" spans="1:19" ht="14.25" thickBot="1">
      <c r="A19" s="179">
        <v>19</v>
      </c>
      <c r="B19" s="180" t="s">
        <v>5</v>
      </c>
      <c r="C19" s="181" t="s">
        <v>4</v>
      </c>
      <c r="D19" s="182">
        <v>11</v>
      </c>
      <c r="E19" s="183">
        <v>3</v>
      </c>
      <c r="F19" s="193">
        <v>67</v>
      </c>
      <c r="G19" s="185">
        <v>4612289</v>
      </c>
      <c r="H19" s="186">
        <v>605808</v>
      </c>
      <c r="I19" s="179">
        <v>3</v>
      </c>
      <c r="J19" s="187">
        <v>2878018</v>
      </c>
      <c r="K19" s="188">
        <v>367437</v>
      </c>
      <c r="L19" s="189">
        <f t="shared" si="0"/>
        <v>0.6065238491403216</v>
      </c>
      <c r="M19" s="184">
        <v>13</v>
      </c>
      <c r="N19" s="185">
        <v>569522</v>
      </c>
      <c r="O19" s="190">
        <v>86852</v>
      </c>
      <c r="P19" s="191">
        <f t="shared" si="1"/>
        <v>0.14336555476322532</v>
      </c>
      <c r="Q19" s="222" t="s">
        <v>6</v>
      </c>
      <c r="R19" s="188">
        <v>347281</v>
      </c>
      <c r="S19" s="189">
        <f t="shared" si="2"/>
        <v>0.5732525816760425</v>
      </c>
    </row>
    <row r="20" spans="1:19" ht="14.25" thickBot="1">
      <c r="A20" s="179">
        <v>20</v>
      </c>
      <c r="B20" s="180" t="s">
        <v>7</v>
      </c>
      <c r="C20" s="181" t="s">
        <v>4</v>
      </c>
      <c r="D20" s="182">
        <v>11</v>
      </c>
      <c r="E20" s="183">
        <v>3</v>
      </c>
      <c r="F20" s="193">
        <v>75</v>
      </c>
      <c r="G20" s="185">
        <v>2959174</v>
      </c>
      <c r="H20" s="186">
        <v>393916</v>
      </c>
      <c r="I20" s="179">
        <v>6</v>
      </c>
      <c r="J20" s="187">
        <v>399290</v>
      </c>
      <c r="K20" s="188">
        <v>44262</v>
      </c>
      <c r="L20" s="189">
        <f t="shared" si="0"/>
        <v>0.11236405731171113</v>
      </c>
      <c r="M20" s="184">
        <v>17</v>
      </c>
      <c r="N20" s="185">
        <v>313436.5</v>
      </c>
      <c r="O20" s="190">
        <v>49288</v>
      </c>
      <c r="P20" s="191">
        <f t="shared" si="1"/>
        <v>0.12512312269620934</v>
      </c>
      <c r="Q20" s="222" t="s">
        <v>6</v>
      </c>
      <c r="R20" s="188">
        <v>180161</v>
      </c>
      <c r="S20" s="189">
        <f t="shared" si="2"/>
        <v>0.4573589293148793</v>
      </c>
    </row>
    <row r="21" spans="1:19" ht="14.25" thickBot="1">
      <c r="A21" s="179">
        <v>21</v>
      </c>
      <c r="B21" s="180" t="s">
        <v>8</v>
      </c>
      <c r="C21" s="181" t="s">
        <v>4</v>
      </c>
      <c r="D21" s="182">
        <v>11</v>
      </c>
      <c r="E21" s="183">
        <v>3</v>
      </c>
      <c r="F21" s="184">
        <v>80</v>
      </c>
      <c r="G21" s="185">
        <v>3150227.5</v>
      </c>
      <c r="H21" s="186">
        <v>405630</v>
      </c>
      <c r="I21" s="179">
        <v>5</v>
      </c>
      <c r="J21" s="187">
        <v>1355753</v>
      </c>
      <c r="K21" s="188">
        <v>154038</v>
      </c>
      <c r="L21" s="189">
        <f t="shared" si="0"/>
        <v>0.3797500184897567</v>
      </c>
      <c r="M21" s="184">
        <v>21</v>
      </c>
      <c r="N21" s="185">
        <v>207115</v>
      </c>
      <c r="O21" s="190">
        <v>36794</v>
      </c>
      <c r="P21" s="191">
        <f t="shared" si="1"/>
        <v>0.09070828094568942</v>
      </c>
      <c r="Q21" s="222" t="s">
        <v>6</v>
      </c>
      <c r="R21" s="188">
        <v>109405</v>
      </c>
      <c r="S21" s="189">
        <f t="shared" si="2"/>
        <v>0.26971624386756404</v>
      </c>
    </row>
    <row r="22" spans="1:19" ht="14.25" thickBot="1">
      <c r="A22" s="179">
        <v>22</v>
      </c>
      <c r="B22" s="180" t="s">
        <v>9</v>
      </c>
      <c r="C22" s="181" t="s">
        <v>4</v>
      </c>
      <c r="D22" s="182">
        <v>12</v>
      </c>
      <c r="E22" s="183">
        <v>3</v>
      </c>
      <c r="F22" s="193">
        <v>74</v>
      </c>
      <c r="G22" s="185">
        <v>4828196</v>
      </c>
      <c r="H22" s="186">
        <v>625697</v>
      </c>
      <c r="I22" s="179">
        <v>4</v>
      </c>
      <c r="J22" s="187">
        <v>3565551</v>
      </c>
      <c r="K22" s="188">
        <v>448009</v>
      </c>
      <c r="L22" s="189">
        <f t="shared" si="0"/>
        <v>0.7160158990693578</v>
      </c>
      <c r="M22" s="184">
        <v>17</v>
      </c>
      <c r="N22" s="185">
        <v>140344.5</v>
      </c>
      <c r="O22" s="190">
        <v>29233</v>
      </c>
      <c r="P22" s="191">
        <f t="shared" si="1"/>
        <v>0.04672069707861792</v>
      </c>
      <c r="Q22" s="222" t="s">
        <v>10</v>
      </c>
      <c r="R22" s="188">
        <v>445802</v>
      </c>
      <c r="S22" s="189">
        <f t="shared" si="2"/>
        <v>0.7124886326768388</v>
      </c>
    </row>
    <row r="23" spans="1:19" ht="14.25" thickBot="1">
      <c r="A23" s="179">
        <v>23</v>
      </c>
      <c r="B23" s="180" t="s">
        <v>11</v>
      </c>
      <c r="C23" s="181" t="s">
        <v>12</v>
      </c>
      <c r="D23" s="182">
        <v>12</v>
      </c>
      <c r="E23" s="183">
        <v>3</v>
      </c>
      <c r="F23" s="193">
        <v>84</v>
      </c>
      <c r="G23" s="185">
        <v>2978904.01</v>
      </c>
      <c r="H23" s="186">
        <v>389341</v>
      </c>
      <c r="I23" s="179">
        <v>5</v>
      </c>
      <c r="J23" s="187">
        <v>699611</v>
      </c>
      <c r="K23" s="188">
        <v>79702</v>
      </c>
      <c r="L23" s="189">
        <f t="shared" si="0"/>
        <v>0.20471000999124161</v>
      </c>
      <c r="M23" s="184">
        <v>12</v>
      </c>
      <c r="N23" s="185">
        <v>49305.51</v>
      </c>
      <c r="O23" s="190">
        <v>12229</v>
      </c>
      <c r="P23" s="191">
        <f t="shared" si="1"/>
        <v>0.03140948423104682</v>
      </c>
      <c r="Q23" s="222" t="s">
        <v>10</v>
      </c>
      <c r="R23" s="188">
        <v>204260</v>
      </c>
      <c r="S23" s="189">
        <f t="shared" si="2"/>
        <v>0.524630080058355</v>
      </c>
    </row>
    <row r="24" spans="1:19" ht="14.25" thickBot="1">
      <c r="A24" s="179">
        <v>24</v>
      </c>
      <c r="B24" s="180" t="s">
        <v>13</v>
      </c>
      <c r="C24" s="181" t="s">
        <v>12</v>
      </c>
      <c r="D24" s="182">
        <v>12</v>
      </c>
      <c r="E24" s="183">
        <v>3</v>
      </c>
      <c r="F24" s="193">
        <v>84</v>
      </c>
      <c r="G24" s="185">
        <v>3552854.08</v>
      </c>
      <c r="H24" s="186">
        <v>463248</v>
      </c>
      <c r="I24" s="179">
        <v>3</v>
      </c>
      <c r="J24" s="187">
        <v>1610580.5</v>
      </c>
      <c r="K24" s="188">
        <v>183829</v>
      </c>
      <c r="L24" s="189">
        <f t="shared" si="0"/>
        <v>0.39682632197008944</v>
      </c>
      <c r="M24" s="184">
        <v>18</v>
      </c>
      <c r="N24" s="185">
        <v>32359.08</v>
      </c>
      <c r="O24" s="190">
        <v>7942</v>
      </c>
      <c r="P24" s="191">
        <f t="shared" si="1"/>
        <v>0.017144164680689394</v>
      </c>
      <c r="Q24" s="222" t="s">
        <v>14</v>
      </c>
      <c r="R24" s="188">
        <v>161361</v>
      </c>
      <c r="S24" s="189">
        <f t="shared" si="2"/>
        <v>0.3483253030774013</v>
      </c>
    </row>
    <row r="25" spans="1:19" ht="14.25" thickBot="1">
      <c r="A25" s="179">
        <v>25</v>
      </c>
      <c r="B25" s="180" t="s">
        <v>15</v>
      </c>
      <c r="C25" s="181" t="s">
        <v>12</v>
      </c>
      <c r="D25" s="182">
        <v>11</v>
      </c>
      <c r="E25" s="183">
        <v>4</v>
      </c>
      <c r="F25" s="193">
        <v>80</v>
      </c>
      <c r="G25" s="185">
        <v>4243340</v>
      </c>
      <c r="H25" s="186">
        <v>565779</v>
      </c>
      <c r="I25" s="179">
        <v>4</v>
      </c>
      <c r="J25" s="187">
        <v>2454465</v>
      </c>
      <c r="K25" s="188">
        <v>316566</v>
      </c>
      <c r="L25" s="189">
        <f t="shared" si="0"/>
        <v>0.5595223576696908</v>
      </c>
      <c r="M25" s="184">
        <v>19</v>
      </c>
      <c r="N25" s="185">
        <v>23459.5</v>
      </c>
      <c r="O25" s="190">
        <v>6606</v>
      </c>
      <c r="P25" s="191">
        <f t="shared" si="1"/>
        <v>0.011675937070835078</v>
      </c>
      <c r="Q25" s="222" t="s">
        <v>16</v>
      </c>
      <c r="R25" s="188">
        <v>285694</v>
      </c>
      <c r="S25" s="189">
        <f t="shared" si="2"/>
        <v>0.504956882457638</v>
      </c>
    </row>
    <row r="26" spans="1:19" ht="14.25" thickBot="1">
      <c r="A26" s="179">
        <v>26</v>
      </c>
      <c r="B26" s="180" t="s">
        <v>17</v>
      </c>
      <c r="C26" s="181" t="s">
        <v>12</v>
      </c>
      <c r="D26" s="182">
        <v>12</v>
      </c>
      <c r="E26" s="183">
        <v>3</v>
      </c>
      <c r="F26" s="193">
        <v>80</v>
      </c>
      <c r="G26" s="185">
        <v>2627810.75</v>
      </c>
      <c r="H26" s="186">
        <v>339771</v>
      </c>
      <c r="I26" s="179">
        <v>4</v>
      </c>
      <c r="J26" s="187">
        <v>542348.25</v>
      </c>
      <c r="K26" s="188">
        <v>61128</v>
      </c>
      <c r="L26" s="189">
        <f t="shared" si="0"/>
        <v>0.17990940957291823</v>
      </c>
      <c r="M26" s="184">
        <v>16</v>
      </c>
      <c r="N26" s="185">
        <v>23541</v>
      </c>
      <c r="O26" s="190">
        <v>6633</v>
      </c>
      <c r="P26" s="191">
        <f t="shared" si="1"/>
        <v>0.019521972151831674</v>
      </c>
      <c r="Q26" s="222" t="s">
        <v>16</v>
      </c>
      <c r="R26" s="188">
        <v>127266</v>
      </c>
      <c r="S26" s="189">
        <f t="shared" si="2"/>
        <v>0.3745640446065144</v>
      </c>
    </row>
    <row r="27" spans="1:19" ht="14.25" thickBot="1">
      <c r="A27" s="179">
        <v>27</v>
      </c>
      <c r="B27" s="180" t="s">
        <v>18</v>
      </c>
      <c r="C27" s="181" t="s">
        <v>19</v>
      </c>
      <c r="D27" s="182">
        <v>13</v>
      </c>
      <c r="E27" s="183">
        <v>2</v>
      </c>
      <c r="F27" s="193">
        <v>97</v>
      </c>
      <c r="G27" s="185">
        <v>2387677.1</v>
      </c>
      <c r="H27" s="186">
        <v>314768</v>
      </c>
      <c r="I27" s="179">
        <v>4</v>
      </c>
      <c r="J27" s="187">
        <v>838274.5</v>
      </c>
      <c r="K27" s="188">
        <v>98437</v>
      </c>
      <c r="L27" s="189">
        <f t="shared" si="0"/>
        <v>0.3127287398973212</v>
      </c>
      <c r="M27" s="184">
        <v>18</v>
      </c>
      <c r="N27" s="185">
        <v>41065</v>
      </c>
      <c r="O27" s="190">
        <v>12158</v>
      </c>
      <c r="P27" s="191">
        <f t="shared" si="1"/>
        <v>0.038625273217099576</v>
      </c>
      <c r="Q27" s="222" t="s">
        <v>20</v>
      </c>
      <c r="R27" s="188">
        <v>88667</v>
      </c>
      <c r="S27" s="189">
        <f t="shared" si="2"/>
        <v>0.2816900066080415</v>
      </c>
    </row>
    <row r="28" spans="1:19" ht="14.25" thickBot="1">
      <c r="A28" s="179">
        <v>28</v>
      </c>
      <c r="B28" s="180" t="s">
        <v>167</v>
      </c>
      <c r="C28" s="181" t="s">
        <v>19</v>
      </c>
      <c r="D28" s="182">
        <v>12</v>
      </c>
      <c r="E28" s="183">
        <v>3</v>
      </c>
      <c r="F28" s="193">
        <v>100</v>
      </c>
      <c r="G28" s="185">
        <v>2882967</v>
      </c>
      <c r="H28" s="186">
        <v>368462</v>
      </c>
      <c r="I28" s="179">
        <v>4</v>
      </c>
      <c r="J28" s="187">
        <v>1591726</v>
      </c>
      <c r="K28" s="188">
        <v>191421</v>
      </c>
      <c r="L28" s="189">
        <f t="shared" si="0"/>
        <v>0.519513545494515</v>
      </c>
      <c r="M28" s="184">
        <v>16</v>
      </c>
      <c r="N28" s="185">
        <v>67701</v>
      </c>
      <c r="O28" s="190">
        <v>12674</v>
      </c>
      <c r="P28" s="191">
        <f t="shared" si="1"/>
        <v>0.03439703415820356</v>
      </c>
      <c r="Q28" s="222" t="s">
        <v>21</v>
      </c>
      <c r="R28" s="188">
        <v>171772</v>
      </c>
      <c r="S28" s="189">
        <f t="shared" si="2"/>
        <v>0.46618647241777983</v>
      </c>
    </row>
    <row r="29" spans="1:19" ht="14.25" thickBot="1">
      <c r="A29" s="179">
        <v>29</v>
      </c>
      <c r="B29" s="180" t="s">
        <v>169</v>
      </c>
      <c r="C29" s="181" t="s">
        <v>19</v>
      </c>
      <c r="D29" s="182">
        <v>13</v>
      </c>
      <c r="E29" s="183">
        <v>2</v>
      </c>
      <c r="F29" s="193">
        <v>97</v>
      </c>
      <c r="G29" s="185">
        <v>2366265.44</v>
      </c>
      <c r="H29" s="186">
        <v>305340</v>
      </c>
      <c r="I29" s="179">
        <v>4</v>
      </c>
      <c r="J29" s="187">
        <v>576762</v>
      </c>
      <c r="K29" s="188">
        <v>62645</v>
      </c>
      <c r="L29" s="189">
        <f t="shared" si="0"/>
        <v>0.20516473439444555</v>
      </c>
      <c r="M29" s="184">
        <v>14</v>
      </c>
      <c r="N29" s="185">
        <v>22018.5</v>
      </c>
      <c r="O29" s="190">
        <v>5225</v>
      </c>
      <c r="P29" s="191">
        <f t="shared" si="1"/>
        <v>0.01711207178882557</v>
      </c>
      <c r="Q29" s="222" t="s">
        <v>21</v>
      </c>
      <c r="R29" s="188">
        <v>95387</v>
      </c>
      <c r="S29" s="189">
        <f t="shared" si="2"/>
        <v>0.3123960175542019</v>
      </c>
    </row>
    <row r="30" spans="1:19" ht="14.25" thickBot="1">
      <c r="A30" s="179">
        <v>30</v>
      </c>
      <c r="B30" s="180" t="s">
        <v>1</v>
      </c>
      <c r="C30" s="181" t="s">
        <v>19</v>
      </c>
      <c r="D30" s="182">
        <v>12</v>
      </c>
      <c r="E30" s="183">
        <v>3</v>
      </c>
      <c r="F30" s="193">
        <v>98</v>
      </c>
      <c r="G30" s="185">
        <v>1851045.14</v>
      </c>
      <c r="H30" s="186">
        <v>245221</v>
      </c>
      <c r="I30" s="179">
        <v>4</v>
      </c>
      <c r="J30" s="187">
        <v>183700</v>
      </c>
      <c r="K30" s="188">
        <v>19141</v>
      </c>
      <c r="L30" s="189">
        <f t="shared" si="0"/>
        <v>0.07805612080531439</v>
      </c>
      <c r="M30" s="184">
        <v>11</v>
      </c>
      <c r="N30" s="185">
        <v>31915</v>
      </c>
      <c r="O30" s="190">
        <v>8107</v>
      </c>
      <c r="P30" s="191">
        <f t="shared" si="1"/>
        <v>0.033059974472006884</v>
      </c>
      <c r="Q30" s="222" t="s">
        <v>21</v>
      </c>
      <c r="R30" s="188">
        <v>57277</v>
      </c>
      <c r="S30" s="189">
        <f t="shared" si="2"/>
        <v>0.23357298110683833</v>
      </c>
    </row>
    <row r="31" spans="1:19" ht="14.25" thickBot="1">
      <c r="A31" s="179">
        <v>31</v>
      </c>
      <c r="B31" s="180" t="s">
        <v>22</v>
      </c>
      <c r="C31" s="181" t="s">
        <v>23</v>
      </c>
      <c r="D31" s="182">
        <v>12</v>
      </c>
      <c r="E31" s="183">
        <v>3</v>
      </c>
      <c r="F31" s="193">
        <v>105</v>
      </c>
      <c r="G31" s="185">
        <v>1947547.75</v>
      </c>
      <c r="H31" s="186">
        <v>260181</v>
      </c>
      <c r="I31" s="179">
        <v>4</v>
      </c>
      <c r="J31" s="187">
        <v>683246.5</v>
      </c>
      <c r="K31" s="188">
        <v>80503</v>
      </c>
      <c r="L31" s="189">
        <f t="shared" si="0"/>
        <v>0.3094115250537126</v>
      </c>
      <c r="M31" s="184">
        <v>12</v>
      </c>
      <c r="N31" s="185">
        <v>90904</v>
      </c>
      <c r="O31" s="190">
        <v>19555</v>
      </c>
      <c r="P31" s="191">
        <f t="shared" si="1"/>
        <v>0.07515921608418755</v>
      </c>
      <c r="Q31" s="222" t="s">
        <v>24</v>
      </c>
      <c r="R31" s="188">
        <v>62237</v>
      </c>
      <c r="S31" s="189">
        <f t="shared" si="2"/>
        <v>0.23920655236162516</v>
      </c>
    </row>
    <row r="32" spans="1:19" ht="14.25" thickBot="1">
      <c r="A32" s="179">
        <v>32</v>
      </c>
      <c r="B32" s="180" t="s">
        <v>25</v>
      </c>
      <c r="C32" s="181" t="s">
        <v>23</v>
      </c>
      <c r="D32" s="182">
        <v>12</v>
      </c>
      <c r="E32" s="183">
        <v>3</v>
      </c>
      <c r="F32" s="193">
        <v>111</v>
      </c>
      <c r="G32" s="185">
        <v>1987638</v>
      </c>
      <c r="H32" s="186">
        <v>254815</v>
      </c>
      <c r="I32" s="179">
        <v>6</v>
      </c>
      <c r="J32" s="187">
        <v>844484</v>
      </c>
      <c r="K32" s="188">
        <v>92210</v>
      </c>
      <c r="L32" s="189">
        <f t="shared" si="0"/>
        <v>0.36187037654769144</v>
      </c>
      <c r="M32" s="184">
        <v>21</v>
      </c>
      <c r="N32" s="185">
        <v>40319.5</v>
      </c>
      <c r="O32" s="190">
        <v>9850</v>
      </c>
      <c r="P32" s="191">
        <f t="shared" si="1"/>
        <v>0.03865549516315758</v>
      </c>
      <c r="Q32" s="222" t="s">
        <v>24</v>
      </c>
      <c r="R32" s="188">
        <v>38008</v>
      </c>
      <c r="S32" s="189">
        <f t="shared" si="2"/>
        <v>0.1491591939250044</v>
      </c>
    </row>
    <row r="33" spans="1:19" ht="14.25" thickBot="1">
      <c r="A33" s="179">
        <v>33</v>
      </c>
      <c r="B33" s="180" t="s">
        <v>26</v>
      </c>
      <c r="C33" s="181" t="s">
        <v>23</v>
      </c>
      <c r="D33" s="182">
        <v>12</v>
      </c>
      <c r="E33" s="183">
        <v>3</v>
      </c>
      <c r="F33" s="193">
        <v>100</v>
      </c>
      <c r="G33" s="185">
        <v>3862406.97</v>
      </c>
      <c r="H33" s="186">
        <v>508040</v>
      </c>
      <c r="I33" s="179">
        <v>1</v>
      </c>
      <c r="J33" s="187">
        <v>2602908</v>
      </c>
      <c r="K33" s="188">
        <v>336478</v>
      </c>
      <c r="L33" s="189">
        <f t="shared" si="0"/>
        <v>0.6623061176285332</v>
      </c>
      <c r="M33" s="184">
        <v>18</v>
      </c>
      <c r="N33" s="185">
        <v>68039.5</v>
      </c>
      <c r="O33" s="190">
        <v>17209</v>
      </c>
      <c r="P33" s="191">
        <f t="shared" si="1"/>
        <v>0.033873317061648686</v>
      </c>
      <c r="Q33" s="222" t="s">
        <v>27</v>
      </c>
      <c r="R33" s="188">
        <v>336478</v>
      </c>
      <c r="S33" s="189">
        <f t="shared" si="2"/>
        <v>0.6623061176285332</v>
      </c>
    </row>
    <row r="34" spans="1:19" ht="14.25" thickBot="1">
      <c r="A34" s="179">
        <v>34</v>
      </c>
      <c r="B34" s="180" t="s">
        <v>28</v>
      </c>
      <c r="C34" s="181" t="s">
        <v>23</v>
      </c>
      <c r="D34" s="182">
        <v>13</v>
      </c>
      <c r="E34" s="183">
        <v>2</v>
      </c>
      <c r="F34" s="193">
        <v>89</v>
      </c>
      <c r="G34" s="185">
        <v>2583438</v>
      </c>
      <c r="H34" s="186">
        <v>338063</v>
      </c>
      <c r="I34" s="179">
        <v>3</v>
      </c>
      <c r="J34" s="187">
        <v>693182.5</v>
      </c>
      <c r="K34" s="188">
        <v>80019</v>
      </c>
      <c r="L34" s="189">
        <f t="shared" si="0"/>
        <v>0.2366984851935882</v>
      </c>
      <c r="M34" s="184">
        <v>13</v>
      </c>
      <c r="N34" s="185">
        <v>26670.5</v>
      </c>
      <c r="O34" s="190">
        <v>5882</v>
      </c>
      <c r="P34" s="191">
        <f t="shared" si="1"/>
        <v>0.01739912383194848</v>
      </c>
      <c r="Q34" s="222" t="s">
        <v>27</v>
      </c>
      <c r="R34" s="188">
        <v>141879</v>
      </c>
      <c r="S34" s="189">
        <f t="shared" si="2"/>
        <v>0.41968213025382844</v>
      </c>
    </row>
    <row r="35" spans="1:19" ht="14.25" thickBot="1">
      <c r="A35" s="179">
        <v>35</v>
      </c>
      <c r="B35" s="180" t="s">
        <v>29</v>
      </c>
      <c r="C35" s="181" t="s">
        <v>23</v>
      </c>
      <c r="D35" s="182">
        <v>12</v>
      </c>
      <c r="E35" s="183">
        <v>3</v>
      </c>
      <c r="F35" s="193">
        <v>79</v>
      </c>
      <c r="G35" s="185">
        <v>3014922.5</v>
      </c>
      <c r="H35" s="186">
        <v>376259</v>
      </c>
      <c r="I35" s="179">
        <v>4</v>
      </c>
      <c r="J35" s="187">
        <v>1621909.5</v>
      </c>
      <c r="K35" s="188">
        <v>188042</v>
      </c>
      <c r="L35" s="189">
        <f t="shared" si="0"/>
        <v>0.4997674474231846</v>
      </c>
      <c r="M35" s="184">
        <v>11</v>
      </c>
      <c r="N35" s="185">
        <v>30251</v>
      </c>
      <c r="O35" s="190">
        <v>6357</v>
      </c>
      <c r="P35" s="191">
        <f t="shared" si="1"/>
        <v>0.01689527692360847</v>
      </c>
      <c r="Q35" s="222" t="s">
        <v>30</v>
      </c>
      <c r="R35" s="188">
        <v>119067</v>
      </c>
      <c r="S35" s="189">
        <f t="shared" si="2"/>
        <v>0.31644957329924334</v>
      </c>
    </row>
    <row r="36" spans="1:19" ht="14.25" thickBot="1">
      <c r="A36" s="179">
        <v>36</v>
      </c>
      <c r="B36" s="180" t="s">
        <v>31</v>
      </c>
      <c r="C36" s="181" t="s">
        <v>32</v>
      </c>
      <c r="D36" s="182">
        <v>11</v>
      </c>
      <c r="E36" s="183">
        <v>4</v>
      </c>
      <c r="F36" s="193">
        <v>86</v>
      </c>
      <c r="G36" s="185">
        <v>2441215</v>
      </c>
      <c r="H36" s="186">
        <v>313687</v>
      </c>
      <c r="I36" s="179">
        <v>2</v>
      </c>
      <c r="J36" s="187">
        <v>659986</v>
      </c>
      <c r="K36" s="188">
        <v>75940</v>
      </c>
      <c r="L36" s="189">
        <f t="shared" si="0"/>
        <v>0.2420884512268599</v>
      </c>
      <c r="M36" s="184">
        <v>13</v>
      </c>
      <c r="N36" s="185">
        <v>22223</v>
      </c>
      <c r="O36" s="190">
        <v>5974</v>
      </c>
      <c r="P36" s="191">
        <f t="shared" si="1"/>
        <v>0.01904446151737241</v>
      </c>
      <c r="Q36" s="222" t="s">
        <v>30</v>
      </c>
      <c r="R36" s="188">
        <v>70614</v>
      </c>
      <c r="S36" s="189">
        <f t="shared" si="2"/>
        <v>0.22510974315161292</v>
      </c>
    </row>
    <row r="37" spans="1:19" ht="14.25" thickBot="1">
      <c r="A37" s="179">
        <v>37</v>
      </c>
      <c r="B37" s="180" t="s">
        <v>33</v>
      </c>
      <c r="C37" s="181" t="s">
        <v>32</v>
      </c>
      <c r="D37" s="182">
        <v>11</v>
      </c>
      <c r="E37" s="183">
        <v>4</v>
      </c>
      <c r="F37" s="193">
        <v>78</v>
      </c>
      <c r="G37" s="185">
        <v>2693053.09</v>
      </c>
      <c r="H37" s="186">
        <v>334166</v>
      </c>
      <c r="I37" s="179">
        <v>5</v>
      </c>
      <c r="J37" s="187">
        <v>1119613.5</v>
      </c>
      <c r="K37" s="188">
        <v>119988</v>
      </c>
      <c r="L37" s="189">
        <f t="shared" si="0"/>
        <v>0.35906705050783144</v>
      </c>
      <c r="M37" s="184">
        <v>10</v>
      </c>
      <c r="N37" s="185">
        <v>69010.5</v>
      </c>
      <c r="O37" s="190">
        <v>14108</v>
      </c>
      <c r="P37" s="191">
        <f t="shared" si="1"/>
        <v>0.042218538091846565</v>
      </c>
      <c r="Q37" s="222" t="s">
        <v>34</v>
      </c>
      <c r="R37" s="188">
        <v>51308</v>
      </c>
      <c r="S37" s="189">
        <f t="shared" si="2"/>
        <v>0.15354045594105922</v>
      </c>
    </row>
    <row r="38" spans="1:19" ht="14.25" thickBot="1">
      <c r="A38" s="179">
        <v>38</v>
      </c>
      <c r="B38" s="180" t="s">
        <v>35</v>
      </c>
      <c r="C38" s="181" t="s">
        <v>32</v>
      </c>
      <c r="D38" s="182">
        <v>11</v>
      </c>
      <c r="E38" s="183">
        <v>4</v>
      </c>
      <c r="F38" s="193">
        <v>75</v>
      </c>
      <c r="G38" s="185">
        <v>2161651</v>
      </c>
      <c r="H38" s="186">
        <v>257842</v>
      </c>
      <c r="I38" s="179">
        <v>5</v>
      </c>
      <c r="J38" s="187">
        <v>661791</v>
      </c>
      <c r="K38" s="188">
        <v>66018</v>
      </c>
      <c r="L38" s="189">
        <f t="shared" si="0"/>
        <v>0.2560405209391798</v>
      </c>
      <c r="M38" s="184">
        <v>6</v>
      </c>
      <c r="N38" s="185">
        <v>4233</v>
      </c>
      <c r="O38" s="190">
        <v>1146</v>
      </c>
      <c r="P38" s="191">
        <f t="shared" si="1"/>
        <v>0.0044445823411236336</v>
      </c>
      <c r="Q38" s="222" t="s">
        <v>34</v>
      </c>
      <c r="R38" s="188">
        <v>33501</v>
      </c>
      <c r="S38" s="189">
        <f t="shared" si="2"/>
        <v>0.12992840576787335</v>
      </c>
    </row>
    <row r="39" spans="1:19" ht="14.25" thickBot="1">
      <c r="A39" s="179">
        <v>39</v>
      </c>
      <c r="B39" s="180" t="s">
        <v>36</v>
      </c>
      <c r="C39" s="181" t="s">
        <v>32</v>
      </c>
      <c r="D39" s="182">
        <v>10</v>
      </c>
      <c r="E39" s="183">
        <v>5</v>
      </c>
      <c r="F39" s="193">
        <v>78</v>
      </c>
      <c r="G39" s="185">
        <v>2039460</v>
      </c>
      <c r="H39" s="186">
        <v>244076</v>
      </c>
      <c r="I39" s="179">
        <v>5</v>
      </c>
      <c r="J39" s="187">
        <v>605478</v>
      </c>
      <c r="K39" s="188">
        <v>65203</v>
      </c>
      <c r="L39" s="189">
        <f t="shared" si="0"/>
        <v>0.2671422016093348</v>
      </c>
      <c r="M39" s="184">
        <v>9</v>
      </c>
      <c r="N39" s="185">
        <v>71916.5</v>
      </c>
      <c r="O39" s="190">
        <v>9725</v>
      </c>
      <c r="P39" s="191">
        <f t="shared" si="1"/>
        <v>0.039844146905062355</v>
      </c>
      <c r="Q39" s="222" t="s">
        <v>37</v>
      </c>
      <c r="R39" s="188">
        <v>25991</v>
      </c>
      <c r="S39" s="189">
        <f t="shared" si="2"/>
        <v>0.10648732362051165</v>
      </c>
    </row>
    <row r="40" spans="1:19" ht="14.25" thickBot="1">
      <c r="A40" s="179">
        <v>40</v>
      </c>
      <c r="B40" s="180" t="s">
        <v>38</v>
      </c>
      <c r="C40" s="181" t="s">
        <v>39</v>
      </c>
      <c r="D40" s="182">
        <v>10</v>
      </c>
      <c r="E40" s="183">
        <v>5</v>
      </c>
      <c r="F40" s="193">
        <v>77</v>
      </c>
      <c r="G40" s="185">
        <v>1736180.1</v>
      </c>
      <c r="H40" s="186">
        <v>210429</v>
      </c>
      <c r="I40" s="179">
        <v>5</v>
      </c>
      <c r="J40" s="187">
        <v>656907.5</v>
      </c>
      <c r="K40" s="188">
        <v>70119</v>
      </c>
      <c r="L40" s="189">
        <f t="shared" si="0"/>
        <v>0.3332192806124631</v>
      </c>
      <c r="M40" s="184">
        <v>6</v>
      </c>
      <c r="N40" s="185">
        <v>16584.5</v>
      </c>
      <c r="O40" s="190">
        <v>2071</v>
      </c>
      <c r="P40" s="191">
        <f t="shared" si="1"/>
        <v>0.009841799371759595</v>
      </c>
      <c r="Q40" s="223">
        <v>1408</v>
      </c>
      <c r="R40" s="188">
        <v>55465</v>
      </c>
      <c r="S40" s="189">
        <f t="shared" si="2"/>
        <v>0.26358059012778656</v>
      </c>
    </row>
    <row r="41" spans="1:19" ht="14.25" thickBot="1">
      <c r="A41" s="179">
        <v>41</v>
      </c>
      <c r="B41" s="180" t="s">
        <v>122</v>
      </c>
      <c r="C41" s="181" t="s">
        <v>39</v>
      </c>
      <c r="D41" s="182">
        <v>10</v>
      </c>
      <c r="E41" s="183">
        <v>5</v>
      </c>
      <c r="F41" s="193">
        <v>71</v>
      </c>
      <c r="G41" s="185">
        <v>2346225.5</v>
      </c>
      <c r="H41" s="186">
        <v>281133</v>
      </c>
      <c r="I41" s="179">
        <v>5</v>
      </c>
      <c r="J41" s="187">
        <v>1370755</v>
      </c>
      <c r="K41" s="188">
        <v>152587</v>
      </c>
      <c r="L41" s="189">
        <f t="shared" si="0"/>
        <v>0.5427573426100814</v>
      </c>
      <c r="M41" s="184">
        <v>9</v>
      </c>
      <c r="N41" s="185">
        <v>110915</v>
      </c>
      <c r="O41" s="190">
        <v>17096</v>
      </c>
      <c r="P41" s="191">
        <f t="shared" si="1"/>
        <v>0.06081107518505476</v>
      </c>
      <c r="Q41" s="222" t="s">
        <v>40</v>
      </c>
      <c r="R41" s="188">
        <v>43864</v>
      </c>
      <c r="S41" s="189">
        <f t="shared" si="2"/>
        <v>0.15602579561986676</v>
      </c>
    </row>
    <row r="42" spans="1:19" ht="14.25" thickBot="1">
      <c r="A42" s="179">
        <v>42</v>
      </c>
      <c r="B42" s="180" t="s">
        <v>124</v>
      </c>
      <c r="C42" s="181" t="s">
        <v>39</v>
      </c>
      <c r="D42" s="182">
        <v>10</v>
      </c>
      <c r="E42" s="183">
        <v>5</v>
      </c>
      <c r="F42" s="193">
        <v>73</v>
      </c>
      <c r="G42" s="185">
        <v>4164314.11</v>
      </c>
      <c r="H42" s="186">
        <v>513896</v>
      </c>
      <c r="I42" s="179">
        <v>6</v>
      </c>
      <c r="J42" s="187">
        <v>1975837</v>
      </c>
      <c r="K42" s="188">
        <v>229804</v>
      </c>
      <c r="L42" s="189">
        <f t="shared" si="0"/>
        <v>0.44717997415819544</v>
      </c>
      <c r="M42" s="184">
        <v>11</v>
      </c>
      <c r="N42" s="185">
        <v>929796</v>
      </c>
      <c r="O42" s="190">
        <v>124219</v>
      </c>
      <c r="P42" s="191">
        <f t="shared" si="1"/>
        <v>0.24172011457571183</v>
      </c>
      <c r="Q42" s="222" t="s">
        <v>41</v>
      </c>
      <c r="R42" s="188">
        <v>85496</v>
      </c>
      <c r="S42" s="189">
        <f t="shared" si="2"/>
        <v>0.16636829241714277</v>
      </c>
    </row>
    <row r="43" spans="1:19" ht="14.25" thickBot="1">
      <c r="A43" s="179">
        <v>43</v>
      </c>
      <c r="B43" s="180" t="s">
        <v>149</v>
      </c>
      <c r="C43" s="181" t="s">
        <v>39</v>
      </c>
      <c r="D43" s="182">
        <v>11</v>
      </c>
      <c r="E43" s="183">
        <v>4</v>
      </c>
      <c r="F43" s="193">
        <v>71</v>
      </c>
      <c r="G43" s="185">
        <v>2663779.5</v>
      </c>
      <c r="H43" s="186">
        <v>318454</v>
      </c>
      <c r="I43" s="179">
        <v>5</v>
      </c>
      <c r="J43" s="187">
        <v>1149537.5</v>
      </c>
      <c r="K43" s="188">
        <v>122503</v>
      </c>
      <c r="L43" s="189">
        <f t="shared" si="0"/>
        <v>0.3846803619989072</v>
      </c>
      <c r="M43" s="184">
        <v>7</v>
      </c>
      <c r="N43" s="185">
        <v>276374</v>
      </c>
      <c r="O43" s="190">
        <v>39487</v>
      </c>
      <c r="P43" s="191">
        <f t="shared" si="1"/>
        <v>0.12399593033844762</v>
      </c>
      <c r="Q43" s="222" t="s">
        <v>45</v>
      </c>
      <c r="R43" s="188">
        <v>36469</v>
      </c>
      <c r="S43" s="189">
        <f t="shared" si="2"/>
        <v>0.1145188944086116</v>
      </c>
    </row>
    <row r="44" spans="1:19" ht="14.25" thickBot="1">
      <c r="A44" s="179">
        <v>44</v>
      </c>
      <c r="B44" s="180" t="s">
        <v>151</v>
      </c>
      <c r="C44" s="181" t="s">
        <v>43</v>
      </c>
      <c r="D44" s="182">
        <v>10</v>
      </c>
      <c r="E44" s="183">
        <v>5</v>
      </c>
      <c r="F44" s="193">
        <v>70</v>
      </c>
      <c r="G44" s="185">
        <v>4871621.5</v>
      </c>
      <c r="H44" s="186">
        <v>583996</v>
      </c>
      <c r="I44" s="179">
        <v>6</v>
      </c>
      <c r="J44" s="187">
        <v>3314670</v>
      </c>
      <c r="K44" s="188">
        <v>386219</v>
      </c>
      <c r="L44" s="189">
        <f t="shared" si="0"/>
        <v>0.6613384338248892</v>
      </c>
      <c r="M44" s="184">
        <v>4</v>
      </c>
      <c r="N44" s="185">
        <v>139077.5</v>
      </c>
      <c r="O44" s="190">
        <v>23545</v>
      </c>
      <c r="P44" s="191">
        <f t="shared" si="1"/>
        <v>0.040317056966143607</v>
      </c>
      <c r="Q44" s="222" t="s">
        <v>44</v>
      </c>
      <c r="R44" s="188">
        <v>250162</v>
      </c>
      <c r="S44" s="189">
        <f t="shared" si="2"/>
        <v>0.42836252303097966</v>
      </c>
    </row>
    <row r="45" spans="1:19" ht="14.25" thickBot="1">
      <c r="A45" s="179">
        <v>45</v>
      </c>
      <c r="B45" s="180" t="s">
        <v>154</v>
      </c>
      <c r="C45" s="181" t="s">
        <v>43</v>
      </c>
      <c r="D45" s="182">
        <v>11</v>
      </c>
      <c r="E45" s="183">
        <v>4</v>
      </c>
      <c r="F45" s="193">
        <v>68</v>
      </c>
      <c r="G45" s="185">
        <v>3331112</v>
      </c>
      <c r="H45" s="186">
        <v>406605</v>
      </c>
      <c r="I45" s="179">
        <v>6</v>
      </c>
      <c r="J45" s="187">
        <v>683222.5</v>
      </c>
      <c r="K45" s="188">
        <v>70304</v>
      </c>
      <c r="L45" s="189">
        <f t="shared" si="0"/>
        <v>0.17290490771141526</v>
      </c>
      <c r="M45" s="184">
        <v>9</v>
      </c>
      <c r="N45" s="185">
        <v>319303</v>
      </c>
      <c r="O45" s="190">
        <v>47956</v>
      </c>
      <c r="P45" s="191">
        <f t="shared" si="1"/>
        <v>0.11794247488348643</v>
      </c>
      <c r="Q45" s="222" t="s">
        <v>44</v>
      </c>
      <c r="R45" s="188">
        <v>117111</v>
      </c>
      <c r="S45" s="189">
        <f t="shared" si="2"/>
        <v>0.2880215442505626</v>
      </c>
    </row>
    <row r="46" spans="1:19" ht="14.25" thickBot="1">
      <c r="A46" s="179">
        <v>46</v>
      </c>
      <c r="B46" s="180" t="s">
        <v>155</v>
      </c>
      <c r="C46" s="181" t="s">
        <v>43</v>
      </c>
      <c r="D46" s="182">
        <v>10</v>
      </c>
      <c r="E46" s="183">
        <v>5</v>
      </c>
      <c r="F46" s="193">
        <v>86</v>
      </c>
      <c r="G46" s="185">
        <v>3537312.2</v>
      </c>
      <c r="H46" s="186">
        <v>421782</v>
      </c>
      <c r="I46" s="179">
        <v>6</v>
      </c>
      <c r="J46" s="187">
        <v>1256832.5</v>
      </c>
      <c r="K46" s="188">
        <v>130687</v>
      </c>
      <c r="L46" s="189">
        <f t="shared" si="0"/>
        <v>0.3098448961785946</v>
      </c>
      <c r="M46" s="184">
        <v>12</v>
      </c>
      <c r="N46" s="185">
        <v>499673</v>
      </c>
      <c r="O46" s="190">
        <v>66625</v>
      </c>
      <c r="P46" s="191">
        <f t="shared" si="1"/>
        <v>0.15796074749515152</v>
      </c>
      <c r="Q46" s="222" t="s">
        <v>44</v>
      </c>
      <c r="R46" s="188">
        <v>77738</v>
      </c>
      <c r="S46" s="189">
        <f t="shared" si="2"/>
        <v>0.18430848163269176</v>
      </c>
    </row>
    <row r="47" spans="1:19" ht="14.25" thickBot="1">
      <c r="A47" s="179">
        <v>47</v>
      </c>
      <c r="B47" s="180" t="s">
        <v>156</v>
      </c>
      <c r="C47" s="181" t="s">
        <v>43</v>
      </c>
      <c r="D47" s="182">
        <v>10</v>
      </c>
      <c r="E47" s="183">
        <v>5</v>
      </c>
      <c r="F47" s="193">
        <v>72</v>
      </c>
      <c r="G47" s="185">
        <v>5569970.01</v>
      </c>
      <c r="H47" s="186">
        <v>691599</v>
      </c>
      <c r="I47" s="179">
        <v>5</v>
      </c>
      <c r="J47" s="187">
        <v>4025480.5</v>
      </c>
      <c r="K47" s="188">
        <v>499268</v>
      </c>
      <c r="L47" s="189">
        <f t="shared" si="0"/>
        <v>0.7219038778251559</v>
      </c>
      <c r="M47" s="184">
        <v>8</v>
      </c>
      <c r="N47" s="185">
        <v>2990441</v>
      </c>
      <c r="O47" s="190">
        <v>387458</v>
      </c>
      <c r="P47" s="191">
        <f t="shared" si="1"/>
        <v>0.5602350495012283</v>
      </c>
      <c r="Q47" s="194" t="s">
        <v>148</v>
      </c>
      <c r="R47" s="188">
        <v>271934</v>
      </c>
      <c r="S47" s="189">
        <f t="shared" si="2"/>
        <v>0.39319605725283</v>
      </c>
    </row>
    <row r="48" spans="1:19" ht="14.25" thickBot="1">
      <c r="A48" s="179">
        <v>48</v>
      </c>
      <c r="B48" s="180" t="s">
        <v>163</v>
      </c>
      <c r="C48" s="181" t="s">
        <v>43</v>
      </c>
      <c r="D48" s="182">
        <v>11</v>
      </c>
      <c r="E48" s="183">
        <v>4</v>
      </c>
      <c r="F48" s="193">
        <v>75</v>
      </c>
      <c r="G48" s="185">
        <v>5813303.55</v>
      </c>
      <c r="H48" s="186">
        <v>728340</v>
      </c>
      <c r="I48" s="179">
        <v>6</v>
      </c>
      <c r="J48" s="187">
        <v>940441</v>
      </c>
      <c r="K48" s="188">
        <v>93141</v>
      </c>
      <c r="L48" s="189">
        <f t="shared" si="0"/>
        <v>0.1278812093253151</v>
      </c>
      <c r="M48" s="184">
        <v>17</v>
      </c>
      <c r="N48" s="185">
        <v>3184837.05</v>
      </c>
      <c r="O48" s="190">
        <v>420977</v>
      </c>
      <c r="P48" s="191">
        <f t="shared" si="1"/>
        <v>0.577995167092292</v>
      </c>
      <c r="Q48" s="194" t="s">
        <v>148</v>
      </c>
      <c r="R48" s="188">
        <v>322135</v>
      </c>
      <c r="S48" s="189">
        <f t="shared" si="2"/>
        <v>0.44228656945931843</v>
      </c>
    </row>
    <row r="49" spans="1:19" ht="14.25" thickBot="1">
      <c r="A49" s="179">
        <v>49</v>
      </c>
      <c r="B49" s="180" t="s">
        <v>429</v>
      </c>
      <c r="C49" s="181" t="s">
        <v>430</v>
      </c>
      <c r="D49" s="182">
        <v>10</v>
      </c>
      <c r="E49" s="183">
        <v>5</v>
      </c>
      <c r="F49" s="193">
        <v>69</v>
      </c>
      <c r="G49" s="185">
        <v>5980754</v>
      </c>
      <c r="H49" s="186">
        <v>748315</v>
      </c>
      <c r="I49" s="179">
        <v>7</v>
      </c>
      <c r="J49" s="187">
        <v>1499564</v>
      </c>
      <c r="K49" s="188">
        <v>160891</v>
      </c>
      <c r="L49" s="189">
        <f t="shared" si="0"/>
        <v>0.21500437649920154</v>
      </c>
      <c r="M49" s="184">
        <v>14</v>
      </c>
      <c r="N49" s="185">
        <v>3120372.5</v>
      </c>
      <c r="O49" s="190">
        <v>420325</v>
      </c>
      <c r="P49" s="191">
        <f t="shared" si="1"/>
        <v>0.5616952753853658</v>
      </c>
      <c r="Q49" s="194" t="s">
        <v>148</v>
      </c>
      <c r="R49" s="188">
        <v>339926</v>
      </c>
      <c r="S49" s="189">
        <f t="shared" si="2"/>
        <v>0.4542552267427487</v>
      </c>
    </row>
    <row r="50" spans="1:19" ht="14.25" thickBot="1">
      <c r="A50" s="179">
        <v>50</v>
      </c>
      <c r="B50" s="180" t="s">
        <v>33</v>
      </c>
      <c r="C50" s="181" t="s">
        <v>430</v>
      </c>
      <c r="D50" s="182">
        <v>10</v>
      </c>
      <c r="E50" s="183">
        <v>5</v>
      </c>
      <c r="F50" s="193">
        <v>75</v>
      </c>
      <c r="G50" s="185">
        <v>5762784</v>
      </c>
      <c r="H50" s="186">
        <v>724258</v>
      </c>
      <c r="I50" s="179">
        <v>3</v>
      </c>
      <c r="J50" s="187">
        <v>1806428</v>
      </c>
      <c r="K50" s="188">
        <v>208816</v>
      </c>
      <c r="L50" s="189">
        <f t="shared" si="0"/>
        <v>0.28831714665215985</v>
      </c>
      <c r="M50" s="184">
        <v>12</v>
      </c>
      <c r="N50" s="185">
        <v>2295398.5</v>
      </c>
      <c r="O50" s="190">
        <v>310082</v>
      </c>
      <c r="P50" s="191">
        <f t="shared" si="1"/>
        <v>0.42813748691764536</v>
      </c>
      <c r="Q50" s="194" t="s">
        <v>148</v>
      </c>
      <c r="R50" s="188">
        <v>262189</v>
      </c>
      <c r="S50" s="189">
        <f t="shared" si="2"/>
        <v>0.3620104990210671</v>
      </c>
    </row>
    <row r="51" spans="1:19" ht="14.25" thickBot="1">
      <c r="A51" s="179">
        <v>51</v>
      </c>
      <c r="B51" s="180" t="s">
        <v>35</v>
      </c>
      <c r="C51" s="181" t="s">
        <v>430</v>
      </c>
      <c r="D51" s="182">
        <v>10</v>
      </c>
      <c r="E51" s="183">
        <v>5</v>
      </c>
      <c r="F51" s="193">
        <v>63</v>
      </c>
      <c r="G51" s="185">
        <v>9264721.2</v>
      </c>
      <c r="H51" s="186">
        <v>1151766</v>
      </c>
      <c r="I51" s="179">
        <v>5</v>
      </c>
      <c r="J51" s="187">
        <v>6205712</v>
      </c>
      <c r="K51" s="188">
        <v>769157</v>
      </c>
      <c r="L51" s="189">
        <f t="shared" si="0"/>
        <v>0.6678066551712761</v>
      </c>
      <c r="M51" s="184">
        <v>18</v>
      </c>
      <c r="N51" s="185">
        <v>6033928.5</v>
      </c>
      <c r="O51" s="190">
        <v>775126</v>
      </c>
      <c r="P51" s="191">
        <f t="shared" si="1"/>
        <v>0.672989131472886</v>
      </c>
      <c r="Q51" s="194" t="s">
        <v>655</v>
      </c>
      <c r="R51" s="188">
        <v>540259</v>
      </c>
      <c r="S51" s="189">
        <f t="shared" si="2"/>
        <v>0.4690701062542218</v>
      </c>
    </row>
    <row r="52" spans="1:19" ht="14.25" thickBot="1">
      <c r="A52" s="179">
        <v>52</v>
      </c>
      <c r="B52" s="180" t="s">
        <v>36</v>
      </c>
      <c r="C52" s="181" t="s">
        <v>430</v>
      </c>
      <c r="D52" s="182">
        <v>10</v>
      </c>
      <c r="E52" s="183">
        <v>5</v>
      </c>
      <c r="F52" s="193">
        <v>60</v>
      </c>
      <c r="G52" s="185">
        <v>11723925.53</v>
      </c>
      <c r="H52" s="186">
        <v>1513834</v>
      </c>
      <c r="I52" s="179">
        <v>7</v>
      </c>
      <c r="J52" s="187">
        <v>2689001</v>
      </c>
      <c r="K52" s="188">
        <v>338474</v>
      </c>
      <c r="L52" s="189">
        <f t="shared" si="0"/>
        <v>0.2235872625400143</v>
      </c>
      <c r="M52" s="184">
        <v>14</v>
      </c>
      <c r="N52" s="185">
        <v>8292798.73</v>
      </c>
      <c r="O52" s="190">
        <v>1106806</v>
      </c>
      <c r="P52" s="191">
        <f t="shared" si="1"/>
        <v>0.7311277194196986</v>
      </c>
      <c r="Q52" s="194" t="s">
        <v>655</v>
      </c>
      <c r="R52" s="188">
        <v>589327</v>
      </c>
      <c r="S52" s="189">
        <f t="shared" si="2"/>
        <v>0.3892943347817528</v>
      </c>
    </row>
    <row r="53" spans="1:19" ht="14.25" thickBot="1">
      <c r="A53" s="179">
        <v>53</v>
      </c>
      <c r="B53" s="180" t="s">
        <v>656</v>
      </c>
      <c r="C53" s="181" t="s">
        <v>430</v>
      </c>
      <c r="D53" s="182">
        <v>10</v>
      </c>
      <c r="E53" s="183">
        <v>5</v>
      </c>
      <c r="F53" s="193">
        <v>56</v>
      </c>
      <c r="G53" s="185">
        <v>7523485.74</v>
      </c>
      <c r="H53" s="186">
        <v>981277</v>
      </c>
      <c r="I53" s="179">
        <v>5</v>
      </c>
      <c r="J53" s="187">
        <v>552338.75</v>
      </c>
      <c r="K53" s="188">
        <v>55835</v>
      </c>
      <c r="L53" s="189">
        <f t="shared" si="0"/>
        <v>0.05690034516247706</v>
      </c>
      <c r="M53" s="184">
        <v>11</v>
      </c>
      <c r="N53" s="185">
        <v>5205881.99</v>
      </c>
      <c r="O53" s="190">
        <v>705732</v>
      </c>
      <c r="P53" s="191">
        <f t="shared" si="1"/>
        <v>0.7191975354563492</v>
      </c>
      <c r="Q53" s="194" t="s">
        <v>655</v>
      </c>
      <c r="R53" s="188">
        <v>362966</v>
      </c>
      <c r="S53" s="189">
        <f t="shared" si="2"/>
        <v>0.3698914781453147</v>
      </c>
    </row>
    <row r="54" spans="1:19" ht="14.25" thickBot="1">
      <c r="A54" s="179"/>
      <c r="B54" s="180"/>
      <c r="C54" s="181"/>
      <c r="D54" s="182"/>
      <c r="E54" s="183"/>
      <c r="F54" s="193"/>
      <c r="G54" s="185"/>
      <c r="H54" s="186"/>
      <c r="I54" s="179"/>
      <c r="J54" s="187"/>
      <c r="K54" s="188"/>
      <c r="L54" s="189"/>
      <c r="M54" s="184"/>
      <c r="N54" s="185"/>
      <c r="O54" s="190"/>
      <c r="P54" s="191"/>
      <c r="Q54" s="194"/>
      <c r="R54" s="188"/>
      <c r="S54" s="189"/>
    </row>
    <row r="55" spans="1:19" ht="14.25" thickBot="1">
      <c r="A55" s="179"/>
      <c r="B55" s="180"/>
      <c r="C55" s="181"/>
      <c r="D55" s="182"/>
      <c r="E55" s="183"/>
      <c r="F55" s="193"/>
      <c r="G55" s="185"/>
      <c r="H55" s="186"/>
      <c r="I55" s="179"/>
      <c r="J55" s="187"/>
      <c r="K55" s="188"/>
      <c r="L55" s="189"/>
      <c r="M55" s="184"/>
      <c r="N55" s="185"/>
      <c r="O55" s="190"/>
      <c r="P55" s="191"/>
      <c r="Q55" s="194"/>
      <c r="R55" s="188"/>
      <c r="S55" s="189"/>
    </row>
    <row r="56" spans="1:19" ht="14.25" thickBot="1">
      <c r="A56" s="179"/>
      <c r="B56" s="180"/>
      <c r="C56" s="181"/>
      <c r="D56" s="182"/>
      <c r="E56" s="183"/>
      <c r="F56" s="193"/>
      <c r="G56" s="185"/>
      <c r="H56" s="186"/>
      <c r="I56" s="179"/>
      <c r="J56" s="187"/>
      <c r="K56" s="188"/>
      <c r="L56" s="189"/>
      <c r="M56" s="184"/>
      <c r="N56" s="185"/>
      <c r="O56" s="190"/>
      <c r="P56" s="191"/>
      <c r="Q56" s="194"/>
      <c r="R56" s="188"/>
      <c r="S56" s="189"/>
    </row>
    <row r="57" spans="1:19" ht="14.25" thickBot="1">
      <c r="A57" s="179"/>
      <c r="B57" s="180"/>
      <c r="C57" s="181"/>
      <c r="D57" s="182"/>
      <c r="E57" s="183"/>
      <c r="F57" s="193"/>
      <c r="G57" s="185"/>
      <c r="H57" s="186"/>
      <c r="I57" s="179"/>
      <c r="J57" s="187"/>
      <c r="K57" s="188"/>
      <c r="L57" s="189"/>
      <c r="M57" s="184"/>
      <c r="N57" s="185"/>
      <c r="O57" s="190"/>
      <c r="P57" s="191"/>
      <c r="Q57" s="194"/>
      <c r="R57" s="188"/>
      <c r="S57" s="189"/>
    </row>
    <row r="58" spans="1:19" ht="14.25" hidden="1" thickBot="1">
      <c r="A58" s="179"/>
      <c r="B58" s="180"/>
      <c r="C58" s="181"/>
      <c r="D58" s="182"/>
      <c r="E58" s="183"/>
      <c r="F58" s="193"/>
      <c r="G58" s="185"/>
      <c r="H58" s="186"/>
      <c r="I58" s="179"/>
      <c r="J58" s="187"/>
      <c r="K58" s="188"/>
      <c r="L58" s="189"/>
      <c r="M58" s="184"/>
      <c r="N58" s="185"/>
      <c r="O58" s="190"/>
      <c r="P58" s="191"/>
      <c r="Q58" s="194"/>
      <c r="R58" s="188"/>
      <c r="S58" s="189"/>
    </row>
    <row r="59" spans="1:19" ht="14.25" hidden="1" thickBot="1">
      <c r="A59" s="179"/>
      <c r="B59" s="180"/>
      <c r="C59" s="181"/>
      <c r="D59" s="182"/>
      <c r="E59" s="183"/>
      <c r="F59" s="193"/>
      <c r="G59" s="185"/>
      <c r="H59" s="186"/>
      <c r="I59" s="179"/>
      <c r="J59" s="187"/>
      <c r="K59" s="188"/>
      <c r="L59" s="189"/>
      <c r="M59" s="184"/>
      <c r="N59" s="185"/>
      <c r="O59" s="190"/>
      <c r="P59" s="191"/>
      <c r="Q59" s="194"/>
      <c r="R59" s="188"/>
      <c r="S59" s="189"/>
    </row>
    <row r="60" spans="1:19" ht="14.25" hidden="1" thickBot="1">
      <c r="A60" s="179"/>
      <c r="B60" s="180"/>
      <c r="C60" s="181"/>
      <c r="D60" s="182"/>
      <c r="E60" s="183"/>
      <c r="F60" s="193"/>
      <c r="G60" s="185"/>
      <c r="H60" s="186"/>
      <c r="I60" s="179"/>
      <c r="J60" s="187"/>
      <c r="K60" s="188"/>
      <c r="L60" s="189"/>
      <c r="M60" s="184"/>
      <c r="N60" s="185"/>
      <c r="O60" s="190"/>
      <c r="P60" s="191"/>
      <c r="Q60" s="194"/>
      <c r="R60" s="188"/>
      <c r="S60" s="189"/>
    </row>
    <row r="61" spans="1:19" ht="14.25" hidden="1" thickBot="1">
      <c r="A61" s="179"/>
      <c r="B61" s="180"/>
      <c r="C61" s="181"/>
      <c r="D61" s="182"/>
      <c r="E61" s="183"/>
      <c r="F61" s="193"/>
      <c r="G61" s="185"/>
      <c r="H61" s="186"/>
      <c r="I61" s="179"/>
      <c r="J61" s="187"/>
      <c r="K61" s="188"/>
      <c r="L61" s="189"/>
      <c r="M61" s="184"/>
      <c r="N61" s="185"/>
      <c r="O61" s="190"/>
      <c r="P61" s="191"/>
      <c r="Q61" s="194"/>
      <c r="R61" s="188"/>
      <c r="S61" s="189"/>
    </row>
    <row r="62" spans="1:19" ht="14.25" hidden="1" thickBot="1">
      <c r="A62" s="179"/>
      <c r="B62" s="180"/>
      <c r="C62" s="181"/>
      <c r="D62" s="182"/>
      <c r="E62" s="183"/>
      <c r="F62" s="193"/>
      <c r="G62" s="185"/>
      <c r="H62" s="186"/>
      <c r="I62" s="179"/>
      <c r="J62" s="187"/>
      <c r="K62" s="188"/>
      <c r="L62" s="189"/>
      <c r="M62" s="184"/>
      <c r="N62" s="185"/>
      <c r="O62" s="190"/>
      <c r="P62" s="191"/>
      <c r="Q62" s="194"/>
      <c r="R62" s="188"/>
      <c r="S62" s="189"/>
    </row>
    <row r="63" spans="1:19" ht="14.25" hidden="1" thickBot="1">
      <c r="A63" s="179"/>
      <c r="B63" s="180"/>
      <c r="C63" s="181"/>
      <c r="D63" s="182"/>
      <c r="E63" s="183"/>
      <c r="F63" s="193"/>
      <c r="G63" s="185"/>
      <c r="H63" s="186"/>
      <c r="I63" s="179"/>
      <c r="J63" s="187"/>
      <c r="K63" s="188"/>
      <c r="L63" s="189"/>
      <c r="M63" s="184"/>
      <c r="N63" s="185"/>
      <c r="O63" s="190"/>
      <c r="P63" s="191"/>
      <c r="Q63" s="194"/>
      <c r="R63" s="188"/>
      <c r="S63" s="189"/>
    </row>
    <row r="64" spans="1:19" ht="14.25" hidden="1" thickBot="1">
      <c r="A64" s="179"/>
      <c r="B64" s="180"/>
      <c r="C64" s="181"/>
      <c r="D64" s="182"/>
      <c r="E64" s="183"/>
      <c r="F64" s="193"/>
      <c r="G64" s="185"/>
      <c r="H64" s="186"/>
      <c r="I64" s="179"/>
      <c r="J64" s="187"/>
      <c r="K64" s="188"/>
      <c r="L64" s="189"/>
      <c r="M64" s="184"/>
      <c r="N64" s="185"/>
      <c r="O64" s="190"/>
      <c r="P64" s="191"/>
      <c r="Q64" s="194"/>
      <c r="R64" s="188"/>
      <c r="S64" s="189"/>
    </row>
    <row r="65" spans="1:19" ht="14.25" hidden="1" thickBot="1">
      <c r="A65" s="179"/>
      <c r="B65" s="180"/>
      <c r="C65" s="181"/>
      <c r="D65" s="182"/>
      <c r="E65" s="183"/>
      <c r="F65" s="193"/>
      <c r="G65" s="185"/>
      <c r="H65" s="186"/>
      <c r="I65" s="179"/>
      <c r="J65" s="187"/>
      <c r="K65" s="188"/>
      <c r="L65" s="189"/>
      <c r="M65" s="184"/>
      <c r="N65" s="185"/>
      <c r="O65" s="190"/>
      <c r="P65" s="191"/>
      <c r="Q65" s="194"/>
      <c r="R65" s="188"/>
      <c r="S65" s="189"/>
    </row>
    <row r="66" spans="1:19" ht="14.25" hidden="1" thickBot="1">
      <c r="A66" s="179"/>
      <c r="B66" s="180"/>
      <c r="C66" s="181"/>
      <c r="D66" s="182"/>
      <c r="E66" s="183"/>
      <c r="F66" s="193"/>
      <c r="G66" s="185"/>
      <c r="H66" s="186"/>
      <c r="I66" s="179"/>
      <c r="J66" s="187"/>
      <c r="K66" s="188"/>
      <c r="L66" s="189"/>
      <c r="M66" s="184"/>
      <c r="N66" s="185"/>
      <c r="O66" s="190"/>
      <c r="P66" s="191"/>
      <c r="Q66" s="194"/>
      <c r="R66" s="188"/>
      <c r="S66" s="189"/>
    </row>
    <row r="67" spans="1:19" ht="14.25" hidden="1" thickBot="1">
      <c r="A67" s="179"/>
      <c r="B67" s="180"/>
      <c r="C67" s="181"/>
      <c r="D67" s="182"/>
      <c r="E67" s="183"/>
      <c r="F67" s="193"/>
      <c r="G67" s="185"/>
      <c r="H67" s="186"/>
      <c r="I67" s="179"/>
      <c r="J67" s="187"/>
      <c r="K67" s="188"/>
      <c r="L67" s="189"/>
      <c r="M67" s="184"/>
      <c r="N67" s="185"/>
      <c r="O67" s="190"/>
      <c r="P67" s="191"/>
      <c r="Q67" s="194"/>
      <c r="R67" s="188"/>
      <c r="S67" s="189"/>
    </row>
    <row r="68" spans="1:19" ht="14.25" hidden="1" thickBot="1">
      <c r="A68" s="179"/>
      <c r="B68" s="180"/>
      <c r="C68" s="181"/>
      <c r="D68" s="182"/>
      <c r="E68" s="183"/>
      <c r="F68" s="193"/>
      <c r="G68" s="185"/>
      <c r="H68" s="186"/>
      <c r="I68" s="179"/>
      <c r="J68" s="187"/>
      <c r="K68" s="188"/>
      <c r="L68" s="189"/>
      <c r="M68" s="184"/>
      <c r="N68" s="185"/>
      <c r="O68" s="190"/>
      <c r="P68" s="191"/>
      <c r="Q68" s="194"/>
      <c r="R68" s="188"/>
      <c r="S68" s="189"/>
    </row>
    <row r="69" spans="1:19" ht="14.25" hidden="1" thickBot="1">
      <c r="A69" s="179"/>
      <c r="B69" s="180"/>
      <c r="C69" s="181"/>
      <c r="D69" s="182"/>
      <c r="E69" s="183"/>
      <c r="F69" s="193"/>
      <c r="G69" s="185"/>
      <c r="H69" s="186"/>
      <c r="I69" s="179"/>
      <c r="J69" s="187"/>
      <c r="K69" s="188"/>
      <c r="L69" s="189"/>
      <c r="M69" s="184"/>
      <c r="N69" s="185"/>
      <c r="O69" s="190"/>
      <c r="P69" s="191"/>
      <c r="Q69" s="194"/>
      <c r="R69" s="188"/>
      <c r="S69" s="189"/>
    </row>
    <row r="70" spans="1:19" ht="14.25" hidden="1" thickBot="1">
      <c r="A70" s="179"/>
      <c r="B70" s="180"/>
      <c r="C70" s="181"/>
      <c r="D70" s="182"/>
      <c r="E70" s="183"/>
      <c r="F70" s="193"/>
      <c r="G70" s="185"/>
      <c r="H70" s="186"/>
      <c r="I70" s="179"/>
      <c r="J70" s="187"/>
      <c r="K70" s="188"/>
      <c r="L70" s="189"/>
      <c r="M70" s="184"/>
      <c r="N70" s="185"/>
      <c r="O70" s="190"/>
      <c r="P70" s="191"/>
      <c r="Q70" s="194"/>
      <c r="R70" s="188"/>
      <c r="S70" s="189"/>
    </row>
    <row r="71" spans="1:19" ht="14.25" hidden="1" thickBot="1">
      <c r="A71" s="179"/>
      <c r="B71" s="180"/>
      <c r="C71" s="181"/>
      <c r="D71" s="182"/>
      <c r="E71" s="183"/>
      <c r="F71" s="193"/>
      <c r="G71" s="185"/>
      <c r="H71" s="186"/>
      <c r="I71" s="179"/>
      <c r="J71" s="187"/>
      <c r="K71" s="188"/>
      <c r="L71" s="189"/>
      <c r="M71" s="184"/>
      <c r="N71" s="185"/>
      <c r="O71" s="190"/>
      <c r="P71" s="191"/>
      <c r="Q71" s="194"/>
      <c r="R71" s="188"/>
      <c r="S71" s="189"/>
    </row>
    <row r="72" spans="1:19" ht="14.25" hidden="1" thickBot="1">
      <c r="A72" s="179"/>
      <c r="B72" s="180"/>
      <c r="C72" s="181"/>
      <c r="D72" s="182"/>
      <c r="E72" s="183"/>
      <c r="F72" s="193"/>
      <c r="G72" s="185"/>
      <c r="H72" s="186"/>
      <c r="I72" s="179"/>
      <c r="J72" s="187"/>
      <c r="K72" s="188"/>
      <c r="L72" s="189"/>
      <c r="M72" s="184"/>
      <c r="N72" s="185"/>
      <c r="O72" s="190"/>
      <c r="P72" s="191"/>
      <c r="Q72" s="194"/>
      <c r="R72" s="188"/>
      <c r="S72" s="189"/>
    </row>
    <row r="73" spans="1:19" ht="14.25" hidden="1" thickBot="1">
      <c r="A73" s="179"/>
      <c r="B73" s="180"/>
      <c r="C73" s="181"/>
      <c r="D73" s="182"/>
      <c r="E73" s="183"/>
      <c r="F73" s="193"/>
      <c r="G73" s="185"/>
      <c r="H73" s="186"/>
      <c r="I73" s="179"/>
      <c r="J73" s="187"/>
      <c r="K73" s="188"/>
      <c r="L73" s="189"/>
      <c r="M73" s="184"/>
      <c r="N73" s="185"/>
      <c r="O73" s="190"/>
      <c r="P73" s="191"/>
      <c r="Q73" s="194"/>
      <c r="R73" s="188"/>
      <c r="S73" s="189"/>
    </row>
    <row r="74" spans="1:19" ht="14.25" hidden="1" thickBot="1">
      <c r="A74" s="179"/>
      <c r="B74" s="180"/>
      <c r="C74" s="181"/>
      <c r="D74" s="182"/>
      <c r="E74" s="183"/>
      <c r="F74" s="193"/>
      <c r="G74" s="185"/>
      <c r="H74" s="186"/>
      <c r="I74" s="179"/>
      <c r="J74" s="187"/>
      <c r="K74" s="188"/>
      <c r="L74" s="189"/>
      <c r="M74" s="184"/>
      <c r="N74" s="185"/>
      <c r="O74" s="190"/>
      <c r="P74" s="191"/>
      <c r="Q74" s="194"/>
      <c r="R74" s="188"/>
      <c r="S74" s="189"/>
    </row>
    <row r="75" spans="1:19" ht="14.25" hidden="1" thickBot="1">
      <c r="A75" s="179"/>
      <c r="B75" s="180"/>
      <c r="C75" s="181"/>
      <c r="D75" s="182"/>
      <c r="E75" s="183"/>
      <c r="F75" s="193"/>
      <c r="G75" s="185"/>
      <c r="H75" s="186"/>
      <c r="I75" s="179"/>
      <c r="J75" s="187"/>
      <c r="K75" s="188"/>
      <c r="L75" s="189"/>
      <c r="M75" s="184"/>
      <c r="N75" s="185"/>
      <c r="O75" s="190"/>
      <c r="P75" s="191"/>
      <c r="Q75" s="194"/>
      <c r="R75" s="188"/>
      <c r="S75" s="189"/>
    </row>
    <row r="76" spans="1:19" ht="14.25" hidden="1" thickBot="1">
      <c r="A76" s="179"/>
      <c r="B76" s="180"/>
      <c r="C76" s="181"/>
      <c r="D76" s="182"/>
      <c r="E76" s="183"/>
      <c r="F76" s="193"/>
      <c r="G76" s="185"/>
      <c r="H76" s="186"/>
      <c r="I76" s="179"/>
      <c r="J76" s="187"/>
      <c r="K76" s="188"/>
      <c r="L76" s="189"/>
      <c r="M76" s="184"/>
      <c r="N76" s="185"/>
      <c r="O76" s="190"/>
      <c r="P76" s="191"/>
      <c r="Q76" s="194"/>
      <c r="R76" s="188"/>
      <c r="S76" s="189"/>
    </row>
    <row r="77" spans="1:19" ht="14.25" hidden="1" thickBot="1">
      <c r="A77" s="179"/>
      <c r="B77" s="180"/>
      <c r="C77" s="181"/>
      <c r="D77" s="182"/>
      <c r="E77" s="183"/>
      <c r="F77" s="193"/>
      <c r="G77" s="185"/>
      <c r="H77" s="186"/>
      <c r="I77" s="179"/>
      <c r="J77" s="187"/>
      <c r="K77" s="188"/>
      <c r="L77" s="189"/>
      <c r="M77" s="184"/>
      <c r="N77" s="185"/>
      <c r="O77" s="190"/>
      <c r="P77" s="191"/>
      <c r="Q77" s="194"/>
      <c r="R77" s="188"/>
      <c r="S77" s="189"/>
    </row>
    <row r="78" spans="1:19" ht="14.25" hidden="1" thickBot="1">
      <c r="A78" s="179"/>
      <c r="B78" s="180"/>
      <c r="C78" s="181"/>
      <c r="D78" s="182"/>
      <c r="E78" s="183"/>
      <c r="F78" s="193"/>
      <c r="G78" s="185"/>
      <c r="H78" s="186"/>
      <c r="I78" s="179"/>
      <c r="J78" s="187"/>
      <c r="K78" s="188"/>
      <c r="L78" s="189"/>
      <c r="M78" s="184"/>
      <c r="N78" s="185"/>
      <c r="O78" s="190"/>
      <c r="P78" s="191"/>
      <c r="Q78" s="194"/>
      <c r="R78" s="188"/>
      <c r="S78" s="189"/>
    </row>
    <row r="79" spans="1:19" ht="14.25" hidden="1" thickBot="1">
      <c r="A79" s="179"/>
      <c r="B79" s="180"/>
      <c r="C79" s="181"/>
      <c r="D79" s="182"/>
      <c r="E79" s="183"/>
      <c r="F79" s="193"/>
      <c r="G79" s="185"/>
      <c r="H79" s="186"/>
      <c r="I79" s="179"/>
      <c r="J79" s="187"/>
      <c r="K79" s="188"/>
      <c r="L79" s="189"/>
      <c r="M79" s="184"/>
      <c r="N79" s="185"/>
      <c r="O79" s="190"/>
      <c r="P79" s="191"/>
      <c r="Q79" s="194"/>
      <c r="R79" s="188"/>
      <c r="S79" s="189"/>
    </row>
    <row r="80" spans="1:19" ht="14.25" hidden="1" thickBot="1">
      <c r="A80" s="179"/>
      <c r="B80" s="180"/>
      <c r="C80" s="181"/>
      <c r="D80" s="182"/>
      <c r="E80" s="183"/>
      <c r="F80" s="193"/>
      <c r="G80" s="185"/>
      <c r="H80" s="186"/>
      <c r="I80" s="179"/>
      <c r="J80" s="187"/>
      <c r="K80" s="188"/>
      <c r="L80" s="189"/>
      <c r="M80" s="184"/>
      <c r="N80" s="185"/>
      <c r="O80" s="190"/>
      <c r="P80" s="191"/>
      <c r="Q80" s="194"/>
      <c r="R80" s="188"/>
      <c r="S80" s="189"/>
    </row>
    <row r="81" spans="1:19" ht="14.25" hidden="1" thickBot="1">
      <c r="A81" s="179"/>
      <c r="B81" s="180"/>
      <c r="C81" s="181"/>
      <c r="D81" s="182"/>
      <c r="E81" s="183"/>
      <c r="F81" s="193"/>
      <c r="G81" s="185"/>
      <c r="H81" s="186"/>
      <c r="I81" s="179"/>
      <c r="J81" s="187"/>
      <c r="K81" s="188"/>
      <c r="L81" s="189"/>
      <c r="M81" s="184"/>
      <c r="N81" s="185"/>
      <c r="O81" s="190"/>
      <c r="P81" s="191"/>
      <c r="Q81" s="194"/>
      <c r="R81" s="188"/>
      <c r="S81" s="189"/>
    </row>
    <row r="82" spans="1:19" ht="14.25" hidden="1" thickBot="1">
      <c r="A82" s="179"/>
      <c r="B82" s="180"/>
      <c r="C82" s="181"/>
      <c r="D82" s="182"/>
      <c r="E82" s="183"/>
      <c r="F82" s="193"/>
      <c r="G82" s="185"/>
      <c r="H82" s="186"/>
      <c r="I82" s="179"/>
      <c r="J82" s="187"/>
      <c r="K82" s="188"/>
      <c r="L82" s="189"/>
      <c r="M82" s="184"/>
      <c r="N82" s="185"/>
      <c r="O82" s="190"/>
      <c r="P82" s="191"/>
      <c r="Q82" s="194"/>
      <c r="R82" s="188"/>
      <c r="S82" s="189"/>
    </row>
    <row r="83" spans="1:19" ht="14.25" hidden="1" thickBot="1">
      <c r="A83" s="179"/>
      <c r="B83" s="180"/>
      <c r="C83" s="181"/>
      <c r="D83" s="182"/>
      <c r="E83" s="183"/>
      <c r="F83" s="193"/>
      <c r="G83" s="185"/>
      <c r="H83" s="186"/>
      <c r="I83" s="179"/>
      <c r="J83" s="187"/>
      <c r="K83" s="188"/>
      <c r="L83" s="189"/>
      <c r="M83" s="184"/>
      <c r="N83" s="185"/>
      <c r="O83" s="190"/>
      <c r="P83" s="191"/>
      <c r="Q83" s="194"/>
      <c r="R83" s="188"/>
      <c r="S83" s="189"/>
    </row>
    <row r="84" spans="1:19" ht="14.25" hidden="1" thickBot="1">
      <c r="A84" s="179"/>
      <c r="B84" s="180"/>
      <c r="C84" s="181"/>
      <c r="D84" s="182"/>
      <c r="E84" s="183"/>
      <c r="F84" s="193"/>
      <c r="G84" s="185"/>
      <c r="H84" s="186"/>
      <c r="I84" s="179"/>
      <c r="J84" s="187"/>
      <c r="K84" s="188"/>
      <c r="L84" s="189"/>
      <c r="M84" s="184"/>
      <c r="N84" s="185"/>
      <c r="O84" s="190"/>
      <c r="P84" s="191"/>
      <c r="Q84" s="194"/>
      <c r="R84" s="188"/>
      <c r="S84" s="189"/>
    </row>
    <row r="85" spans="1:19" ht="14.25" hidden="1" thickBot="1">
      <c r="A85" s="179"/>
      <c r="B85" s="180"/>
      <c r="C85" s="181"/>
      <c r="D85" s="182"/>
      <c r="E85" s="183"/>
      <c r="F85" s="193"/>
      <c r="G85" s="185"/>
      <c r="H85" s="186"/>
      <c r="I85" s="179"/>
      <c r="J85" s="187"/>
      <c r="K85" s="188"/>
      <c r="L85" s="189"/>
      <c r="M85" s="184"/>
      <c r="N85" s="185"/>
      <c r="O85" s="190"/>
      <c r="P85" s="191"/>
      <c r="Q85" s="194"/>
      <c r="R85" s="188"/>
      <c r="S85" s="189"/>
    </row>
    <row r="86" spans="1:19" ht="14.25" hidden="1" thickBot="1">
      <c r="A86" s="179"/>
      <c r="B86" s="180"/>
      <c r="C86" s="181"/>
      <c r="D86" s="182"/>
      <c r="E86" s="183"/>
      <c r="F86" s="193"/>
      <c r="G86" s="185"/>
      <c r="H86" s="186"/>
      <c r="I86" s="179"/>
      <c r="J86" s="187"/>
      <c r="K86" s="188"/>
      <c r="L86" s="189"/>
      <c r="M86" s="184"/>
      <c r="N86" s="185"/>
      <c r="O86" s="190"/>
      <c r="P86" s="191"/>
      <c r="Q86" s="194"/>
      <c r="R86" s="188"/>
      <c r="S86" s="189"/>
    </row>
    <row r="87" spans="1:19" ht="14.25" hidden="1" thickBot="1">
      <c r="A87" s="179"/>
      <c r="B87" s="180"/>
      <c r="C87" s="181"/>
      <c r="D87" s="182"/>
      <c r="E87" s="183"/>
      <c r="F87" s="193"/>
      <c r="G87" s="185"/>
      <c r="H87" s="186"/>
      <c r="I87" s="179"/>
      <c r="J87" s="187"/>
      <c r="K87" s="188"/>
      <c r="L87" s="189"/>
      <c r="M87" s="184"/>
      <c r="N87" s="185"/>
      <c r="O87" s="190"/>
      <c r="P87" s="191"/>
      <c r="Q87" s="194"/>
      <c r="R87" s="188"/>
      <c r="S87" s="189"/>
    </row>
    <row r="88" spans="1:19" ht="14.25" hidden="1" thickBot="1">
      <c r="A88" s="179"/>
      <c r="B88" s="180"/>
      <c r="C88" s="181"/>
      <c r="D88" s="182"/>
      <c r="E88" s="183"/>
      <c r="F88" s="193"/>
      <c r="G88" s="185"/>
      <c r="H88" s="186"/>
      <c r="I88" s="179"/>
      <c r="J88" s="187"/>
      <c r="K88" s="188"/>
      <c r="L88" s="189"/>
      <c r="M88" s="184"/>
      <c r="N88" s="185"/>
      <c r="O88" s="190"/>
      <c r="P88" s="191"/>
      <c r="Q88" s="194"/>
      <c r="R88" s="188"/>
      <c r="S88" s="189"/>
    </row>
    <row r="89" spans="1:19" ht="14.25" hidden="1" thickBot="1">
      <c r="A89" s="179"/>
      <c r="B89" s="180"/>
      <c r="C89" s="181"/>
      <c r="D89" s="182"/>
      <c r="E89" s="183"/>
      <c r="F89" s="193"/>
      <c r="G89" s="185"/>
      <c r="H89" s="186"/>
      <c r="I89" s="179"/>
      <c r="J89" s="187"/>
      <c r="K89" s="188"/>
      <c r="L89" s="189"/>
      <c r="M89" s="184"/>
      <c r="N89" s="185"/>
      <c r="O89" s="190"/>
      <c r="P89" s="191"/>
      <c r="Q89" s="194"/>
      <c r="R89" s="188"/>
      <c r="S89" s="189"/>
    </row>
    <row r="90" spans="1:19" ht="14.25" hidden="1" thickBot="1">
      <c r="A90" s="179"/>
      <c r="B90" s="180"/>
      <c r="C90" s="181"/>
      <c r="D90" s="182"/>
      <c r="E90" s="183"/>
      <c r="F90" s="193"/>
      <c r="G90" s="185"/>
      <c r="H90" s="186"/>
      <c r="I90" s="179"/>
      <c r="J90" s="187"/>
      <c r="K90" s="188"/>
      <c r="L90" s="189"/>
      <c r="M90" s="184"/>
      <c r="N90" s="185"/>
      <c r="O90" s="190"/>
      <c r="P90" s="191"/>
      <c r="Q90" s="194"/>
      <c r="R90" s="188"/>
      <c r="S90" s="189"/>
    </row>
    <row r="91" spans="1:19" ht="14.25" hidden="1" thickBot="1">
      <c r="A91" s="179"/>
      <c r="B91" s="180"/>
      <c r="C91" s="181"/>
      <c r="D91" s="182"/>
      <c r="E91" s="183"/>
      <c r="F91" s="193"/>
      <c r="G91" s="185"/>
      <c r="H91" s="186"/>
      <c r="I91" s="179"/>
      <c r="J91" s="187"/>
      <c r="K91" s="188"/>
      <c r="L91" s="189"/>
      <c r="M91" s="184"/>
      <c r="N91" s="185"/>
      <c r="O91" s="190"/>
      <c r="P91" s="191"/>
      <c r="Q91" s="194"/>
      <c r="R91" s="188"/>
      <c r="S91" s="189"/>
    </row>
    <row r="92" spans="1:19" ht="14.25" thickBot="1">
      <c r="A92" s="179"/>
      <c r="B92" s="180"/>
      <c r="C92" s="181"/>
      <c r="D92" s="182"/>
      <c r="E92" s="183"/>
      <c r="F92" s="193"/>
      <c r="G92" s="185"/>
      <c r="H92" s="186"/>
      <c r="I92" s="179"/>
      <c r="J92" s="187"/>
      <c r="K92" s="188"/>
      <c r="L92" s="189"/>
      <c r="M92" s="184"/>
      <c r="N92" s="185"/>
      <c r="O92" s="190"/>
      <c r="P92" s="191"/>
      <c r="Q92" s="194"/>
      <c r="R92" s="188"/>
      <c r="S92" s="189"/>
    </row>
    <row r="94" spans="1:19" ht="14.25" thickBot="1">
      <c r="A94" s="530">
        <v>2007</v>
      </c>
      <c r="B94" s="531"/>
      <c r="C94" s="531"/>
      <c r="D94" s="531"/>
      <c r="E94" s="531"/>
      <c r="F94" s="205">
        <f>SUM(F1:F93)</f>
        <v>3987</v>
      </c>
      <c r="G94" s="206">
        <f>SUM(G1:G93)</f>
        <v>242121867.17</v>
      </c>
      <c r="H94" s="205">
        <f>SUM(H1:H93)</f>
        <v>31128292</v>
      </c>
      <c r="I94" s="212"/>
      <c r="J94" s="207"/>
      <c r="K94" s="208"/>
      <c r="L94" s="209"/>
      <c r="M94" s="210"/>
      <c r="N94" s="206">
        <f>SUM(N1:N93)</f>
        <v>85252307.25</v>
      </c>
      <c r="O94" s="205">
        <f>SUM(O1:O93)</f>
        <v>11851331</v>
      </c>
      <c r="P94" s="211">
        <f>SUM(O94/H94)</f>
        <v>0.3807253864105361</v>
      </c>
      <c r="Q94" s="224" t="s">
        <v>718</v>
      </c>
      <c r="R94" s="208"/>
      <c r="S94" s="209"/>
    </row>
    <row r="95" spans="1:19" s="221" customFormat="1" ht="14.25" thickBot="1">
      <c r="A95" s="532" t="s">
        <v>42</v>
      </c>
      <c r="B95" s="533"/>
      <c r="C95" s="533"/>
      <c r="D95" s="533"/>
      <c r="E95" s="533"/>
      <c r="F95" s="213">
        <v>3699</v>
      </c>
      <c r="G95" s="214">
        <v>243118392.26</v>
      </c>
      <c r="H95" s="213">
        <v>34860844</v>
      </c>
      <c r="I95" s="220"/>
      <c r="J95" s="215"/>
      <c r="K95" s="216"/>
      <c r="L95" s="217"/>
      <c r="M95" s="218"/>
      <c r="N95" s="214">
        <v>117769225</v>
      </c>
      <c r="O95" s="213">
        <v>17800496</v>
      </c>
      <c r="P95" s="219">
        <f>SUM(O95/H95)</f>
        <v>0.510615749865379</v>
      </c>
      <c r="Q95" s="225" t="s">
        <v>719</v>
      </c>
      <c r="R95" s="216"/>
      <c r="S95" s="217"/>
    </row>
    <row r="98" ht="13.5">
      <c r="Q98" s="277"/>
    </row>
    <row r="99" spans="17:18" ht="13.5">
      <c r="Q99" s="280"/>
      <c r="R99" s="279"/>
    </row>
    <row r="100" spans="17:18" ht="13.5">
      <c r="Q100" s="280"/>
      <c r="R100" s="279"/>
    </row>
    <row r="101" spans="17:18" ht="15">
      <c r="Q101" s="281"/>
      <c r="R101" s="282"/>
    </row>
    <row r="102" spans="17:18" ht="13.5">
      <c r="Q102" s="280"/>
      <c r="R102" s="279"/>
    </row>
    <row r="103" spans="17:18" ht="13.5">
      <c r="Q103" s="278"/>
      <c r="R103" s="279"/>
    </row>
    <row r="104" spans="17:18" ht="13.5">
      <c r="Q104" s="278"/>
      <c r="R104" s="279"/>
    </row>
  </sheetData>
  <sheetProtection/>
  <mergeCells count="2">
    <mergeCell ref="A94:E94"/>
    <mergeCell ref="A95:E95"/>
  </mergeCells>
  <printOptions/>
  <pageMargins left="0.75" right="0.75" top="1" bottom="1" header="0.5" footer="0.5"/>
  <pageSetup orientation="portrait" paperSize="9"/>
  <ignoredErrors>
    <ignoredError sqref="B42 B50 B46 B37 B33 B20:B25 B7:B14 B3" twoDigitTextYear="1"/>
    <ignoredError sqref="H94 F94 G94 O94 N94 P94:P95 J94:M95 I94" emptyCellReferenc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2008-01-03T15:40:00Z</cp:lastPrinted>
  <dcterms:created xsi:type="dcterms:W3CDTF">2006-03-17T12:24:26Z</dcterms:created>
  <dcterms:modified xsi:type="dcterms:W3CDTF">2008-01-06T09:01:46Z</dcterms:modified>
  <cp:category/>
  <cp:version/>
  <cp:contentType/>
  <cp:contentStatus/>
</cp:coreProperties>
</file>