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55" yWindow="64696" windowWidth="15480" windowHeight="11640" tabRatio="931" activeTab="0"/>
  </bookViews>
  <sheets>
    <sheet name="04-10 Jan' '08 (WK 01)" sheetId="1" r:id="rId1"/>
    <sheet name="04-10 Jan' (Annual)" sheetId="2" r:id="rId2"/>
    <sheet name="Ex years releases (Annual)" sheetId="3" r:id="rId3"/>
    <sheet name="Week by Week" sheetId="4" r:id="rId4"/>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1">'04-10 Jan'' (Annual)'!$A$4:$J$7</definedName>
    <definedName name="_xlnm.Print_Area" localSheetId="0">'04-10 Jan' '08 (WK 01)'!$A$1:$O$83</definedName>
  </definedNames>
  <calcPr fullCalcOnLoad="1"/>
</workbook>
</file>

<file path=xl/sharedStrings.xml><?xml version="1.0" encoding="utf-8"?>
<sst xmlns="http://schemas.openxmlformats.org/spreadsheetml/2006/main" count="444" uniqueCount="153">
  <si>
    <t>04-10</t>
  </si>
  <si>
    <t>DENK AJANS</t>
  </si>
  <si>
    <t>SUPERBAD</t>
  </si>
  <si>
    <t>YAŞAMIN KIYISINDA</t>
  </si>
  <si>
    <t>ANKA KUŞU: BANA SIRRINI AÇ</t>
  </si>
  <si>
    <t>ASSASSINATION OF JESSE JAMES</t>
  </si>
  <si>
    <t>BEYAZ MELEK</t>
  </si>
  <si>
    <t>BOYUT FILM</t>
  </si>
  <si>
    <t>GARFIELD GETS REAL</t>
  </si>
  <si>
    <t>MUSALLAT</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</si>
  <si>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</si>
  <si>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January</t>
  </si>
  <si>
    <t>30 DAYS OF NIGHT</t>
  </si>
  <si>
    <t>DONDURMAM GAYMAK</t>
  </si>
  <si>
    <t>HERMES</t>
  </si>
  <si>
    <t>REZO</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</si>
  <si>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</si>
  <si>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1</t>
  </si>
  <si>
    <t>BIR FILM</t>
  </si>
  <si>
    <t>WILD BUNCH</t>
  </si>
  <si>
    <t>Admission</t>
  </si>
  <si>
    <t>5</t>
  </si>
  <si>
    <t>TMNT</t>
  </si>
  <si>
    <t>10</t>
  </si>
  <si>
    <t>2</t>
  </si>
  <si>
    <t>KENDA</t>
  </si>
  <si>
    <t>Title</t>
  </si>
  <si>
    <t>Release
Date</t>
  </si>
  <si>
    <t># of
Prints</t>
  </si>
  <si>
    <t>Week</t>
  </si>
  <si>
    <t>Cumulative</t>
  </si>
  <si>
    <t>G.B.O.</t>
  </si>
  <si>
    <t>Adm.</t>
  </si>
  <si>
    <t>Avg.
Ticket</t>
  </si>
  <si>
    <t xml:space="preserve">Avg.
Ticket </t>
  </si>
  <si>
    <t># of
Screen</t>
  </si>
  <si>
    <t>WARNER BROS.</t>
  </si>
  <si>
    <t>Weeks in Release</t>
  </si>
  <si>
    <t>SAW IV</t>
  </si>
  <si>
    <t>ANKA FILM</t>
  </si>
  <si>
    <t>PERSEPOLIS</t>
  </si>
  <si>
    <t>CELLULOID</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</si>
  <si>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</si>
  <si>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GAUMONT</t>
  </si>
  <si>
    <t>Screen Avg. (Adm.)</t>
  </si>
  <si>
    <t>Release Date</t>
  </si>
  <si>
    <t>Week in Release</t>
  </si>
  <si>
    <t>Avg. Ticket Price</t>
  </si>
  <si>
    <t>G.B.O. YTL</t>
  </si>
  <si>
    <t>MARS</t>
  </si>
  <si>
    <t>EVERYONE'S HERO</t>
  </si>
  <si>
    <t>8</t>
  </si>
  <si>
    <t>57</t>
  </si>
  <si>
    <t>D PRODUCTIONS</t>
  </si>
  <si>
    <t>FILMPOP</t>
  </si>
  <si>
    <t>CINECLICK</t>
  </si>
  <si>
    <t>NEW LINE</t>
  </si>
  <si>
    <t>MARSH, THE</t>
  </si>
  <si>
    <t>WELCOME BACK PINOCCHIO</t>
  </si>
  <si>
    <t>HORIZON</t>
  </si>
  <si>
    <t>*Sorted according to Week Total G.B.O. - Haftalık toplam hasılat sütununa göre sıralanmıştır.</t>
  </si>
  <si>
    <t>MEDYAVIZYON</t>
  </si>
  <si>
    <t>TOTAL</t>
  </si>
  <si>
    <t>Company</t>
  </si>
  <si>
    <t>Distributor</t>
  </si>
  <si>
    <t>WB</t>
  </si>
  <si>
    <t>UIP</t>
  </si>
  <si>
    <t>OZEN</t>
  </si>
  <si>
    <t>FOX</t>
  </si>
  <si>
    <t>BUENA VISTA</t>
  </si>
  <si>
    <t>COLUMBIA</t>
  </si>
  <si>
    <t>UNIVERSAL</t>
  </si>
  <si>
    <t>CHANTIER</t>
  </si>
  <si>
    <t>PARAMOUNT</t>
  </si>
  <si>
    <t>TIGLON</t>
  </si>
  <si>
    <t>WEINSTEIN CO.</t>
  </si>
  <si>
    <t>FIDA</t>
  </si>
  <si>
    <t>Weekly Movie Magazine Antrakt Presents - Haftalık Antrakt Sinema Gazetesi Sunar</t>
  </si>
  <si>
    <t>35 MILIM</t>
  </si>
  <si>
    <t>AVSAR FILM</t>
  </si>
  <si>
    <t>IMPY'S ISLAND</t>
  </si>
  <si>
    <t>BESTLINE</t>
  </si>
  <si>
    <t>HARRY POTTER AND THE ORDER OF THE PHOENIX</t>
  </si>
  <si>
    <t>OZEN-UMUT</t>
  </si>
  <si>
    <t>4: RISE OF THE SILVER SURFER</t>
  </si>
  <si>
    <t>OUTLAW</t>
  </si>
  <si>
    <t>RATATOUILLE</t>
  </si>
  <si>
    <t xml:space="preserve">ELIZABETH: GOLDEN AGE                    </t>
  </si>
  <si>
    <t>EASTERN PROMISES</t>
  </si>
  <si>
    <t>36</t>
  </si>
  <si>
    <t>ISLAND OF LOST SOULS</t>
  </si>
  <si>
    <t>MY BROTHER IS ONLY CHILD</t>
  </si>
  <si>
    <t>40</t>
  </si>
  <si>
    <t>UNE VIEILLE MAITRESSE</t>
  </si>
  <si>
    <t>BRAVE ONE</t>
  </si>
  <si>
    <t>MICHAEL CLAYTON</t>
  </si>
  <si>
    <t>BEOWULF</t>
  </si>
  <si>
    <t>SUNA</t>
  </si>
  <si>
    <t>HITMAN</t>
  </si>
  <si>
    <t>MIA-DADA</t>
  </si>
  <si>
    <t>PINEMA</t>
  </si>
  <si>
    <t>GOLDEN COMPASS, THE</t>
  </si>
  <si>
    <t>KABADAYI</t>
  </si>
  <si>
    <t xml:space="preserve">FIDA </t>
  </si>
  <si>
    <t>BEE MOVIE</t>
  </si>
  <si>
    <t>O KADIN</t>
  </si>
  <si>
    <t>80</t>
  </si>
  <si>
    <t>ALVIN AND THE CHIPMUNKS</t>
  </si>
  <si>
    <t>HİCRAN SOKAĞI</t>
  </si>
  <si>
    <t>MAG FILM</t>
  </si>
  <si>
    <t>3</t>
  </si>
  <si>
    <t>4</t>
  </si>
  <si>
    <t xml:space="preserve">KINGDOM, THE </t>
  </si>
  <si>
    <t>FILMSAN</t>
  </si>
  <si>
    <t>KUTSAL DAMACANA</t>
  </si>
  <si>
    <t>ZERO FILM</t>
  </si>
  <si>
    <t>ENCHANTED</t>
  </si>
  <si>
    <t>CASSANDRA'S DREAM</t>
  </si>
  <si>
    <t>MARTIAN CHILD</t>
  </si>
  <si>
    <t>25</t>
  </si>
  <si>
    <t>STUDIO 2.0</t>
  </si>
  <si>
    <t>TUYA'S MARRIAGE</t>
  </si>
  <si>
    <t>9</t>
  </si>
  <si>
    <t>6</t>
  </si>
  <si>
    <t>MR. WOODCOCK</t>
  </si>
  <si>
    <t>DEATH SENTENCE</t>
  </si>
  <si>
    <t>VIDEOTEK</t>
  </si>
  <si>
    <t>İYİ SENELER LONDRA</t>
  </si>
  <si>
    <t>PATE</t>
  </si>
  <si>
    <t>SINEMA AJANS</t>
  </si>
  <si>
    <t>2 DAYS IN PARIS</t>
  </si>
  <si>
    <t>Production Company</t>
  </si>
  <si>
    <t>Türkiye Distributor</t>
  </si>
  <si>
    <t>WALT DISNEY</t>
  </si>
  <si>
    <t>LIONS FOR LAMBS</t>
  </si>
  <si>
    <t>GIDAM</t>
  </si>
  <si>
    <r>
      <t xml:space="preserve">2008 Türkiye Annual Box Office Report  </t>
    </r>
    <r>
      <rPr>
        <sz val="16"/>
        <color indexed="9"/>
        <rFont val="Impact"/>
        <family val="2"/>
      </rPr>
      <t>04 January 2008 - 10 January 2008</t>
    </r>
  </si>
  <si>
    <r>
      <t>2008 Türkiye Ex Years Releases Annual Box Office Report</t>
    </r>
    <r>
      <rPr>
        <sz val="26"/>
        <color indexed="9"/>
        <rFont val="Impact"/>
        <family val="2"/>
      </rPr>
      <t xml:space="preserve">  </t>
    </r>
    <r>
      <rPr>
        <sz val="16"/>
        <color indexed="9"/>
        <rFont val="Impact"/>
        <family val="2"/>
      </rPr>
      <t>04 January 2008 - 10 January 2008</t>
    </r>
  </si>
  <si>
    <t>NATIONAL TREASURE: BOOK OF SECRET</t>
  </si>
  <si>
    <t>RENDITION</t>
  </si>
  <si>
    <t>TMC-AVSAR FILM</t>
  </si>
  <si>
    <t>DEATHS OF IAN STONE</t>
  </si>
  <si>
    <t>TWICE UPON A TIME</t>
  </si>
  <si>
    <t>NANNY DIARIES</t>
  </si>
  <si>
    <t>RIZA</t>
  </si>
  <si>
    <t>ZUZI FILM</t>
  </si>
  <si>
    <t>DEATH A FUNERAL</t>
  </si>
  <si>
    <t>KREK</t>
  </si>
  <si>
    <t>CHURCHIL; HOLLYWOOD YEARS, THE</t>
  </si>
  <si>
    <t>ZEYNEP'IN SEKIZ GUNU</t>
  </si>
  <si>
    <t>MARADONA THE HAND OF GOD</t>
  </si>
  <si>
    <t>BELGE</t>
  </si>
  <si>
    <t>58 FILMS SHOWN</t>
  </si>
</sst>
</file>

<file path=xl/styles.xml><?xml version="1.0" encoding="utf-8"?>
<styleSheet xmlns="http://schemas.openxmlformats.org/spreadsheetml/2006/main">
  <numFmts count="54">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s>
  <fonts count="87">
    <font>
      <sz val="10"/>
      <name val="Arial"/>
      <family val="0"/>
    </font>
    <font>
      <u val="single"/>
      <sz val="8"/>
      <color indexed="36"/>
      <name val="Arial"/>
      <family val="0"/>
    </font>
    <font>
      <u val="single"/>
      <sz val="8"/>
      <color indexed="12"/>
      <name val="Arial"/>
      <family val="0"/>
    </font>
    <font>
      <sz val="14"/>
      <name val="Impact"/>
      <family val="2"/>
    </font>
    <font>
      <sz val="12"/>
      <name val="Impact"/>
      <family val="2"/>
    </font>
    <font>
      <sz val="10"/>
      <name val="Impact"/>
      <family val="2"/>
    </font>
    <font>
      <sz val="14"/>
      <name val="Arial"/>
      <family val="2"/>
    </font>
    <font>
      <sz val="26"/>
      <color indexed="9"/>
      <name val="Impact"/>
      <family val="2"/>
    </font>
    <font>
      <sz val="16"/>
      <color indexed="9"/>
      <name val="Impact"/>
      <family val="2"/>
    </font>
    <font>
      <b/>
      <sz val="8"/>
      <name val="Trebuchet MS"/>
      <family val="0"/>
    </font>
    <font>
      <sz val="8"/>
      <name val="Trebuchet MS"/>
      <family val="2"/>
    </font>
    <font>
      <b/>
      <sz val="10"/>
      <name val="Arial"/>
      <family val="2"/>
    </font>
    <font>
      <sz val="20"/>
      <name val="Impact"/>
      <family val="2"/>
    </font>
    <font>
      <sz val="10"/>
      <name val="Trebuchet MS"/>
      <family val="2"/>
    </font>
    <font>
      <i/>
      <sz val="9"/>
      <name val="Arial"/>
      <family val="2"/>
    </font>
    <font>
      <b/>
      <sz val="10"/>
      <color indexed="9"/>
      <name val="Trebuchet MS"/>
      <family val="2"/>
    </font>
    <font>
      <sz val="10"/>
      <color indexed="9"/>
      <name val="Trebuchet MS"/>
      <family val="2"/>
    </font>
    <font>
      <sz val="8"/>
      <name val="Arial"/>
      <family val="2"/>
    </font>
    <font>
      <i/>
      <sz val="10"/>
      <color indexed="10"/>
      <name val="Arial"/>
      <family val="2"/>
    </font>
    <font>
      <b/>
      <sz val="14"/>
      <color indexed="18"/>
      <name val="Impact"/>
      <family val="2"/>
    </font>
    <font>
      <b/>
      <sz val="8"/>
      <color indexed="18"/>
      <name val="Trebuchet MS"/>
      <family val="0"/>
    </font>
    <font>
      <b/>
      <sz val="14"/>
      <color indexed="18"/>
      <name val="Arial"/>
      <family val="2"/>
    </font>
    <font>
      <b/>
      <sz val="10"/>
      <name val="Arial Narrow"/>
      <family val="2"/>
    </font>
    <font>
      <b/>
      <sz val="10"/>
      <color indexed="9"/>
      <name val="Arial Narrow"/>
      <family val="2"/>
    </font>
    <font>
      <b/>
      <sz val="11"/>
      <name val="Arial Narrow"/>
      <family val="2"/>
    </font>
    <font>
      <b/>
      <sz val="11"/>
      <name val="Century Gothic"/>
      <family val="2"/>
    </font>
    <font>
      <b/>
      <sz val="11"/>
      <color indexed="9"/>
      <name val="Arial Narrow"/>
      <family val="2"/>
    </font>
    <font>
      <b/>
      <sz val="11"/>
      <name val="Arial"/>
      <family val="0"/>
    </font>
    <font>
      <sz val="9"/>
      <name val="Trebuchet MS"/>
      <family val="2"/>
    </font>
    <font>
      <b/>
      <sz val="9"/>
      <name val="Arial Narrow"/>
      <family val="2"/>
    </font>
    <font>
      <i/>
      <sz val="10"/>
      <name val="Arial"/>
      <family val="2"/>
    </font>
    <font>
      <sz val="10"/>
      <color indexed="9"/>
      <name val="Arial"/>
      <family val="0"/>
    </font>
    <font>
      <b/>
      <sz val="8"/>
      <color indexed="9"/>
      <name val="Trebuchet MS"/>
      <family val="0"/>
    </font>
    <font>
      <b/>
      <sz val="10"/>
      <name val="Trebuchet MS"/>
      <family val="2"/>
    </font>
    <font>
      <sz val="20"/>
      <color indexed="42"/>
      <name val="GoudyLight"/>
      <family val="0"/>
    </font>
    <font>
      <sz val="7"/>
      <color indexed="9"/>
      <name val="Impact"/>
      <family val="2"/>
    </font>
    <font>
      <sz val="26"/>
      <name val="Arial"/>
      <family val="0"/>
    </font>
    <font>
      <b/>
      <sz val="9"/>
      <color indexed="10"/>
      <name val="Arial Narrow"/>
      <family val="2"/>
    </font>
    <font>
      <b/>
      <sz val="10"/>
      <color indexed="9"/>
      <name val="Arial"/>
      <family val="2"/>
    </font>
    <font>
      <b/>
      <sz val="7"/>
      <color indexed="9"/>
      <name val="Impact"/>
      <family val="2"/>
    </font>
    <font>
      <b/>
      <sz val="10"/>
      <name val="Impact"/>
      <family val="2"/>
    </font>
    <font>
      <b/>
      <sz val="11"/>
      <color indexed="9"/>
      <name val="Century Gothic"/>
      <family val="2"/>
    </font>
    <font>
      <b/>
      <sz val="10"/>
      <color indexed="9"/>
      <name val="Impact"/>
      <family val="2"/>
    </font>
    <font>
      <b/>
      <sz val="10"/>
      <name val="Century Gothic"/>
      <family val="2"/>
    </font>
    <font>
      <sz val="8"/>
      <color indexed="9"/>
      <name val="Arial"/>
      <family val="2"/>
    </font>
    <font>
      <b/>
      <sz val="9"/>
      <color indexed="61"/>
      <name val="Arial Narrow"/>
      <family val="2"/>
    </font>
    <font>
      <sz val="10"/>
      <color indexed="61"/>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22"/>
      <name val="Calibri"/>
      <family val="2"/>
    </font>
    <font>
      <sz val="11"/>
      <color indexed="10"/>
      <name val="Calibri"/>
      <family val="2"/>
    </font>
    <font>
      <i/>
      <sz val="11"/>
      <color indexed="23"/>
      <name val="Calibri"/>
      <family val="2"/>
    </font>
    <font>
      <b/>
      <sz val="11"/>
      <color indexed="8"/>
      <name val="Calibri"/>
      <family val="2"/>
    </font>
    <font>
      <sz val="11"/>
      <color indexed="22"/>
      <name val="Calibri"/>
      <family val="2"/>
    </font>
    <font>
      <sz val="11"/>
      <color indexed="8"/>
      <name val="Calibri"/>
      <family val="2"/>
    </font>
    <font>
      <sz val="40"/>
      <color indexed="9"/>
      <name val="Impact"/>
      <family val="0"/>
    </font>
    <font>
      <sz val="40"/>
      <color indexed="9"/>
      <name val="Arial"/>
      <family val="0"/>
    </font>
    <font>
      <sz val="20"/>
      <color indexed="9"/>
      <name val="Impact"/>
      <family val="0"/>
    </font>
    <font>
      <b/>
      <u val="single"/>
      <sz val="8"/>
      <color indexed="8"/>
      <name val="Arial"/>
      <family val="0"/>
    </font>
    <font>
      <sz val="8"/>
      <color indexed="8"/>
      <name val="Arial"/>
      <family val="0"/>
    </font>
    <font>
      <b/>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5"/>
        <bgColor indexed="64"/>
      </patternFill>
    </fill>
    <fill>
      <patternFill patternType="solid">
        <fgColor indexed="47"/>
        <bgColor indexed="64"/>
      </patternFill>
    </fill>
    <fill>
      <patternFill patternType="solid">
        <fgColor indexed="61"/>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thin"/>
      <right style="thin"/>
      <top style="thin"/>
      <bottom>
        <color indexed="63"/>
      </bottom>
    </border>
    <border>
      <left style="hair"/>
      <right style="hair"/>
      <top>
        <color indexed="63"/>
      </top>
      <bottom style="hair"/>
    </border>
    <border>
      <left style="hair"/>
      <right style="medium"/>
      <top>
        <color indexed="63"/>
      </top>
      <bottom style="hair"/>
    </border>
    <border>
      <left style="hair"/>
      <right style="hair"/>
      <top style="hair"/>
      <bottom style="hair"/>
    </border>
    <border>
      <left style="hair"/>
      <right style="hair"/>
      <top style="medium"/>
      <bottom style="hair"/>
    </border>
    <border>
      <left style="medium"/>
      <right>
        <color indexed="63"/>
      </right>
      <top>
        <color indexed="63"/>
      </top>
      <bottom>
        <color indexed="63"/>
      </bottom>
    </border>
    <border>
      <left style="medium"/>
      <right style="hair"/>
      <top style="hair"/>
      <bottom style="hair"/>
    </border>
    <border>
      <left style="thin"/>
      <right style="medium"/>
      <top style="thin"/>
      <bottom>
        <color indexed="63"/>
      </bottom>
    </border>
    <border>
      <left style="hair"/>
      <right style="medium"/>
      <top style="hair"/>
      <bottom style="hair"/>
    </border>
    <border>
      <left style="hair"/>
      <right>
        <color indexed="63"/>
      </right>
      <top style="hair"/>
      <bottom style="hair"/>
    </border>
    <border>
      <left style="hair"/>
      <right>
        <color indexed="63"/>
      </right>
      <top>
        <color indexed="63"/>
      </top>
      <bottom style="hair"/>
    </border>
    <border>
      <left style="medium"/>
      <right>
        <color indexed="63"/>
      </right>
      <top>
        <color indexed="63"/>
      </top>
      <bottom style="hair"/>
    </border>
    <border>
      <left style="medium"/>
      <right style="hair"/>
      <top style="hair"/>
      <bottom style="medium"/>
    </border>
    <border>
      <left style="hair"/>
      <right style="hair"/>
      <top style="hair"/>
      <bottom style="medium"/>
    </border>
    <border>
      <left style="medium"/>
      <right style="hair"/>
      <top style="medium"/>
      <bottom style="hair"/>
    </border>
    <border>
      <left style="medium"/>
      <right style="hair"/>
      <top>
        <color indexed="63"/>
      </top>
      <bottom style="hair"/>
    </border>
    <border>
      <left style="hair"/>
      <right style="medium"/>
      <top style="medium"/>
      <bottom style="hair"/>
    </border>
    <border>
      <left style="hair"/>
      <right style="medium"/>
      <top style="hair"/>
      <bottom style="medium"/>
    </border>
    <border>
      <left style="hair"/>
      <right>
        <color indexed="63"/>
      </right>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color indexed="63"/>
      </top>
      <bottom style="medium"/>
    </border>
    <border>
      <left style="hair"/>
      <right style="hair"/>
      <top>
        <color indexed="63"/>
      </top>
      <bottom style="medium"/>
    </border>
    <border>
      <left style="hair"/>
      <right style="medium"/>
      <top>
        <color indexed="63"/>
      </top>
      <bottom style="medium"/>
    </border>
    <border>
      <left>
        <color indexed="63"/>
      </left>
      <right style="hair"/>
      <top style="hair"/>
      <bottom style="hair"/>
    </border>
    <border>
      <left>
        <color indexed="63"/>
      </left>
      <right style="hair"/>
      <top>
        <color indexed="63"/>
      </top>
      <bottom style="hair"/>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style="thin"/>
      <top>
        <color indexed="63"/>
      </top>
      <bottom>
        <color indexed="63"/>
      </bottom>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
      <left>
        <color indexed="63"/>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5" fillId="0" borderId="0" applyNumberFormat="0" applyFill="0" applyBorder="0" applyAlignment="0" applyProtection="0"/>
    <xf numFmtId="0" fontId="1"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2"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354">
    <xf numFmtId="0" fontId="0" fillId="0" borderId="0" xfId="0" applyAlignment="1">
      <alignment/>
    </xf>
    <xf numFmtId="171" fontId="3" fillId="0" borderId="0" xfId="42"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locked="0"/>
    </xf>
    <xf numFmtId="0" fontId="10" fillId="0" borderId="0"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10" fillId="0" borderId="0" xfId="0" applyNumberFormat="1" applyFont="1" applyFill="1" applyBorder="1" applyAlignment="1" applyProtection="1">
      <alignment horizontal="center" vertical="center"/>
      <protection locked="0"/>
    </xf>
    <xf numFmtId="184" fontId="6"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xf>
    <xf numFmtId="0" fontId="10"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11" fillId="0" borderId="0" xfId="0" applyFont="1" applyBorder="1" applyAlignment="1">
      <alignment horizontal="center" vertical="center"/>
    </xf>
    <xf numFmtId="187" fontId="9" fillId="0" borderId="0" xfId="0" applyNumberFormat="1" applyFont="1" applyFill="1" applyBorder="1" applyAlignment="1" applyProtection="1">
      <alignment horizontal="center" vertical="center"/>
      <protection locked="0"/>
    </xf>
    <xf numFmtId="0" fontId="13" fillId="0" borderId="0"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vertical="center"/>
      <protection locked="0"/>
    </xf>
    <xf numFmtId="192" fontId="3" fillId="0" borderId="0" xfId="0" applyNumberFormat="1" applyFont="1" applyFill="1" applyBorder="1" applyAlignment="1" applyProtection="1">
      <alignment horizontal="right" vertical="center"/>
      <protection/>
    </xf>
    <xf numFmtId="192" fontId="10" fillId="0" borderId="0" xfId="0" applyNumberFormat="1" applyFont="1" applyFill="1" applyBorder="1" applyAlignment="1" applyProtection="1">
      <alignment horizontal="right" vertical="center"/>
      <protection locked="0"/>
    </xf>
    <xf numFmtId="192" fontId="6" fillId="0" borderId="0" xfId="0" applyNumberFormat="1" applyFont="1" applyFill="1" applyBorder="1" applyAlignment="1" applyProtection="1">
      <alignment horizontal="right" vertical="center"/>
      <protection locked="0"/>
    </xf>
    <xf numFmtId="0" fontId="0" fillId="0" borderId="0" xfId="0" applyFont="1" applyBorder="1" applyAlignment="1">
      <alignment horizontal="center"/>
    </xf>
    <xf numFmtId="0" fontId="0" fillId="0" borderId="0" xfId="0" applyBorder="1" applyAlignment="1">
      <alignment horizontal="center" vertical="center"/>
    </xf>
    <xf numFmtId="1" fontId="22" fillId="0" borderId="0" xfId="0" applyNumberFormat="1" applyFont="1" applyFill="1" applyBorder="1" applyAlignment="1" applyProtection="1">
      <alignment horizontal="right" vertical="center"/>
      <protection/>
    </xf>
    <xf numFmtId="1" fontId="22" fillId="0" borderId="0" xfId="0" applyNumberFormat="1" applyFont="1" applyFill="1" applyBorder="1" applyAlignment="1" applyProtection="1">
      <alignment horizontal="right" vertical="center"/>
      <protection locked="0"/>
    </xf>
    <xf numFmtId="0" fontId="0" fillId="0" borderId="0" xfId="0" applyAlignment="1">
      <alignment vertical="center" readingOrder="1"/>
    </xf>
    <xf numFmtId="1" fontId="24" fillId="0" borderId="10" xfId="0" applyNumberFormat="1" applyFont="1" applyFill="1" applyBorder="1" applyAlignment="1" applyProtection="1">
      <alignment horizontal="center" vertical="center" wrapText="1"/>
      <protection/>
    </xf>
    <xf numFmtId="193" fontId="25" fillId="0" borderId="11" xfId="0" applyNumberFormat="1" applyFont="1" applyFill="1" applyBorder="1" applyAlignment="1" applyProtection="1">
      <alignment horizontal="center" vertical="center" wrapText="1"/>
      <protection/>
    </xf>
    <xf numFmtId="0" fontId="17" fillId="0" borderId="0" xfId="0" applyFont="1" applyBorder="1" applyAlignment="1">
      <alignment vertical="center"/>
    </xf>
    <xf numFmtId="0" fontId="25" fillId="0" borderId="0" xfId="0" applyFont="1" applyFill="1" applyBorder="1" applyAlignment="1">
      <alignment horizontal="center" vertical="center"/>
    </xf>
    <xf numFmtId="0" fontId="0" fillId="0" borderId="0" xfId="0" applyBorder="1" applyAlignment="1">
      <alignment vertical="center"/>
    </xf>
    <xf numFmtId="192" fontId="0" fillId="0" borderId="0" xfId="0" applyNumberFormat="1" applyBorder="1" applyAlignment="1">
      <alignment horizontal="right" vertical="center" indent="1"/>
    </xf>
    <xf numFmtId="0" fontId="22" fillId="0" borderId="0" xfId="0" applyFont="1" applyBorder="1" applyAlignment="1">
      <alignment horizontal="right" vertical="center"/>
    </xf>
    <xf numFmtId="0" fontId="22" fillId="0" borderId="10" xfId="0" applyFont="1" applyFill="1" applyBorder="1" applyAlignment="1">
      <alignment horizontal="center" vertical="center"/>
    </xf>
    <xf numFmtId="184" fontId="16" fillId="33" borderId="12" xfId="0" applyNumberFormat="1" applyFont="1" applyFill="1" applyBorder="1" applyAlignment="1">
      <alignment horizontal="center" vertical="center"/>
    </xf>
    <xf numFmtId="0" fontId="16" fillId="33" borderId="12" xfId="0" applyFont="1" applyFill="1" applyBorder="1" applyAlignment="1">
      <alignment horizontal="center" vertical="center"/>
    </xf>
    <xf numFmtId="0" fontId="16" fillId="33" borderId="12" xfId="0" applyFont="1" applyFill="1" applyBorder="1" applyAlignment="1">
      <alignment vertical="center"/>
    </xf>
    <xf numFmtId="3" fontId="16" fillId="33" borderId="12" xfId="0" applyNumberFormat="1" applyFont="1" applyFill="1" applyBorder="1" applyAlignment="1">
      <alignment horizontal="center" vertical="center"/>
    </xf>
    <xf numFmtId="192" fontId="16" fillId="33" borderId="13" xfId="0" applyNumberFormat="1" applyFont="1" applyFill="1" applyBorder="1" applyAlignment="1">
      <alignment horizontal="right" vertical="center"/>
    </xf>
    <xf numFmtId="0" fontId="32" fillId="0" borderId="0" xfId="0" applyFont="1" applyFill="1" applyBorder="1" applyAlignment="1" applyProtection="1">
      <alignment vertical="center"/>
      <protection locked="0"/>
    </xf>
    <xf numFmtId="184" fontId="13" fillId="0" borderId="14" xfId="0" applyNumberFormat="1" applyFont="1" applyFill="1" applyBorder="1" applyAlignment="1" applyProtection="1">
      <alignment horizontal="center" vertical="center"/>
      <protection locked="0"/>
    </xf>
    <xf numFmtId="184" fontId="13" fillId="0" borderId="14" xfId="0" applyNumberFormat="1" applyFont="1" applyFill="1" applyBorder="1" applyAlignment="1">
      <alignment horizontal="center" vertical="center"/>
    </xf>
    <xf numFmtId="0" fontId="13" fillId="0" borderId="14" xfId="0" applyFont="1" applyFill="1" applyBorder="1" applyAlignment="1">
      <alignment horizontal="center" vertical="center"/>
    </xf>
    <xf numFmtId="0" fontId="13" fillId="0" borderId="14" xfId="0" applyFont="1" applyFill="1" applyBorder="1" applyAlignment="1" applyProtection="1">
      <alignment horizontal="left" vertical="center"/>
      <protection locked="0"/>
    </xf>
    <xf numFmtId="184" fontId="13" fillId="0" borderId="14" xfId="0" applyNumberFormat="1" applyFont="1" applyFill="1" applyBorder="1" applyAlignment="1" applyProtection="1">
      <alignment horizontal="left" vertical="center"/>
      <protection locked="0"/>
    </xf>
    <xf numFmtId="0" fontId="13" fillId="0" borderId="14" xfId="0" applyFont="1" applyFill="1" applyBorder="1" applyAlignment="1">
      <alignment horizontal="left" vertical="center"/>
    </xf>
    <xf numFmtId="49" fontId="13" fillId="0" borderId="14" xfId="0" applyNumberFormat="1" applyFont="1" applyFill="1" applyBorder="1" applyAlignment="1" applyProtection="1">
      <alignment horizontal="left" vertical="center"/>
      <protection locked="0"/>
    </xf>
    <xf numFmtId="0" fontId="13" fillId="0" borderId="14" xfId="0" applyFont="1" applyFill="1" applyBorder="1" applyAlignment="1" applyProtection="1">
      <alignment horizontal="left" vertical="center"/>
      <protection/>
    </xf>
    <xf numFmtId="0" fontId="31" fillId="0" borderId="0" xfId="0" applyFont="1" applyFill="1" applyBorder="1" applyAlignment="1">
      <alignment horizontal="center" vertical="center"/>
    </xf>
    <xf numFmtId="184" fontId="0" fillId="0" borderId="0" xfId="0" applyNumberFormat="1" applyAlignment="1">
      <alignment horizontal="center" vertical="center"/>
    </xf>
    <xf numFmtId="184" fontId="13" fillId="0" borderId="15" xfId="0" applyNumberFormat="1" applyFont="1" applyFill="1" applyBorder="1" applyAlignment="1">
      <alignment horizontal="center" vertical="center"/>
    </xf>
    <xf numFmtId="0" fontId="23" fillId="0" borderId="16" xfId="0" applyFont="1" applyFill="1" applyBorder="1" applyAlignment="1">
      <alignment horizontal="center" vertical="center"/>
    </xf>
    <xf numFmtId="0" fontId="15" fillId="33" borderId="12" xfId="0" applyFont="1" applyFill="1" applyBorder="1" applyAlignment="1">
      <alignment horizontal="center" vertical="center"/>
    </xf>
    <xf numFmtId="3" fontId="15" fillId="33" borderId="12" xfId="0" applyNumberFormat="1" applyFont="1" applyFill="1" applyBorder="1" applyAlignment="1">
      <alignment horizontal="center" vertical="center"/>
    </xf>
    <xf numFmtId="0" fontId="35" fillId="0" borderId="0" xfId="0" applyFont="1" applyFill="1" applyBorder="1" applyAlignment="1" applyProtection="1">
      <alignment vertical="center"/>
      <protection locked="0"/>
    </xf>
    <xf numFmtId="0" fontId="13" fillId="0" borderId="17" xfId="0" applyFont="1" applyFill="1" applyBorder="1" applyAlignment="1" applyProtection="1">
      <alignment horizontal="left" vertical="center"/>
      <protection locked="0"/>
    </xf>
    <xf numFmtId="0" fontId="13" fillId="0" borderId="17" xfId="0" applyFont="1" applyFill="1" applyBorder="1" applyAlignment="1">
      <alignment horizontal="left" vertical="center"/>
    </xf>
    <xf numFmtId="49" fontId="13" fillId="0" borderId="17" xfId="0" applyNumberFormat="1" applyFont="1" applyFill="1" applyBorder="1" applyAlignment="1" applyProtection="1">
      <alignment horizontal="left" vertical="center"/>
      <protection locked="0"/>
    </xf>
    <xf numFmtId="0" fontId="13" fillId="0" borderId="14" xfId="0" applyNumberFormat="1" applyFont="1" applyFill="1" applyBorder="1" applyAlignment="1" applyProtection="1">
      <alignment horizontal="center" vertical="center"/>
      <protection locked="0"/>
    </xf>
    <xf numFmtId="192" fontId="25" fillId="0" borderId="11" xfId="0" applyNumberFormat="1" applyFont="1" applyFill="1" applyBorder="1" applyAlignment="1" applyProtection="1">
      <alignment horizontal="center" wrapText="1"/>
      <protection/>
    </xf>
    <xf numFmtId="192" fontId="25" fillId="0" borderId="18" xfId="0" applyNumberFormat="1" applyFont="1" applyFill="1" applyBorder="1" applyAlignment="1" applyProtection="1">
      <alignment horizontal="center" wrapText="1"/>
      <protection/>
    </xf>
    <xf numFmtId="184" fontId="13" fillId="0" borderId="14" xfId="57" applyNumberFormat="1" applyFont="1" applyFill="1" applyBorder="1" applyAlignment="1" applyProtection="1">
      <alignment horizontal="center" vertical="center"/>
      <protection/>
    </xf>
    <xf numFmtId="0" fontId="13" fillId="0" borderId="17" xfId="0" applyNumberFormat="1" applyFont="1" applyFill="1" applyBorder="1" applyAlignment="1" applyProtection="1">
      <alignment horizontal="left" vertical="center"/>
      <protection locked="0"/>
    </xf>
    <xf numFmtId="0" fontId="13" fillId="0" borderId="14" xfId="0" applyFont="1" applyFill="1" applyBorder="1" applyAlignment="1" applyProtection="1">
      <alignment horizontal="center" vertical="center"/>
      <protection locked="0"/>
    </xf>
    <xf numFmtId="49" fontId="13" fillId="0" borderId="14" xfId="0" applyNumberFormat="1" applyFont="1" applyFill="1" applyBorder="1" applyAlignment="1" applyProtection="1">
      <alignment horizontal="center" vertical="center"/>
      <protection locked="0"/>
    </xf>
    <xf numFmtId="3" fontId="25" fillId="0" borderId="0" xfId="0" applyNumberFormat="1" applyFont="1" applyFill="1" applyBorder="1" applyAlignment="1">
      <alignment horizontal="center" vertical="center"/>
    </xf>
    <xf numFmtId="3" fontId="31" fillId="0" borderId="0" xfId="0" applyNumberFormat="1" applyFont="1" applyFill="1" applyBorder="1" applyAlignment="1">
      <alignment horizontal="center" vertical="center"/>
    </xf>
    <xf numFmtId="3" fontId="0" fillId="0" borderId="0" xfId="0" applyNumberFormat="1" applyBorder="1" applyAlignment="1">
      <alignment vertical="center"/>
    </xf>
    <xf numFmtId="4" fontId="25" fillId="0" borderId="0" xfId="0" applyNumberFormat="1" applyFont="1" applyFill="1" applyBorder="1" applyAlignment="1">
      <alignment horizontal="center" vertical="center"/>
    </xf>
    <xf numFmtId="4" fontId="31" fillId="0" borderId="0" xfId="0" applyNumberFormat="1" applyFont="1" applyFill="1" applyBorder="1" applyAlignment="1">
      <alignment horizontal="center" vertical="center"/>
    </xf>
    <xf numFmtId="4" fontId="0" fillId="0" borderId="0" xfId="0" applyNumberFormat="1" applyBorder="1" applyAlignment="1">
      <alignment vertical="center"/>
    </xf>
    <xf numFmtId="4" fontId="17" fillId="0" borderId="0" xfId="0" applyNumberFormat="1" applyFont="1" applyFill="1" applyBorder="1" applyAlignment="1">
      <alignment vertical="center"/>
    </xf>
    <xf numFmtId="3" fontId="17" fillId="0" borderId="0" xfId="0" applyNumberFormat="1" applyFont="1" applyFill="1" applyBorder="1" applyAlignment="1">
      <alignment vertical="center"/>
    </xf>
    <xf numFmtId="0" fontId="0" fillId="0" borderId="0" xfId="0" applyAlignment="1">
      <alignment horizontal="center" vertical="center"/>
    </xf>
    <xf numFmtId="192" fontId="0" fillId="0" borderId="0" xfId="0" applyNumberFormat="1" applyAlignment="1">
      <alignment horizontal="right" vertical="center"/>
    </xf>
    <xf numFmtId="192" fontId="16" fillId="33" borderId="12" xfId="0" applyNumberFormat="1" applyFont="1" applyFill="1" applyBorder="1" applyAlignment="1">
      <alignment horizontal="right" vertical="center"/>
    </xf>
    <xf numFmtId="0" fontId="13" fillId="0" borderId="14" xfId="0" applyFont="1" applyFill="1" applyBorder="1" applyAlignment="1" applyProtection="1">
      <alignment horizontal="center" vertical="center"/>
      <protection/>
    </xf>
    <xf numFmtId="193" fontId="11" fillId="0" borderId="0" xfId="0" applyNumberFormat="1" applyFont="1" applyBorder="1" applyAlignment="1">
      <alignment horizontal="right" vertical="center" indent="1"/>
    </xf>
    <xf numFmtId="0" fontId="13" fillId="0" borderId="17" xfId="57" applyFont="1" applyFill="1" applyBorder="1" applyAlignment="1" applyProtection="1">
      <alignment horizontal="left" vertical="center"/>
      <protection/>
    </xf>
    <xf numFmtId="4" fontId="28" fillId="0" borderId="0" xfId="0" applyNumberFormat="1" applyFont="1" applyFill="1" applyBorder="1" applyAlignment="1">
      <alignment horizontal="center" vertical="center"/>
    </xf>
    <xf numFmtId="3" fontId="28" fillId="0" borderId="0" xfId="0" applyNumberFormat="1" applyFont="1" applyFill="1" applyBorder="1" applyAlignment="1">
      <alignment horizontal="center" vertical="center"/>
    </xf>
    <xf numFmtId="4" fontId="28" fillId="0" borderId="0" xfId="0" applyNumberFormat="1" applyFont="1" applyFill="1" applyBorder="1" applyAlignment="1" applyProtection="1">
      <alignment horizontal="center" vertical="center"/>
      <protection locked="0"/>
    </xf>
    <xf numFmtId="3" fontId="28" fillId="0" borderId="0" xfId="0" applyNumberFormat="1" applyFont="1" applyFill="1" applyBorder="1" applyAlignment="1" applyProtection="1">
      <alignment horizontal="center" vertical="center"/>
      <protection locked="0"/>
    </xf>
    <xf numFmtId="3" fontId="25" fillId="0" borderId="11" xfId="0" applyNumberFormat="1" applyFont="1" applyFill="1" applyBorder="1" applyAlignment="1" applyProtection="1">
      <alignment horizontal="center" wrapText="1"/>
      <protection/>
    </xf>
    <xf numFmtId="3" fontId="3" fillId="0" borderId="0" xfId="0" applyNumberFormat="1" applyFont="1" applyFill="1" applyBorder="1" applyAlignment="1" applyProtection="1">
      <alignment horizontal="right" vertical="center"/>
      <protection/>
    </xf>
    <xf numFmtId="3" fontId="16" fillId="33" borderId="12" xfId="0" applyNumberFormat="1" applyFont="1" applyFill="1" applyBorder="1" applyAlignment="1">
      <alignment horizontal="right" vertical="center"/>
    </xf>
    <xf numFmtId="3" fontId="10" fillId="0" borderId="0" xfId="0" applyNumberFormat="1" applyFont="1" applyFill="1" applyBorder="1" applyAlignment="1" applyProtection="1">
      <alignment horizontal="right" vertical="center"/>
      <protection locked="0"/>
    </xf>
    <xf numFmtId="3" fontId="0" fillId="0" borderId="0" xfId="0" applyNumberFormat="1" applyAlignment="1">
      <alignment horizontal="right" vertical="center"/>
    </xf>
    <xf numFmtId="3" fontId="6" fillId="0" borderId="0" xfId="0" applyNumberFormat="1" applyFont="1" applyFill="1" applyBorder="1" applyAlignment="1" applyProtection="1">
      <alignment horizontal="right" vertical="center"/>
      <protection locked="0"/>
    </xf>
    <xf numFmtId="0" fontId="13" fillId="0" borderId="14" xfId="57" applyNumberFormat="1" applyFont="1" applyFill="1" applyBorder="1" applyAlignment="1" applyProtection="1">
      <alignment horizontal="center" vertical="center"/>
      <protection/>
    </xf>
    <xf numFmtId="0" fontId="13" fillId="0" borderId="14" xfId="57" applyFont="1" applyFill="1" applyBorder="1" applyAlignment="1" applyProtection="1">
      <alignment horizontal="center" vertical="center"/>
      <protection/>
    </xf>
    <xf numFmtId="0" fontId="13" fillId="0" borderId="14" xfId="57" applyFont="1" applyFill="1" applyBorder="1" applyAlignment="1" applyProtection="1">
      <alignment horizontal="left" vertical="center"/>
      <protection/>
    </xf>
    <xf numFmtId="192" fontId="13" fillId="0" borderId="19" xfId="42" applyNumberFormat="1" applyFont="1" applyFill="1" applyBorder="1" applyAlignment="1" applyProtection="1">
      <alignment horizontal="right" vertical="center"/>
      <protection/>
    </xf>
    <xf numFmtId="0" fontId="0" fillId="0" borderId="0" xfId="0" applyAlignment="1">
      <alignment horizontal="center"/>
    </xf>
    <xf numFmtId="0" fontId="33" fillId="0" borderId="20" xfId="0" applyFont="1" applyBorder="1" applyAlignment="1" applyProtection="1">
      <alignment vertical="center"/>
      <protection locked="0"/>
    </xf>
    <xf numFmtId="0" fontId="33" fillId="0" borderId="21" xfId="0" applyFont="1" applyBorder="1" applyAlignment="1" applyProtection="1">
      <alignment vertical="center"/>
      <protection locked="0"/>
    </xf>
    <xf numFmtId="200" fontId="33" fillId="0" borderId="14" xfId="42" applyNumberFormat="1" applyFont="1" applyFill="1" applyBorder="1" applyAlignment="1" applyProtection="1">
      <alignment horizontal="right" vertical="center"/>
      <protection locked="0"/>
    </xf>
    <xf numFmtId="200" fontId="33" fillId="0" borderId="14" xfId="0" applyNumberFormat="1" applyFont="1" applyFill="1" applyBorder="1" applyAlignment="1">
      <alignment horizontal="right" vertical="center"/>
    </xf>
    <xf numFmtId="14" fontId="13" fillId="0" borderId="14" xfId="0" applyNumberFormat="1" applyFont="1" applyFill="1" applyBorder="1" applyAlignment="1">
      <alignment horizontal="left" vertical="center"/>
    </xf>
    <xf numFmtId="1" fontId="13" fillId="0" borderId="14" xfId="0" applyNumberFormat="1" applyFont="1" applyFill="1" applyBorder="1" applyAlignment="1" applyProtection="1">
      <alignment horizontal="center" vertical="center"/>
      <protection locked="0"/>
    </xf>
    <xf numFmtId="1" fontId="13" fillId="0" borderId="14" xfId="0" applyNumberFormat="1" applyFont="1" applyFill="1" applyBorder="1" applyAlignment="1">
      <alignment horizontal="center" vertical="center"/>
    </xf>
    <xf numFmtId="200" fontId="25" fillId="0" borderId="11" xfId="0" applyNumberFormat="1" applyFont="1" applyFill="1" applyBorder="1" applyAlignment="1" applyProtection="1">
      <alignment horizontal="center" vertical="center" wrapText="1"/>
      <protection/>
    </xf>
    <xf numFmtId="0" fontId="22" fillId="0" borderId="22" xfId="0" applyFont="1" applyFill="1" applyBorder="1" applyAlignment="1" applyProtection="1">
      <alignment horizontal="right" vertical="center"/>
      <protection/>
    </xf>
    <xf numFmtId="0" fontId="0" fillId="0" borderId="0" xfId="0" applyBorder="1" applyAlignment="1">
      <alignment horizontal="right" vertical="center" wrapText="1"/>
    </xf>
    <xf numFmtId="0" fontId="0" fillId="0" borderId="0" xfId="0" applyBorder="1" applyAlignment="1">
      <alignment horizontal="center" vertical="center" wrapText="1"/>
    </xf>
    <xf numFmtId="0" fontId="29" fillId="0" borderId="0" xfId="0" applyFont="1" applyFill="1" applyAlignment="1">
      <alignment/>
    </xf>
    <xf numFmtId="0" fontId="37" fillId="0" borderId="0" xfId="0" applyFont="1" applyFill="1" applyAlignment="1">
      <alignment/>
    </xf>
    <xf numFmtId="193" fontId="11" fillId="0" borderId="0" xfId="0" applyNumberFormat="1" applyFont="1" applyBorder="1" applyAlignment="1">
      <alignment horizontal="right" vertical="center" wrapText="1"/>
    </xf>
    <xf numFmtId="193" fontId="33" fillId="0" borderId="14" xfId="42" applyNumberFormat="1" applyFont="1" applyFill="1" applyBorder="1" applyAlignment="1" applyProtection="1">
      <alignment horizontal="right" vertical="center"/>
      <protection locked="0"/>
    </xf>
    <xf numFmtId="200" fontId="33" fillId="0" borderId="14" xfId="42" applyNumberFormat="1" applyFont="1" applyFill="1" applyBorder="1" applyAlignment="1" applyProtection="1">
      <alignment horizontal="right" vertical="center"/>
      <protection/>
    </xf>
    <xf numFmtId="193" fontId="33" fillId="0" borderId="14" xfId="0" applyNumberFormat="1" applyFont="1" applyFill="1" applyBorder="1" applyAlignment="1">
      <alignment horizontal="right" vertical="center"/>
    </xf>
    <xf numFmtId="200" fontId="33" fillId="0" borderId="14" xfId="0" applyNumberFormat="1" applyFont="1" applyFill="1" applyBorder="1" applyAlignment="1" applyProtection="1">
      <alignment horizontal="right" vertical="center"/>
      <protection/>
    </xf>
    <xf numFmtId="49" fontId="13" fillId="0" borderId="23" xfId="0" applyNumberFormat="1" applyFont="1" applyFill="1" applyBorder="1" applyAlignment="1" applyProtection="1">
      <alignment horizontal="left" vertical="center"/>
      <protection locked="0"/>
    </xf>
    <xf numFmtId="184" fontId="13" fillId="0" borderId="24" xfId="0" applyNumberFormat="1" applyFont="1" applyFill="1" applyBorder="1" applyAlignment="1">
      <alignment horizontal="center" vertical="center"/>
    </xf>
    <xf numFmtId="49" fontId="13" fillId="0" borderId="24" xfId="0" applyNumberFormat="1" applyFont="1" applyFill="1" applyBorder="1" applyAlignment="1" applyProtection="1">
      <alignment horizontal="left" vertical="center"/>
      <protection locked="0"/>
    </xf>
    <xf numFmtId="1" fontId="13" fillId="0" borderId="24" xfId="0" applyNumberFormat="1" applyFont="1" applyFill="1" applyBorder="1" applyAlignment="1" applyProtection="1">
      <alignment horizontal="center" vertical="center"/>
      <protection locked="0"/>
    </xf>
    <xf numFmtId="193" fontId="33" fillId="0" borderId="14" xfId="0" applyNumberFormat="1" applyFont="1" applyFill="1" applyBorder="1" applyAlignment="1" applyProtection="1">
      <alignment horizontal="right" vertical="center"/>
      <protection/>
    </xf>
    <xf numFmtId="193" fontId="33" fillId="0" borderId="24" xfId="42" applyNumberFormat="1" applyFont="1" applyFill="1" applyBorder="1" applyAlignment="1" applyProtection="1">
      <alignment horizontal="right" vertical="center"/>
      <protection locked="0"/>
    </xf>
    <xf numFmtId="200" fontId="33" fillId="0" borderId="24" xfId="42" applyNumberFormat="1" applyFont="1" applyFill="1" applyBorder="1" applyAlignment="1" applyProtection="1">
      <alignment horizontal="right" vertical="center"/>
      <protection locked="0"/>
    </xf>
    <xf numFmtId="200" fontId="19" fillId="0" borderId="0" xfId="0" applyNumberFormat="1" applyFont="1" applyFill="1" applyBorder="1" applyAlignment="1" applyProtection="1">
      <alignment horizontal="right" vertical="center"/>
      <protection/>
    </xf>
    <xf numFmtId="200" fontId="25" fillId="0" borderId="11" xfId="0" applyNumberFormat="1" applyFont="1" applyFill="1" applyBorder="1" applyAlignment="1" applyProtection="1">
      <alignment horizontal="center" wrapText="1"/>
      <protection/>
    </xf>
    <xf numFmtId="200" fontId="15" fillId="33" borderId="12" xfId="0" applyNumberFormat="1" applyFont="1" applyFill="1" applyBorder="1" applyAlignment="1">
      <alignment horizontal="right" vertical="center"/>
    </xf>
    <xf numFmtId="200" fontId="20" fillId="0" borderId="0" xfId="0" applyNumberFormat="1" applyFont="1" applyFill="1" applyBorder="1" applyAlignment="1" applyProtection="1">
      <alignment horizontal="right" vertical="center"/>
      <protection locked="0"/>
    </xf>
    <xf numFmtId="200" fontId="21" fillId="0" borderId="0" xfId="0" applyNumberFormat="1" applyFont="1" applyFill="1" applyBorder="1" applyAlignment="1" applyProtection="1">
      <alignment horizontal="right" vertical="center"/>
      <protection locked="0"/>
    </xf>
    <xf numFmtId="200" fontId="11" fillId="0" borderId="0" xfId="0" applyNumberFormat="1" applyFont="1" applyAlignment="1">
      <alignment horizontal="right" vertical="center"/>
    </xf>
    <xf numFmtId="200" fontId="4" fillId="0" borderId="0" xfId="0" applyNumberFormat="1" applyFont="1" applyFill="1" applyBorder="1" applyAlignment="1" applyProtection="1">
      <alignment horizontal="right" vertical="center"/>
      <protection/>
    </xf>
    <xf numFmtId="200" fontId="16" fillId="33" borderId="12" xfId="0" applyNumberFormat="1" applyFont="1" applyFill="1" applyBorder="1" applyAlignment="1">
      <alignment horizontal="right" vertical="center"/>
    </xf>
    <xf numFmtId="200" fontId="6" fillId="0" borderId="0" xfId="0" applyNumberFormat="1" applyFont="1" applyFill="1" applyBorder="1" applyAlignment="1" applyProtection="1">
      <alignment horizontal="right" vertical="center"/>
      <protection locked="0"/>
    </xf>
    <xf numFmtId="200" fontId="10" fillId="0" borderId="0" xfId="42" applyNumberFormat="1" applyFont="1" applyFill="1" applyBorder="1" applyAlignment="1" applyProtection="1">
      <alignment horizontal="right" vertical="center"/>
      <protection/>
    </xf>
    <xf numFmtId="200" fontId="0" fillId="0" borderId="0" xfId="0" applyNumberFormat="1" applyFont="1" applyAlignment="1">
      <alignment horizontal="right" vertical="center"/>
    </xf>
    <xf numFmtId="200" fontId="0" fillId="0" borderId="0" xfId="0" applyNumberFormat="1" applyFont="1" applyAlignment="1">
      <alignment horizontal="right" vertical="center"/>
    </xf>
    <xf numFmtId="193" fontId="4" fillId="0" borderId="0" xfId="0" applyNumberFormat="1" applyFont="1" applyFill="1" applyBorder="1" applyAlignment="1" applyProtection="1">
      <alignment horizontal="right" vertical="center"/>
      <protection/>
    </xf>
    <xf numFmtId="193" fontId="16" fillId="33" borderId="12" xfId="0" applyNumberFormat="1" applyFont="1" applyFill="1" applyBorder="1" applyAlignment="1">
      <alignment horizontal="right" vertical="center"/>
    </xf>
    <xf numFmtId="193" fontId="6" fillId="0" borderId="0" xfId="0" applyNumberFormat="1" applyFont="1" applyFill="1" applyBorder="1" applyAlignment="1" applyProtection="1">
      <alignment horizontal="right" vertical="center"/>
      <protection locked="0"/>
    </xf>
    <xf numFmtId="193" fontId="3" fillId="0" borderId="0" xfId="0" applyNumberFormat="1" applyFont="1" applyFill="1" applyBorder="1" applyAlignment="1" applyProtection="1">
      <alignment horizontal="right" vertical="center"/>
      <protection/>
    </xf>
    <xf numFmtId="193" fontId="10" fillId="0" borderId="0" xfId="0" applyNumberFormat="1" applyFont="1" applyFill="1" applyBorder="1" applyAlignment="1" applyProtection="1">
      <alignment horizontal="right" vertical="center"/>
      <protection locked="0"/>
    </xf>
    <xf numFmtId="193" fontId="0" fillId="0" borderId="0" xfId="0" applyNumberFormat="1" applyFont="1" applyAlignment="1">
      <alignment horizontal="right" vertical="center"/>
    </xf>
    <xf numFmtId="193" fontId="10" fillId="0" borderId="0" xfId="0" applyNumberFormat="1" applyFont="1" applyFill="1" applyBorder="1" applyAlignment="1" applyProtection="1">
      <alignment horizontal="right" vertical="center"/>
      <protection locked="0"/>
    </xf>
    <xf numFmtId="193" fontId="0" fillId="0" borderId="0" xfId="0" applyNumberFormat="1" applyFont="1" applyAlignment="1">
      <alignment horizontal="right" vertical="center"/>
    </xf>
    <xf numFmtId="193" fontId="0" fillId="0" borderId="0" xfId="0" applyNumberFormat="1" applyFont="1" applyAlignment="1">
      <alignment horizontal="right" vertical="center"/>
    </xf>
    <xf numFmtId="184" fontId="0" fillId="0" borderId="0" xfId="0" applyNumberFormat="1" applyAlignment="1">
      <alignment horizontal="center"/>
    </xf>
    <xf numFmtId="200" fontId="11" fillId="0" borderId="0" xfId="0" applyNumberFormat="1" applyFont="1" applyBorder="1" applyAlignment="1">
      <alignment horizontal="right" vertical="center"/>
    </xf>
    <xf numFmtId="1" fontId="26" fillId="0" borderId="16" xfId="0" applyNumberFormat="1" applyFont="1" applyFill="1" applyBorder="1" applyAlignment="1" applyProtection="1">
      <alignment horizontal="center" vertical="center" wrapText="1"/>
      <protection/>
    </xf>
    <xf numFmtId="193" fontId="33" fillId="0" borderId="14" xfId="42" applyNumberFormat="1" applyFont="1" applyFill="1" applyBorder="1" applyAlignment="1" applyProtection="1">
      <alignment horizontal="right" vertical="center"/>
      <protection/>
    </xf>
    <xf numFmtId="200" fontId="33" fillId="0" borderId="14" xfId="57" applyNumberFormat="1" applyFont="1" applyFill="1" applyBorder="1" applyAlignment="1">
      <alignment horizontal="right" vertical="center"/>
      <protection/>
    </xf>
    <xf numFmtId="0" fontId="13" fillId="0" borderId="25" xfId="0" applyFont="1" applyFill="1" applyBorder="1" applyAlignment="1">
      <alignment horizontal="left" vertical="center"/>
    </xf>
    <xf numFmtId="14" fontId="13" fillId="0" borderId="15" xfId="0" applyNumberFormat="1" applyFont="1" applyFill="1" applyBorder="1" applyAlignment="1">
      <alignment horizontal="left" vertical="center"/>
    </xf>
    <xf numFmtId="0" fontId="13" fillId="0" borderId="15" xfId="0" applyFont="1" applyFill="1" applyBorder="1" applyAlignment="1">
      <alignment horizontal="center" vertical="center"/>
    </xf>
    <xf numFmtId="200" fontId="11" fillId="0" borderId="0" xfId="0" applyNumberFormat="1" applyFont="1" applyBorder="1" applyAlignment="1">
      <alignment horizontal="right" vertical="center" wrapText="1"/>
    </xf>
    <xf numFmtId="0" fontId="10" fillId="0" borderId="0" xfId="0" applyNumberFormat="1" applyFont="1" applyFill="1" applyBorder="1" applyAlignment="1" applyProtection="1">
      <alignment horizontal="right" vertical="center"/>
      <protection locked="0"/>
    </xf>
    <xf numFmtId="0" fontId="0" fillId="0" borderId="0" xfId="0" applyBorder="1" applyAlignment="1">
      <alignment horizontal="right" vertical="center"/>
    </xf>
    <xf numFmtId="0" fontId="10" fillId="0" borderId="0" xfId="0" applyFont="1" applyBorder="1" applyAlignment="1">
      <alignment horizontal="right" vertical="center"/>
    </xf>
    <xf numFmtId="0" fontId="23" fillId="33" borderId="0" xfId="0" applyFont="1" applyFill="1" applyBorder="1" applyAlignment="1">
      <alignment horizontal="right" vertical="center"/>
    </xf>
    <xf numFmtId="0" fontId="38" fillId="33" borderId="0" xfId="0" applyFont="1" applyFill="1" applyBorder="1" applyAlignment="1">
      <alignment vertical="center"/>
    </xf>
    <xf numFmtId="0" fontId="38" fillId="33" borderId="0" xfId="0" applyFont="1" applyFill="1" applyBorder="1" applyAlignment="1">
      <alignment horizontal="center" vertical="center"/>
    </xf>
    <xf numFmtId="0" fontId="38" fillId="33" borderId="0" xfId="0" applyFont="1" applyFill="1" applyAlignment="1">
      <alignment/>
    </xf>
    <xf numFmtId="200" fontId="38" fillId="33" borderId="0" xfId="0" applyNumberFormat="1" applyFont="1" applyFill="1" applyAlignment="1">
      <alignment/>
    </xf>
    <xf numFmtId="193" fontId="38" fillId="33" borderId="0" xfId="0" applyNumberFormat="1" applyFont="1" applyFill="1" applyAlignment="1">
      <alignment/>
    </xf>
    <xf numFmtId="200" fontId="15" fillId="33" borderId="12" xfId="0" applyNumberFormat="1" applyFont="1" applyFill="1" applyBorder="1" applyAlignment="1">
      <alignment vertical="center"/>
    </xf>
    <xf numFmtId="193" fontId="15" fillId="33" borderId="12" xfId="0" applyNumberFormat="1" applyFont="1" applyFill="1" applyBorder="1" applyAlignment="1">
      <alignment vertical="center"/>
    </xf>
    <xf numFmtId="200" fontId="11" fillId="0" borderId="0" xfId="0" applyNumberFormat="1" applyFont="1" applyBorder="1" applyAlignment="1">
      <alignment vertical="center"/>
    </xf>
    <xf numFmtId="193" fontId="11" fillId="0" borderId="0" xfId="0" applyNumberFormat="1" applyFont="1" applyBorder="1" applyAlignment="1">
      <alignment vertical="center"/>
    </xf>
    <xf numFmtId="0" fontId="13" fillId="0" borderId="26" xfId="0" applyFont="1" applyFill="1" applyBorder="1" applyAlignment="1" applyProtection="1">
      <alignment horizontal="left" vertical="center"/>
      <protection locked="0"/>
    </xf>
    <xf numFmtId="184" fontId="13" fillId="0" borderId="12" xfId="0" applyNumberFormat="1" applyFont="1" applyFill="1" applyBorder="1" applyAlignment="1" applyProtection="1">
      <alignment horizontal="center" vertical="center"/>
      <protection locked="0"/>
    </xf>
    <xf numFmtId="0" fontId="13" fillId="0" borderId="12" xfId="0" applyFont="1" applyFill="1" applyBorder="1" applyAlignment="1" applyProtection="1">
      <alignment horizontal="left" vertical="center"/>
      <protection locked="0"/>
    </xf>
    <xf numFmtId="0" fontId="13" fillId="0" borderId="12" xfId="0" applyFont="1" applyFill="1" applyBorder="1" applyAlignment="1" applyProtection="1">
      <alignment horizontal="center" vertical="center"/>
      <protection locked="0"/>
    </xf>
    <xf numFmtId="0" fontId="13" fillId="0" borderId="23" xfId="0" applyFont="1" applyFill="1" applyBorder="1" applyAlignment="1">
      <alignment horizontal="left" vertical="center"/>
    </xf>
    <xf numFmtId="0" fontId="13" fillId="0" borderId="24" xfId="0" applyFont="1" applyFill="1" applyBorder="1" applyAlignment="1">
      <alignment horizontal="left" vertical="center"/>
    </xf>
    <xf numFmtId="0" fontId="13" fillId="0" borderId="24" xfId="0" applyFont="1" applyFill="1" applyBorder="1" applyAlignment="1">
      <alignment horizontal="center" vertical="center"/>
    </xf>
    <xf numFmtId="200" fontId="33" fillId="0" borderId="24" xfId="0" applyNumberFormat="1" applyFont="1" applyFill="1" applyBorder="1" applyAlignment="1">
      <alignment horizontal="right" vertical="center"/>
    </xf>
    <xf numFmtId="193" fontId="33" fillId="0" borderId="24" xfId="0" applyNumberFormat="1" applyFont="1" applyFill="1" applyBorder="1" applyAlignment="1">
      <alignment horizontal="right" vertical="center"/>
    </xf>
    <xf numFmtId="4" fontId="0" fillId="0" borderId="0" xfId="0" applyNumberFormat="1" applyAlignment="1">
      <alignment/>
    </xf>
    <xf numFmtId="193" fontId="13" fillId="0" borderId="14" xfId="0" applyNumberFormat="1" applyFont="1" applyFill="1" applyBorder="1" applyAlignment="1">
      <alignment horizontal="right" vertical="center"/>
    </xf>
    <xf numFmtId="192" fontId="13" fillId="0" borderId="14" xfId="0" applyNumberFormat="1" applyFont="1" applyFill="1" applyBorder="1" applyAlignment="1">
      <alignment horizontal="right" vertical="center"/>
    </xf>
    <xf numFmtId="200" fontId="13" fillId="0" borderId="14" xfId="0" applyNumberFormat="1" applyFont="1" applyFill="1" applyBorder="1" applyAlignment="1">
      <alignment horizontal="right" vertical="center"/>
    </xf>
    <xf numFmtId="193" fontId="13" fillId="0" borderId="14" xfId="60" applyNumberFormat="1" applyFont="1" applyFill="1" applyBorder="1" applyAlignment="1" applyProtection="1">
      <alignment horizontal="right" vertical="center"/>
      <protection/>
    </xf>
    <xf numFmtId="192" fontId="13" fillId="0" borderId="14" xfId="60" applyNumberFormat="1" applyFont="1" applyFill="1" applyBorder="1" applyAlignment="1" applyProtection="1">
      <alignment horizontal="right" vertical="center"/>
      <protection/>
    </xf>
    <xf numFmtId="200" fontId="13" fillId="0" borderId="14" xfId="42" applyNumberFormat="1" applyFont="1" applyFill="1" applyBorder="1" applyAlignment="1" applyProtection="1">
      <alignment horizontal="right" vertical="center"/>
      <protection/>
    </xf>
    <xf numFmtId="193" fontId="33" fillId="0" borderId="14" xfId="57" applyNumberFormat="1" applyFont="1" applyFill="1" applyBorder="1" applyAlignment="1">
      <alignment horizontal="right" vertical="center"/>
      <protection/>
    </xf>
    <xf numFmtId="193" fontId="13" fillId="0" borderId="14" xfId="57" applyNumberFormat="1" applyFont="1" applyFill="1" applyBorder="1" applyAlignment="1" applyProtection="1">
      <alignment horizontal="right" vertical="center"/>
      <protection/>
    </xf>
    <xf numFmtId="192" fontId="13" fillId="0" borderId="14" xfId="57" applyNumberFormat="1" applyFont="1" applyFill="1" applyBorder="1" applyAlignment="1" applyProtection="1">
      <alignment horizontal="right" vertical="center"/>
      <protection/>
    </xf>
    <xf numFmtId="200" fontId="13" fillId="0" borderId="14" xfId="57" applyNumberFormat="1" applyFont="1" applyFill="1" applyBorder="1" applyAlignment="1">
      <alignment horizontal="right" vertical="center"/>
      <protection/>
    </xf>
    <xf numFmtId="193" fontId="13" fillId="0" borderId="14" xfId="42" applyNumberFormat="1" applyFont="1" applyFill="1" applyBorder="1" applyAlignment="1" applyProtection="1">
      <alignment horizontal="right" vertical="center"/>
      <protection/>
    </xf>
    <xf numFmtId="192" fontId="13" fillId="0" borderId="14" xfId="42" applyNumberFormat="1" applyFont="1" applyFill="1" applyBorder="1" applyAlignment="1" applyProtection="1">
      <alignment horizontal="right" vertical="center"/>
      <protection/>
    </xf>
    <xf numFmtId="200" fontId="13" fillId="0" borderId="14" xfId="42" applyNumberFormat="1" applyFont="1" applyFill="1" applyBorder="1" applyAlignment="1" applyProtection="1">
      <alignment horizontal="right" vertical="center"/>
      <protection locked="0"/>
    </xf>
    <xf numFmtId="193" fontId="13" fillId="0" borderId="14" xfId="42" applyNumberFormat="1" applyFont="1" applyFill="1" applyBorder="1" applyAlignment="1" applyProtection="1">
      <alignment horizontal="right" vertical="center"/>
      <protection locked="0"/>
    </xf>
    <xf numFmtId="193" fontId="13" fillId="0" borderId="14" xfId="0" applyNumberFormat="1" applyFont="1" applyFill="1" applyBorder="1" applyAlignment="1" applyProtection="1">
      <alignment horizontal="right" vertical="center"/>
      <protection/>
    </xf>
    <xf numFmtId="192" fontId="13" fillId="0" borderId="14" xfId="0" applyNumberFormat="1" applyFont="1" applyFill="1" applyBorder="1" applyAlignment="1" applyProtection="1">
      <alignment horizontal="right" vertical="center"/>
      <protection/>
    </xf>
    <xf numFmtId="200" fontId="13" fillId="0" borderId="14" xfId="0" applyNumberFormat="1" applyFont="1" applyFill="1" applyBorder="1" applyAlignment="1" applyProtection="1">
      <alignment horizontal="right" vertical="center"/>
      <protection/>
    </xf>
    <xf numFmtId="193" fontId="13" fillId="0" borderId="14" xfId="57" applyNumberFormat="1" applyFont="1" applyFill="1" applyBorder="1" applyAlignment="1">
      <alignment horizontal="right" vertical="center"/>
      <protection/>
    </xf>
    <xf numFmtId="200" fontId="33" fillId="0" borderId="15" xfId="0" applyNumberFormat="1" applyFont="1" applyFill="1" applyBorder="1" applyAlignment="1">
      <alignment horizontal="right" vertical="center"/>
    </xf>
    <xf numFmtId="193" fontId="33" fillId="0" borderId="15" xfId="0" applyNumberFormat="1" applyFont="1" applyFill="1" applyBorder="1" applyAlignment="1">
      <alignment horizontal="right" vertical="center"/>
    </xf>
    <xf numFmtId="193" fontId="13" fillId="0" borderId="15" xfId="0" applyNumberFormat="1" applyFont="1" applyFill="1" applyBorder="1" applyAlignment="1">
      <alignment horizontal="right" vertical="center"/>
    </xf>
    <xf numFmtId="192" fontId="13" fillId="0" borderId="15" xfId="0" applyNumberFormat="1" applyFont="1" applyFill="1" applyBorder="1" applyAlignment="1">
      <alignment horizontal="right" vertical="center"/>
    </xf>
    <xf numFmtId="200" fontId="13" fillId="0" borderId="15" xfId="0" applyNumberFormat="1" applyFont="1" applyFill="1" applyBorder="1" applyAlignment="1">
      <alignment horizontal="right" vertical="center"/>
    </xf>
    <xf numFmtId="192" fontId="13" fillId="0" borderId="27" xfId="0" applyNumberFormat="1" applyFont="1" applyFill="1" applyBorder="1" applyAlignment="1">
      <alignment horizontal="right" vertical="center"/>
    </xf>
    <xf numFmtId="192" fontId="13" fillId="0" borderId="19" xfId="0" applyNumberFormat="1" applyFont="1" applyFill="1" applyBorder="1" applyAlignment="1">
      <alignment horizontal="right" vertical="center"/>
    </xf>
    <xf numFmtId="192" fontId="13" fillId="0" borderId="19" xfId="60" applyNumberFormat="1" applyFont="1" applyFill="1" applyBorder="1" applyAlignment="1" applyProtection="1">
      <alignment horizontal="right" vertical="center"/>
      <protection/>
    </xf>
    <xf numFmtId="192" fontId="13" fillId="0" borderId="19" xfId="57" applyNumberFormat="1" applyFont="1" applyFill="1" applyBorder="1" applyAlignment="1" applyProtection="1">
      <alignment horizontal="right" vertical="center"/>
      <protection/>
    </xf>
    <xf numFmtId="192" fontId="13" fillId="0" borderId="19" xfId="0" applyNumberFormat="1" applyFont="1" applyFill="1" applyBorder="1" applyAlignment="1" applyProtection="1">
      <alignment horizontal="right" vertical="center"/>
      <protection/>
    </xf>
    <xf numFmtId="0" fontId="13" fillId="0" borderId="24" xfId="0" applyFont="1" applyFill="1" applyBorder="1" applyAlignment="1" applyProtection="1">
      <alignment horizontal="left" vertical="center"/>
      <protection locked="0"/>
    </xf>
    <xf numFmtId="193" fontId="13" fillId="0" borderId="24" xfId="60" applyNumberFormat="1" applyFont="1" applyFill="1" applyBorder="1" applyAlignment="1" applyProtection="1">
      <alignment horizontal="right" vertical="center"/>
      <protection/>
    </xf>
    <xf numFmtId="192" fontId="13" fillId="0" borderId="24" xfId="60" applyNumberFormat="1" applyFont="1" applyFill="1" applyBorder="1" applyAlignment="1" applyProtection="1">
      <alignment horizontal="right" vertical="center"/>
      <protection/>
    </xf>
    <xf numFmtId="200" fontId="13" fillId="0" borderId="24" xfId="0" applyNumberFormat="1" applyFont="1" applyFill="1" applyBorder="1" applyAlignment="1">
      <alignment horizontal="right" vertical="center"/>
    </xf>
    <xf numFmtId="193" fontId="13" fillId="0" borderId="24" xfId="0" applyNumberFormat="1" applyFont="1" applyFill="1" applyBorder="1" applyAlignment="1">
      <alignment horizontal="right" vertical="center"/>
    </xf>
    <xf numFmtId="192" fontId="13" fillId="0" borderId="28" xfId="60" applyNumberFormat="1" applyFont="1" applyFill="1" applyBorder="1" applyAlignment="1" applyProtection="1">
      <alignment horizontal="right" vertical="center"/>
      <protection/>
    </xf>
    <xf numFmtId="200" fontId="33" fillId="0" borderId="12" xfId="42" applyNumberFormat="1" applyFont="1" applyFill="1" applyBorder="1" applyAlignment="1" applyProtection="1">
      <alignment horizontal="right" vertical="center"/>
      <protection/>
    </xf>
    <xf numFmtId="193" fontId="33" fillId="0" borderId="12" xfId="42" applyNumberFormat="1" applyFont="1" applyFill="1" applyBorder="1" applyAlignment="1" applyProtection="1">
      <alignment horizontal="right" vertical="center"/>
      <protection/>
    </xf>
    <xf numFmtId="193" fontId="13" fillId="0" borderId="12" xfId="60" applyNumberFormat="1" applyFont="1" applyFill="1" applyBorder="1" applyAlignment="1" applyProtection="1">
      <alignment horizontal="right" vertical="center"/>
      <protection/>
    </xf>
    <xf numFmtId="192" fontId="13" fillId="0" borderId="12" xfId="60" applyNumberFormat="1" applyFont="1" applyFill="1" applyBorder="1" applyAlignment="1" applyProtection="1">
      <alignment horizontal="right" vertical="center"/>
      <protection/>
    </xf>
    <xf numFmtId="200" fontId="13" fillId="0" borderId="12" xfId="42" applyNumberFormat="1" applyFont="1" applyFill="1" applyBorder="1" applyAlignment="1" applyProtection="1">
      <alignment horizontal="right" vertical="center"/>
      <protection/>
    </xf>
    <xf numFmtId="193" fontId="13" fillId="0" borderId="12" xfId="0" applyNumberFormat="1" applyFont="1" applyFill="1" applyBorder="1" applyAlignment="1">
      <alignment horizontal="right" vertical="center"/>
    </xf>
    <xf numFmtId="192" fontId="13" fillId="0" borderId="13" xfId="60" applyNumberFormat="1" applyFont="1" applyFill="1" applyBorder="1" applyAlignment="1" applyProtection="1">
      <alignment horizontal="right" vertical="center"/>
      <protection/>
    </xf>
    <xf numFmtId="0" fontId="33" fillId="0" borderId="29" xfId="0" applyFont="1" applyBorder="1" applyAlignment="1" applyProtection="1">
      <alignment vertical="center"/>
      <protection locked="0"/>
    </xf>
    <xf numFmtId="184" fontId="13" fillId="0" borderId="24" xfId="0" applyNumberFormat="1" applyFont="1" applyFill="1" applyBorder="1" applyAlignment="1" applyProtection="1">
      <alignment horizontal="center" vertical="center"/>
      <protection locked="0"/>
    </xf>
    <xf numFmtId="0" fontId="13" fillId="0" borderId="24" xfId="0"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wrapText="1"/>
      <protection locked="0"/>
    </xf>
    <xf numFmtId="0" fontId="40" fillId="0" borderId="0" xfId="0" applyFont="1" applyFill="1" applyBorder="1" applyAlignment="1" applyProtection="1">
      <alignment horizontal="center" vertical="center" wrapText="1"/>
      <protection locked="0"/>
    </xf>
    <xf numFmtId="193" fontId="25" fillId="0" borderId="11" xfId="0" applyNumberFormat="1" applyFont="1" applyFill="1" applyBorder="1" applyAlignment="1" applyProtection="1">
      <alignment horizontal="center" wrapText="1"/>
      <protection/>
    </xf>
    <xf numFmtId="200" fontId="25" fillId="0" borderId="11" xfId="0" applyNumberFormat="1" applyFont="1" applyFill="1" applyBorder="1" applyAlignment="1" applyProtection="1">
      <alignment horizontal="right" wrapText="1"/>
      <protection/>
    </xf>
    <xf numFmtId="0" fontId="29" fillId="34" borderId="30" xfId="0" applyFont="1" applyFill="1" applyBorder="1" applyAlignment="1">
      <alignment horizontal="right"/>
    </xf>
    <xf numFmtId="49" fontId="29" fillId="34" borderId="31" xfId="0" applyNumberFormat="1" applyFont="1" applyFill="1" applyBorder="1" applyAlignment="1">
      <alignment horizontal="right"/>
    </xf>
    <xf numFmtId="0" fontId="29" fillId="34" borderId="31" xfId="0" applyFont="1" applyFill="1" applyBorder="1" applyAlignment="1">
      <alignment/>
    </xf>
    <xf numFmtId="0" fontId="29" fillId="34" borderId="0" xfId="0" applyFont="1" applyFill="1" applyBorder="1" applyAlignment="1">
      <alignment horizontal="right"/>
    </xf>
    <xf numFmtId="49" fontId="29" fillId="34" borderId="0" xfId="0" applyNumberFormat="1" applyFont="1" applyFill="1" applyBorder="1" applyAlignment="1">
      <alignment horizontal="right"/>
    </xf>
    <xf numFmtId="0" fontId="29" fillId="34" borderId="0" xfId="0" applyFont="1" applyFill="1" applyBorder="1" applyAlignment="1">
      <alignment/>
    </xf>
    <xf numFmtId="0" fontId="29" fillId="34" borderId="0" xfId="0" applyFont="1" applyFill="1" applyAlignment="1">
      <alignment horizontal="right"/>
    </xf>
    <xf numFmtId="49" fontId="29" fillId="34" borderId="0" xfId="0" applyNumberFormat="1" applyFont="1" applyFill="1" applyAlignment="1">
      <alignment horizontal="right"/>
    </xf>
    <xf numFmtId="0" fontId="29" fillId="34" borderId="0" xfId="0" applyFont="1" applyFill="1" applyAlignment="1">
      <alignment/>
    </xf>
    <xf numFmtId="0" fontId="29" fillId="35" borderId="30" xfId="0" applyFont="1" applyFill="1" applyBorder="1" applyAlignment="1">
      <alignment horizontal="right"/>
    </xf>
    <xf numFmtId="4" fontId="29" fillId="35" borderId="31" xfId="0" applyNumberFormat="1" applyFont="1" applyFill="1" applyBorder="1" applyAlignment="1">
      <alignment horizontal="right"/>
    </xf>
    <xf numFmtId="3" fontId="29" fillId="35" borderId="32" xfId="0" applyNumberFormat="1" applyFont="1" applyFill="1" applyBorder="1" applyAlignment="1">
      <alignment horizontal="right"/>
    </xf>
    <xf numFmtId="3" fontId="29" fillId="35" borderId="30" xfId="0" applyNumberFormat="1" applyFont="1" applyFill="1" applyBorder="1" applyAlignment="1">
      <alignment horizontal="right"/>
    </xf>
    <xf numFmtId="3" fontId="29" fillId="35" borderId="0" xfId="0" applyNumberFormat="1" applyFont="1" applyFill="1" applyBorder="1" applyAlignment="1">
      <alignment horizontal="right"/>
    </xf>
    <xf numFmtId="4" fontId="29" fillId="35" borderId="0" xfId="0" applyNumberFormat="1" applyFont="1" applyFill="1" applyBorder="1" applyAlignment="1">
      <alignment horizontal="right"/>
    </xf>
    <xf numFmtId="0" fontId="29" fillId="35" borderId="0" xfId="0" applyFont="1" applyFill="1" applyBorder="1" applyAlignment="1">
      <alignment horizontal="right"/>
    </xf>
    <xf numFmtId="3" fontId="29" fillId="35" borderId="0" xfId="0" applyNumberFormat="1" applyFont="1" applyFill="1" applyAlignment="1">
      <alignment horizontal="right"/>
    </xf>
    <xf numFmtId="4" fontId="29" fillId="35" borderId="0" xfId="0" applyNumberFormat="1" applyFont="1" applyFill="1" applyAlignment="1">
      <alignment horizontal="right"/>
    </xf>
    <xf numFmtId="4" fontId="29" fillId="34" borderId="31" xfId="0" applyNumberFormat="1" applyFont="1" applyFill="1" applyBorder="1" applyAlignment="1">
      <alignment horizontal="right"/>
    </xf>
    <xf numFmtId="3" fontId="29" fillId="34" borderId="31" xfId="0" applyNumberFormat="1" applyFont="1" applyFill="1" applyBorder="1" applyAlignment="1">
      <alignment horizontal="right"/>
    </xf>
    <xf numFmtId="10" fontId="29" fillId="34" borderId="32" xfId="0" applyNumberFormat="1" applyFont="1" applyFill="1" applyBorder="1" applyAlignment="1">
      <alignment horizontal="right"/>
    </xf>
    <xf numFmtId="4" fontId="29" fillId="34" borderId="0" xfId="0" applyNumberFormat="1" applyFont="1" applyFill="1" applyBorder="1" applyAlignment="1">
      <alignment horizontal="right"/>
    </xf>
    <xf numFmtId="3" fontId="29" fillId="34" borderId="0" xfId="0" applyNumberFormat="1" applyFont="1" applyFill="1" applyBorder="1" applyAlignment="1">
      <alignment horizontal="right"/>
    </xf>
    <xf numFmtId="10" fontId="29" fillId="34" borderId="0" xfId="0" applyNumberFormat="1" applyFont="1" applyFill="1" applyBorder="1" applyAlignment="1">
      <alignment horizontal="right"/>
    </xf>
    <xf numFmtId="2" fontId="29" fillId="34" borderId="0" xfId="0" applyNumberFormat="1" applyFont="1" applyFill="1" applyBorder="1" applyAlignment="1">
      <alignment horizontal="right"/>
    </xf>
    <xf numFmtId="4" fontId="29" fillId="34" borderId="0" xfId="0" applyNumberFormat="1" applyFont="1" applyFill="1" applyAlignment="1">
      <alignment horizontal="right"/>
    </xf>
    <xf numFmtId="3" fontId="29" fillId="34" borderId="0" xfId="0" applyNumberFormat="1" applyFont="1" applyFill="1" applyAlignment="1">
      <alignment horizontal="right"/>
    </xf>
    <xf numFmtId="10" fontId="29" fillId="34" borderId="0" xfId="0" applyNumberFormat="1" applyFont="1" applyFill="1" applyAlignment="1">
      <alignment horizontal="right"/>
    </xf>
    <xf numFmtId="3" fontId="29" fillId="35" borderId="31" xfId="0" applyNumberFormat="1" applyFont="1" applyFill="1" applyBorder="1" applyAlignment="1">
      <alignment horizontal="right"/>
    </xf>
    <xf numFmtId="10" fontId="29" fillId="35" borderId="32" xfId="0" applyNumberFormat="1" applyFont="1" applyFill="1" applyBorder="1" applyAlignment="1">
      <alignment horizontal="right"/>
    </xf>
    <xf numFmtId="10" fontId="29" fillId="35" borderId="0" xfId="0" applyNumberFormat="1" applyFont="1" applyFill="1" applyBorder="1" applyAlignment="1">
      <alignment horizontal="right"/>
    </xf>
    <xf numFmtId="0" fontId="29" fillId="35" borderId="0" xfId="0" applyFont="1" applyFill="1" applyAlignment="1">
      <alignment horizontal="right"/>
    </xf>
    <xf numFmtId="10" fontId="29" fillId="35" borderId="0" xfId="0" applyNumberFormat="1" applyFont="1" applyFill="1" applyAlignment="1">
      <alignment horizontal="right"/>
    </xf>
    <xf numFmtId="1" fontId="22" fillId="0" borderId="10" xfId="0" applyNumberFormat="1" applyFont="1" applyFill="1" applyBorder="1" applyAlignment="1" applyProtection="1">
      <alignment horizontal="center" vertical="center" wrapText="1"/>
      <protection/>
    </xf>
    <xf numFmtId="1" fontId="23" fillId="0" borderId="16" xfId="0" applyNumberFormat="1" applyFont="1" applyFill="1" applyBorder="1" applyAlignment="1" applyProtection="1">
      <alignment horizontal="center" vertical="center" wrapText="1"/>
      <protection/>
    </xf>
    <xf numFmtId="200" fontId="43" fillId="0" borderId="11" xfId="0" applyNumberFormat="1" applyFont="1" applyFill="1" applyBorder="1" applyAlignment="1" applyProtection="1">
      <alignment horizontal="center" wrapText="1"/>
      <protection/>
    </xf>
    <xf numFmtId="193" fontId="43" fillId="0" borderId="11" xfId="0" applyNumberFormat="1" applyFont="1" applyFill="1" applyBorder="1" applyAlignment="1" applyProtection="1">
      <alignment horizontal="center" wrapText="1"/>
      <protection/>
    </xf>
    <xf numFmtId="3" fontId="43" fillId="0" borderId="11" xfId="0" applyNumberFormat="1" applyFont="1" applyFill="1" applyBorder="1" applyAlignment="1" applyProtection="1">
      <alignment horizontal="center" wrapText="1"/>
      <protection/>
    </xf>
    <xf numFmtId="192" fontId="43" fillId="0" borderId="11" xfId="0" applyNumberFormat="1" applyFont="1" applyFill="1" applyBorder="1" applyAlignment="1" applyProtection="1">
      <alignment horizontal="center" wrapText="1"/>
      <protection/>
    </xf>
    <xf numFmtId="200" fontId="43" fillId="0" borderId="11" xfId="0" applyNumberFormat="1" applyFont="1" applyFill="1" applyBorder="1" applyAlignment="1" applyProtection="1">
      <alignment horizontal="right" wrapText="1"/>
      <protection/>
    </xf>
    <xf numFmtId="192" fontId="43" fillId="0" borderId="18" xfId="0" applyNumberFormat="1" applyFont="1" applyFill="1" applyBorder="1" applyAlignment="1" applyProtection="1">
      <alignment horizontal="center" wrapText="1"/>
      <protection/>
    </xf>
    <xf numFmtId="200" fontId="38" fillId="33" borderId="0" xfId="0" applyNumberFormat="1" applyFont="1" applyFill="1" applyBorder="1" applyAlignment="1">
      <alignment horizontal="center" vertical="center"/>
    </xf>
    <xf numFmtId="193" fontId="38" fillId="33" borderId="0" xfId="0" applyNumberFormat="1" applyFont="1" applyFill="1" applyBorder="1" applyAlignment="1">
      <alignment horizontal="center" vertical="center"/>
    </xf>
    <xf numFmtId="0" fontId="38" fillId="33" borderId="0" xfId="0" applyFont="1" applyFill="1" applyAlignment="1">
      <alignment horizontal="center"/>
    </xf>
    <xf numFmtId="200" fontId="11" fillId="0" borderId="0" xfId="0" applyNumberFormat="1" applyFont="1" applyBorder="1" applyAlignment="1">
      <alignment horizontal="center" vertical="center"/>
    </xf>
    <xf numFmtId="193" fontId="11" fillId="0" borderId="0" xfId="0" applyNumberFormat="1" applyFont="1" applyBorder="1" applyAlignment="1">
      <alignment horizontal="center" vertical="center"/>
    </xf>
    <xf numFmtId="200" fontId="11" fillId="0" borderId="0" xfId="0" applyNumberFormat="1" applyFont="1" applyAlignment="1">
      <alignment horizontal="center"/>
    </xf>
    <xf numFmtId="193" fontId="11" fillId="0" borderId="0" xfId="0" applyNumberFormat="1" applyFont="1" applyAlignment="1">
      <alignment horizontal="center"/>
    </xf>
    <xf numFmtId="0" fontId="31" fillId="0" borderId="0" xfId="0" applyFont="1" applyAlignment="1">
      <alignment/>
    </xf>
    <xf numFmtId="0" fontId="42" fillId="0" borderId="0" xfId="0" applyFont="1" applyFill="1" applyBorder="1" applyAlignment="1" applyProtection="1">
      <alignment horizontal="center" vertical="center" wrapText="1"/>
      <protection locked="0"/>
    </xf>
    <xf numFmtId="0" fontId="22" fillId="0" borderId="14" xfId="0" applyFont="1" applyBorder="1" applyAlignment="1">
      <alignment horizontal="right" vertical="center"/>
    </xf>
    <xf numFmtId="0" fontId="0" fillId="0" borderId="14" xfId="0" applyBorder="1" applyAlignment="1">
      <alignment vertical="center"/>
    </xf>
    <xf numFmtId="0" fontId="0" fillId="0" borderId="14" xfId="0" applyBorder="1" applyAlignment="1">
      <alignment horizontal="center" vertical="center"/>
    </xf>
    <xf numFmtId="200" fontId="11" fillId="0" borderId="14" xfId="0" applyNumberFormat="1" applyFont="1" applyBorder="1" applyAlignment="1">
      <alignment vertical="center"/>
    </xf>
    <xf numFmtId="193" fontId="11" fillId="0" borderId="14" xfId="0" applyNumberFormat="1" applyFont="1" applyBorder="1" applyAlignment="1">
      <alignment vertical="center"/>
    </xf>
    <xf numFmtId="192" fontId="0" fillId="0" borderId="14" xfId="0" applyNumberFormat="1" applyBorder="1" applyAlignment="1">
      <alignment horizontal="right" vertical="center" indent="1"/>
    </xf>
    <xf numFmtId="0" fontId="22" fillId="0" borderId="20" xfId="0" applyFont="1" applyFill="1" applyBorder="1" applyAlignment="1">
      <alignment horizontal="right" vertical="center"/>
    </xf>
    <xf numFmtId="192" fontId="15" fillId="33" borderId="12" xfId="0" applyNumberFormat="1" applyFont="1" applyFill="1" applyBorder="1" applyAlignment="1">
      <alignment horizontal="right" vertical="center"/>
    </xf>
    <xf numFmtId="0" fontId="13" fillId="0" borderId="25" xfId="57" applyFont="1" applyFill="1" applyBorder="1" applyAlignment="1" applyProtection="1">
      <alignment horizontal="left" vertical="center"/>
      <protection/>
    </xf>
    <xf numFmtId="184" fontId="13" fillId="0" borderId="15" xfId="57" applyNumberFormat="1" applyFont="1" applyFill="1" applyBorder="1" applyAlignment="1" applyProtection="1">
      <alignment horizontal="center" vertical="center"/>
      <protection/>
    </xf>
    <xf numFmtId="0" fontId="13" fillId="0" borderId="15" xfId="57" applyFont="1" applyFill="1" applyBorder="1" applyAlignment="1" applyProtection="1">
      <alignment horizontal="left" vertical="center"/>
      <protection/>
    </xf>
    <xf numFmtId="200" fontId="33" fillId="0" borderId="15" xfId="57" applyNumberFormat="1" applyFont="1" applyFill="1" applyBorder="1" applyAlignment="1">
      <alignment horizontal="right" vertical="center"/>
      <protection/>
    </xf>
    <xf numFmtId="193" fontId="33" fillId="0" borderId="15" xfId="42" applyNumberFormat="1" applyFont="1" applyFill="1" applyBorder="1" applyAlignment="1" applyProtection="1">
      <alignment horizontal="right" vertical="center"/>
      <protection/>
    </xf>
    <xf numFmtId="192" fontId="13" fillId="0" borderId="27" xfId="57" applyNumberFormat="1" applyFont="1" applyFill="1" applyBorder="1" applyAlignment="1" applyProtection="1">
      <alignment horizontal="right" vertical="center"/>
      <protection/>
    </xf>
    <xf numFmtId="192" fontId="13" fillId="0" borderId="28" xfId="42" applyNumberFormat="1" applyFont="1" applyFill="1" applyBorder="1" applyAlignment="1" applyProtection="1">
      <alignment horizontal="right" vertical="center"/>
      <protection/>
    </xf>
    <xf numFmtId="0" fontId="22" fillId="0" borderId="21" xfId="0" applyFont="1" applyFill="1" applyBorder="1" applyAlignment="1">
      <alignment horizontal="right" vertical="center"/>
    </xf>
    <xf numFmtId="49" fontId="13" fillId="0" borderId="33" xfId="0" applyNumberFormat="1" applyFont="1" applyFill="1" applyBorder="1" applyAlignment="1" applyProtection="1">
      <alignment horizontal="left" vertical="center"/>
      <protection locked="0"/>
    </xf>
    <xf numFmtId="184" fontId="13" fillId="0" borderId="34" xfId="0" applyNumberFormat="1" applyFont="1" applyFill="1" applyBorder="1" applyAlignment="1" applyProtection="1">
      <alignment horizontal="center" vertical="center"/>
      <protection locked="0"/>
    </xf>
    <xf numFmtId="49" fontId="13" fillId="0" borderId="34" xfId="0" applyNumberFormat="1" applyFont="1" applyFill="1" applyBorder="1" applyAlignment="1" applyProtection="1">
      <alignment horizontal="left" vertical="center"/>
      <protection locked="0"/>
    </xf>
    <xf numFmtId="200" fontId="33" fillId="0" borderId="34" xfId="42" applyNumberFormat="1" applyFont="1" applyFill="1" applyBorder="1" applyAlignment="1" applyProtection="1">
      <alignment horizontal="right" vertical="center"/>
      <protection locked="0"/>
    </xf>
    <xf numFmtId="193" fontId="33" fillId="0" borderId="34" xfId="42" applyNumberFormat="1" applyFont="1" applyFill="1" applyBorder="1" applyAlignment="1" applyProtection="1">
      <alignment horizontal="right" vertical="center"/>
      <protection locked="0"/>
    </xf>
    <xf numFmtId="192" fontId="13" fillId="0" borderId="35" xfId="42" applyNumberFormat="1" applyFont="1" applyFill="1" applyBorder="1" applyAlignment="1" applyProtection="1">
      <alignment horizontal="right" vertical="center"/>
      <protection/>
    </xf>
    <xf numFmtId="0" fontId="22" fillId="0" borderId="29" xfId="0" applyFont="1" applyFill="1" applyBorder="1" applyAlignment="1">
      <alignment horizontal="right" vertical="center"/>
    </xf>
    <xf numFmtId="4" fontId="44" fillId="0" borderId="0" xfId="0" applyNumberFormat="1" applyFont="1" applyFill="1" applyBorder="1" applyAlignment="1">
      <alignment vertical="center"/>
    </xf>
    <xf numFmtId="4" fontId="41" fillId="0" borderId="0" xfId="0" applyNumberFormat="1" applyFont="1" applyFill="1" applyBorder="1" applyAlignment="1">
      <alignment horizontal="center" vertical="center"/>
    </xf>
    <xf numFmtId="0" fontId="16" fillId="0" borderId="36" xfId="0" applyFont="1" applyFill="1" applyBorder="1" applyAlignment="1" applyProtection="1">
      <alignment vertical="center"/>
      <protection locked="0"/>
    </xf>
    <xf numFmtId="4" fontId="31" fillId="0" borderId="0" xfId="0" applyNumberFormat="1" applyFont="1" applyBorder="1" applyAlignment="1">
      <alignment vertical="center"/>
    </xf>
    <xf numFmtId="0" fontId="13" fillId="0" borderId="15" xfId="57" applyNumberFormat="1" applyFont="1" applyFill="1" applyBorder="1" applyAlignment="1" applyProtection="1">
      <alignment horizontal="center" vertical="center"/>
      <protection/>
    </xf>
    <xf numFmtId="0" fontId="13" fillId="0" borderId="15" xfId="57" applyFont="1" applyFill="1" applyBorder="1" applyAlignment="1" applyProtection="1">
      <alignment horizontal="center" vertical="center"/>
      <protection/>
    </xf>
    <xf numFmtId="49" fontId="13" fillId="0" borderId="34" xfId="0" applyNumberFormat="1" applyFont="1" applyFill="1" applyBorder="1" applyAlignment="1" applyProtection="1">
      <alignment horizontal="center" vertical="center"/>
      <protection locked="0"/>
    </xf>
    <xf numFmtId="0" fontId="10"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0" fillId="0" borderId="0" xfId="0" applyFont="1" applyAlignment="1">
      <alignment horizontal="right" vertical="center" wrapText="1"/>
    </xf>
    <xf numFmtId="0" fontId="16" fillId="33" borderId="22" xfId="0" applyFont="1" applyFill="1" applyBorder="1" applyAlignment="1">
      <alignment horizontal="right" vertical="center"/>
    </xf>
    <xf numFmtId="0" fontId="31" fillId="0" borderId="37" xfId="0" applyFont="1" applyBorder="1" applyAlignment="1">
      <alignment horizontal="right" vertical="center"/>
    </xf>
    <xf numFmtId="0" fontId="30" fillId="0" borderId="0" xfId="0" applyFont="1" applyBorder="1" applyAlignment="1" applyProtection="1">
      <alignment horizontal="right" vertical="center" wrapText="1"/>
      <protection locked="0"/>
    </xf>
    <xf numFmtId="0" fontId="14" fillId="0" borderId="0" xfId="0" applyFont="1" applyBorder="1" applyAlignment="1" applyProtection="1">
      <alignment horizontal="right" vertical="center" wrapText="1"/>
      <protection locked="0"/>
    </xf>
    <xf numFmtId="0" fontId="18" fillId="0" borderId="0" xfId="0" applyFont="1" applyBorder="1" applyAlignment="1" applyProtection="1">
      <alignment horizontal="right" vertical="center" wrapText="1"/>
      <protection locked="0"/>
    </xf>
    <xf numFmtId="0" fontId="34" fillId="33" borderId="0" xfId="0" applyFont="1" applyFill="1" applyBorder="1" applyAlignment="1" applyProtection="1">
      <alignment horizontal="center" vertical="center"/>
      <protection/>
    </xf>
    <xf numFmtId="0" fontId="0" fillId="0" borderId="0" xfId="0" applyAlignment="1">
      <alignment horizontal="center"/>
    </xf>
    <xf numFmtId="181" fontId="25" fillId="0" borderId="38" xfId="0" applyNumberFormat="1" applyFont="1" applyFill="1" applyBorder="1" applyAlignment="1" applyProtection="1">
      <alignment horizontal="center" vertical="center" wrapText="1"/>
      <protection/>
    </xf>
    <xf numFmtId="181" fontId="25" fillId="0" borderId="39" xfId="0" applyNumberFormat="1" applyFont="1" applyFill="1" applyBorder="1" applyAlignment="1" applyProtection="1">
      <alignment horizontal="center" vertical="center" wrapText="1"/>
      <protection/>
    </xf>
    <xf numFmtId="0" fontId="25" fillId="0" borderId="38" xfId="0" applyNumberFormat="1" applyFont="1" applyFill="1" applyBorder="1" applyAlignment="1" applyProtection="1">
      <alignment horizontal="center" vertical="center" wrapText="1"/>
      <protection/>
    </xf>
    <xf numFmtId="0" fontId="27" fillId="0" borderId="11" xfId="0" applyFont="1" applyBorder="1" applyAlignment="1">
      <alignment horizontal="center" vertical="center"/>
    </xf>
    <xf numFmtId="171" fontId="25" fillId="0" borderId="38" xfId="42" applyFont="1" applyFill="1" applyBorder="1" applyAlignment="1" applyProtection="1">
      <alignment horizontal="center" vertical="center" wrapText="1"/>
      <protection/>
    </xf>
    <xf numFmtId="0" fontId="25" fillId="0" borderId="38" xfId="0" applyFont="1" applyFill="1" applyBorder="1" applyAlignment="1" applyProtection="1">
      <alignment horizontal="center" vertical="center" wrapText="1"/>
      <protection/>
    </xf>
    <xf numFmtId="0" fontId="25" fillId="0" borderId="40" xfId="0" applyNumberFormat="1" applyFont="1" applyFill="1" applyBorder="1" applyAlignment="1" applyProtection="1">
      <alignment horizontal="center" vertical="center" wrapText="1"/>
      <protection/>
    </xf>
    <xf numFmtId="0" fontId="27" fillId="0" borderId="41" xfId="0" applyFont="1" applyBorder="1" applyAlignment="1">
      <alignment horizontal="center" vertical="center" wrapText="1"/>
    </xf>
    <xf numFmtId="4" fontId="25" fillId="0" borderId="38" xfId="0" applyNumberFormat="1" applyFont="1" applyFill="1" applyBorder="1" applyAlignment="1" applyProtection="1">
      <alignment horizontal="center" vertical="center" wrapText="1"/>
      <protection/>
    </xf>
    <xf numFmtId="184" fontId="25" fillId="0" borderId="38" xfId="0" applyNumberFormat="1" applyFont="1" applyFill="1" applyBorder="1" applyAlignment="1" applyProtection="1">
      <alignment horizontal="center" vertical="center" wrapText="1"/>
      <protection/>
    </xf>
    <xf numFmtId="184" fontId="27" fillId="0" borderId="11" xfId="0" applyNumberFormat="1" applyFont="1" applyBorder="1" applyAlignment="1">
      <alignment horizontal="center" vertical="center"/>
    </xf>
    <xf numFmtId="0" fontId="15" fillId="33" borderId="14" xfId="0" applyFont="1" applyFill="1" applyBorder="1" applyAlignment="1">
      <alignment horizontal="center" vertical="center"/>
    </xf>
    <xf numFmtId="0" fontId="15" fillId="33" borderId="12" xfId="0" applyFont="1" applyFill="1" applyBorder="1" applyAlignment="1">
      <alignment horizontal="center" vertical="center"/>
    </xf>
    <xf numFmtId="0" fontId="25" fillId="0" borderId="40" xfId="0" applyNumberFormat="1" applyFont="1" applyFill="1" applyBorder="1" applyAlignment="1">
      <alignment horizontal="center" vertical="center" wrapText="1"/>
    </xf>
    <xf numFmtId="0" fontId="25" fillId="0" borderId="41" xfId="0" applyNumberFormat="1" applyFont="1" applyFill="1" applyBorder="1" applyAlignment="1">
      <alignment horizontal="center" vertical="center" wrapText="1"/>
    </xf>
    <xf numFmtId="0" fontId="25" fillId="0" borderId="41" xfId="0" applyNumberFormat="1" applyFont="1" applyFill="1" applyBorder="1" applyAlignment="1" applyProtection="1">
      <alignment horizontal="center" vertical="center" wrapText="1"/>
      <protection/>
    </xf>
    <xf numFmtId="0" fontId="25" fillId="0" borderId="42" xfId="0" applyNumberFormat="1" applyFont="1" applyFill="1" applyBorder="1" applyAlignment="1" applyProtection="1">
      <alignment horizontal="center" vertical="center" wrapText="1"/>
      <protection/>
    </xf>
    <xf numFmtId="0" fontId="25" fillId="0" borderId="43" xfId="0" applyNumberFormat="1" applyFont="1" applyFill="1" applyBorder="1" applyAlignment="1" applyProtection="1">
      <alignment horizontal="center" vertical="center" wrapText="1"/>
      <protection/>
    </xf>
    <xf numFmtId="192" fontId="25" fillId="0" borderId="44" xfId="0" applyNumberFormat="1" applyFont="1" applyFill="1" applyBorder="1" applyAlignment="1" applyProtection="1">
      <alignment horizontal="center" vertical="center" wrapText="1"/>
      <protection/>
    </xf>
    <xf numFmtId="192" fontId="25" fillId="0" borderId="45" xfId="0" applyNumberFormat="1" applyFont="1" applyFill="1" applyBorder="1" applyAlignment="1" applyProtection="1">
      <alignment horizontal="center" vertical="center" wrapText="1"/>
      <protection/>
    </xf>
    <xf numFmtId="0" fontId="7" fillId="36" borderId="46" xfId="0" applyFont="1" applyFill="1" applyBorder="1" applyAlignment="1">
      <alignment horizontal="center" vertical="center" wrapText="1"/>
    </xf>
    <xf numFmtId="0" fontId="43" fillId="0" borderId="38" xfId="0" applyFont="1" applyFill="1" applyBorder="1" applyAlignment="1" applyProtection="1">
      <alignment horizontal="center" vertical="center" wrapText="1"/>
      <protection/>
    </xf>
    <xf numFmtId="0" fontId="11" fillId="0" borderId="11" xfId="0" applyFont="1" applyBorder="1" applyAlignment="1">
      <alignment horizontal="center" vertical="center"/>
    </xf>
    <xf numFmtId="0" fontId="43" fillId="0" borderId="38" xfId="0" applyNumberFormat="1" applyFont="1" applyFill="1" applyBorder="1" applyAlignment="1" applyProtection="1">
      <alignment horizontal="center" vertical="center" wrapText="1"/>
      <protection/>
    </xf>
    <xf numFmtId="0" fontId="8" fillId="36" borderId="46" xfId="0" applyFont="1" applyFill="1" applyBorder="1" applyAlignment="1">
      <alignment horizontal="center" vertical="center" wrapText="1"/>
    </xf>
    <xf numFmtId="0" fontId="36" fillId="36" borderId="46" xfId="0" applyFont="1" applyFill="1" applyBorder="1" applyAlignment="1">
      <alignment vertical="center" wrapText="1"/>
    </xf>
    <xf numFmtId="0" fontId="0" fillId="36" borderId="46" xfId="0" applyFill="1" applyBorder="1" applyAlignment="1">
      <alignment wrapText="1"/>
    </xf>
    <xf numFmtId="0" fontId="0" fillId="0" borderId="0" xfId="0" applyBorder="1" applyAlignment="1">
      <alignment horizontal="right" vertical="center" wrapText="1"/>
    </xf>
    <xf numFmtId="171" fontId="43" fillId="0" borderId="38" xfId="42" applyFont="1" applyFill="1" applyBorder="1" applyAlignment="1" applyProtection="1">
      <alignment horizontal="center" vertical="center" wrapText="1"/>
      <protection/>
    </xf>
    <xf numFmtId="184" fontId="43" fillId="0" borderId="38" xfId="0" applyNumberFormat="1" applyFont="1" applyFill="1" applyBorder="1" applyAlignment="1" applyProtection="1">
      <alignment horizontal="center" vertical="center" wrapText="1"/>
      <protection/>
    </xf>
    <xf numFmtId="184" fontId="11" fillId="0" borderId="11" xfId="0" applyNumberFormat="1" applyFont="1" applyBorder="1" applyAlignment="1">
      <alignment horizontal="center" vertical="center"/>
    </xf>
    <xf numFmtId="0" fontId="10" fillId="0" borderId="0" xfId="0" applyFont="1" applyBorder="1" applyAlignment="1">
      <alignment horizontal="right" vertical="center" wrapText="1"/>
    </xf>
    <xf numFmtId="0" fontId="0" fillId="0" borderId="0" xfId="0" applyBorder="1" applyAlignment="1">
      <alignment vertical="center" wrapText="1"/>
    </xf>
    <xf numFmtId="0" fontId="43" fillId="0" borderId="40" xfId="0" applyNumberFormat="1" applyFont="1" applyFill="1" applyBorder="1" applyAlignment="1" applyProtection="1">
      <alignment horizontal="center" vertical="center" wrapText="1"/>
      <protection/>
    </xf>
    <xf numFmtId="0" fontId="11" fillId="0" borderId="41" xfId="0" applyFont="1" applyBorder="1" applyAlignment="1">
      <alignment horizontal="center" vertical="center" wrapText="1"/>
    </xf>
    <xf numFmtId="4" fontId="43" fillId="0" borderId="38" xfId="0" applyNumberFormat="1" applyFont="1" applyFill="1" applyBorder="1" applyAlignment="1" applyProtection="1">
      <alignment horizontal="center" vertical="center" wrapText="1"/>
      <protection/>
    </xf>
    <xf numFmtId="181" fontId="43" fillId="0" borderId="38" xfId="0" applyNumberFormat="1" applyFont="1" applyFill="1" applyBorder="1" applyAlignment="1" applyProtection="1">
      <alignment horizontal="center" vertical="center" wrapText="1"/>
      <protection/>
    </xf>
    <xf numFmtId="181" fontId="43" fillId="0" borderId="39" xfId="0" applyNumberFormat="1" applyFont="1" applyFill="1" applyBorder="1" applyAlignment="1" applyProtection="1">
      <alignment horizontal="center" vertical="center" wrapText="1"/>
      <protection/>
    </xf>
    <xf numFmtId="0" fontId="29" fillId="34" borderId="0" xfId="0" applyNumberFormat="1" applyFont="1" applyFill="1" applyBorder="1" applyAlignment="1">
      <alignment horizontal="center" wrapText="1"/>
    </xf>
    <xf numFmtId="0" fontId="0" fillId="34" borderId="0" xfId="0" applyNumberFormat="1" applyFill="1" applyBorder="1" applyAlignment="1">
      <alignment horizontal="center" wrapText="1"/>
    </xf>
    <xf numFmtId="0" fontId="45" fillId="34" borderId="0" xfId="0" applyNumberFormat="1" applyFont="1" applyFill="1" applyBorder="1" applyAlignment="1">
      <alignment horizontal="center" wrapText="1"/>
    </xf>
    <xf numFmtId="0" fontId="46" fillId="34" borderId="0" xfId="0" applyNumberFormat="1" applyFont="1" applyFill="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ayfa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15</xdr:col>
      <xdr:colOff>0</xdr:colOff>
      <xdr:row>0</xdr:row>
      <xdr:rowOff>1095375</xdr:rowOff>
    </xdr:to>
    <xdr:sp>
      <xdr:nvSpPr>
        <xdr:cNvPr id="1" name="Text Box 1"/>
        <xdr:cNvSpPr txBox="1">
          <a:spLocks noChangeArrowheads="1"/>
        </xdr:cNvSpPr>
      </xdr:nvSpPr>
      <xdr:spPr>
        <a:xfrm>
          <a:off x="19050" y="38100"/>
          <a:ext cx="12992100" cy="1057275"/>
        </a:xfrm>
        <a:prstGeom prst="rect">
          <a:avLst/>
        </a:prstGeom>
        <a:solidFill>
          <a:srgbClr val="993366"/>
        </a:solidFill>
        <a:ln w="38100" cmpd="dbl">
          <a:noFill/>
        </a:ln>
      </xdr:spPr>
      <xdr:txBody>
        <a:bodyPr vertOverflow="clip" wrap="square" lIns="82296" tIns="64008" rIns="82296" bIns="64008"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WEEKLY MARKET DATA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WEEKLY BOX OFFICE &amp; ADMISSION REPORT</a:t>
          </a:r>
        </a:p>
      </xdr:txBody>
    </xdr:sp>
    <xdr:clientData/>
  </xdr:twoCellAnchor>
  <xdr:twoCellAnchor>
    <xdr:from>
      <xdr:col>10</xdr:col>
      <xdr:colOff>76200</xdr:colOff>
      <xdr:row>0</xdr:row>
      <xdr:rowOff>466725</xdr:rowOff>
    </xdr:from>
    <xdr:to>
      <xdr:col>14</xdr:col>
      <xdr:colOff>400050</xdr:colOff>
      <xdr:row>0</xdr:row>
      <xdr:rowOff>1066800</xdr:rowOff>
    </xdr:to>
    <xdr:sp fLocksText="0">
      <xdr:nvSpPr>
        <xdr:cNvPr id="2" name="Text Box 2"/>
        <xdr:cNvSpPr txBox="1">
          <a:spLocks noChangeArrowheads="1"/>
        </xdr:cNvSpPr>
      </xdr:nvSpPr>
      <xdr:spPr>
        <a:xfrm>
          <a:off x="9686925" y="466725"/>
          <a:ext cx="3228975" cy="600075"/>
        </a:xfrm>
        <a:prstGeom prst="rect">
          <a:avLst/>
        </a:prstGeom>
        <a:solidFill>
          <a:srgbClr val="993366"/>
        </a:solidFill>
        <a:ln w="9525" cmpd="sng">
          <a:noFill/>
        </a:ln>
      </xdr:spPr>
      <xdr:txBody>
        <a:bodyPr vertOverflow="clip" wrap="square" lIns="0" tIns="41148" rIns="45720" bIns="0"/>
        <a:p>
          <a:pPr algn="r">
            <a:defRPr/>
          </a:pPr>
          <a:r>
            <a:rPr lang="en-US" cap="none" sz="2000" b="0" i="0" u="none" baseline="0">
              <a:solidFill>
                <a:srgbClr val="FFFFFF"/>
              </a:solidFill>
              <a:latin typeface="Impact"/>
              <a:ea typeface="Impact"/>
              <a:cs typeface="Impact"/>
            </a:rPr>
            <a:t>WEEK: 01
</a:t>
          </a:r>
          <a:r>
            <a:rPr lang="en-US" cap="none" sz="1600" b="0" i="0" u="none" baseline="0">
              <a:solidFill>
                <a:srgbClr val="FFFFFF"/>
              </a:solidFill>
              <a:latin typeface="Impact"/>
              <a:ea typeface="Impact"/>
              <a:cs typeface="Impact"/>
            </a:rPr>
            <a:t>04-10 January 2008</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49</xdr:row>
      <xdr:rowOff>19050</xdr:rowOff>
    </xdr:from>
    <xdr:to>
      <xdr:col>13</xdr:col>
      <xdr:colOff>295275</xdr:colOff>
      <xdr:row>53</xdr:row>
      <xdr:rowOff>66675</xdr:rowOff>
    </xdr:to>
    <xdr:sp>
      <xdr:nvSpPr>
        <xdr:cNvPr id="1" name="Text Box 1"/>
        <xdr:cNvSpPr txBox="1">
          <a:spLocks noChangeArrowheads="1"/>
        </xdr:cNvSpPr>
      </xdr:nvSpPr>
      <xdr:spPr>
        <a:xfrm>
          <a:off x="57150" y="2724150"/>
          <a:ext cx="5048250" cy="714375"/>
        </a:xfrm>
        <a:prstGeom prst="rect">
          <a:avLst/>
        </a:prstGeom>
        <a:solidFill>
          <a:srgbClr val="C8E0D8"/>
        </a:solidFill>
        <a:ln w="9525" cmpd="sng">
          <a:solidFill>
            <a:srgbClr val="000000"/>
          </a:solidFill>
          <a:headEnd type="none"/>
          <a:tailEnd type="none"/>
        </a:ln>
      </xdr:spPr>
      <xdr:txBody>
        <a:bodyPr vertOverflow="clip" wrap="square" lIns="27432" tIns="22860" rIns="27432" bIns="0"/>
        <a:p>
          <a:pPr algn="ctr">
            <a:defRPr/>
          </a:pPr>
          <a:r>
            <a:rPr lang="en-US" cap="none" sz="800" b="1" i="0" u="sng" baseline="0">
              <a:solidFill>
                <a:srgbClr val="000000"/>
              </a:solidFill>
              <a:latin typeface="Arial"/>
              <a:ea typeface="Arial"/>
              <a:cs typeface="Arial"/>
            </a:rPr>
            <a:t>a:</a:t>
          </a:r>
          <a:r>
            <a:rPr lang="en-US" cap="none" sz="800" b="0" i="0" u="none" baseline="0">
              <a:solidFill>
                <a:srgbClr val="000000"/>
              </a:solidFill>
              <a:latin typeface="Arial"/>
              <a:ea typeface="Arial"/>
              <a:cs typeface="Arial"/>
            </a:rPr>
            <a:t> hafta numarasını, </a:t>
          </a:r>
          <a:r>
            <a:rPr lang="en-US" cap="none" sz="800" b="1" i="0" u="sng" baseline="0">
              <a:solidFill>
                <a:srgbClr val="000000"/>
              </a:solidFill>
              <a:latin typeface="Arial"/>
              <a:ea typeface="Arial"/>
              <a:cs typeface="Arial"/>
            </a:rPr>
            <a:t>b:</a:t>
          </a:r>
          <a:r>
            <a:rPr lang="en-US" cap="none" sz="800" b="0" i="0" u="none" baseline="0">
              <a:solidFill>
                <a:srgbClr val="000000"/>
              </a:solidFill>
              <a:latin typeface="Arial"/>
              <a:ea typeface="Arial"/>
              <a:cs typeface="Arial"/>
            </a:rPr>
            <a:t> tarih aralığını,</a:t>
          </a:r>
          <a:r>
            <a:rPr lang="en-US" cap="none" sz="800" b="1" i="0" u="none" baseline="0">
              <a:solidFill>
                <a:srgbClr val="000000"/>
              </a:solidFill>
              <a:latin typeface="Arial"/>
              <a:ea typeface="Arial"/>
              <a:cs typeface="Arial"/>
            </a:rPr>
            <a:t> </a:t>
          </a:r>
          <a:r>
            <a:rPr lang="en-US" cap="none" sz="800" b="1" i="0" u="sng" baseline="0">
              <a:solidFill>
                <a:srgbClr val="000000"/>
              </a:solidFill>
              <a:latin typeface="Arial"/>
              <a:ea typeface="Arial"/>
              <a:cs typeface="Arial"/>
            </a:rPr>
            <a:t>c:</a:t>
          </a:r>
          <a:r>
            <a:rPr lang="en-US" cap="none" sz="800" b="0" i="0" u="none" baseline="0">
              <a:solidFill>
                <a:srgbClr val="000000"/>
              </a:solidFill>
              <a:latin typeface="Arial"/>
              <a:ea typeface="Arial"/>
              <a:cs typeface="Arial"/>
            </a:rPr>
            <a:t> ayı, </a:t>
          </a:r>
          <a:r>
            <a:rPr lang="en-US" cap="none" sz="800" b="1" i="0" u="sng" baseline="0">
              <a:solidFill>
                <a:srgbClr val="000000"/>
              </a:solidFill>
              <a:latin typeface="Arial"/>
              <a:ea typeface="Arial"/>
              <a:cs typeface="Arial"/>
            </a:rPr>
            <a:t>d:</a:t>
          </a:r>
          <a:r>
            <a:rPr lang="en-US" cap="none" sz="800" b="0" i="0" u="none" baseline="0">
              <a:solidFill>
                <a:srgbClr val="000000"/>
              </a:solidFill>
              <a:latin typeface="Arial"/>
              <a:ea typeface="Arial"/>
              <a:cs typeface="Arial"/>
            </a:rPr>
            <a:t> o hafta sinemalarda gösterilen film sayısını, </a:t>
          </a:r>
          <a:r>
            <a:rPr lang="en-US" cap="none" sz="800" b="1" i="0" u="sng" baseline="0">
              <a:solidFill>
                <a:srgbClr val="000000"/>
              </a:solidFill>
              <a:latin typeface="Arial"/>
              <a:ea typeface="Arial"/>
              <a:cs typeface="Arial"/>
            </a:rPr>
            <a:t>e:</a:t>
          </a:r>
          <a:r>
            <a:rPr lang="en-US" cap="none" sz="800" b="0" i="0" u="none" baseline="0">
              <a:solidFill>
                <a:srgbClr val="000000"/>
              </a:solidFill>
              <a:latin typeface="Arial"/>
              <a:ea typeface="Arial"/>
              <a:cs typeface="Arial"/>
            </a:rPr>
            <a:t> toplam hasılatı, </a:t>
          </a:r>
          <a:r>
            <a:rPr lang="en-US" cap="none" sz="800" b="1" i="0" u="sng" baseline="0">
              <a:solidFill>
                <a:srgbClr val="000000"/>
              </a:solidFill>
              <a:latin typeface="Arial"/>
              <a:ea typeface="Arial"/>
              <a:cs typeface="Arial"/>
            </a:rPr>
            <a:t>f:</a:t>
          </a:r>
          <a:r>
            <a:rPr lang="en-US" cap="none" sz="800" b="0" i="0" u="none" baseline="0">
              <a:solidFill>
                <a:srgbClr val="000000"/>
              </a:solidFill>
              <a:latin typeface="Arial"/>
              <a:ea typeface="Arial"/>
              <a:cs typeface="Arial"/>
            </a:rPr>
            <a:t> toplam seyirci sayısını, </a:t>
          </a:r>
          <a:r>
            <a:rPr lang="en-US" cap="none" sz="800" b="1" i="0" u="sng" baseline="0">
              <a:solidFill>
                <a:srgbClr val="000000"/>
              </a:solidFill>
              <a:latin typeface="Arial"/>
              <a:ea typeface="Arial"/>
              <a:cs typeface="Arial"/>
            </a:rPr>
            <a:t>g:</a:t>
          </a:r>
          <a:r>
            <a:rPr lang="en-US" cap="none" sz="800" b="0" i="0" u="none" baseline="0">
              <a:solidFill>
                <a:srgbClr val="000000"/>
              </a:solidFill>
              <a:latin typeface="Arial"/>
              <a:ea typeface="Arial"/>
              <a:cs typeface="Arial"/>
            </a:rPr>
            <a:t> o hafta ilk kez gösterilen film sayısını, </a:t>
          </a:r>
          <a:r>
            <a:rPr lang="en-US" cap="none" sz="800" b="1" i="0" u="sng" baseline="0">
              <a:solidFill>
                <a:srgbClr val="000000"/>
              </a:solidFill>
              <a:latin typeface="Arial"/>
              <a:ea typeface="Arial"/>
              <a:cs typeface="Arial"/>
            </a:rPr>
            <a:t>h:</a:t>
          </a:r>
          <a:r>
            <a:rPr lang="en-US" cap="none" sz="800" b="0" i="0" u="none" baseline="0">
              <a:solidFill>
                <a:srgbClr val="000000"/>
              </a:solidFill>
              <a:latin typeface="Arial"/>
              <a:ea typeface="Arial"/>
              <a:cs typeface="Arial"/>
            </a:rPr>
            <a:t> bu yeni filmlerin toplam hasılatını, </a:t>
          </a:r>
          <a:r>
            <a:rPr lang="en-US" cap="none" sz="800" b="1" i="0" u="sng" baseline="0">
              <a:solidFill>
                <a:srgbClr val="000000"/>
              </a:solidFill>
              <a:latin typeface="Arial"/>
              <a:ea typeface="Arial"/>
              <a:cs typeface="Arial"/>
            </a:rPr>
            <a:t>ı:</a:t>
          </a:r>
          <a:r>
            <a:rPr lang="en-US" cap="none" sz="800" b="0" i="0" u="none" baseline="0">
              <a:solidFill>
                <a:srgbClr val="000000"/>
              </a:solidFill>
              <a:latin typeface="Arial"/>
              <a:ea typeface="Arial"/>
              <a:cs typeface="Arial"/>
            </a:rPr>
            <a:t> aynı filmlerin seyirci sayısını, </a:t>
          </a:r>
          <a:r>
            <a:rPr lang="en-US" cap="none" sz="800" b="1" i="0" u="sng" baseline="0">
              <a:solidFill>
                <a:srgbClr val="000000"/>
              </a:solidFill>
              <a:latin typeface="Arial"/>
              <a:ea typeface="Arial"/>
              <a:cs typeface="Arial"/>
            </a:rPr>
            <a:t>j:</a:t>
          </a:r>
          <a:r>
            <a:rPr lang="en-US" cap="none" sz="800" b="0" i="0" u="none" baseline="0">
              <a:solidFill>
                <a:srgbClr val="000000"/>
              </a:solidFill>
              <a:latin typeface="Arial"/>
              <a:ea typeface="Arial"/>
              <a:cs typeface="Arial"/>
            </a:rPr>
            <a:t> yeni filmlerin toplam seyirci sayısı üzerindeki yüzdesini, </a:t>
          </a:r>
          <a:r>
            <a:rPr lang="en-US" cap="none" sz="800" b="1" i="0" u="sng" baseline="0">
              <a:solidFill>
                <a:srgbClr val="000000"/>
              </a:solidFill>
              <a:latin typeface="Arial"/>
              <a:ea typeface="Arial"/>
              <a:cs typeface="Arial"/>
            </a:rPr>
            <a:t>k:</a:t>
          </a:r>
          <a:r>
            <a:rPr lang="en-US" cap="none" sz="800" b="0" i="0" u="none" baseline="0">
              <a:solidFill>
                <a:srgbClr val="000000"/>
              </a:solidFill>
              <a:latin typeface="Arial"/>
              <a:ea typeface="Arial"/>
              <a:cs typeface="Arial"/>
            </a:rPr>
            <a:t> o hafta gösterilen yerli film sayısını, </a:t>
          </a:r>
          <a:r>
            <a:rPr lang="en-US" cap="none" sz="800" b="1" i="0" u="sng" baseline="0">
              <a:solidFill>
                <a:srgbClr val="000000"/>
              </a:solidFill>
              <a:latin typeface="Arial"/>
              <a:ea typeface="Arial"/>
              <a:cs typeface="Arial"/>
            </a:rPr>
            <a:t>l:</a:t>
          </a:r>
          <a:r>
            <a:rPr lang="en-US" cap="none" sz="800" b="0" i="0" u="none" baseline="0">
              <a:solidFill>
                <a:srgbClr val="000000"/>
              </a:solidFill>
              <a:latin typeface="Arial"/>
              <a:ea typeface="Arial"/>
              <a:cs typeface="Arial"/>
            </a:rPr>
            <a:t> bu filmlerin toplam hasılatını, </a:t>
          </a:r>
          <a:r>
            <a:rPr lang="en-US" cap="none" sz="800" b="1" i="0" u="sng" baseline="0">
              <a:solidFill>
                <a:srgbClr val="000000"/>
              </a:solidFill>
              <a:latin typeface="Arial"/>
              <a:ea typeface="Arial"/>
              <a:cs typeface="Arial"/>
            </a:rPr>
            <a:t>m:</a:t>
          </a:r>
          <a:r>
            <a:rPr lang="en-US" cap="none" sz="800" b="0" i="0" u="none" baseline="0">
              <a:solidFill>
                <a:srgbClr val="000000"/>
              </a:solidFill>
              <a:latin typeface="Arial"/>
              <a:ea typeface="Arial"/>
              <a:cs typeface="Arial"/>
            </a:rPr>
            <a:t> aynı filmlerin toplam seyirci sayısını, </a:t>
          </a:r>
          <a:r>
            <a:rPr lang="en-US" cap="none" sz="800" b="1" i="0" u="sng" baseline="0">
              <a:solidFill>
                <a:srgbClr val="000000"/>
              </a:solidFill>
              <a:latin typeface="Arial"/>
              <a:ea typeface="Arial"/>
              <a:cs typeface="Arial"/>
            </a:rPr>
            <a:t>n:</a:t>
          </a:r>
          <a:r>
            <a:rPr lang="en-US" cap="none" sz="800" b="0" i="0" u="none" baseline="0">
              <a:solidFill>
                <a:srgbClr val="000000"/>
              </a:solidFill>
              <a:latin typeface="Arial"/>
              <a:ea typeface="Arial"/>
              <a:cs typeface="Arial"/>
            </a:rPr>
            <a:t> yerli filmlerin toplam seyirci sayısı üzerindeki yüzdesini,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99"/>
  <sheetViews>
    <sheetView showGridLines="0" tabSelected="1" zoomScale="90" zoomScaleNormal="90" zoomScalePageLayoutView="0" workbookViewId="0" topLeftCell="A1">
      <pane xSplit="2" ySplit="4" topLeftCell="C5" activePane="bottomRight" state="frozen"/>
      <selection pane="topLeft" activeCell="A1" sqref="A1"/>
      <selection pane="topRight" activeCell="D1" sqref="D1"/>
      <selection pane="bottomLeft" activeCell="A5" sqref="A5"/>
      <selection pane="bottomRight" activeCell="B3" sqref="B3:B4"/>
    </sheetView>
  </sheetViews>
  <sheetFormatPr defaultColWidth="9.140625" defaultRowHeight="12.75"/>
  <cols>
    <col min="1" max="1" width="4.00390625" style="26" bestFit="1" customWidth="1"/>
    <col min="2" max="2" width="45.28125" style="4" bestFit="1" customWidth="1"/>
    <col min="3" max="3" width="9.8515625" style="12" bestFit="1" customWidth="1"/>
    <col min="4" max="4" width="16.8515625" style="15" customWidth="1"/>
    <col min="5" max="5" width="16.7109375" style="15" bestFit="1" customWidth="1"/>
    <col min="6" max="6" width="6.7109375" style="6" bestFit="1" customWidth="1"/>
    <col min="7" max="7" width="8.57421875" style="6" bestFit="1" customWidth="1"/>
    <col min="8" max="8" width="10.57421875" style="6" customWidth="1"/>
    <col min="9" max="9" width="15.421875" style="125" bestFit="1" customWidth="1"/>
    <col min="10" max="10" width="10.140625" style="135" bestFit="1" customWidth="1"/>
    <col min="11" max="11" width="8.57421875" style="90" bestFit="1" customWidth="1"/>
    <col min="12" max="12" width="7.28125" style="22" bestFit="1" customWidth="1"/>
    <col min="13" max="13" width="16.140625" style="129" bestFit="1" customWidth="1"/>
    <col min="14" max="14" width="11.57421875" style="135" bestFit="1" customWidth="1"/>
    <col min="15" max="15" width="7.421875" style="22" bestFit="1" customWidth="1"/>
    <col min="16" max="16" width="2.140625" style="56" bestFit="1" customWidth="1"/>
    <col min="17" max="16384" width="9.140625" style="4" customWidth="1"/>
  </cols>
  <sheetData>
    <row r="1" spans="1:16" s="2" customFormat="1" ht="90.75" customHeight="1">
      <c r="A1" s="25"/>
      <c r="B1" s="1"/>
      <c r="C1" s="10"/>
      <c r="D1" s="13"/>
      <c r="E1" s="13"/>
      <c r="F1" s="5"/>
      <c r="G1" s="5"/>
      <c r="H1" s="5"/>
      <c r="I1" s="121"/>
      <c r="J1" s="136"/>
      <c r="K1" s="86"/>
      <c r="L1" s="20"/>
      <c r="M1" s="127"/>
      <c r="N1" s="133"/>
      <c r="O1" s="20"/>
      <c r="P1" s="56"/>
    </row>
    <row r="2" spans="1:16" s="9" customFormat="1" ht="27.75" thickBot="1">
      <c r="A2" s="310" t="s">
        <v>77</v>
      </c>
      <c r="B2" s="311"/>
      <c r="C2" s="311"/>
      <c r="D2" s="311"/>
      <c r="E2" s="311"/>
      <c r="F2" s="311"/>
      <c r="G2" s="311"/>
      <c r="H2" s="311"/>
      <c r="I2" s="311"/>
      <c r="J2" s="311"/>
      <c r="K2" s="311"/>
      <c r="L2" s="311"/>
      <c r="M2" s="311"/>
      <c r="N2" s="311"/>
      <c r="O2" s="311"/>
      <c r="P2" s="56"/>
    </row>
    <row r="3" spans="1:16" s="219" customFormat="1" ht="16.5">
      <c r="A3" s="28"/>
      <c r="B3" s="316" t="s">
        <v>26</v>
      </c>
      <c r="C3" s="321" t="s">
        <v>27</v>
      </c>
      <c r="D3" s="317" t="s">
        <v>64</v>
      </c>
      <c r="E3" s="317" t="s">
        <v>63</v>
      </c>
      <c r="F3" s="314" t="s">
        <v>28</v>
      </c>
      <c r="G3" s="314" t="s">
        <v>35</v>
      </c>
      <c r="H3" s="318" t="s">
        <v>37</v>
      </c>
      <c r="I3" s="320" t="s">
        <v>29</v>
      </c>
      <c r="J3" s="320"/>
      <c r="K3" s="320"/>
      <c r="L3" s="320"/>
      <c r="M3" s="312" t="s">
        <v>30</v>
      </c>
      <c r="N3" s="312"/>
      <c r="O3" s="313"/>
      <c r="P3" s="218"/>
    </row>
    <row r="4" spans="1:16" s="219" customFormat="1" ht="46.5" customHeight="1" thickBot="1">
      <c r="A4" s="144"/>
      <c r="B4" s="315"/>
      <c r="C4" s="322"/>
      <c r="D4" s="315"/>
      <c r="E4" s="315"/>
      <c r="F4" s="315"/>
      <c r="G4" s="315"/>
      <c r="H4" s="319"/>
      <c r="I4" s="122" t="s">
        <v>31</v>
      </c>
      <c r="J4" s="220" t="s">
        <v>32</v>
      </c>
      <c r="K4" s="85" t="s">
        <v>44</v>
      </c>
      <c r="L4" s="61" t="s">
        <v>33</v>
      </c>
      <c r="M4" s="221" t="s">
        <v>31</v>
      </c>
      <c r="N4" s="220" t="s">
        <v>32</v>
      </c>
      <c r="O4" s="62" t="s">
        <v>34</v>
      </c>
      <c r="P4" s="218"/>
    </row>
    <row r="5" spans="1:16" s="3" customFormat="1" ht="15">
      <c r="A5" s="96">
        <v>1</v>
      </c>
      <c r="B5" s="147" t="s">
        <v>102</v>
      </c>
      <c r="C5" s="52">
        <v>39430</v>
      </c>
      <c r="D5" s="148" t="s">
        <v>66</v>
      </c>
      <c r="E5" s="148" t="s">
        <v>76</v>
      </c>
      <c r="F5" s="149">
        <v>242</v>
      </c>
      <c r="G5" s="149">
        <v>185</v>
      </c>
      <c r="H5" s="149">
        <v>4</v>
      </c>
      <c r="I5" s="192">
        <v>1431289</v>
      </c>
      <c r="J5" s="193">
        <v>188081</v>
      </c>
      <c r="K5" s="194">
        <f>J5/G5</f>
        <v>1016.6540540540541</v>
      </c>
      <c r="L5" s="195">
        <f>+I5/J5</f>
        <v>7.609960602081018</v>
      </c>
      <c r="M5" s="196">
        <v>13067700</v>
      </c>
      <c r="N5" s="194">
        <v>1676072</v>
      </c>
      <c r="O5" s="197">
        <f>+M5/N5</f>
        <v>7.79662210215313</v>
      </c>
      <c r="P5" s="56">
        <v>1</v>
      </c>
    </row>
    <row r="6" spans="1:16" s="3" customFormat="1" ht="15">
      <c r="A6" s="96">
        <v>2</v>
      </c>
      <c r="B6" s="58" t="s">
        <v>138</v>
      </c>
      <c r="C6" s="42">
        <v>39437</v>
      </c>
      <c r="D6" s="100" t="s">
        <v>66</v>
      </c>
      <c r="E6" s="100" t="s">
        <v>133</v>
      </c>
      <c r="F6" s="44">
        <v>137</v>
      </c>
      <c r="G6" s="44">
        <v>185</v>
      </c>
      <c r="H6" s="44">
        <v>2</v>
      </c>
      <c r="I6" s="99">
        <v>1396135</v>
      </c>
      <c r="J6" s="112">
        <v>158936</v>
      </c>
      <c r="K6" s="174">
        <f>J6/G6</f>
        <v>859.1135135135136</v>
      </c>
      <c r="L6" s="175">
        <f>+I6/J6</f>
        <v>8.784259072834349</v>
      </c>
      <c r="M6" s="176">
        <v>1396135</v>
      </c>
      <c r="N6" s="174">
        <v>158936</v>
      </c>
      <c r="O6" s="198">
        <f>+M6/N6</f>
        <v>8.784259072834349</v>
      </c>
      <c r="P6" s="56"/>
    </row>
    <row r="7" spans="1:16" s="3" customFormat="1" ht="15.75" thickBot="1">
      <c r="A7" s="215">
        <v>3</v>
      </c>
      <c r="B7" s="168" t="s">
        <v>114</v>
      </c>
      <c r="C7" s="216">
        <v>39437</v>
      </c>
      <c r="D7" s="169" t="s">
        <v>67</v>
      </c>
      <c r="E7" s="169" t="s">
        <v>115</v>
      </c>
      <c r="F7" s="217">
        <v>156</v>
      </c>
      <c r="G7" s="170">
        <v>156</v>
      </c>
      <c r="H7" s="170">
        <v>3</v>
      </c>
      <c r="I7" s="171">
        <v>721829.5</v>
      </c>
      <c r="J7" s="172">
        <v>97288</v>
      </c>
      <c r="K7" s="203">
        <f>IF(I7&lt;&gt;0,J7/G7,"")</f>
        <v>623.6410256410256</v>
      </c>
      <c r="L7" s="204">
        <f>IF(I7&lt;&gt;0,I7/J7,"")</f>
        <v>7.419512170051805</v>
      </c>
      <c r="M7" s="205">
        <f>1780127+1212579.5+721829.5</f>
        <v>3714536</v>
      </c>
      <c r="N7" s="206">
        <f>240776+165120+97288</f>
        <v>503184</v>
      </c>
      <c r="O7" s="207">
        <f>IF(M7&lt;&gt;0,M7/N7,"")</f>
        <v>7.382063022671627</v>
      </c>
      <c r="P7" s="56">
        <v>1</v>
      </c>
    </row>
    <row r="8" spans="1:16" s="3" customFormat="1" ht="15">
      <c r="A8" s="97">
        <v>4</v>
      </c>
      <c r="B8" s="164" t="s">
        <v>6</v>
      </c>
      <c r="C8" s="165">
        <v>39402</v>
      </c>
      <c r="D8" s="166" t="s">
        <v>61</v>
      </c>
      <c r="E8" s="166" t="s">
        <v>7</v>
      </c>
      <c r="F8" s="167">
        <v>165</v>
      </c>
      <c r="G8" s="167">
        <v>165</v>
      </c>
      <c r="H8" s="167">
        <v>8</v>
      </c>
      <c r="I8" s="208">
        <v>635116</v>
      </c>
      <c r="J8" s="209">
        <v>92002</v>
      </c>
      <c r="K8" s="210">
        <f>IF(I8&lt;&gt;0,J8/G8,"")</f>
        <v>557.5878787878788</v>
      </c>
      <c r="L8" s="211">
        <f>IF(I8&lt;&gt;0,I8/J8,"")</f>
        <v>6.90328471120193</v>
      </c>
      <c r="M8" s="212">
        <f>12736195.5+635116</f>
        <v>13371311.5</v>
      </c>
      <c r="N8" s="213">
        <f>271934+322135+339926+262189+150199+208899+146862+92002</f>
        <v>1794146</v>
      </c>
      <c r="O8" s="214">
        <f>IF(M8&lt;&gt;0,M8/N8,"")</f>
        <v>7.452744369744714</v>
      </c>
      <c r="P8" s="56">
        <v>1</v>
      </c>
    </row>
    <row r="9" spans="1:16" s="7" customFormat="1" ht="15">
      <c r="A9" s="96">
        <v>5</v>
      </c>
      <c r="B9" s="58" t="s">
        <v>104</v>
      </c>
      <c r="C9" s="43">
        <v>39430</v>
      </c>
      <c r="D9" s="100" t="s">
        <v>66</v>
      </c>
      <c r="E9" s="100" t="s">
        <v>73</v>
      </c>
      <c r="F9" s="44">
        <v>137</v>
      </c>
      <c r="G9" s="44">
        <v>137</v>
      </c>
      <c r="H9" s="44">
        <v>4</v>
      </c>
      <c r="I9" s="99">
        <v>273087</v>
      </c>
      <c r="J9" s="112">
        <v>37482</v>
      </c>
      <c r="K9" s="174">
        <f aca="true" t="shared" si="0" ref="K9:K16">J9/G9</f>
        <v>273.59124087591243</v>
      </c>
      <c r="L9" s="175">
        <f>+I9/J9</f>
        <v>7.285817192252281</v>
      </c>
      <c r="M9" s="176">
        <v>3140871</v>
      </c>
      <c r="N9" s="174">
        <v>386657</v>
      </c>
      <c r="O9" s="198">
        <f>+M9/N9</f>
        <v>8.123145320012311</v>
      </c>
      <c r="P9" s="56"/>
    </row>
    <row r="10" spans="1:16" s="7" customFormat="1" ht="15">
      <c r="A10" s="96">
        <v>6</v>
      </c>
      <c r="B10" s="80" t="s">
        <v>139</v>
      </c>
      <c r="C10" s="63">
        <v>39451</v>
      </c>
      <c r="D10" s="93" t="s">
        <v>81</v>
      </c>
      <c r="E10" s="93" t="s">
        <v>140</v>
      </c>
      <c r="F10" s="91">
        <v>22</v>
      </c>
      <c r="G10" s="92">
        <v>22</v>
      </c>
      <c r="H10" s="92">
        <v>1</v>
      </c>
      <c r="I10" s="146">
        <v>171603</v>
      </c>
      <c r="J10" s="180">
        <v>16598</v>
      </c>
      <c r="K10" s="181">
        <f t="shared" si="0"/>
        <v>754.4545454545455</v>
      </c>
      <c r="L10" s="182">
        <f>I10/J10</f>
        <v>10.338775756115195</v>
      </c>
      <c r="M10" s="183">
        <v>171603</v>
      </c>
      <c r="N10" s="184">
        <v>16598</v>
      </c>
      <c r="O10" s="200">
        <f>M10/N10</f>
        <v>10.338775756115195</v>
      </c>
      <c r="P10" s="56"/>
    </row>
    <row r="11" spans="1:16" s="7" customFormat="1" ht="15">
      <c r="A11" s="96">
        <v>7</v>
      </c>
      <c r="B11" s="58" t="s">
        <v>141</v>
      </c>
      <c r="C11" s="43">
        <v>39451</v>
      </c>
      <c r="D11" s="48" t="s">
        <v>18</v>
      </c>
      <c r="E11" s="47" t="s">
        <v>74</v>
      </c>
      <c r="F11" s="102">
        <v>25</v>
      </c>
      <c r="G11" s="102">
        <v>25</v>
      </c>
      <c r="H11" s="102">
        <v>1</v>
      </c>
      <c r="I11" s="98">
        <v>132068.5</v>
      </c>
      <c r="J11" s="110">
        <v>13942</v>
      </c>
      <c r="K11" s="184">
        <f t="shared" si="0"/>
        <v>557.68</v>
      </c>
      <c r="L11" s="185">
        <f>I11/J11</f>
        <v>9.47270836321905</v>
      </c>
      <c r="M11" s="186">
        <v>132068.5</v>
      </c>
      <c r="N11" s="187">
        <v>13942</v>
      </c>
      <c r="O11" s="94">
        <f aca="true" t="shared" si="1" ref="O11:O17">+M11/N11</f>
        <v>9.47270836321905</v>
      </c>
      <c r="P11" s="56"/>
    </row>
    <row r="12" spans="1:16" s="7" customFormat="1" ht="15">
      <c r="A12" s="96">
        <v>8</v>
      </c>
      <c r="B12" s="57" t="s">
        <v>124</v>
      </c>
      <c r="C12" s="42">
        <v>39444</v>
      </c>
      <c r="D12" s="46" t="s">
        <v>65</v>
      </c>
      <c r="E12" s="45" t="s">
        <v>76</v>
      </c>
      <c r="F12" s="65">
        <v>60</v>
      </c>
      <c r="G12" s="65">
        <v>60</v>
      </c>
      <c r="H12" s="65">
        <v>2</v>
      </c>
      <c r="I12" s="98">
        <v>90759</v>
      </c>
      <c r="J12" s="110">
        <v>9879</v>
      </c>
      <c r="K12" s="184">
        <f t="shared" si="0"/>
        <v>164.65</v>
      </c>
      <c r="L12" s="185">
        <f>I12/J12</f>
        <v>9.187063467962345</v>
      </c>
      <c r="M12" s="186">
        <f>211429+90759</f>
        <v>302188</v>
      </c>
      <c r="N12" s="187">
        <f>22982+9879</f>
        <v>32861</v>
      </c>
      <c r="O12" s="94">
        <f t="shared" si="1"/>
        <v>9.195946562794802</v>
      </c>
      <c r="P12" s="56"/>
    </row>
    <row r="13" spans="1:16" s="7" customFormat="1" ht="15">
      <c r="A13" s="96">
        <v>9</v>
      </c>
      <c r="B13" s="57" t="s">
        <v>96</v>
      </c>
      <c r="C13" s="42">
        <v>39416</v>
      </c>
      <c r="D13" s="46" t="s">
        <v>65</v>
      </c>
      <c r="E13" s="45" t="s">
        <v>36</v>
      </c>
      <c r="F13" s="65">
        <v>123</v>
      </c>
      <c r="G13" s="65">
        <v>22</v>
      </c>
      <c r="H13" s="65">
        <v>6</v>
      </c>
      <c r="I13" s="98">
        <v>84508</v>
      </c>
      <c r="J13" s="110">
        <v>7913</v>
      </c>
      <c r="K13" s="184">
        <f t="shared" si="0"/>
        <v>359.6818181818182</v>
      </c>
      <c r="L13" s="185">
        <f>I13/J13</f>
        <v>10.679641096929103</v>
      </c>
      <c r="M13" s="186">
        <f>155416+1136619+622980+528056+225392+174199+84508</f>
        <v>2927170</v>
      </c>
      <c r="N13" s="187">
        <f>12079+122083+66530+52286+18245+17821+7913</f>
        <v>296957</v>
      </c>
      <c r="O13" s="94">
        <f t="shared" si="1"/>
        <v>9.857218385153406</v>
      </c>
      <c r="P13" s="56"/>
    </row>
    <row r="14" spans="1:16" s="7" customFormat="1" ht="15">
      <c r="A14" s="96">
        <v>10</v>
      </c>
      <c r="B14" s="58" t="s">
        <v>116</v>
      </c>
      <c r="C14" s="42">
        <v>39437</v>
      </c>
      <c r="D14" s="100" t="s">
        <v>66</v>
      </c>
      <c r="E14" s="100" t="s">
        <v>69</v>
      </c>
      <c r="F14" s="44">
        <v>105</v>
      </c>
      <c r="G14" s="44">
        <v>105</v>
      </c>
      <c r="H14" s="44">
        <v>3</v>
      </c>
      <c r="I14" s="99">
        <v>82906</v>
      </c>
      <c r="J14" s="112">
        <v>10166</v>
      </c>
      <c r="K14" s="174">
        <f t="shared" si="0"/>
        <v>96.81904761904762</v>
      </c>
      <c r="L14" s="175">
        <f>+I14/J14</f>
        <v>8.15522329333071</v>
      </c>
      <c r="M14" s="176">
        <v>702583</v>
      </c>
      <c r="N14" s="174">
        <v>80340</v>
      </c>
      <c r="O14" s="198">
        <f t="shared" si="1"/>
        <v>8.74512073686831</v>
      </c>
      <c r="P14" s="56"/>
    </row>
    <row r="15" spans="1:16" s="7" customFormat="1" ht="15">
      <c r="A15" s="96">
        <v>11</v>
      </c>
      <c r="B15" s="59" t="s">
        <v>105</v>
      </c>
      <c r="C15" s="42">
        <v>39430</v>
      </c>
      <c r="D15" s="48" t="s">
        <v>25</v>
      </c>
      <c r="E15" s="48" t="s">
        <v>126</v>
      </c>
      <c r="F15" s="66" t="s">
        <v>106</v>
      </c>
      <c r="G15" s="66" t="s">
        <v>89</v>
      </c>
      <c r="H15" s="66" t="s">
        <v>111</v>
      </c>
      <c r="I15" s="98">
        <v>78213.2</v>
      </c>
      <c r="J15" s="110">
        <v>12336</v>
      </c>
      <c r="K15" s="184">
        <f t="shared" si="0"/>
        <v>342.6666666666667</v>
      </c>
      <c r="L15" s="185">
        <f>I15/J15</f>
        <v>6.340239948119326</v>
      </c>
      <c r="M15" s="186">
        <v>1212794.44</v>
      </c>
      <c r="N15" s="187">
        <v>153930</v>
      </c>
      <c r="O15" s="94">
        <f t="shared" si="1"/>
        <v>7.8788698759176246</v>
      </c>
      <c r="P15" s="56">
        <v>1</v>
      </c>
    </row>
    <row r="16" spans="1:16" s="7" customFormat="1" ht="15">
      <c r="A16" s="96">
        <v>12</v>
      </c>
      <c r="B16" s="59" t="s">
        <v>130</v>
      </c>
      <c r="C16" s="43">
        <v>39444</v>
      </c>
      <c r="D16" s="48" t="s">
        <v>18</v>
      </c>
      <c r="E16" s="48" t="s">
        <v>15</v>
      </c>
      <c r="F16" s="101">
        <v>25</v>
      </c>
      <c r="G16" s="102">
        <v>23</v>
      </c>
      <c r="H16" s="101">
        <v>2</v>
      </c>
      <c r="I16" s="98">
        <v>65035.5</v>
      </c>
      <c r="J16" s="110">
        <v>6458</v>
      </c>
      <c r="K16" s="184">
        <f t="shared" si="0"/>
        <v>280.7826086956522</v>
      </c>
      <c r="L16" s="185">
        <f>I16/J16</f>
        <v>10.070532672654073</v>
      </c>
      <c r="M16" s="186">
        <v>230495.75</v>
      </c>
      <c r="N16" s="187">
        <v>22538</v>
      </c>
      <c r="O16" s="94">
        <f t="shared" si="1"/>
        <v>10.226983317064514</v>
      </c>
      <c r="P16" s="56"/>
    </row>
    <row r="17" spans="1:16" s="7" customFormat="1" ht="15">
      <c r="A17" s="96">
        <v>13</v>
      </c>
      <c r="B17" s="59" t="s">
        <v>125</v>
      </c>
      <c r="C17" s="42">
        <v>39444</v>
      </c>
      <c r="D17" s="48" t="s">
        <v>100</v>
      </c>
      <c r="E17" s="48" t="s">
        <v>100</v>
      </c>
      <c r="F17" s="60">
        <v>14</v>
      </c>
      <c r="G17" s="60">
        <v>14</v>
      </c>
      <c r="H17" s="60">
        <v>2</v>
      </c>
      <c r="I17" s="98">
        <v>51922</v>
      </c>
      <c r="J17" s="110">
        <v>4660</v>
      </c>
      <c r="K17" s="177">
        <f>+J17/G17</f>
        <v>332.85714285714283</v>
      </c>
      <c r="L17" s="178">
        <f>+I17/J17</f>
        <v>11.14206008583691</v>
      </c>
      <c r="M17" s="186">
        <v>203381</v>
      </c>
      <c r="N17" s="187">
        <v>18712</v>
      </c>
      <c r="O17" s="199">
        <f t="shared" si="1"/>
        <v>10.86901453612655</v>
      </c>
      <c r="P17" s="56"/>
    </row>
    <row r="18" spans="1:16" s="7" customFormat="1" ht="15">
      <c r="A18" s="96">
        <v>14</v>
      </c>
      <c r="B18" s="57" t="s">
        <v>101</v>
      </c>
      <c r="C18" s="42">
        <v>39423</v>
      </c>
      <c r="D18" s="45" t="s">
        <v>61</v>
      </c>
      <c r="E18" s="45" t="s">
        <v>56</v>
      </c>
      <c r="F18" s="65">
        <v>164</v>
      </c>
      <c r="G18" s="65">
        <v>66</v>
      </c>
      <c r="H18" s="65">
        <v>5</v>
      </c>
      <c r="I18" s="111">
        <v>45815.5</v>
      </c>
      <c r="J18" s="145">
        <v>8243</v>
      </c>
      <c r="K18" s="177">
        <f>IF(I18&lt;&gt;0,J18/G18,"")</f>
        <v>124.89393939393939</v>
      </c>
      <c r="L18" s="178">
        <f>IF(I18&lt;&gt;0,I18/J18,"")</f>
        <v>5.55810991144001</v>
      </c>
      <c r="M18" s="179">
        <f>1455428+896564.5+785700+295594.5+45815.5</f>
        <v>3479102.5</v>
      </c>
      <c r="N18" s="174">
        <f>172176+105411+97548+39201+8243</f>
        <v>422579</v>
      </c>
      <c r="O18" s="199">
        <f>IF(M18&lt;&gt;0,M18/N18,"")</f>
        <v>8.233022701080746</v>
      </c>
      <c r="P18" s="56"/>
    </row>
    <row r="19" spans="1:16" s="7" customFormat="1" ht="15">
      <c r="A19" s="96">
        <v>15</v>
      </c>
      <c r="B19" s="59" t="s">
        <v>142</v>
      </c>
      <c r="C19" s="43">
        <v>39451</v>
      </c>
      <c r="D19" s="48" t="s">
        <v>18</v>
      </c>
      <c r="E19" s="48" t="s">
        <v>43</v>
      </c>
      <c r="F19" s="101">
        <v>9</v>
      </c>
      <c r="G19" s="102">
        <v>9</v>
      </c>
      <c r="H19" s="101">
        <v>1</v>
      </c>
      <c r="I19" s="98">
        <v>39918.5</v>
      </c>
      <c r="J19" s="110">
        <v>3424</v>
      </c>
      <c r="K19" s="184">
        <f>J19/G19</f>
        <v>380.44444444444446</v>
      </c>
      <c r="L19" s="185">
        <f>I19/J19</f>
        <v>11.658440420560748</v>
      </c>
      <c r="M19" s="186">
        <v>39918.5</v>
      </c>
      <c r="N19" s="187">
        <v>3424</v>
      </c>
      <c r="O19" s="94">
        <f>+M19/N19</f>
        <v>11.658440420560748</v>
      </c>
      <c r="P19" s="56"/>
    </row>
    <row r="20" spans="1:16" s="7" customFormat="1" ht="15">
      <c r="A20" s="96">
        <v>16</v>
      </c>
      <c r="B20" s="57" t="s">
        <v>143</v>
      </c>
      <c r="C20" s="42">
        <v>39437</v>
      </c>
      <c r="D20" s="46" t="s">
        <v>65</v>
      </c>
      <c r="E20" s="45" t="s">
        <v>54</v>
      </c>
      <c r="F20" s="65">
        <v>49</v>
      </c>
      <c r="G20" s="65">
        <v>41</v>
      </c>
      <c r="H20" s="65">
        <v>3</v>
      </c>
      <c r="I20" s="98">
        <v>36636</v>
      </c>
      <c r="J20" s="110">
        <v>4109</v>
      </c>
      <c r="K20" s="184">
        <f>J20/G20</f>
        <v>100.21951219512195</v>
      </c>
      <c r="L20" s="185">
        <f>I20/J20</f>
        <v>8.916037965441713</v>
      </c>
      <c r="M20" s="186">
        <f>265356+150950+36636</f>
        <v>452942</v>
      </c>
      <c r="N20" s="187">
        <f>28419+15898+4109</f>
        <v>48426</v>
      </c>
      <c r="O20" s="94">
        <f>+M20/N20</f>
        <v>9.353281295172016</v>
      </c>
      <c r="P20" s="56"/>
    </row>
    <row r="21" spans="1:16" s="7" customFormat="1" ht="15">
      <c r="A21" s="96">
        <v>17</v>
      </c>
      <c r="B21" s="58" t="s">
        <v>98</v>
      </c>
      <c r="C21" s="43">
        <v>39423</v>
      </c>
      <c r="D21" s="47" t="s">
        <v>67</v>
      </c>
      <c r="E21" s="47" t="s">
        <v>68</v>
      </c>
      <c r="F21" s="44">
        <v>40</v>
      </c>
      <c r="G21" s="44">
        <v>28</v>
      </c>
      <c r="H21" s="44">
        <v>5</v>
      </c>
      <c r="I21" s="99">
        <v>31631.5</v>
      </c>
      <c r="J21" s="112">
        <v>5745</v>
      </c>
      <c r="K21" s="177">
        <f>IF(I21&lt;&gt;0,J21/G21,"")</f>
        <v>205.17857142857142</v>
      </c>
      <c r="L21" s="178">
        <f>IF(I21&lt;&gt;0,I21/J21,"")</f>
        <v>5.5059181897302</v>
      </c>
      <c r="M21" s="176">
        <f>337397.5+246059+95618.5+43492.5+31631.5</f>
        <v>754199</v>
      </c>
      <c r="N21" s="174">
        <f>35596+24953+11024+7059+5745</f>
        <v>84377</v>
      </c>
      <c r="O21" s="199">
        <f>IF(M21&lt;&gt;0,M21/N21,"")</f>
        <v>8.938442940611779</v>
      </c>
      <c r="P21" s="56"/>
    </row>
    <row r="22" spans="1:16" s="7" customFormat="1" ht="15">
      <c r="A22" s="96">
        <v>18</v>
      </c>
      <c r="B22" s="58" t="s">
        <v>9</v>
      </c>
      <c r="C22" s="43">
        <v>39402</v>
      </c>
      <c r="D22" s="47" t="s">
        <v>67</v>
      </c>
      <c r="E22" s="47" t="s">
        <v>99</v>
      </c>
      <c r="F22" s="44">
        <v>125</v>
      </c>
      <c r="G22" s="44">
        <v>13</v>
      </c>
      <c r="H22" s="44">
        <v>8</v>
      </c>
      <c r="I22" s="99">
        <v>29355.5</v>
      </c>
      <c r="J22" s="112">
        <v>5300</v>
      </c>
      <c r="K22" s="177">
        <f>IF(I22&lt;&gt;0,J22/G22,"")</f>
        <v>407.6923076923077</v>
      </c>
      <c r="L22" s="178">
        <f>IF(I22&lt;&gt;0,I22/J22,"")</f>
        <v>5.538773584905661</v>
      </c>
      <c r="M22" s="176">
        <f>676439.5+554539.5+408532.5+265092+4+63975.5-30+36417+32233.5+29355.5</f>
        <v>2066559</v>
      </c>
      <c r="N22" s="174">
        <f>91933+76364+57186+39863+2+10711+6714+6020+5300</f>
        <v>294093</v>
      </c>
      <c r="O22" s="199">
        <f>IF(M22&lt;&gt;0,M22/N22,"")</f>
        <v>7.02688945333619</v>
      </c>
      <c r="P22" s="56">
        <v>1</v>
      </c>
    </row>
    <row r="23" spans="1:16" s="7" customFormat="1" ht="15">
      <c r="A23" s="96">
        <v>19</v>
      </c>
      <c r="B23" s="58" t="s">
        <v>107</v>
      </c>
      <c r="C23" s="43">
        <v>39430</v>
      </c>
      <c r="D23" s="47" t="s">
        <v>67</v>
      </c>
      <c r="E23" s="47" t="s">
        <v>68</v>
      </c>
      <c r="F23" s="65">
        <v>64</v>
      </c>
      <c r="G23" s="44">
        <v>44</v>
      </c>
      <c r="H23" s="44">
        <v>4</v>
      </c>
      <c r="I23" s="99">
        <v>23763.5</v>
      </c>
      <c r="J23" s="112">
        <v>4128</v>
      </c>
      <c r="K23" s="177">
        <f>IF(I23&lt;&gt;0,J23/G23,"")</f>
        <v>93.81818181818181</v>
      </c>
      <c r="L23" s="178">
        <f>IF(I23&lt;&gt;0,I23/J23,"")</f>
        <v>5.756661821705427</v>
      </c>
      <c r="M23" s="176">
        <f>183581+192120.5+67824+23763.5</f>
        <v>467289</v>
      </c>
      <c r="N23" s="174">
        <f>20071+21989+8620+4128</f>
        <v>54808</v>
      </c>
      <c r="O23" s="199">
        <f>IF(M23&lt;&gt;0,M23/N23,"")</f>
        <v>8.52592687198949</v>
      </c>
      <c r="P23" s="56"/>
    </row>
    <row r="24" spans="1:16" s="7" customFormat="1" ht="15">
      <c r="A24" s="96">
        <v>20</v>
      </c>
      <c r="B24" s="59" t="s">
        <v>117</v>
      </c>
      <c r="C24" s="42">
        <v>39437</v>
      </c>
      <c r="D24" s="49" t="s">
        <v>72</v>
      </c>
      <c r="E24" s="49" t="s">
        <v>19</v>
      </c>
      <c r="F24" s="78">
        <v>17</v>
      </c>
      <c r="G24" s="78">
        <v>17</v>
      </c>
      <c r="H24" s="78">
        <v>3</v>
      </c>
      <c r="I24" s="113">
        <v>22482</v>
      </c>
      <c r="J24" s="118">
        <v>2440</v>
      </c>
      <c r="K24" s="188">
        <f>J24/G24</f>
        <v>143.52941176470588</v>
      </c>
      <c r="L24" s="189">
        <f>I24/J24</f>
        <v>9.213934426229509</v>
      </c>
      <c r="M24" s="190">
        <v>270743</v>
      </c>
      <c r="N24" s="188">
        <v>25328</v>
      </c>
      <c r="O24" s="201">
        <f>M24/N24</f>
        <v>10.689474099810486</v>
      </c>
      <c r="P24" s="56"/>
    </row>
    <row r="25" spans="1:16" s="7" customFormat="1" ht="15">
      <c r="A25" s="96">
        <v>21</v>
      </c>
      <c r="B25" s="58" t="s">
        <v>87</v>
      </c>
      <c r="C25" s="43">
        <v>39409</v>
      </c>
      <c r="D25" s="100" t="s">
        <v>66</v>
      </c>
      <c r="E25" s="100" t="s">
        <v>71</v>
      </c>
      <c r="F25" s="44">
        <v>55</v>
      </c>
      <c r="G25" s="44">
        <v>11</v>
      </c>
      <c r="H25" s="44">
        <v>7</v>
      </c>
      <c r="I25" s="99">
        <v>10990</v>
      </c>
      <c r="J25" s="112">
        <v>1940</v>
      </c>
      <c r="K25" s="174">
        <f>J25/G25</f>
        <v>176.36363636363637</v>
      </c>
      <c r="L25" s="175">
        <f>+I25/J25</f>
        <v>5.664948453608248</v>
      </c>
      <c r="M25" s="176">
        <v>1099808</v>
      </c>
      <c r="N25" s="174">
        <v>114498</v>
      </c>
      <c r="O25" s="198">
        <f>+M25/N25</f>
        <v>9.605477824940174</v>
      </c>
      <c r="P25" s="56"/>
    </row>
    <row r="26" spans="1:16" s="7" customFormat="1" ht="15">
      <c r="A26" s="96">
        <v>22</v>
      </c>
      <c r="B26" s="80" t="s">
        <v>90</v>
      </c>
      <c r="C26" s="63">
        <v>39416</v>
      </c>
      <c r="D26" s="93" t="s">
        <v>81</v>
      </c>
      <c r="E26" s="93" t="s">
        <v>59</v>
      </c>
      <c r="F26" s="91">
        <v>45</v>
      </c>
      <c r="G26" s="92">
        <v>10</v>
      </c>
      <c r="H26" s="92">
        <v>6</v>
      </c>
      <c r="I26" s="146">
        <v>6396.5</v>
      </c>
      <c r="J26" s="180">
        <v>1261</v>
      </c>
      <c r="K26" s="181">
        <v>92.17647058823529</v>
      </c>
      <c r="L26" s="182">
        <v>5.0644543714103385</v>
      </c>
      <c r="M26" s="183">
        <v>171628.5</v>
      </c>
      <c r="N26" s="191">
        <v>24962</v>
      </c>
      <c r="O26" s="200">
        <f>M26/N26</f>
        <v>6.875590898165211</v>
      </c>
      <c r="P26" s="56"/>
    </row>
    <row r="27" spans="1:16" s="7" customFormat="1" ht="15">
      <c r="A27" s="96">
        <v>23</v>
      </c>
      <c r="B27" s="59" t="s">
        <v>144</v>
      </c>
      <c r="C27" s="42">
        <v>39437</v>
      </c>
      <c r="D27" s="48" t="s">
        <v>78</v>
      </c>
      <c r="E27" s="48" t="s">
        <v>145</v>
      </c>
      <c r="F27" s="66" t="s">
        <v>21</v>
      </c>
      <c r="G27" s="66" t="s">
        <v>21</v>
      </c>
      <c r="H27" s="66" t="s">
        <v>17</v>
      </c>
      <c r="I27" s="98">
        <v>6303.5</v>
      </c>
      <c r="J27" s="110">
        <v>634</v>
      </c>
      <c r="K27" s="184">
        <f>J27/G27</f>
        <v>126.8</v>
      </c>
      <c r="L27" s="185">
        <f>I27/J27</f>
        <v>9.942429022082019</v>
      </c>
      <c r="M27" s="186">
        <v>6303.5</v>
      </c>
      <c r="N27" s="187">
        <v>634</v>
      </c>
      <c r="O27" s="94">
        <f>+M27/N27</f>
        <v>9.942429022082019</v>
      </c>
      <c r="P27" s="56">
        <v>1</v>
      </c>
    </row>
    <row r="28" spans="1:16" s="7" customFormat="1" ht="15">
      <c r="A28" s="96">
        <v>24</v>
      </c>
      <c r="B28" s="58" t="s">
        <v>108</v>
      </c>
      <c r="C28" s="43">
        <v>39430</v>
      </c>
      <c r="D28" s="47" t="s">
        <v>67</v>
      </c>
      <c r="E28" s="47" t="s">
        <v>109</v>
      </c>
      <c r="F28" s="44">
        <v>43</v>
      </c>
      <c r="G28" s="44">
        <v>8</v>
      </c>
      <c r="H28" s="44">
        <v>4</v>
      </c>
      <c r="I28" s="99">
        <v>5207.5</v>
      </c>
      <c r="J28" s="112">
        <v>1171</v>
      </c>
      <c r="K28" s="177">
        <f>IF(I28&lt;&gt;0,J28/G28,"")</f>
        <v>146.375</v>
      </c>
      <c r="L28" s="178">
        <f>IF(I28&lt;&gt;0,I28/J28,"")</f>
        <v>4.447053800170794</v>
      </c>
      <c r="M28" s="176">
        <f>43240+25728.5+5226.5+5207.5</f>
        <v>79402.5</v>
      </c>
      <c r="N28" s="174">
        <f>5272+3593+870+1171</f>
        <v>10906</v>
      </c>
      <c r="O28" s="199">
        <f>IF(M28&lt;&gt;0,M28/N28,"")</f>
        <v>7.280625343847423</v>
      </c>
      <c r="P28" s="56">
        <v>1</v>
      </c>
    </row>
    <row r="29" spans="1:16" s="7" customFormat="1" ht="15">
      <c r="A29" s="96">
        <v>25</v>
      </c>
      <c r="B29" s="57" t="s">
        <v>3</v>
      </c>
      <c r="C29" s="42">
        <v>39381</v>
      </c>
      <c r="D29" s="45" t="s">
        <v>61</v>
      </c>
      <c r="E29" s="45" t="s">
        <v>39</v>
      </c>
      <c r="F29" s="65">
        <v>91</v>
      </c>
      <c r="G29" s="65">
        <v>3</v>
      </c>
      <c r="H29" s="65">
        <v>11</v>
      </c>
      <c r="I29" s="111">
        <v>4126</v>
      </c>
      <c r="J29" s="145">
        <v>781</v>
      </c>
      <c r="K29" s="177">
        <f>IF(I29&lt;&gt;0,J29/G29,"")</f>
        <v>260.3333333333333</v>
      </c>
      <c r="L29" s="178">
        <f>IF(I29&lt;&gt;0,I29/J29,"")</f>
        <v>5.282970550576184</v>
      </c>
      <c r="M29" s="179">
        <f>964543+666618+447582+156310.5+90863+70894+37352.5+3350+1874+714.5+4126</f>
        <v>2444227.5</v>
      </c>
      <c r="N29" s="174">
        <f>104009+73251+49929+20007+15751+12767+7228+691+416+233+781</f>
        <v>285063</v>
      </c>
      <c r="O29" s="199">
        <f>IF(M29&lt;&gt;0,M29/N29,"")</f>
        <v>8.574341461361172</v>
      </c>
      <c r="P29" s="56"/>
    </row>
    <row r="30" spans="1:16" s="7" customFormat="1" ht="15">
      <c r="A30" s="96">
        <v>26</v>
      </c>
      <c r="B30" s="57" t="s">
        <v>5</v>
      </c>
      <c r="C30" s="42">
        <v>39402</v>
      </c>
      <c r="D30" s="46" t="s">
        <v>65</v>
      </c>
      <c r="E30" s="45" t="s">
        <v>36</v>
      </c>
      <c r="F30" s="65">
        <v>20</v>
      </c>
      <c r="G30" s="65">
        <v>6</v>
      </c>
      <c r="H30" s="65">
        <v>8</v>
      </c>
      <c r="I30" s="98">
        <v>3777</v>
      </c>
      <c r="J30" s="110">
        <v>663</v>
      </c>
      <c r="K30" s="184">
        <f>J30/G30</f>
        <v>110.5</v>
      </c>
      <c r="L30" s="185">
        <f>I30/J30</f>
        <v>5.6968325791855206</v>
      </c>
      <c r="M30" s="186">
        <f>8296+141704+66729+20126+11859+581+2076+3662+3777</f>
        <v>258810</v>
      </c>
      <c r="N30" s="187">
        <f>702+12499+6089+1727+1871+101+444+549+663</f>
        <v>24645</v>
      </c>
      <c r="O30" s="94">
        <f>+M30/N30</f>
        <v>10.501521606816798</v>
      </c>
      <c r="P30" s="56"/>
    </row>
    <row r="31" spans="1:16" s="7" customFormat="1" ht="15">
      <c r="A31" s="96">
        <v>27</v>
      </c>
      <c r="B31" s="57" t="s">
        <v>95</v>
      </c>
      <c r="C31" s="42">
        <v>39409</v>
      </c>
      <c r="D31" s="46" t="s">
        <v>65</v>
      </c>
      <c r="E31" s="45" t="s">
        <v>76</v>
      </c>
      <c r="F31" s="65">
        <v>69</v>
      </c>
      <c r="G31" s="65">
        <v>4</v>
      </c>
      <c r="H31" s="65">
        <v>7</v>
      </c>
      <c r="I31" s="98">
        <v>3613</v>
      </c>
      <c r="J31" s="110">
        <v>696</v>
      </c>
      <c r="K31" s="184">
        <f>J31/G31</f>
        <v>174</v>
      </c>
      <c r="L31" s="185">
        <f>I31/J31</f>
        <v>5.191091954022989</v>
      </c>
      <c r="M31" s="186">
        <f>387069+277494+166747+4993+4045+7291+3613</f>
        <v>851252</v>
      </c>
      <c r="N31" s="187">
        <f>37017+27892+17708+698+855+1523+696</f>
        <v>86389</v>
      </c>
      <c r="O31" s="94">
        <f>+M31/N31</f>
        <v>9.85370822674183</v>
      </c>
      <c r="P31" s="56"/>
    </row>
    <row r="32" spans="1:16" s="7" customFormat="1" ht="15">
      <c r="A32" s="96">
        <v>28</v>
      </c>
      <c r="B32" s="59" t="s">
        <v>146</v>
      </c>
      <c r="C32" s="42">
        <v>39423</v>
      </c>
      <c r="D32" s="48" t="s">
        <v>100</v>
      </c>
      <c r="E32" s="48" t="s">
        <v>100</v>
      </c>
      <c r="F32" s="60">
        <v>1</v>
      </c>
      <c r="G32" s="60">
        <v>1</v>
      </c>
      <c r="H32" s="60">
        <v>5</v>
      </c>
      <c r="I32" s="98">
        <v>3429</v>
      </c>
      <c r="J32" s="110">
        <v>317</v>
      </c>
      <c r="K32" s="177">
        <f>+J32/G32</f>
        <v>317</v>
      </c>
      <c r="L32" s="178">
        <f>+I32/J32</f>
        <v>10.817034700315457</v>
      </c>
      <c r="M32" s="186">
        <v>22339</v>
      </c>
      <c r="N32" s="187">
        <v>1936</v>
      </c>
      <c r="O32" s="199">
        <f>+M32/N32</f>
        <v>11.538739669421487</v>
      </c>
      <c r="P32" s="56"/>
    </row>
    <row r="33" spans="1:16" s="7" customFormat="1" ht="15">
      <c r="A33" s="96">
        <v>29</v>
      </c>
      <c r="B33" s="58" t="s">
        <v>91</v>
      </c>
      <c r="C33" s="43">
        <v>39416</v>
      </c>
      <c r="D33" s="47" t="s">
        <v>67</v>
      </c>
      <c r="E33" s="47" t="s">
        <v>1</v>
      </c>
      <c r="F33" s="44">
        <v>20</v>
      </c>
      <c r="G33" s="44">
        <v>3</v>
      </c>
      <c r="H33" s="44">
        <v>6</v>
      </c>
      <c r="I33" s="99">
        <v>3347</v>
      </c>
      <c r="J33" s="112">
        <v>396</v>
      </c>
      <c r="K33" s="177">
        <f>IF(I33&lt;&gt;0,J33/G33,"")</f>
        <v>132</v>
      </c>
      <c r="L33" s="178">
        <f>IF(I33&lt;&gt;0,I33/J33,"")</f>
        <v>8.452020202020202</v>
      </c>
      <c r="M33" s="176">
        <f>75692.5+51302+12584.5+2036+2909.5+3347</f>
        <v>147871.5</v>
      </c>
      <c r="N33" s="174">
        <f>7291+5230+1727+233+363+396</f>
        <v>15240</v>
      </c>
      <c r="O33" s="199">
        <f>IF(M33&lt;&gt;0,M33/N33,"")</f>
        <v>9.70285433070866</v>
      </c>
      <c r="P33" s="56"/>
    </row>
    <row r="34" spans="1:16" s="7" customFormat="1" ht="15">
      <c r="A34" s="96">
        <v>30</v>
      </c>
      <c r="B34" s="57" t="s">
        <v>12</v>
      </c>
      <c r="C34" s="42">
        <v>39402</v>
      </c>
      <c r="D34" s="46" t="s">
        <v>65</v>
      </c>
      <c r="E34" s="45" t="s">
        <v>76</v>
      </c>
      <c r="F34" s="65">
        <v>64</v>
      </c>
      <c r="G34" s="65">
        <v>1</v>
      </c>
      <c r="H34" s="65">
        <v>8</v>
      </c>
      <c r="I34" s="98">
        <v>3337</v>
      </c>
      <c r="J34" s="110">
        <v>358</v>
      </c>
      <c r="K34" s="184">
        <f>J34/G34</f>
        <v>358</v>
      </c>
      <c r="L34" s="185">
        <f>I34/J34</f>
        <v>9.32122905027933</v>
      </c>
      <c r="M34" s="186">
        <f>299858+213967+97347+22667+8568+16509+4053+3337</f>
        <v>666306</v>
      </c>
      <c r="N34" s="187">
        <f>33225+24189+12517+4002+2479+2973+867+358</f>
        <v>80610</v>
      </c>
      <c r="O34" s="94">
        <f>+M34/N34</f>
        <v>8.265798288053592</v>
      </c>
      <c r="P34" s="56"/>
    </row>
    <row r="35" spans="1:16" s="7" customFormat="1" ht="15">
      <c r="A35" s="96">
        <v>31</v>
      </c>
      <c r="B35" s="58" t="s">
        <v>8</v>
      </c>
      <c r="C35" s="43">
        <v>39402</v>
      </c>
      <c r="D35" s="100" t="s">
        <v>66</v>
      </c>
      <c r="E35" s="100" t="s">
        <v>103</v>
      </c>
      <c r="F35" s="44">
        <v>130</v>
      </c>
      <c r="G35" s="44">
        <v>21</v>
      </c>
      <c r="H35" s="44">
        <v>8</v>
      </c>
      <c r="I35" s="99">
        <v>3233</v>
      </c>
      <c r="J35" s="112">
        <v>645</v>
      </c>
      <c r="K35" s="174">
        <f>J35/G35</f>
        <v>30.714285714285715</v>
      </c>
      <c r="L35" s="175">
        <f>+I35/J35</f>
        <v>5.0124031007751935</v>
      </c>
      <c r="M35" s="176">
        <v>2076609</v>
      </c>
      <c r="N35" s="174">
        <v>260506</v>
      </c>
      <c r="O35" s="198">
        <f>+M35/N35</f>
        <v>7.971444035837946</v>
      </c>
      <c r="P35" s="56"/>
    </row>
    <row r="36" spans="1:16" s="7" customFormat="1" ht="15">
      <c r="A36" s="96">
        <v>32</v>
      </c>
      <c r="B36" s="59" t="s">
        <v>127</v>
      </c>
      <c r="C36" s="42">
        <v>39444</v>
      </c>
      <c r="D36" s="48" t="s">
        <v>25</v>
      </c>
      <c r="E36" s="48" t="s">
        <v>147</v>
      </c>
      <c r="F36" s="66" t="s">
        <v>122</v>
      </c>
      <c r="G36" s="66" t="s">
        <v>51</v>
      </c>
      <c r="H36" s="66" t="s">
        <v>24</v>
      </c>
      <c r="I36" s="98">
        <v>3171</v>
      </c>
      <c r="J36" s="110">
        <v>499</v>
      </c>
      <c r="K36" s="184">
        <f>J36/G36</f>
        <v>62.375</v>
      </c>
      <c r="L36" s="185">
        <f>I36/J36</f>
        <v>6.354709418837675</v>
      </c>
      <c r="M36" s="186">
        <v>18357.5</v>
      </c>
      <c r="N36" s="187">
        <v>2250</v>
      </c>
      <c r="O36" s="94">
        <f>+M36/N36</f>
        <v>8.158888888888889</v>
      </c>
      <c r="P36" s="56"/>
    </row>
    <row r="37" spans="1:16" s="7" customFormat="1" ht="15">
      <c r="A37" s="96">
        <v>33</v>
      </c>
      <c r="B37" s="58" t="s">
        <v>13</v>
      </c>
      <c r="C37" s="43">
        <v>39045</v>
      </c>
      <c r="D37" s="47" t="s">
        <v>67</v>
      </c>
      <c r="E37" s="47" t="s">
        <v>14</v>
      </c>
      <c r="F37" s="44">
        <v>59</v>
      </c>
      <c r="G37" s="44">
        <v>1</v>
      </c>
      <c r="H37" s="44">
        <v>32</v>
      </c>
      <c r="I37" s="99">
        <v>3021</v>
      </c>
      <c r="J37" s="112">
        <v>756</v>
      </c>
      <c r="K37" s="177">
        <f>IF(I37&lt;&gt;0,J37/G37,"")</f>
        <v>756</v>
      </c>
      <c r="L37" s="178">
        <f>IF(I37&lt;&gt;0,I37/J37,"")</f>
        <v>3.996031746031746</v>
      </c>
      <c r="M37" s="176">
        <f>923228.5+937012.5+950194+628448.5+336851+386155+185586+7528+78557+38487.5+19951.5+79+2267.5-1008+9203+2435+1210+836+3795.5+1284+1033+2376+108+8910+3564+10330+5034+2376+2376+972+2376+200+20659.5+1510.5+3021</f>
        <v>4576947.5</v>
      </c>
      <c r="N37" s="174">
        <f>117837+123027+120667+81172+47916+61261+32646+795+14471+9345+4644+35+561-336+1591+487+300+161+1018+303+241+475+13+2228+891+2583+1259+594+594+162+594+67+4132+378+756</f>
        <v>632868</v>
      </c>
      <c r="O37" s="199">
        <f>IF(M37&lt;&gt;0,M37/N37,"")</f>
        <v>7.232072880916716</v>
      </c>
      <c r="P37" s="56">
        <v>1</v>
      </c>
    </row>
    <row r="38" spans="1:16" s="7" customFormat="1" ht="15">
      <c r="A38" s="96">
        <v>34</v>
      </c>
      <c r="B38" s="59" t="s">
        <v>93</v>
      </c>
      <c r="C38" s="43">
        <v>39416</v>
      </c>
      <c r="D38" s="48" t="s">
        <v>18</v>
      </c>
      <c r="E38" s="48" t="s">
        <v>49</v>
      </c>
      <c r="F38" s="101">
        <v>4</v>
      </c>
      <c r="G38" s="102">
        <v>4</v>
      </c>
      <c r="H38" s="101">
        <v>6</v>
      </c>
      <c r="I38" s="98">
        <v>2995</v>
      </c>
      <c r="J38" s="110">
        <v>518</v>
      </c>
      <c r="K38" s="184">
        <f>J38/G38</f>
        <v>129.5</v>
      </c>
      <c r="L38" s="185">
        <f>I38/J38</f>
        <v>5.781853281853282</v>
      </c>
      <c r="M38" s="186">
        <v>43169</v>
      </c>
      <c r="N38" s="187">
        <v>4604</v>
      </c>
      <c r="O38" s="94">
        <f>+M38/N38</f>
        <v>9.376411815812338</v>
      </c>
      <c r="P38" s="56"/>
    </row>
    <row r="39" spans="1:16" s="7" customFormat="1" ht="15">
      <c r="A39" s="96">
        <v>35</v>
      </c>
      <c r="B39" s="59" t="s">
        <v>40</v>
      </c>
      <c r="C39" s="43">
        <v>39381</v>
      </c>
      <c r="D39" s="48" t="s">
        <v>18</v>
      </c>
      <c r="E39" s="48" t="s">
        <v>41</v>
      </c>
      <c r="F39" s="101">
        <v>11</v>
      </c>
      <c r="G39" s="102">
        <v>4</v>
      </c>
      <c r="H39" s="101">
        <v>11</v>
      </c>
      <c r="I39" s="98">
        <v>2972</v>
      </c>
      <c r="J39" s="110">
        <v>542</v>
      </c>
      <c r="K39" s="184">
        <f>J39/G39</f>
        <v>135.5</v>
      </c>
      <c r="L39" s="185">
        <f>I39/J39</f>
        <v>5.483394833948339</v>
      </c>
      <c r="M39" s="186">
        <v>220410.7</v>
      </c>
      <c r="N39" s="187">
        <v>24789</v>
      </c>
      <c r="O39" s="94">
        <f>+M39/N39</f>
        <v>8.89147202388156</v>
      </c>
      <c r="P39" s="56"/>
    </row>
    <row r="40" spans="1:16" s="7" customFormat="1" ht="15">
      <c r="A40" s="96">
        <v>36</v>
      </c>
      <c r="B40" s="59" t="s">
        <v>118</v>
      </c>
      <c r="C40" s="42">
        <v>39437</v>
      </c>
      <c r="D40" s="48" t="s">
        <v>78</v>
      </c>
      <c r="E40" s="48" t="s">
        <v>53</v>
      </c>
      <c r="F40" s="66" t="s">
        <v>119</v>
      </c>
      <c r="G40" s="66" t="s">
        <v>23</v>
      </c>
      <c r="H40" s="66" t="s">
        <v>110</v>
      </c>
      <c r="I40" s="98">
        <v>2441.5</v>
      </c>
      <c r="J40" s="110">
        <v>412</v>
      </c>
      <c r="K40" s="184">
        <f>J40/G40</f>
        <v>41.2</v>
      </c>
      <c r="L40" s="185">
        <f>I40/J40</f>
        <v>5.925970873786408</v>
      </c>
      <c r="M40" s="186">
        <v>76642.5</v>
      </c>
      <c r="N40" s="187">
        <v>7945</v>
      </c>
      <c r="O40" s="94">
        <f>+M40/N40</f>
        <v>9.646633102580239</v>
      </c>
      <c r="P40" s="56"/>
    </row>
    <row r="41" spans="1:16" s="7" customFormat="1" ht="15">
      <c r="A41" s="96">
        <v>37</v>
      </c>
      <c r="B41" s="58" t="s">
        <v>148</v>
      </c>
      <c r="C41" s="43">
        <v>39444</v>
      </c>
      <c r="D41" s="47" t="s">
        <v>67</v>
      </c>
      <c r="E41" s="47" t="s">
        <v>128</v>
      </c>
      <c r="F41" s="65">
        <v>10</v>
      </c>
      <c r="G41" s="44">
        <v>8</v>
      </c>
      <c r="H41" s="44">
        <v>2</v>
      </c>
      <c r="I41" s="99">
        <v>1895</v>
      </c>
      <c r="J41" s="112">
        <v>200</v>
      </c>
      <c r="K41" s="177">
        <f>IF(I41&lt;&gt;0,J41/G41,"")</f>
        <v>25</v>
      </c>
      <c r="L41" s="178">
        <f>IF(I41&lt;&gt;0,I41/J41,"")</f>
        <v>9.475</v>
      </c>
      <c r="M41" s="176">
        <f>8804+1895</f>
        <v>10699</v>
      </c>
      <c r="N41" s="174">
        <f>970+200</f>
        <v>1170</v>
      </c>
      <c r="O41" s="199">
        <f>IF(M41&lt;&gt;0,M41/N41,"")</f>
        <v>9.144444444444444</v>
      </c>
      <c r="P41" s="56"/>
    </row>
    <row r="42" spans="1:16" s="7" customFormat="1" ht="15">
      <c r="A42" s="96">
        <v>38</v>
      </c>
      <c r="B42" s="59" t="s">
        <v>88</v>
      </c>
      <c r="C42" s="42">
        <v>39416</v>
      </c>
      <c r="D42" s="48" t="s">
        <v>78</v>
      </c>
      <c r="E42" s="48" t="s">
        <v>53</v>
      </c>
      <c r="F42" s="66" t="s">
        <v>89</v>
      </c>
      <c r="G42" s="66" t="s">
        <v>110</v>
      </c>
      <c r="H42" s="66" t="s">
        <v>123</v>
      </c>
      <c r="I42" s="98">
        <v>1534</v>
      </c>
      <c r="J42" s="110">
        <v>239</v>
      </c>
      <c r="K42" s="184">
        <f>J42/G42</f>
        <v>79.66666666666667</v>
      </c>
      <c r="L42" s="185">
        <f>I42/J42</f>
        <v>6.418410041841004</v>
      </c>
      <c r="M42" s="186">
        <v>258757</v>
      </c>
      <c r="N42" s="187">
        <v>27577</v>
      </c>
      <c r="O42" s="94">
        <f>+M42/N42</f>
        <v>9.383072850563876</v>
      </c>
      <c r="P42" s="56"/>
    </row>
    <row r="43" spans="1:16" s="7" customFormat="1" ht="15">
      <c r="A43" s="96">
        <v>39</v>
      </c>
      <c r="B43" s="58" t="s">
        <v>57</v>
      </c>
      <c r="C43" s="43">
        <v>39325</v>
      </c>
      <c r="D43" s="47" t="s">
        <v>83</v>
      </c>
      <c r="E43" s="47" t="s">
        <v>83</v>
      </c>
      <c r="F43" s="44">
        <v>41</v>
      </c>
      <c r="G43" s="44">
        <v>1</v>
      </c>
      <c r="H43" s="44">
        <v>14</v>
      </c>
      <c r="I43" s="99">
        <v>1464</v>
      </c>
      <c r="J43" s="112">
        <v>222</v>
      </c>
      <c r="K43" s="177">
        <f>IF(I43&lt;&gt;0,J43/G43,"")</f>
        <v>222</v>
      </c>
      <c r="L43" s="178">
        <f>IF(I43&lt;&gt;0,I43/J43,"")</f>
        <v>6.594594594594595</v>
      </c>
      <c r="M43" s="176">
        <f>134878+121098+57423.5+36002.5+21899.5+24766+21116+4712+2484+2133+1303+125+2376+1464</f>
        <v>431780.5</v>
      </c>
      <c r="N43" s="174">
        <f>16294+14776+7255+5972+3786+4702+3853+904+447+385+312+25+594+222</f>
        <v>59527</v>
      </c>
      <c r="O43" s="199">
        <f>IF(M43&lt;&gt;0,M43/N43,"")</f>
        <v>7.253523611134443</v>
      </c>
      <c r="P43" s="56"/>
    </row>
    <row r="44" spans="1:16" s="7" customFormat="1" ht="15">
      <c r="A44" s="96">
        <v>40</v>
      </c>
      <c r="B44" s="59" t="s">
        <v>121</v>
      </c>
      <c r="C44" s="43">
        <v>39437</v>
      </c>
      <c r="D44" s="48" t="s">
        <v>18</v>
      </c>
      <c r="E44" s="48" t="s">
        <v>55</v>
      </c>
      <c r="F44" s="101">
        <v>1</v>
      </c>
      <c r="G44" s="102">
        <v>1</v>
      </c>
      <c r="H44" s="101">
        <v>3</v>
      </c>
      <c r="I44" s="98">
        <v>1464</v>
      </c>
      <c r="J44" s="110">
        <v>173</v>
      </c>
      <c r="K44" s="184">
        <f>J44/G44</f>
        <v>173</v>
      </c>
      <c r="L44" s="185">
        <f>I44/J44</f>
        <v>8.46242774566474</v>
      </c>
      <c r="M44" s="186">
        <v>22500.2</v>
      </c>
      <c r="N44" s="187">
        <v>3129</v>
      </c>
      <c r="O44" s="94">
        <f>+M44/N44</f>
        <v>7.190859699584532</v>
      </c>
      <c r="P44" s="56"/>
    </row>
    <row r="45" spans="1:16" s="7" customFormat="1" ht="15">
      <c r="A45" s="96">
        <v>41</v>
      </c>
      <c r="B45" s="58" t="s">
        <v>135</v>
      </c>
      <c r="C45" s="43">
        <v>39437</v>
      </c>
      <c r="D45" s="48" t="s">
        <v>18</v>
      </c>
      <c r="E45" s="48" t="s">
        <v>120</v>
      </c>
      <c r="F45" s="101">
        <v>7</v>
      </c>
      <c r="G45" s="102">
        <v>2</v>
      </c>
      <c r="H45" s="101">
        <v>3</v>
      </c>
      <c r="I45" s="98">
        <v>1415</v>
      </c>
      <c r="J45" s="110">
        <v>283</v>
      </c>
      <c r="K45" s="184">
        <f>J45/G45</f>
        <v>141.5</v>
      </c>
      <c r="L45" s="185">
        <f>I45/J45</f>
        <v>5</v>
      </c>
      <c r="M45" s="186">
        <v>38426</v>
      </c>
      <c r="N45" s="187">
        <v>4907</v>
      </c>
      <c r="O45" s="94">
        <f>+M45/N45</f>
        <v>7.830853882209089</v>
      </c>
      <c r="P45" s="56"/>
    </row>
    <row r="46" spans="1:16" s="7" customFormat="1" ht="15">
      <c r="A46" s="96">
        <v>42</v>
      </c>
      <c r="B46" s="57" t="s">
        <v>22</v>
      </c>
      <c r="C46" s="42">
        <v>39164</v>
      </c>
      <c r="D46" s="45" t="s">
        <v>61</v>
      </c>
      <c r="E46" s="45" t="s">
        <v>75</v>
      </c>
      <c r="F46" s="65">
        <v>119</v>
      </c>
      <c r="G46" s="65">
        <v>2</v>
      </c>
      <c r="H46" s="65">
        <v>27</v>
      </c>
      <c r="I46" s="111">
        <v>1363</v>
      </c>
      <c r="J46" s="145">
        <v>284</v>
      </c>
      <c r="K46" s="177">
        <f>IF(I46&lt;&gt;0,J46/G46,"")</f>
        <v>142</v>
      </c>
      <c r="L46" s="178">
        <f>IF(I46&lt;&gt;0,I46/J46,"")</f>
        <v>4.799295774647887</v>
      </c>
      <c r="M46" s="179">
        <f>1463503.5+1774+208+20289+1136+123+3728+1281+565+311+129+80+136+123+1928+7469+133+1363</f>
        <v>1504279.5</v>
      </c>
      <c r="N46" s="174">
        <f>193429+337+32+3321+216+18+619+252+110+56+19+12+21+18+377+1489+25+284</f>
        <v>200635</v>
      </c>
      <c r="O46" s="199">
        <f>IF(M46&lt;&gt;0,M46/N46,"")</f>
        <v>7.497592643357341</v>
      </c>
      <c r="P46" s="56"/>
    </row>
    <row r="47" spans="1:16" s="7" customFormat="1" ht="15">
      <c r="A47" s="96">
        <v>43</v>
      </c>
      <c r="B47" s="58" t="s">
        <v>134</v>
      </c>
      <c r="C47" s="43">
        <v>39395</v>
      </c>
      <c r="D47" s="47" t="s">
        <v>67</v>
      </c>
      <c r="E47" s="47" t="s">
        <v>68</v>
      </c>
      <c r="F47" s="44">
        <v>35</v>
      </c>
      <c r="G47" s="44">
        <v>1</v>
      </c>
      <c r="H47" s="44">
        <v>9</v>
      </c>
      <c r="I47" s="99">
        <v>1269</v>
      </c>
      <c r="J47" s="112">
        <v>249</v>
      </c>
      <c r="K47" s="177">
        <f>IF(I47&lt;&gt;0,J47/G47,"")</f>
        <v>249</v>
      </c>
      <c r="L47" s="178">
        <f>IF(I47&lt;&gt;0,I47/J47,"")</f>
        <v>5.096385542168675</v>
      </c>
      <c r="M47" s="176">
        <f>310876.5+189449.5+81911+30301+17300.5+2478+1808+1661.5+1269</f>
        <v>637055</v>
      </c>
      <c r="N47" s="174">
        <f>27485+16830+7465+3781+3026+485+290+393+249</f>
        <v>60004</v>
      </c>
      <c r="O47" s="199">
        <f>IF(M47&lt;&gt;0,M47/N47,"")</f>
        <v>10.616875541630558</v>
      </c>
      <c r="P47" s="56"/>
    </row>
    <row r="48" spans="1:16" s="7" customFormat="1" ht="15">
      <c r="A48" s="96">
        <v>44</v>
      </c>
      <c r="B48" s="59" t="s">
        <v>85</v>
      </c>
      <c r="C48" s="43">
        <v>39311</v>
      </c>
      <c r="D48" s="48" t="s">
        <v>18</v>
      </c>
      <c r="E48" s="48" t="s">
        <v>74</v>
      </c>
      <c r="F48" s="101">
        <v>10</v>
      </c>
      <c r="G48" s="102">
        <v>1</v>
      </c>
      <c r="H48" s="101">
        <v>17</v>
      </c>
      <c r="I48" s="98">
        <v>952</v>
      </c>
      <c r="J48" s="110">
        <v>238</v>
      </c>
      <c r="K48" s="184">
        <f aca="true" t="shared" si="2" ref="K48:K55">J48/G48</f>
        <v>238</v>
      </c>
      <c r="L48" s="185">
        <f>I48/J48</f>
        <v>4</v>
      </c>
      <c r="M48" s="186">
        <v>54548</v>
      </c>
      <c r="N48" s="187">
        <v>6721</v>
      </c>
      <c r="O48" s="94">
        <f aca="true" t="shared" si="3" ref="O48:O55">+M48/N48</f>
        <v>8.11605415860735</v>
      </c>
      <c r="P48" s="56"/>
    </row>
    <row r="49" spans="1:16" s="7" customFormat="1" ht="15">
      <c r="A49" s="96">
        <v>45</v>
      </c>
      <c r="B49" s="58" t="s">
        <v>112</v>
      </c>
      <c r="C49" s="43">
        <v>39388</v>
      </c>
      <c r="D49" s="100" t="s">
        <v>66</v>
      </c>
      <c r="E49" s="100" t="s">
        <v>71</v>
      </c>
      <c r="F49" s="44">
        <v>60</v>
      </c>
      <c r="G49" s="44">
        <v>1</v>
      </c>
      <c r="H49" s="44">
        <v>10</v>
      </c>
      <c r="I49" s="99">
        <v>945</v>
      </c>
      <c r="J49" s="112">
        <v>350</v>
      </c>
      <c r="K49" s="174">
        <f t="shared" si="2"/>
        <v>350</v>
      </c>
      <c r="L49" s="175">
        <f>+I49/J49</f>
        <v>2.7</v>
      </c>
      <c r="M49" s="176">
        <v>604935</v>
      </c>
      <c r="N49" s="174">
        <v>66207</v>
      </c>
      <c r="O49" s="198">
        <f t="shared" si="3"/>
        <v>9.137024785898772</v>
      </c>
      <c r="P49" s="56"/>
    </row>
    <row r="50" spans="1:16" s="7" customFormat="1" ht="15">
      <c r="A50" s="96">
        <v>46</v>
      </c>
      <c r="B50" s="57" t="s">
        <v>2</v>
      </c>
      <c r="C50" s="42">
        <v>39395</v>
      </c>
      <c r="D50" s="46" t="s">
        <v>65</v>
      </c>
      <c r="E50" s="45" t="s">
        <v>70</v>
      </c>
      <c r="F50" s="65">
        <v>56</v>
      </c>
      <c r="G50" s="65">
        <v>2</v>
      </c>
      <c r="H50" s="65">
        <v>6</v>
      </c>
      <c r="I50" s="98">
        <v>918</v>
      </c>
      <c r="J50" s="110">
        <v>162</v>
      </c>
      <c r="K50" s="184">
        <f t="shared" si="2"/>
        <v>81</v>
      </c>
      <c r="L50" s="185">
        <f>I50/J50</f>
        <v>5.666666666666667</v>
      </c>
      <c r="M50" s="186">
        <f>1295+255300+147780+51761+8278+8834+918</f>
        <v>474166</v>
      </c>
      <c r="N50" s="187">
        <f>119+28097+15891+6021+1461+2448+162</f>
        <v>54199</v>
      </c>
      <c r="O50" s="94">
        <f t="shared" si="3"/>
        <v>8.748611597999963</v>
      </c>
      <c r="P50" s="56"/>
    </row>
    <row r="51" spans="1:16" s="7" customFormat="1" ht="15">
      <c r="A51" s="96">
        <v>47</v>
      </c>
      <c r="B51" s="58" t="s">
        <v>149</v>
      </c>
      <c r="C51" s="43">
        <v>39416</v>
      </c>
      <c r="D51" s="100" t="s">
        <v>66</v>
      </c>
      <c r="E51" s="100" t="s">
        <v>79</v>
      </c>
      <c r="F51" s="44">
        <v>11</v>
      </c>
      <c r="G51" s="44">
        <v>3</v>
      </c>
      <c r="H51" s="44">
        <v>6</v>
      </c>
      <c r="I51" s="99">
        <v>893</v>
      </c>
      <c r="J51" s="112">
        <v>150</v>
      </c>
      <c r="K51" s="174">
        <f t="shared" si="2"/>
        <v>50</v>
      </c>
      <c r="L51" s="175">
        <f>+I51/J51</f>
        <v>5.953333333333333</v>
      </c>
      <c r="M51" s="176">
        <v>32259</v>
      </c>
      <c r="N51" s="174">
        <v>3764</v>
      </c>
      <c r="O51" s="198">
        <f t="shared" si="3"/>
        <v>8.570403825717323</v>
      </c>
      <c r="P51" s="56">
        <v>1</v>
      </c>
    </row>
    <row r="52" spans="1:16" s="7" customFormat="1" ht="15">
      <c r="A52" s="96">
        <v>48</v>
      </c>
      <c r="B52" s="57" t="s">
        <v>38</v>
      </c>
      <c r="C52" s="42">
        <v>39381</v>
      </c>
      <c r="D52" s="46" t="s">
        <v>65</v>
      </c>
      <c r="E52" s="45" t="s">
        <v>76</v>
      </c>
      <c r="F52" s="65">
        <v>144</v>
      </c>
      <c r="G52" s="65">
        <v>1</v>
      </c>
      <c r="H52" s="65">
        <v>11</v>
      </c>
      <c r="I52" s="98">
        <v>616</v>
      </c>
      <c r="J52" s="110">
        <v>90</v>
      </c>
      <c r="K52" s="184">
        <f t="shared" si="2"/>
        <v>90</v>
      </c>
      <c r="L52" s="185">
        <f>I52/J52</f>
        <v>6.844444444444444</v>
      </c>
      <c r="M52" s="186">
        <f>2013361+924282+612528+224314+161621+67993+19442+6068+2170+613+616</f>
        <v>4033008</v>
      </c>
      <c r="N52" s="187">
        <f>250162+117111+77738+30679+29851+12478+4485+1923+349+89+90</f>
        <v>524955</v>
      </c>
      <c r="O52" s="94">
        <f t="shared" si="3"/>
        <v>7.682578506729148</v>
      </c>
      <c r="P52" s="56"/>
    </row>
    <row r="53" spans="1:16" s="7" customFormat="1" ht="15">
      <c r="A53" s="96">
        <v>49</v>
      </c>
      <c r="B53" s="59" t="s">
        <v>4</v>
      </c>
      <c r="C53" s="42">
        <v>39395</v>
      </c>
      <c r="D53" s="48" t="s">
        <v>78</v>
      </c>
      <c r="E53" s="48" t="s">
        <v>129</v>
      </c>
      <c r="F53" s="66" t="s">
        <v>52</v>
      </c>
      <c r="G53" s="66" t="s">
        <v>17</v>
      </c>
      <c r="H53" s="66" t="s">
        <v>122</v>
      </c>
      <c r="I53" s="98">
        <v>611</v>
      </c>
      <c r="J53" s="110">
        <v>178</v>
      </c>
      <c r="K53" s="184">
        <f t="shared" si="2"/>
        <v>178</v>
      </c>
      <c r="L53" s="185">
        <f>I53/J53</f>
        <v>3.432584269662921</v>
      </c>
      <c r="M53" s="186">
        <v>138360.98</v>
      </c>
      <c r="N53" s="187">
        <v>22412</v>
      </c>
      <c r="O53" s="94">
        <f t="shared" si="3"/>
        <v>6.173522220239158</v>
      </c>
      <c r="P53" s="56">
        <v>1</v>
      </c>
    </row>
    <row r="54" spans="1:16" s="7" customFormat="1" ht="15">
      <c r="A54" s="96">
        <v>50</v>
      </c>
      <c r="B54" s="59" t="s">
        <v>50</v>
      </c>
      <c r="C54" s="43">
        <v>39094</v>
      </c>
      <c r="D54" s="48" t="s">
        <v>18</v>
      </c>
      <c r="E54" s="48" t="s">
        <v>74</v>
      </c>
      <c r="F54" s="101">
        <v>42</v>
      </c>
      <c r="G54" s="102">
        <v>2</v>
      </c>
      <c r="H54" s="101">
        <v>37</v>
      </c>
      <c r="I54" s="98">
        <v>576</v>
      </c>
      <c r="J54" s="110">
        <v>130</v>
      </c>
      <c r="K54" s="184">
        <f t="shared" si="2"/>
        <v>65</v>
      </c>
      <c r="L54" s="185">
        <f>I54/J54</f>
        <v>4.430769230769231</v>
      </c>
      <c r="M54" s="186">
        <v>450428.5</v>
      </c>
      <c r="N54" s="187">
        <v>69310</v>
      </c>
      <c r="O54" s="94">
        <f t="shared" si="3"/>
        <v>6.498751983840716</v>
      </c>
      <c r="P54" s="56"/>
    </row>
    <row r="55" spans="1:16" s="7" customFormat="1" ht="15">
      <c r="A55" s="96">
        <v>51</v>
      </c>
      <c r="B55" s="58" t="s">
        <v>86</v>
      </c>
      <c r="C55" s="43">
        <v>39318</v>
      </c>
      <c r="D55" s="100" t="s">
        <v>66</v>
      </c>
      <c r="E55" s="100" t="s">
        <v>69</v>
      </c>
      <c r="F55" s="44">
        <v>116</v>
      </c>
      <c r="G55" s="44">
        <v>1</v>
      </c>
      <c r="H55" s="44">
        <v>20</v>
      </c>
      <c r="I55" s="99">
        <v>232</v>
      </c>
      <c r="J55" s="112">
        <v>187</v>
      </c>
      <c r="K55" s="174">
        <f t="shared" si="2"/>
        <v>187</v>
      </c>
      <c r="L55" s="175">
        <f>+I55/J55</f>
        <v>1.2406417112299466</v>
      </c>
      <c r="M55" s="176">
        <v>2643571</v>
      </c>
      <c r="N55" s="174">
        <v>331519</v>
      </c>
      <c r="O55" s="198">
        <f t="shared" si="3"/>
        <v>7.974116114008549</v>
      </c>
      <c r="P55" s="56"/>
    </row>
    <row r="56" spans="1:16" s="7" customFormat="1" ht="15">
      <c r="A56" s="96">
        <v>52</v>
      </c>
      <c r="B56" s="58" t="s">
        <v>97</v>
      </c>
      <c r="C56" s="43">
        <v>39409</v>
      </c>
      <c r="D56" s="47" t="s">
        <v>67</v>
      </c>
      <c r="E56" s="47" t="s">
        <v>113</v>
      </c>
      <c r="F56" s="44">
        <v>13</v>
      </c>
      <c r="G56" s="44">
        <v>1</v>
      </c>
      <c r="H56" s="44">
        <v>6</v>
      </c>
      <c r="I56" s="99">
        <v>193</v>
      </c>
      <c r="J56" s="112">
        <v>38</v>
      </c>
      <c r="K56" s="177">
        <f>IF(I56&lt;&gt;0,J56/G56,"")</f>
        <v>38</v>
      </c>
      <c r="L56" s="178">
        <f>IF(I56&lt;&gt;0,I56/J56,"")</f>
        <v>5.078947368421052</v>
      </c>
      <c r="M56" s="176">
        <f>12464+5333-100+2072+1025+199+193</f>
        <v>21186</v>
      </c>
      <c r="N56" s="174">
        <f>1407+644-8+342+204+38+38</f>
        <v>2665</v>
      </c>
      <c r="O56" s="199">
        <f>IF(M56&lt;&gt;0,M56/N56,"")</f>
        <v>7.949718574108818</v>
      </c>
      <c r="P56" s="56">
        <v>1</v>
      </c>
    </row>
    <row r="57" spans="1:16" s="7" customFormat="1" ht="15">
      <c r="A57" s="96">
        <v>53</v>
      </c>
      <c r="B57" s="57" t="s">
        <v>94</v>
      </c>
      <c r="C57" s="42">
        <v>39360</v>
      </c>
      <c r="D57" s="46" t="s">
        <v>65</v>
      </c>
      <c r="E57" s="45" t="s">
        <v>36</v>
      </c>
      <c r="F57" s="65">
        <v>73</v>
      </c>
      <c r="G57" s="65">
        <v>1</v>
      </c>
      <c r="H57" s="65">
        <v>14</v>
      </c>
      <c r="I57" s="98">
        <v>168</v>
      </c>
      <c r="J57" s="110">
        <v>24</v>
      </c>
      <c r="K57" s="184">
        <f>J57/G57</f>
        <v>24</v>
      </c>
      <c r="L57" s="185">
        <f>I57/J57</f>
        <v>7</v>
      </c>
      <c r="M57" s="186">
        <f>2527+398811+325917+116748+8773+28+28081+14690+2838+221+3656+238+712+147+168+168</f>
        <v>903723</v>
      </c>
      <c r="N57" s="187">
        <f>228+40290+35016+12251+1468+5988+2689+521+31+1450+32+140+21+26+24</f>
        <v>100175</v>
      </c>
      <c r="O57" s="94">
        <f>+M57/N57</f>
        <v>9.021442475667582</v>
      </c>
      <c r="P57" s="56"/>
    </row>
    <row r="58" spans="1:16" s="7" customFormat="1" ht="15">
      <c r="A58" s="96">
        <v>54</v>
      </c>
      <c r="B58" s="59" t="s">
        <v>80</v>
      </c>
      <c r="C58" s="43">
        <v>39220</v>
      </c>
      <c r="D58" s="48" t="s">
        <v>18</v>
      </c>
      <c r="E58" s="48" t="s">
        <v>74</v>
      </c>
      <c r="F58" s="101">
        <v>88</v>
      </c>
      <c r="G58" s="102">
        <v>1</v>
      </c>
      <c r="H58" s="101">
        <v>33</v>
      </c>
      <c r="I58" s="98">
        <v>146</v>
      </c>
      <c r="J58" s="110">
        <v>34</v>
      </c>
      <c r="K58" s="184">
        <f>J58/G58</f>
        <v>34</v>
      </c>
      <c r="L58" s="185">
        <f>I58/J58</f>
        <v>4.294117647058823</v>
      </c>
      <c r="M58" s="186">
        <v>587148</v>
      </c>
      <c r="N58" s="187">
        <v>86661</v>
      </c>
      <c r="O58" s="94">
        <f>+M58/N58</f>
        <v>6.775227611036106</v>
      </c>
      <c r="P58" s="56"/>
    </row>
    <row r="59" spans="1:16" s="7" customFormat="1" ht="15">
      <c r="A59" s="96">
        <v>55</v>
      </c>
      <c r="B59" s="80" t="s">
        <v>58</v>
      </c>
      <c r="C59" s="63">
        <v>39339</v>
      </c>
      <c r="D59" s="93" t="s">
        <v>81</v>
      </c>
      <c r="E59" s="93" t="s">
        <v>59</v>
      </c>
      <c r="F59" s="91">
        <v>79</v>
      </c>
      <c r="G59" s="92">
        <v>2</v>
      </c>
      <c r="H59" s="92">
        <v>17</v>
      </c>
      <c r="I59" s="146">
        <v>111</v>
      </c>
      <c r="J59" s="180">
        <v>16</v>
      </c>
      <c r="K59" s="181">
        <v>7.333333333333333</v>
      </c>
      <c r="L59" s="182">
        <v>6.363636363636363</v>
      </c>
      <c r="M59" s="183">
        <v>307739</v>
      </c>
      <c r="N59" s="184">
        <v>48509</v>
      </c>
      <c r="O59" s="200">
        <f>M59/N59</f>
        <v>6.3439567915232224</v>
      </c>
      <c r="P59" s="56"/>
    </row>
    <row r="60" spans="1:16" s="7" customFormat="1" ht="15">
      <c r="A60" s="96">
        <v>56</v>
      </c>
      <c r="B60" s="64" t="s">
        <v>82</v>
      </c>
      <c r="C60" s="42">
        <v>39304</v>
      </c>
      <c r="D60" s="46" t="s">
        <v>65</v>
      </c>
      <c r="E60" s="45" t="s">
        <v>36</v>
      </c>
      <c r="F60" s="65">
        <v>165</v>
      </c>
      <c r="G60" s="65">
        <v>1</v>
      </c>
      <c r="H60" s="65">
        <v>22</v>
      </c>
      <c r="I60" s="98">
        <v>81</v>
      </c>
      <c r="J60" s="110">
        <v>40</v>
      </c>
      <c r="K60" s="184">
        <f>J60/G60</f>
        <v>40</v>
      </c>
      <c r="L60" s="185">
        <f>I60/J60</f>
        <v>2.025</v>
      </c>
      <c r="M60" s="186">
        <f>2632960+1103806+622810+343330+175885+112509+60772+28410+15737+16484+3567+7825+3899+7196+3981+1749+1616+3566+772+1288+684+81</f>
        <v>5148927</v>
      </c>
      <c r="N60" s="187">
        <f>336483+141879+82533+45209+26903+20540+11529+5833+3987+3318+680+865+384+1787+580+811+720+1776+383+644+340+40</f>
        <v>687224</v>
      </c>
      <c r="O60" s="94">
        <f>+M60/N60</f>
        <v>7.492356204090661</v>
      </c>
      <c r="P60" s="56"/>
    </row>
    <row r="61" spans="1:16" s="7" customFormat="1" ht="15">
      <c r="A61" s="96">
        <v>57</v>
      </c>
      <c r="B61" s="59" t="s">
        <v>150</v>
      </c>
      <c r="C61" s="42">
        <v>39416</v>
      </c>
      <c r="D61" s="48" t="s">
        <v>25</v>
      </c>
      <c r="E61" s="48" t="s">
        <v>151</v>
      </c>
      <c r="F61" s="66" t="s">
        <v>92</v>
      </c>
      <c r="G61" s="66" t="s">
        <v>17</v>
      </c>
      <c r="H61" s="66" t="s">
        <v>21</v>
      </c>
      <c r="I61" s="98">
        <v>80</v>
      </c>
      <c r="J61" s="110">
        <v>14</v>
      </c>
      <c r="K61" s="184">
        <f>J61/G61</f>
        <v>14</v>
      </c>
      <c r="L61" s="185">
        <f>I61/J61</f>
        <v>5.714285714285714</v>
      </c>
      <c r="M61" s="186">
        <v>28346</v>
      </c>
      <c r="N61" s="187">
        <v>3690</v>
      </c>
      <c r="O61" s="94">
        <f>+M61/N61</f>
        <v>7.681842818428184</v>
      </c>
      <c r="P61" s="56"/>
    </row>
    <row r="62" spans="1:16" s="7" customFormat="1" ht="15.75" thickBot="1">
      <c r="A62" s="96">
        <v>58</v>
      </c>
      <c r="B62" s="168" t="s">
        <v>84</v>
      </c>
      <c r="C62" s="115">
        <v>39311</v>
      </c>
      <c r="D62" s="169" t="s">
        <v>67</v>
      </c>
      <c r="E62" s="202" t="s">
        <v>68</v>
      </c>
      <c r="F62" s="217">
        <v>51</v>
      </c>
      <c r="G62" s="170">
        <v>1</v>
      </c>
      <c r="H62" s="170">
        <v>13</v>
      </c>
      <c r="I62" s="171">
        <v>80</v>
      </c>
      <c r="J62" s="172">
        <v>12</v>
      </c>
      <c r="K62" s="203">
        <f>IF(I62&lt;&gt;0,J62/G62,"")</f>
        <v>12</v>
      </c>
      <c r="L62" s="204">
        <f>IF(I62&lt;&gt;0,I62/J62,"")</f>
        <v>6.666666666666667</v>
      </c>
      <c r="M62" s="205">
        <f>307706+165406+101634+49698+32049.5+23376.5+11639-20+12239.5+6765.5+893+48+38+80</f>
        <v>711553</v>
      </c>
      <c r="N62" s="206">
        <f>37496+19653+12173+6929+5777+4291+2342-2+2292+1679+199+7+5+12</f>
        <v>92853</v>
      </c>
      <c r="O62" s="207">
        <f>IF(M62&lt;&gt;0,M62/N62,"")</f>
        <v>7.663220359062174</v>
      </c>
      <c r="P62" s="56"/>
    </row>
    <row r="63" spans="1:16" s="41" customFormat="1" ht="15">
      <c r="A63" s="305" t="s">
        <v>62</v>
      </c>
      <c r="B63" s="306"/>
      <c r="C63" s="36"/>
      <c r="D63" s="37" t="s">
        <v>152</v>
      </c>
      <c r="E63" s="38"/>
      <c r="F63" s="37"/>
      <c r="G63" s="39">
        <f>SUM(G5:G62)</f>
        <v>1427</v>
      </c>
      <c r="H63" s="37"/>
      <c r="I63" s="123">
        <f>SUM(I5:I62)</f>
        <v>5529440.2</v>
      </c>
      <c r="J63" s="134">
        <f>SUM(J5:J62)</f>
        <v>704032</v>
      </c>
      <c r="K63" s="87">
        <f>J63/G63</f>
        <v>493.36510161177296</v>
      </c>
      <c r="L63" s="77">
        <f>I63/J63</f>
        <v>7.853961467660561</v>
      </c>
      <c r="M63" s="128"/>
      <c r="N63" s="134"/>
      <c r="O63" s="40"/>
      <c r="P63" s="56"/>
    </row>
    <row r="64" spans="1:16" s="7" customFormat="1" ht="13.5">
      <c r="A64" s="26"/>
      <c r="C64" s="11"/>
      <c r="D64" s="14"/>
      <c r="E64" s="14"/>
      <c r="F64" s="8"/>
      <c r="G64" s="8"/>
      <c r="H64" s="8"/>
      <c r="I64" s="124"/>
      <c r="J64" s="137"/>
      <c r="K64" s="88"/>
      <c r="L64" s="21"/>
      <c r="M64" s="130"/>
      <c r="N64" s="139"/>
      <c r="O64" s="21"/>
      <c r="P64" s="56"/>
    </row>
    <row r="65" spans="1:16" s="7" customFormat="1" ht="13.5">
      <c r="A65" s="26"/>
      <c r="B65"/>
      <c r="C65" s="142"/>
      <c r="D65"/>
      <c r="E65"/>
      <c r="F65" s="95"/>
      <c r="G65" s="16"/>
      <c r="H65" s="8"/>
      <c r="I65" s="124"/>
      <c r="J65" s="137"/>
      <c r="K65" s="307" t="s">
        <v>60</v>
      </c>
      <c r="L65" s="308"/>
      <c r="M65" s="308"/>
      <c r="N65" s="308"/>
      <c r="O65" s="308"/>
      <c r="P65" s="56"/>
    </row>
    <row r="66" spans="1:16" s="7" customFormat="1" ht="13.5">
      <c r="A66" s="26"/>
      <c r="B66"/>
      <c r="C66" s="142"/>
      <c r="D66"/>
      <c r="E66"/>
      <c r="F66" s="95"/>
      <c r="G66" s="8"/>
      <c r="H66" s="17"/>
      <c r="I66" s="124"/>
      <c r="J66" s="137"/>
      <c r="K66" s="308"/>
      <c r="L66" s="308"/>
      <c r="M66" s="308"/>
      <c r="N66" s="308"/>
      <c r="O66" s="308"/>
      <c r="P66" s="56"/>
    </row>
    <row r="67" spans="1:16" s="7" customFormat="1" ht="13.5">
      <c r="A67" s="26"/>
      <c r="B67"/>
      <c r="C67" s="142"/>
      <c r="D67"/>
      <c r="E67"/>
      <c r="F67" s="95"/>
      <c r="G67" s="8"/>
      <c r="H67" s="17"/>
      <c r="I67" s="124"/>
      <c r="J67" s="137"/>
      <c r="K67" s="308"/>
      <c r="L67" s="308"/>
      <c r="M67" s="308"/>
      <c r="N67" s="308"/>
      <c r="O67" s="308"/>
      <c r="P67" s="56"/>
    </row>
    <row r="68" spans="1:16" s="7" customFormat="1" ht="13.5">
      <c r="A68" s="26"/>
      <c r="B68"/>
      <c r="C68" s="142"/>
      <c r="D68"/>
      <c r="E68"/>
      <c r="F68" s="95"/>
      <c r="G68" s="8"/>
      <c r="H68" s="17"/>
      <c r="I68" s="124"/>
      <c r="J68" s="137"/>
      <c r="K68" s="309"/>
      <c r="L68" s="309"/>
      <c r="M68" s="309"/>
      <c r="N68" s="309"/>
      <c r="O68" s="309"/>
      <c r="P68" s="56"/>
    </row>
    <row r="69" spans="1:16" s="7" customFormat="1" ht="13.5">
      <c r="A69" s="26"/>
      <c r="B69"/>
      <c r="C69" s="142"/>
      <c r="D69"/>
      <c r="E69"/>
      <c r="F69" s="95"/>
      <c r="G69" s="8"/>
      <c r="H69" s="302" t="s">
        <v>42</v>
      </c>
      <c r="I69" s="303"/>
      <c r="J69" s="303"/>
      <c r="K69" s="303"/>
      <c r="L69" s="303"/>
      <c r="M69" s="303"/>
      <c r="N69" s="303"/>
      <c r="O69" s="303"/>
      <c r="P69" s="56"/>
    </row>
    <row r="70" spans="1:16" s="19" customFormat="1" ht="15">
      <c r="A70" s="26"/>
      <c r="B70"/>
      <c r="C70" s="142"/>
      <c r="D70"/>
      <c r="E70"/>
      <c r="F70" s="95"/>
      <c r="G70" s="23"/>
      <c r="H70" s="303"/>
      <c r="I70" s="303"/>
      <c r="J70" s="303"/>
      <c r="K70" s="303"/>
      <c r="L70" s="303"/>
      <c r="M70" s="303"/>
      <c r="N70" s="303"/>
      <c r="O70" s="303"/>
      <c r="P70" s="56"/>
    </row>
    <row r="71" spans="1:16" s="19" customFormat="1" ht="15">
      <c r="A71" s="26"/>
      <c r="B71"/>
      <c r="C71" s="142"/>
      <c r="D71"/>
      <c r="E71"/>
      <c r="F71" s="95"/>
      <c r="G71" s="18"/>
      <c r="H71" s="303"/>
      <c r="I71" s="303"/>
      <c r="J71" s="303"/>
      <c r="K71" s="303"/>
      <c r="L71" s="303"/>
      <c r="M71" s="303"/>
      <c r="N71" s="303"/>
      <c r="O71" s="303"/>
      <c r="P71" s="56"/>
    </row>
    <row r="72" spans="1:16" s="19" customFormat="1" ht="15">
      <c r="A72" s="26"/>
      <c r="B72"/>
      <c r="C72" s="142"/>
      <c r="D72"/>
      <c r="E72"/>
      <c r="F72" s="95"/>
      <c r="G72" s="18"/>
      <c r="H72" s="303"/>
      <c r="I72" s="303"/>
      <c r="J72" s="303"/>
      <c r="K72" s="303"/>
      <c r="L72" s="303"/>
      <c r="M72" s="303"/>
      <c r="N72" s="303"/>
      <c r="O72" s="303"/>
      <c r="P72" s="56"/>
    </row>
    <row r="73" spans="1:16" s="19" customFormat="1" ht="15">
      <c r="A73" s="26"/>
      <c r="B73"/>
      <c r="C73" s="142"/>
      <c r="D73"/>
      <c r="E73"/>
      <c r="F73" s="95"/>
      <c r="G73" s="18"/>
      <c r="H73" s="303"/>
      <c r="I73" s="303"/>
      <c r="J73" s="303"/>
      <c r="K73" s="303"/>
      <c r="L73" s="303"/>
      <c r="M73" s="303"/>
      <c r="N73" s="303"/>
      <c r="O73" s="303"/>
      <c r="P73" s="56"/>
    </row>
    <row r="74" spans="1:16" s="19" customFormat="1" ht="15">
      <c r="A74" s="26"/>
      <c r="B74"/>
      <c r="C74" s="142"/>
      <c r="D74"/>
      <c r="E74"/>
      <c r="F74" s="95"/>
      <c r="G74" s="18"/>
      <c r="H74" s="303"/>
      <c r="I74" s="303"/>
      <c r="J74" s="303"/>
      <c r="K74" s="303"/>
      <c r="L74" s="303"/>
      <c r="M74" s="303"/>
      <c r="N74" s="303"/>
      <c r="O74" s="303"/>
      <c r="P74" s="56"/>
    </row>
    <row r="75" spans="1:16" s="19" customFormat="1" ht="15">
      <c r="A75" s="26"/>
      <c r="B75"/>
      <c r="C75" s="142"/>
      <c r="D75"/>
      <c r="E75"/>
      <c r="F75" s="95"/>
      <c r="G75" s="18"/>
      <c r="H75" s="304" t="s">
        <v>16</v>
      </c>
      <c r="I75" s="303"/>
      <c r="J75" s="303"/>
      <c r="K75" s="303"/>
      <c r="L75" s="303"/>
      <c r="M75" s="303"/>
      <c r="N75" s="303"/>
      <c r="O75" s="303"/>
      <c r="P75" s="56"/>
    </row>
    <row r="76" spans="1:16" s="19" customFormat="1" ht="15">
      <c r="A76" s="26"/>
      <c r="B76"/>
      <c r="C76" s="142"/>
      <c r="D76"/>
      <c r="E76"/>
      <c r="F76" s="95"/>
      <c r="G76" s="18"/>
      <c r="H76" s="303"/>
      <c r="I76" s="303"/>
      <c r="J76" s="303"/>
      <c r="K76" s="303"/>
      <c r="L76" s="303"/>
      <c r="M76" s="303"/>
      <c r="N76" s="303"/>
      <c r="O76" s="303"/>
      <c r="P76" s="56"/>
    </row>
    <row r="77" spans="1:16" s="19" customFormat="1" ht="15">
      <c r="A77" s="26"/>
      <c r="B77"/>
      <c r="C77" s="142"/>
      <c r="D77"/>
      <c r="E77"/>
      <c r="F77" s="95"/>
      <c r="G77" s="18"/>
      <c r="H77" s="303"/>
      <c r="I77" s="303"/>
      <c r="J77" s="303"/>
      <c r="K77" s="303"/>
      <c r="L77" s="303"/>
      <c r="M77" s="303"/>
      <c r="N77" s="303"/>
      <c r="O77" s="303"/>
      <c r="P77" s="56"/>
    </row>
    <row r="78" spans="1:16" s="19" customFormat="1" ht="15">
      <c r="A78" s="26"/>
      <c r="B78"/>
      <c r="C78" s="142"/>
      <c r="D78"/>
      <c r="E78"/>
      <c r="F78" s="95"/>
      <c r="G78" s="18"/>
      <c r="H78" s="303"/>
      <c r="I78" s="303"/>
      <c r="J78" s="303"/>
      <c r="K78" s="303"/>
      <c r="L78" s="303"/>
      <c r="M78" s="303"/>
      <c r="N78" s="303"/>
      <c r="O78" s="303"/>
      <c r="P78" s="56"/>
    </row>
    <row r="79" spans="1:16" s="19" customFormat="1" ht="15">
      <c r="A79" s="26"/>
      <c r="B79"/>
      <c r="C79" s="142"/>
      <c r="D79"/>
      <c r="E79"/>
      <c r="F79" s="95"/>
      <c r="G79" s="18"/>
      <c r="H79" s="303"/>
      <c r="I79" s="303"/>
      <c r="J79" s="303"/>
      <c r="K79" s="303"/>
      <c r="L79" s="303"/>
      <c r="M79" s="303"/>
      <c r="N79" s="303"/>
      <c r="O79" s="303"/>
      <c r="P79" s="56"/>
    </row>
    <row r="80" spans="1:16" s="19" customFormat="1" ht="15">
      <c r="A80" s="26"/>
      <c r="B80" s="27"/>
      <c r="C80" s="51"/>
      <c r="D80" s="27"/>
      <c r="E80" s="27"/>
      <c r="F80" s="75"/>
      <c r="G80" s="18"/>
      <c r="H80" s="303"/>
      <c r="I80" s="303"/>
      <c r="J80" s="303"/>
      <c r="K80" s="303"/>
      <c r="L80" s="303"/>
      <c r="M80" s="303"/>
      <c r="N80" s="303"/>
      <c r="O80" s="303"/>
      <c r="P80" s="56"/>
    </row>
    <row r="81" spans="1:16" s="19" customFormat="1" ht="15">
      <c r="A81" s="26"/>
      <c r="B81" s="27"/>
      <c r="C81" s="51"/>
      <c r="D81" s="27"/>
      <c r="E81" s="27"/>
      <c r="F81" s="75"/>
      <c r="G81" s="18"/>
      <c r="H81" s="303"/>
      <c r="I81" s="303"/>
      <c r="J81" s="303"/>
      <c r="K81" s="303"/>
      <c r="L81" s="303"/>
      <c r="M81" s="303"/>
      <c r="N81" s="303"/>
      <c r="O81" s="303"/>
      <c r="P81" s="56"/>
    </row>
    <row r="82" spans="1:16" s="19" customFormat="1" ht="15">
      <c r="A82" s="26"/>
      <c r="B82" s="27"/>
      <c r="C82" s="51"/>
      <c r="D82" s="27"/>
      <c r="E82" s="27"/>
      <c r="F82" s="75"/>
      <c r="G82" s="18"/>
      <c r="H82" s="75"/>
      <c r="I82" s="126"/>
      <c r="J82" s="138"/>
      <c r="K82" s="89"/>
      <c r="L82" s="76"/>
      <c r="M82" s="131"/>
      <c r="N82" s="140"/>
      <c r="O82" s="76"/>
      <c r="P82" s="56"/>
    </row>
    <row r="83" spans="1:16" s="19" customFormat="1" ht="15">
      <c r="A83" s="26"/>
      <c r="B83" s="27"/>
      <c r="C83" s="51"/>
      <c r="D83" s="27"/>
      <c r="E83" s="27"/>
      <c r="F83" s="75"/>
      <c r="G83" s="18"/>
      <c r="H83" s="75"/>
      <c r="I83" s="126"/>
      <c r="J83" s="138"/>
      <c r="K83" s="89"/>
      <c r="L83" s="76"/>
      <c r="M83" s="131"/>
      <c r="N83" s="140"/>
      <c r="O83" s="76"/>
      <c r="P83" s="56"/>
    </row>
    <row r="84" spans="2:6" ht="18">
      <c r="B84" s="27"/>
      <c r="C84" s="51"/>
      <c r="D84" s="27"/>
      <c r="E84" s="27"/>
      <c r="F84" s="75"/>
    </row>
    <row r="85" spans="2:6" ht="18">
      <c r="B85" s="27"/>
      <c r="C85" s="51"/>
      <c r="D85" s="27"/>
      <c r="E85" s="27"/>
      <c r="F85" s="75"/>
    </row>
    <row r="86" spans="2:15" ht="18">
      <c r="B86" s="27"/>
      <c r="C86" s="51"/>
      <c r="D86" s="27"/>
      <c r="E86" s="27"/>
      <c r="F86" s="75"/>
      <c r="G86" s="75"/>
      <c r="H86" s="75"/>
      <c r="I86" s="126"/>
      <c r="J86" s="138"/>
      <c r="K86" s="89"/>
      <c r="L86" s="76"/>
      <c r="M86" s="132"/>
      <c r="N86" s="141"/>
      <c r="O86" s="76"/>
    </row>
    <row r="87" spans="2:15" ht="18">
      <c r="B87" s="27"/>
      <c r="C87" s="51"/>
      <c r="D87" s="27"/>
      <c r="E87" s="27"/>
      <c r="F87" s="75"/>
      <c r="G87" s="75"/>
      <c r="H87" s="75"/>
      <c r="I87" s="126"/>
      <c r="J87" s="138"/>
      <c r="K87" s="89"/>
      <c r="L87" s="76"/>
      <c r="M87" s="132"/>
      <c r="N87" s="141"/>
      <c r="O87" s="76"/>
    </row>
    <row r="88" spans="2:15" ht="18">
      <c r="B88" s="27"/>
      <c r="C88" s="51"/>
      <c r="D88" s="27"/>
      <c r="E88" s="27"/>
      <c r="F88" s="75"/>
      <c r="G88" s="75"/>
      <c r="H88" s="75"/>
      <c r="I88" s="126"/>
      <c r="J88" s="138"/>
      <c r="K88" s="89"/>
      <c r="L88" s="76"/>
      <c r="M88" s="132"/>
      <c r="N88" s="141"/>
      <c r="O88" s="76"/>
    </row>
    <row r="89" spans="2:15" ht="18">
      <c r="B89" s="27"/>
      <c r="C89" s="51"/>
      <c r="D89" s="27"/>
      <c r="E89" s="27"/>
      <c r="F89" s="75"/>
      <c r="G89" s="75"/>
      <c r="H89" s="75"/>
      <c r="I89" s="126"/>
      <c r="J89" s="138"/>
      <c r="K89" s="89"/>
      <c r="L89" s="76"/>
      <c r="M89" s="132"/>
      <c r="N89" s="141"/>
      <c r="O89" s="76"/>
    </row>
    <row r="90" spans="2:15" ht="18">
      <c r="B90" s="27"/>
      <c r="C90" s="51"/>
      <c r="D90" s="27"/>
      <c r="E90" s="27"/>
      <c r="F90" s="75"/>
      <c r="G90" s="75"/>
      <c r="H90" s="75"/>
      <c r="I90" s="126"/>
      <c r="J90" s="138"/>
      <c r="K90" s="89"/>
      <c r="L90" s="76"/>
      <c r="M90" s="132"/>
      <c r="N90" s="141"/>
      <c r="O90" s="76"/>
    </row>
    <row r="91" spans="2:15" ht="18">
      <c r="B91" s="27"/>
      <c r="C91" s="51"/>
      <c r="D91" s="27"/>
      <c r="E91" s="27"/>
      <c r="F91" s="75"/>
      <c r="G91" s="75"/>
      <c r="H91" s="75"/>
      <c r="I91" s="126"/>
      <c r="J91" s="138"/>
      <c r="K91" s="89"/>
      <c r="L91" s="76"/>
      <c r="M91" s="132"/>
      <c r="N91" s="141"/>
      <c r="O91" s="76"/>
    </row>
    <row r="92" spans="2:15" ht="18">
      <c r="B92" s="27"/>
      <c r="C92" s="51"/>
      <c r="D92" s="27"/>
      <c r="E92" s="27"/>
      <c r="F92" s="75"/>
      <c r="G92" s="75"/>
      <c r="H92" s="75"/>
      <c r="I92" s="126"/>
      <c r="J92" s="138"/>
      <c r="K92" s="89"/>
      <c r="L92" s="76"/>
      <c r="M92" s="132"/>
      <c r="N92" s="141"/>
      <c r="O92" s="76"/>
    </row>
    <row r="93" spans="2:15" ht="18">
      <c r="B93" s="27"/>
      <c r="C93" s="51"/>
      <c r="D93" s="27"/>
      <c r="E93" s="27"/>
      <c r="F93" s="75"/>
      <c r="G93" s="75"/>
      <c r="H93" s="75"/>
      <c r="I93" s="126"/>
      <c r="J93" s="138"/>
      <c r="K93" s="89"/>
      <c r="L93" s="76"/>
      <c r="M93" s="132"/>
      <c r="N93" s="141"/>
      <c r="O93" s="76"/>
    </row>
    <row r="94" spans="7:15" ht="18">
      <c r="G94" s="75"/>
      <c r="H94" s="75"/>
      <c r="I94" s="126"/>
      <c r="J94" s="138"/>
      <c r="K94" s="89"/>
      <c r="L94" s="76"/>
      <c r="M94" s="132"/>
      <c r="N94" s="141"/>
      <c r="O94" s="76"/>
    </row>
    <row r="95" spans="7:15" ht="18">
      <c r="G95" s="75"/>
      <c r="H95" s="75"/>
      <c r="I95" s="126"/>
      <c r="J95" s="138"/>
      <c r="K95" s="89"/>
      <c r="L95" s="76"/>
      <c r="M95" s="132"/>
      <c r="N95" s="141"/>
      <c r="O95" s="76"/>
    </row>
    <row r="96" spans="7:15" ht="18">
      <c r="G96" s="75"/>
      <c r="H96" s="75"/>
      <c r="I96" s="126"/>
      <c r="J96" s="138"/>
      <c r="K96" s="89"/>
      <c r="L96" s="76"/>
      <c r="M96" s="132"/>
      <c r="N96" s="141"/>
      <c r="O96" s="76"/>
    </row>
    <row r="97" spans="7:15" ht="18">
      <c r="G97" s="75"/>
      <c r="H97" s="75"/>
      <c r="I97" s="126"/>
      <c r="J97" s="138"/>
      <c r="K97" s="89"/>
      <c r="L97" s="76"/>
      <c r="M97" s="132"/>
      <c r="N97" s="141"/>
      <c r="O97" s="76"/>
    </row>
    <row r="98" spans="7:15" ht="18">
      <c r="G98" s="75"/>
      <c r="H98" s="75"/>
      <c r="I98" s="126"/>
      <c r="J98" s="138"/>
      <c r="K98" s="89"/>
      <c r="L98" s="76"/>
      <c r="M98" s="132"/>
      <c r="N98" s="141"/>
      <c r="O98" s="76"/>
    </row>
    <row r="99" spans="7:15" ht="18">
      <c r="G99" s="75"/>
      <c r="H99" s="75"/>
      <c r="I99" s="126"/>
      <c r="J99" s="138"/>
      <c r="K99" s="89"/>
      <c r="L99" s="76"/>
      <c r="M99" s="132"/>
      <c r="N99" s="141"/>
      <c r="O99" s="76"/>
    </row>
  </sheetData>
  <sheetProtection insertRows="0" deleteRows="0" sort="0"/>
  <mergeCells count="15">
    <mergeCell ref="D3:D4"/>
    <mergeCell ref="H3:H4"/>
    <mergeCell ref="I3:L3"/>
    <mergeCell ref="C3:C4"/>
    <mergeCell ref="E3:E4"/>
    <mergeCell ref="H69:O74"/>
    <mergeCell ref="H75:O81"/>
    <mergeCell ref="A63:B63"/>
    <mergeCell ref="K65:O67"/>
    <mergeCell ref="K68:O68"/>
    <mergeCell ref="A2:O2"/>
    <mergeCell ref="M3:O3"/>
    <mergeCell ref="G3:G4"/>
    <mergeCell ref="F3:F4"/>
    <mergeCell ref="B3:B4"/>
  </mergeCells>
  <printOptions horizontalCentered="1" verticalCentered="1"/>
  <pageMargins left="0.53" right="0.19" top="0.5905511811023623" bottom="0.5" header="0.5118110236220472" footer="0.45"/>
  <pageSetup orientation="portrait" paperSize="9" scale="45" r:id="rId2"/>
  <ignoredErrors>
    <ignoredError sqref="N61 F15:J61 K15:K36" numberStoredAsText="1"/>
    <ignoredError sqref="N15:N60 M61 L37:L61 L15:L36 K37:K61 M15:M60 M14" numberStoredAsText="1" unlockedFormula="1"/>
    <ignoredError sqref="N12:N14 M12:M13" unlockedFormula="1"/>
    <ignoredError sqref="M61 L37:L61 L15:L36 K37:K61" numberStoredAsText="1" formula="1"/>
    <ignoredError sqref="M15:M60" numberStoredAsText="1" formula="1" unlockedFormula="1"/>
    <ignoredError sqref="M14" formula="1" unlockedFormula="1"/>
    <ignoredError sqref="M62 K62:L62 L14 O10:O62" formula="1"/>
  </ignoredErrors>
  <drawing r:id="rId1"/>
</worksheet>
</file>

<file path=xl/worksheets/sheet2.xml><?xml version="1.0" encoding="utf-8"?>
<worksheet xmlns="http://schemas.openxmlformats.org/spreadsheetml/2006/main" xmlns:r="http://schemas.openxmlformats.org/officeDocument/2006/relationships">
  <dimension ref="A1:N10"/>
  <sheetViews>
    <sheetView zoomScalePageLayoutView="0" workbookViewId="0" topLeftCell="A1">
      <selection activeCell="A1" sqref="A1:J1"/>
    </sheetView>
  </sheetViews>
  <sheetFormatPr defaultColWidth="13.28125" defaultRowHeight="12.75"/>
  <cols>
    <col min="1" max="1" width="3.8515625" style="34" bestFit="1" customWidth="1"/>
    <col min="2" max="2" width="62.140625" style="32" bestFit="1" customWidth="1"/>
    <col min="3" max="3" width="10.7109375" style="24" customWidth="1"/>
    <col min="4" max="4" width="19.7109375" style="24" bestFit="1" customWidth="1"/>
    <col min="5" max="5" width="24.00390625" style="24" bestFit="1" customWidth="1"/>
    <col min="6" max="6" width="7.421875" style="24" bestFit="1" customWidth="1"/>
    <col min="7" max="7" width="10.00390625" style="24" customWidth="1"/>
    <col min="8" max="8" width="16.57421875" style="143" bestFit="1" customWidth="1"/>
    <col min="9" max="9" width="12.28125" style="79" bestFit="1" customWidth="1"/>
    <col min="10" max="10" width="7.421875" style="33" customWidth="1"/>
    <col min="11" max="11" width="16.28125" style="298" bestFit="1" customWidth="1"/>
    <col min="12" max="12" width="13.140625" style="69" customWidth="1"/>
    <col min="13" max="13" width="15.140625" style="72" bestFit="1" customWidth="1"/>
    <col min="14" max="14" width="11.00390625" style="69" bestFit="1" customWidth="1"/>
    <col min="15" max="16" width="8.8515625" style="0" customWidth="1"/>
    <col min="17" max="16384" width="13.28125" style="32" customWidth="1"/>
  </cols>
  <sheetData>
    <row r="1" spans="1:14" s="30" customFormat="1" ht="81.75" customHeight="1" thickBot="1">
      <c r="A1" s="332" t="s">
        <v>136</v>
      </c>
      <c r="B1" s="332"/>
      <c r="C1" s="332"/>
      <c r="D1" s="332"/>
      <c r="E1" s="332"/>
      <c r="F1" s="332"/>
      <c r="G1" s="332"/>
      <c r="H1" s="332"/>
      <c r="I1" s="332"/>
      <c r="J1" s="332"/>
      <c r="K1" s="295"/>
      <c r="L1" s="74"/>
      <c r="M1" s="73"/>
      <c r="N1" s="74"/>
    </row>
    <row r="2" spans="1:14" s="31" customFormat="1" ht="14.25">
      <c r="A2" s="35"/>
      <c r="B2" s="325" t="s">
        <v>26</v>
      </c>
      <c r="C2" s="325" t="s">
        <v>45</v>
      </c>
      <c r="D2" s="325" t="s">
        <v>132</v>
      </c>
      <c r="E2" s="325" t="s">
        <v>131</v>
      </c>
      <c r="F2" s="318" t="s">
        <v>28</v>
      </c>
      <c r="G2" s="318" t="s">
        <v>46</v>
      </c>
      <c r="H2" s="328" t="s">
        <v>30</v>
      </c>
      <c r="I2" s="329"/>
      <c r="J2" s="330" t="s">
        <v>47</v>
      </c>
      <c r="K2" s="296"/>
      <c r="L2" s="67"/>
      <c r="M2" s="70"/>
      <c r="N2" s="67"/>
    </row>
    <row r="3" spans="1:14" s="31" customFormat="1" ht="33" customHeight="1" thickBot="1">
      <c r="A3" s="53"/>
      <c r="B3" s="326"/>
      <c r="C3" s="326"/>
      <c r="D3" s="326"/>
      <c r="E3" s="326"/>
      <c r="F3" s="327"/>
      <c r="G3" s="327"/>
      <c r="H3" s="103" t="s">
        <v>48</v>
      </c>
      <c r="I3" s="29" t="s">
        <v>20</v>
      </c>
      <c r="J3" s="331"/>
      <c r="K3" s="296"/>
      <c r="L3" s="67"/>
      <c r="M3" s="70"/>
      <c r="N3" s="67"/>
    </row>
    <row r="4" spans="1:14" s="31" customFormat="1" ht="15">
      <c r="A4" s="278">
        <v>1</v>
      </c>
      <c r="B4" s="280" t="s">
        <v>139</v>
      </c>
      <c r="C4" s="281">
        <v>39451</v>
      </c>
      <c r="D4" s="282" t="s">
        <v>81</v>
      </c>
      <c r="E4" s="282" t="s">
        <v>140</v>
      </c>
      <c r="F4" s="299">
        <v>22</v>
      </c>
      <c r="G4" s="300">
        <v>1</v>
      </c>
      <c r="H4" s="283">
        <v>171603</v>
      </c>
      <c r="I4" s="284">
        <v>16598</v>
      </c>
      <c r="J4" s="285">
        <f>H4/I4</f>
        <v>10.338775756115195</v>
      </c>
      <c r="K4" s="297">
        <v>1</v>
      </c>
      <c r="L4" s="82"/>
      <c r="M4" s="81"/>
      <c r="N4" s="82"/>
    </row>
    <row r="5" spans="1:14" s="31" customFormat="1" ht="15">
      <c r="A5" s="278">
        <v>2</v>
      </c>
      <c r="B5" s="58" t="s">
        <v>141</v>
      </c>
      <c r="C5" s="43">
        <v>39451</v>
      </c>
      <c r="D5" s="48" t="s">
        <v>18</v>
      </c>
      <c r="E5" s="47" t="s">
        <v>74</v>
      </c>
      <c r="F5" s="102">
        <v>25</v>
      </c>
      <c r="G5" s="102">
        <v>1</v>
      </c>
      <c r="H5" s="98">
        <v>132068.5</v>
      </c>
      <c r="I5" s="110">
        <v>13942</v>
      </c>
      <c r="J5" s="94">
        <f>+H5/I5</f>
        <v>9.47270836321905</v>
      </c>
      <c r="K5" s="297"/>
      <c r="L5" s="82"/>
      <c r="M5" s="81"/>
      <c r="N5" s="82"/>
    </row>
    <row r="6" spans="1:14" s="31" customFormat="1" ht="15.75" thickBot="1">
      <c r="A6" s="294">
        <v>3</v>
      </c>
      <c r="B6" s="114" t="s">
        <v>142</v>
      </c>
      <c r="C6" s="115">
        <v>39451</v>
      </c>
      <c r="D6" s="116" t="s">
        <v>18</v>
      </c>
      <c r="E6" s="116" t="s">
        <v>43</v>
      </c>
      <c r="F6" s="117">
        <v>9</v>
      </c>
      <c r="G6" s="117">
        <v>1</v>
      </c>
      <c r="H6" s="120">
        <v>39918.5</v>
      </c>
      <c r="I6" s="119">
        <v>3424</v>
      </c>
      <c r="J6" s="286">
        <f>+H6/I6</f>
        <v>11.658440420560748</v>
      </c>
      <c r="K6" s="297"/>
      <c r="L6" s="82"/>
      <c r="M6" s="81"/>
      <c r="N6" s="82"/>
    </row>
    <row r="7" spans="1:14" s="31" customFormat="1" ht="15.75" thickBot="1">
      <c r="A7" s="287">
        <v>4</v>
      </c>
      <c r="B7" s="288" t="s">
        <v>144</v>
      </c>
      <c r="C7" s="289">
        <v>39451</v>
      </c>
      <c r="D7" s="290" t="s">
        <v>78</v>
      </c>
      <c r="E7" s="290" t="s">
        <v>145</v>
      </c>
      <c r="F7" s="301" t="s">
        <v>21</v>
      </c>
      <c r="G7" s="301" t="s">
        <v>17</v>
      </c>
      <c r="H7" s="291">
        <v>6303.5</v>
      </c>
      <c r="I7" s="292">
        <v>634</v>
      </c>
      <c r="J7" s="293">
        <f>+H7/I7</f>
        <v>9.942429022082019</v>
      </c>
      <c r="K7" s="297"/>
      <c r="L7" s="84"/>
      <c r="M7" s="83"/>
      <c r="N7" s="84"/>
    </row>
    <row r="8" spans="1:14" s="50" customFormat="1" ht="15">
      <c r="A8" s="323" t="s">
        <v>62</v>
      </c>
      <c r="B8" s="324"/>
      <c r="C8" s="54"/>
      <c r="D8" s="54"/>
      <c r="E8" s="54"/>
      <c r="F8" s="55">
        <f>SUM(F4:F7)</f>
        <v>56</v>
      </c>
      <c r="G8" s="54"/>
      <c r="H8" s="160">
        <f>SUM(H4:H7)</f>
        <v>349893.5</v>
      </c>
      <c r="I8" s="161">
        <f>SUM(I4:I7)</f>
        <v>34598</v>
      </c>
      <c r="J8" s="279"/>
      <c r="K8" s="71"/>
      <c r="L8" s="68"/>
      <c r="M8" s="71"/>
      <c r="N8" s="68"/>
    </row>
    <row r="9" spans="1:10" ht="12.75">
      <c r="A9" s="272"/>
      <c r="B9" s="273"/>
      <c r="C9" s="274"/>
      <c r="D9" s="274"/>
      <c r="E9" s="274"/>
      <c r="F9" s="274"/>
      <c r="G9" s="274"/>
      <c r="H9" s="275"/>
      <c r="I9" s="276"/>
      <c r="J9" s="277"/>
    </row>
    <row r="10" spans="8:9" ht="12.75">
      <c r="H10" s="162"/>
      <c r="I10" s="163"/>
    </row>
  </sheetData>
  <sheetProtection/>
  <mergeCells count="10">
    <mergeCell ref="J2:J3"/>
    <mergeCell ref="A1:J1"/>
    <mergeCell ref="F2:F3"/>
    <mergeCell ref="E2:E3"/>
    <mergeCell ref="A8:B8"/>
    <mergeCell ref="B2:B3"/>
    <mergeCell ref="C2:C3"/>
    <mergeCell ref="D2:D3"/>
    <mergeCell ref="G2:G3"/>
    <mergeCell ref="H2:I2"/>
  </mergeCells>
  <printOptions/>
  <pageMargins left="0.87" right="0.58" top="0.63" bottom="0.76" header="0.11811023622047245" footer="0.5"/>
  <pageSetup orientation="portrait" paperSize="9" scale="80" r:id="rId1"/>
  <ignoredErrors>
    <ignoredError sqref="F7:G7" numberStoredAsText="1"/>
  </ignoredErrors>
</worksheet>
</file>

<file path=xl/worksheets/sheet3.xml><?xml version="1.0" encoding="utf-8"?>
<worksheet xmlns="http://schemas.openxmlformats.org/spreadsheetml/2006/main" xmlns:r="http://schemas.openxmlformats.org/officeDocument/2006/relationships">
  <dimension ref="A1:P75"/>
  <sheetViews>
    <sheetView zoomScalePageLayoutView="0" workbookViewId="0" topLeftCell="B1">
      <selection activeCell="B2" sqref="B2:B3"/>
    </sheetView>
  </sheetViews>
  <sheetFormatPr defaultColWidth="4.00390625" defaultRowHeight="12.75"/>
  <cols>
    <col min="1" max="1" width="3.140625" style="0" bestFit="1" customWidth="1"/>
    <col min="2" max="2" width="44.140625" style="0" bestFit="1" customWidth="1"/>
    <col min="3" max="3" width="10.140625" style="95" customWidth="1"/>
    <col min="4" max="4" width="12.7109375" style="0" bestFit="1" customWidth="1"/>
    <col min="5" max="5" width="14.8515625" style="0" bestFit="1" customWidth="1"/>
    <col min="6" max="6" width="6.140625" style="268" customWidth="1"/>
    <col min="7" max="7" width="7.140625" style="269" customWidth="1"/>
    <col min="8" max="8" width="9.00390625" style="95" customWidth="1"/>
    <col min="9" max="9" width="15.00390625" style="0" bestFit="1" customWidth="1"/>
    <col min="10" max="10" width="10.00390625" style="0" bestFit="1" customWidth="1"/>
    <col min="11" max="11" width="8.57421875" style="0" bestFit="1" customWidth="1"/>
    <col min="12" max="12" width="6.7109375" style="0" bestFit="1" customWidth="1"/>
    <col min="13" max="13" width="14.28125" style="0" bestFit="1" customWidth="1"/>
    <col min="14" max="14" width="10.28125" style="0" bestFit="1" customWidth="1"/>
    <col min="15" max="15" width="6.7109375" style="0" bestFit="1" customWidth="1"/>
    <col min="16" max="16" width="4.00390625" style="270" customWidth="1"/>
  </cols>
  <sheetData>
    <row r="1" spans="1:15" ht="33.75" thickBot="1">
      <c r="A1" s="336" t="s">
        <v>137</v>
      </c>
      <c r="B1" s="337"/>
      <c r="C1" s="337"/>
      <c r="D1" s="337"/>
      <c r="E1" s="337"/>
      <c r="F1" s="337"/>
      <c r="G1" s="337"/>
      <c r="H1" s="338"/>
      <c r="I1" s="338"/>
      <c r="J1" s="338"/>
      <c r="K1" s="338"/>
      <c r="L1" s="338"/>
      <c r="M1" s="338"/>
      <c r="N1" s="338"/>
      <c r="O1" s="338"/>
    </row>
    <row r="2" spans="1:16" s="219" customFormat="1" ht="14.25">
      <c r="A2" s="255"/>
      <c r="B2" s="340" t="s">
        <v>26</v>
      </c>
      <c r="C2" s="341" t="s">
        <v>27</v>
      </c>
      <c r="D2" s="333" t="s">
        <v>64</v>
      </c>
      <c r="E2" s="333" t="s">
        <v>63</v>
      </c>
      <c r="F2" s="335" t="s">
        <v>28</v>
      </c>
      <c r="G2" s="335" t="s">
        <v>35</v>
      </c>
      <c r="H2" s="345" t="s">
        <v>37</v>
      </c>
      <c r="I2" s="347" t="s">
        <v>29</v>
      </c>
      <c r="J2" s="347"/>
      <c r="K2" s="347"/>
      <c r="L2" s="347"/>
      <c r="M2" s="348" t="s">
        <v>30</v>
      </c>
      <c r="N2" s="348"/>
      <c r="O2" s="349"/>
      <c r="P2" s="271"/>
    </row>
    <row r="3" spans="1:16" s="219" customFormat="1" ht="46.5" customHeight="1" thickBot="1">
      <c r="A3" s="256"/>
      <c r="B3" s="334"/>
      <c r="C3" s="342"/>
      <c r="D3" s="334"/>
      <c r="E3" s="334"/>
      <c r="F3" s="334"/>
      <c r="G3" s="334"/>
      <c r="H3" s="346"/>
      <c r="I3" s="257" t="s">
        <v>31</v>
      </c>
      <c r="J3" s="258" t="s">
        <v>32</v>
      </c>
      <c r="K3" s="259" t="s">
        <v>44</v>
      </c>
      <c r="L3" s="260" t="s">
        <v>33</v>
      </c>
      <c r="M3" s="261" t="s">
        <v>31</v>
      </c>
      <c r="N3" s="258" t="s">
        <v>32</v>
      </c>
      <c r="O3" s="262" t="s">
        <v>34</v>
      </c>
      <c r="P3" s="271"/>
    </row>
    <row r="4" spans="1:16" ht="15">
      <c r="A4" s="104">
        <v>1</v>
      </c>
      <c r="B4" s="147" t="s">
        <v>102</v>
      </c>
      <c r="C4" s="52">
        <v>39430</v>
      </c>
      <c r="D4" s="148" t="s">
        <v>66</v>
      </c>
      <c r="E4" s="148" t="s">
        <v>76</v>
      </c>
      <c r="F4" s="149">
        <v>242</v>
      </c>
      <c r="G4" s="149">
        <v>185</v>
      </c>
      <c r="H4" s="149">
        <v>4</v>
      </c>
      <c r="I4" s="192">
        <v>1431289</v>
      </c>
      <c r="J4" s="193">
        <v>188081</v>
      </c>
      <c r="K4" s="194">
        <f>J4/G4</f>
        <v>1016.6540540540541</v>
      </c>
      <c r="L4" s="195">
        <f>+I4/J4</f>
        <v>7.609960602081018</v>
      </c>
      <c r="M4" s="196">
        <v>13067700</v>
      </c>
      <c r="N4" s="194">
        <v>1676072</v>
      </c>
      <c r="O4" s="197">
        <f>+M4/N4</f>
        <v>7.79662210215313</v>
      </c>
      <c r="P4" s="270">
        <v>1</v>
      </c>
    </row>
    <row r="5" spans="1:15" ht="15">
      <c r="A5" s="104">
        <v>2</v>
      </c>
      <c r="B5" s="58" t="s">
        <v>138</v>
      </c>
      <c r="C5" s="42">
        <v>39437</v>
      </c>
      <c r="D5" s="100" t="s">
        <v>66</v>
      </c>
      <c r="E5" s="100" t="s">
        <v>133</v>
      </c>
      <c r="F5" s="44">
        <v>137</v>
      </c>
      <c r="G5" s="44">
        <v>185</v>
      </c>
      <c r="H5" s="44">
        <v>2</v>
      </c>
      <c r="I5" s="99">
        <v>1396135</v>
      </c>
      <c r="J5" s="112">
        <v>158936</v>
      </c>
      <c r="K5" s="174">
        <f>J5/G5</f>
        <v>859.1135135135136</v>
      </c>
      <c r="L5" s="175">
        <f>+I5/J5</f>
        <v>8.784259072834349</v>
      </c>
      <c r="M5" s="176">
        <v>1396135</v>
      </c>
      <c r="N5" s="174">
        <v>158936</v>
      </c>
      <c r="O5" s="198">
        <f>+M5/N5</f>
        <v>8.784259072834349</v>
      </c>
    </row>
    <row r="6" spans="1:16" ht="15">
      <c r="A6" s="104">
        <v>3</v>
      </c>
      <c r="B6" s="58" t="s">
        <v>114</v>
      </c>
      <c r="C6" s="42">
        <v>39437</v>
      </c>
      <c r="D6" s="47" t="s">
        <v>67</v>
      </c>
      <c r="E6" s="47" t="s">
        <v>115</v>
      </c>
      <c r="F6" s="65">
        <v>156</v>
      </c>
      <c r="G6" s="44">
        <v>156</v>
      </c>
      <c r="H6" s="44">
        <v>3</v>
      </c>
      <c r="I6" s="99">
        <v>721829.5</v>
      </c>
      <c r="J6" s="112">
        <v>97288</v>
      </c>
      <c r="K6" s="177">
        <f>IF(I6&lt;&gt;0,J6/G6,"")</f>
        <v>623.6410256410256</v>
      </c>
      <c r="L6" s="178">
        <f>IF(I6&lt;&gt;0,I6/J6,"")</f>
        <v>7.419512170051805</v>
      </c>
      <c r="M6" s="176">
        <f>1780127+1212579.5+721829.5</f>
        <v>3714536</v>
      </c>
      <c r="N6" s="174">
        <f>240776+165120+97288</f>
        <v>503184</v>
      </c>
      <c r="O6" s="199">
        <f>IF(M6&lt;&gt;0,M6/N6,"")</f>
        <v>7.382063022671627</v>
      </c>
      <c r="P6" s="270">
        <v>1</v>
      </c>
    </row>
    <row r="7" spans="1:16" ht="15">
      <c r="A7" s="104">
        <v>4</v>
      </c>
      <c r="B7" s="57" t="s">
        <v>6</v>
      </c>
      <c r="C7" s="42">
        <v>39402</v>
      </c>
      <c r="D7" s="45" t="s">
        <v>61</v>
      </c>
      <c r="E7" s="45" t="s">
        <v>7</v>
      </c>
      <c r="F7" s="65">
        <v>165</v>
      </c>
      <c r="G7" s="65">
        <v>165</v>
      </c>
      <c r="H7" s="65">
        <v>8</v>
      </c>
      <c r="I7" s="111">
        <v>635116</v>
      </c>
      <c r="J7" s="145">
        <v>92002</v>
      </c>
      <c r="K7" s="177">
        <f>IF(I7&lt;&gt;0,J7/G7,"")</f>
        <v>557.5878787878788</v>
      </c>
      <c r="L7" s="178">
        <f>IF(I7&lt;&gt;0,I7/J7,"")</f>
        <v>6.90328471120193</v>
      </c>
      <c r="M7" s="179">
        <f>12736195.5+635116</f>
        <v>13371311.5</v>
      </c>
      <c r="N7" s="174">
        <f>271934+322135+339926+262189+150199+208899+146862+92002</f>
        <v>1794146</v>
      </c>
      <c r="O7" s="199">
        <f>IF(M7&lt;&gt;0,M7/N7,"")</f>
        <v>7.452744369744714</v>
      </c>
      <c r="P7" s="270">
        <v>1</v>
      </c>
    </row>
    <row r="8" spans="1:15" ht="15">
      <c r="A8" s="104">
        <v>5</v>
      </c>
      <c r="B8" s="58" t="s">
        <v>104</v>
      </c>
      <c r="C8" s="43">
        <v>39430</v>
      </c>
      <c r="D8" s="100" t="s">
        <v>66</v>
      </c>
      <c r="E8" s="100" t="s">
        <v>73</v>
      </c>
      <c r="F8" s="44">
        <v>137</v>
      </c>
      <c r="G8" s="44">
        <v>137</v>
      </c>
      <c r="H8" s="44">
        <v>4</v>
      </c>
      <c r="I8" s="99">
        <v>273087</v>
      </c>
      <c r="J8" s="112">
        <v>37482</v>
      </c>
      <c r="K8" s="174">
        <f aca="true" t="shared" si="0" ref="K8:K13">J8/G8</f>
        <v>273.59124087591243</v>
      </c>
      <c r="L8" s="175">
        <f>+I8/J8</f>
        <v>7.285817192252281</v>
      </c>
      <c r="M8" s="176">
        <v>3140871</v>
      </c>
      <c r="N8" s="174">
        <v>386657</v>
      </c>
      <c r="O8" s="198">
        <f aca="true" t="shared" si="1" ref="O8:O14">+M8/N8</f>
        <v>8.123145320012311</v>
      </c>
    </row>
    <row r="9" spans="1:15" ht="15">
      <c r="A9" s="104">
        <v>6</v>
      </c>
      <c r="B9" s="57" t="s">
        <v>124</v>
      </c>
      <c r="C9" s="42">
        <v>39444</v>
      </c>
      <c r="D9" s="46" t="s">
        <v>65</v>
      </c>
      <c r="E9" s="45" t="s">
        <v>76</v>
      </c>
      <c r="F9" s="65">
        <v>60</v>
      </c>
      <c r="G9" s="65">
        <v>60</v>
      </c>
      <c r="H9" s="65">
        <v>2</v>
      </c>
      <c r="I9" s="98">
        <v>90759</v>
      </c>
      <c r="J9" s="110">
        <v>9879</v>
      </c>
      <c r="K9" s="184">
        <f t="shared" si="0"/>
        <v>164.65</v>
      </c>
      <c r="L9" s="185">
        <f>I9/J9</f>
        <v>9.187063467962345</v>
      </c>
      <c r="M9" s="186">
        <f>211429+90759</f>
        <v>302188</v>
      </c>
      <c r="N9" s="187">
        <f>22982+9879</f>
        <v>32861</v>
      </c>
      <c r="O9" s="94">
        <f t="shared" si="1"/>
        <v>9.195946562794802</v>
      </c>
    </row>
    <row r="10" spans="1:15" ht="15">
      <c r="A10" s="104">
        <v>7</v>
      </c>
      <c r="B10" s="57" t="s">
        <v>96</v>
      </c>
      <c r="C10" s="42">
        <v>39416</v>
      </c>
      <c r="D10" s="46" t="s">
        <v>65</v>
      </c>
      <c r="E10" s="45" t="s">
        <v>36</v>
      </c>
      <c r="F10" s="65">
        <v>123</v>
      </c>
      <c r="G10" s="65">
        <v>22</v>
      </c>
      <c r="H10" s="65">
        <v>6</v>
      </c>
      <c r="I10" s="98">
        <v>84508</v>
      </c>
      <c r="J10" s="110">
        <v>7913</v>
      </c>
      <c r="K10" s="184">
        <f t="shared" si="0"/>
        <v>359.6818181818182</v>
      </c>
      <c r="L10" s="185">
        <f>I10/J10</f>
        <v>10.679641096929103</v>
      </c>
      <c r="M10" s="186">
        <f>155416+1136619+622980+528056+225392+174199+84508</f>
        <v>2927170</v>
      </c>
      <c r="N10" s="187">
        <f>12079+122083+66530+52286+18245+17821+7913</f>
        <v>296957</v>
      </c>
      <c r="O10" s="94">
        <f t="shared" si="1"/>
        <v>9.857218385153406</v>
      </c>
    </row>
    <row r="11" spans="1:15" ht="15">
      <c r="A11" s="104">
        <v>8</v>
      </c>
      <c r="B11" s="58" t="s">
        <v>116</v>
      </c>
      <c r="C11" s="42">
        <v>39437</v>
      </c>
      <c r="D11" s="100" t="s">
        <v>66</v>
      </c>
      <c r="E11" s="100" t="s">
        <v>69</v>
      </c>
      <c r="F11" s="44">
        <v>105</v>
      </c>
      <c r="G11" s="44">
        <v>105</v>
      </c>
      <c r="H11" s="44">
        <v>3</v>
      </c>
      <c r="I11" s="99">
        <v>82906</v>
      </c>
      <c r="J11" s="112">
        <v>10166</v>
      </c>
      <c r="K11" s="174">
        <f t="shared" si="0"/>
        <v>96.81904761904762</v>
      </c>
      <c r="L11" s="175">
        <f>+I11/J11</f>
        <v>8.15522329333071</v>
      </c>
      <c r="M11" s="176">
        <v>702583</v>
      </c>
      <c r="N11" s="174">
        <v>80340</v>
      </c>
      <c r="O11" s="198">
        <f t="shared" si="1"/>
        <v>8.74512073686831</v>
      </c>
    </row>
    <row r="12" spans="1:16" ht="15">
      <c r="A12" s="104">
        <v>9</v>
      </c>
      <c r="B12" s="59" t="s">
        <v>105</v>
      </c>
      <c r="C12" s="42">
        <v>39430</v>
      </c>
      <c r="D12" s="48" t="s">
        <v>25</v>
      </c>
      <c r="E12" s="48" t="s">
        <v>126</v>
      </c>
      <c r="F12" s="66" t="s">
        <v>106</v>
      </c>
      <c r="G12" s="66" t="s">
        <v>89</v>
      </c>
      <c r="H12" s="66" t="s">
        <v>111</v>
      </c>
      <c r="I12" s="98">
        <v>78213.2</v>
      </c>
      <c r="J12" s="110">
        <v>12336</v>
      </c>
      <c r="K12" s="184">
        <f t="shared" si="0"/>
        <v>342.6666666666667</v>
      </c>
      <c r="L12" s="185">
        <f>I12/J12</f>
        <v>6.340239948119326</v>
      </c>
      <c r="M12" s="186">
        <v>1212794.44</v>
      </c>
      <c r="N12" s="187">
        <v>153930</v>
      </c>
      <c r="O12" s="94">
        <f t="shared" si="1"/>
        <v>7.8788698759176246</v>
      </c>
      <c r="P12" s="270">
        <v>1</v>
      </c>
    </row>
    <row r="13" spans="1:15" ht="15">
      <c r="A13" s="104">
        <v>10</v>
      </c>
      <c r="B13" s="59" t="s">
        <v>130</v>
      </c>
      <c r="C13" s="43">
        <v>39444</v>
      </c>
      <c r="D13" s="48" t="s">
        <v>18</v>
      </c>
      <c r="E13" s="48" t="s">
        <v>15</v>
      </c>
      <c r="F13" s="101">
        <v>25</v>
      </c>
      <c r="G13" s="102">
        <v>23</v>
      </c>
      <c r="H13" s="101">
        <v>2</v>
      </c>
      <c r="I13" s="98">
        <v>65035.5</v>
      </c>
      <c r="J13" s="110">
        <v>6458</v>
      </c>
      <c r="K13" s="184">
        <f t="shared" si="0"/>
        <v>280.7826086956522</v>
      </c>
      <c r="L13" s="185">
        <f>I13/J13</f>
        <v>10.070532672654073</v>
      </c>
      <c r="M13" s="186">
        <v>230495.75</v>
      </c>
      <c r="N13" s="187">
        <v>22538</v>
      </c>
      <c r="O13" s="94">
        <f t="shared" si="1"/>
        <v>10.226983317064514</v>
      </c>
    </row>
    <row r="14" spans="1:15" ht="15">
      <c r="A14" s="104">
        <v>11</v>
      </c>
      <c r="B14" s="59" t="s">
        <v>125</v>
      </c>
      <c r="C14" s="42">
        <v>39444</v>
      </c>
      <c r="D14" s="48" t="s">
        <v>100</v>
      </c>
      <c r="E14" s="48" t="s">
        <v>100</v>
      </c>
      <c r="F14" s="60">
        <v>14</v>
      </c>
      <c r="G14" s="60">
        <v>14</v>
      </c>
      <c r="H14" s="60">
        <v>2</v>
      </c>
      <c r="I14" s="98">
        <v>51922</v>
      </c>
      <c r="J14" s="110">
        <v>4660</v>
      </c>
      <c r="K14" s="177">
        <f>+J14/G14</f>
        <v>332.85714285714283</v>
      </c>
      <c r="L14" s="178">
        <f>+I14/J14</f>
        <v>11.14206008583691</v>
      </c>
      <c r="M14" s="186">
        <v>203381</v>
      </c>
      <c r="N14" s="187">
        <v>18712</v>
      </c>
      <c r="O14" s="199">
        <f t="shared" si="1"/>
        <v>10.86901453612655</v>
      </c>
    </row>
    <row r="15" spans="1:15" ht="15">
      <c r="A15" s="104">
        <v>12</v>
      </c>
      <c r="B15" s="57" t="s">
        <v>101</v>
      </c>
      <c r="C15" s="42">
        <v>39423</v>
      </c>
      <c r="D15" s="45" t="s">
        <v>61</v>
      </c>
      <c r="E15" s="45" t="s">
        <v>56</v>
      </c>
      <c r="F15" s="65">
        <v>164</v>
      </c>
      <c r="G15" s="65">
        <v>66</v>
      </c>
      <c r="H15" s="65">
        <v>5</v>
      </c>
      <c r="I15" s="111">
        <v>45815.5</v>
      </c>
      <c r="J15" s="145">
        <v>8243</v>
      </c>
      <c r="K15" s="177">
        <f>IF(I15&lt;&gt;0,J15/G15,"")</f>
        <v>124.89393939393939</v>
      </c>
      <c r="L15" s="178">
        <f>IF(I15&lt;&gt;0,I15/J15,"")</f>
        <v>5.55810991144001</v>
      </c>
      <c r="M15" s="179">
        <f>1455428+896564.5+785700+295594.5+45815.5</f>
        <v>3479102.5</v>
      </c>
      <c r="N15" s="174">
        <f>172176+105411+97548+39201+8243</f>
        <v>422579</v>
      </c>
      <c r="O15" s="199">
        <f>IF(M15&lt;&gt;0,M15/N15,"")</f>
        <v>8.233022701080746</v>
      </c>
    </row>
    <row r="16" spans="1:15" ht="15">
      <c r="A16" s="104">
        <v>13</v>
      </c>
      <c r="B16" s="57" t="s">
        <v>143</v>
      </c>
      <c r="C16" s="42">
        <v>39437</v>
      </c>
      <c r="D16" s="46" t="s">
        <v>65</v>
      </c>
      <c r="E16" s="45" t="s">
        <v>54</v>
      </c>
      <c r="F16" s="65">
        <v>49</v>
      </c>
      <c r="G16" s="65">
        <v>41</v>
      </c>
      <c r="H16" s="65">
        <v>3</v>
      </c>
      <c r="I16" s="98">
        <v>36636</v>
      </c>
      <c r="J16" s="110">
        <v>4109</v>
      </c>
      <c r="K16" s="184">
        <f>J16/G16</f>
        <v>100.21951219512195</v>
      </c>
      <c r="L16" s="185">
        <f>I16/J16</f>
        <v>8.916037965441713</v>
      </c>
      <c r="M16" s="186">
        <f>265356+150950+36636</f>
        <v>452942</v>
      </c>
      <c r="N16" s="187">
        <f>28419+15898+4109</f>
        <v>48426</v>
      </c>
      <c r="O16" s="94">
        <f>+M16/N16</f>
        <v>9.353281295172016</v>
      </c>
    </row>
    <row r="17" spans="1:15" ht="15">
      <c r="A17" s="104">
        <v>14</v>
      </c>
      <c r="B17" s="58" t="s">
        <v>98</v>
      </c>
      <c r="C17" s="43">
        <v>39423</v>
      </c>
      <c r="D17" s="47" t="s">
        <v>67</v>
      </c>
      <c r="E17" s="47" t="s">
        <v>68</v>
      </c>
      <c r="F17" s="44">
        <v>40</v>
      </c>
      <c r="G17" s="44">
        <v>28</v>
      </c>
      <c r="H17" s="44">
        <v>5</v>
      </c>
      <c r="I17" s="99">
        <v>31631.5</v>
      </c>
      <c r="J17" s="112">
        <v>5745</v>
      </c>
      <c r="K17" s="177">
        <f>IF(I17&lt;&gt;0,J17/G17,"")</f>
        <v>205.17857142857142</v>
      </c>
      <c r="L17" s="178">
        <f>IF(I17&lt;&gt;0,I17/J17,"")</f>
        <v>5.5059181897302</v>
      </c>
      <c r="M17" s="176">
        <f>337397.5+246059+95618.5+43492.5+31631.5</f>
        <v>754199</v>
      </c>
      <c r="N17" s="174">
        <f>35596+24953+11024+7059+5745</f>
        <v>84377</v>
      </c>
      <c r="O17" s="199">
        <f>IF(M17&lt;&gt;0,M17/N17,"")</f>
        <v>8.938442940611779</v>
      </c>
    </row>
    <row r="18" spans="1:16" ht="15">
      <c r="A18" s="104">
        <v>15</v>
      </c>
      <c r="B18" s="58" t="s">
        <v>9</v>
      </c>
      <c r="C18" s="43">
        <v>39402</v>
      </c>
      <c r="D18" s="47" t="s">
        <v>67</v>
      </c>
      <c r="E18" s="47" t="s">
        <v>99</v>
      </c>
      <c r="F18" s="44">
        <v>125</v>
      </c>
      <c r="G18" s="44">
        <v>13</v>
      </c>
      <c r="H18" s="44">
        <v>8</v>
      </c>
      <c r="I18" s="99">
        <v>29355.5</v>
      </c>
      <c r="J18" s="112">
        <v>5300</v>
      </c>
      <c r="K18" s="177">
        <f>IF(I18&lt;&gt;0,J18/G18,"")</f>
        <v>407.6923076923077</v>
      </c>
      <c r="L18" s="178">
        <f>IF(I18&lt;&gt;0,I18/J18,"")</f>
        <v>5.538773584905661</v>
      </c>
      <c r="M18" s="176">
        <f>676439.5+554539.5+408532.5+265092+4+63975.5-30+36417+32233.5+29355.5</f>
        <v>2066559</v>
      </c>
      <c r="N18" s="174">
        <f>91933+76364+57186+39863+2+10711+6714+6020+5300</f>
        <v>294093</v>
      </c>
      <c r="O18" s="199">
        <f>IF(M18&lt;&gt;0,M18/N18,"")</f>
        <v>7.02688945333619</v>
      </c>
      <c r="P18" s="270">
        <v>1</v>
      </c>
    </row>
    <row r="19" spans="1:15" ht="15">
      <c r="A19" s="104">
        <v>16</v>
      </c>
      <c r="B19" s="58" t="s">
        <v>107</v>
      </c>
      <c r="C19" s="43">
        <v>39430</v>
      </c>
      <c r="D19" s="47" t="s">
        <v>67</v>
      </c>
      <c r="E19" s="47" t="s">
        <v>68</v>
      </c>
      <c r="F19" s="65">
        <v>64</v>
      </c>
      <c r="G19" s="44">
        <v>44</v>
      </c>
      <c r="H19" s="44">
        <v>4</v>
      </c>
      <c r="I19" s="99">
        <v>23763.5</v>
      </c>
      <c r="J19" s="112">
        <v>4128</v>
      </c>
      <c r="K19" s="177">
        <f>IF(I19&lt;&gt;0,J19/G19,"")</f>
        <v>93.81818181818181</v>
      </c>
      <c r="L19" s="178">
        <f>IF(I19&lt;&gt;0,I19/J19,"")</f>
        <v>5.756661821705427</v>
      </c>
      <c r="M19" s="176">
        <f>183581+192120.5+67824+23763.5</f>
        <v>467289</v>
      </c>
      <c r="N19" s="174">
        <f>20071+21989+8620+4128</f>
        <v>54808</v>
      </c>
      <c r="O19" s="199">
        <f>IF(M19&lt;&gt;0,M19/N19,"")</f>
        <v>8.52592687198949</v>
      </c>
    </row>
    <row r="20" spans="1:15" ht="15">
      <c r="A20" s="104">
        <v>17</v>
      </c>
      <c r="B20" s="59" t="s">
        <v>117</v>
      </c>
      <c r="C20" s="42">
        <v>39437</v>
      </c>
      <c r="D20" s="49" t="s">
        <v>72</v>
      </c>
      <c r="E20" s="49" t="s">
        <v>19</v>
      </c>
      <c r="F20" s="78">
        <v>17</v>
      </c>
      <c r="G20" s="78">
        <v>17</v>
      </c>
      <c r="H20" s="78">
        <v>3</v>
      </c>
      <c r="I20" s="113">
        <v>22482</v>
      </c>
      <c r="J20" s="118">
        <v>2440</v>
      </c>
      <c r="K20" s="188">
        <f>J20/G20</f>
        <v>143.52941176470588</v>
      </c>
      <c r="L20" s="189">
        <f>I20/J20</f>
        <v>9.213934426229509</v>
      </c>
      <c r="M20" s="190">
        <v>270743</v>
      </c>
      <c r="N20" s="188">
        <v>25328</v>
      </c>
      <c r="O20" s="201">
        <f>M20/N20</f>
        <v>10.689474099810486</v>
      </c>
    </row>
    <row r="21" spans="1:15" ht="15">
      <c r="A21" s="104">
        <v>18</v>
      </c>
      <c r="B21" s="58" t="s">
        <v>87</v>
      </c>
      <c r="C21" s="43">
        <v>39409</v>
      </c>
      <c r="D21" s="100" t="s">
        <v>66</v>
      </c>
      <c r="E21" s="100" t="s">
        <v>71</v>
      </c>
      <c r="F21" s="44">
        <v>55</v>
      </c>
      <c r="G21" s="44">
        <v>11</v>
      </c>
      <c r="H21" s="44">
        <v>7</v>
      </c>
      <c r="I21" s="99">
        <v>10990</v>
      </c>
      <c r="J21" s="112">
        <v>1940</v>
      </c>
      <c r="K21" s="174">
        <f>J21/G21</f>
        <v>176.36363636363637</v>
      </c>
      <c r="L21" s="175">
        <f>+I21/J21</f>
        <v>5.664948453608248</v>
      </c>
      <c r="M21" s="176">
        <v>1099808</v>
      </c>
      <c r="N21" s="174">
        <v>114498</v>
      </c>
      <c r="O21" s="198">
        <f>+M21/N21</f>
        <v>9.605477824940174</v>
      </c>
    </row>
    <row r="22" spans="1:15" ht="15">
      <c r="A22" s="104">
        <v>19</v>
      </c>
      <c r="B22" s="80" t="s">
        <v>90</v>
      </c>
      <c r="C22" s="63">
        <v>39416</v>
      </c>
      <c r="D22" s="93" t="s">
        <v>81</v>
      </c>
      <c r="E22" s="93" t="s">
        <v>59</v>
      </c>
      <c r="F22" s="91">
        <v>45</v>
      </c>
      <c r="G22" s="92">
        <v>10</v>
      </c>
      <c r="H22" s="92">
        <v>6</v>
      </c>
      <c r="I22" s="146">
        <v>6396.5</v>
      </c>
      <c r="J22" s="180">
        <v>1261</v>
      </c>
      <c r="K22" s="181">
        <v>92.17647058823529</v>
      </c>
      <c r="L22" s="182">
        <v>5.0644543714103385</v>
      </c>
      <c r="M22" s="183">
        <v>171628.5</v>
      </c>
      <c r="N22" s="191">
        <v>24962</v>
      </c>
      <c r="O22" s="200">
        <f>M22/N22</f>
        <v>6.875590898165211</v>
      </c>
    </row>
    <row r="23" spans="1:16" ht="15">
      <c r="A23" s="104">
        <v>20</v>
      </c>
      <c r="B23" s="58" t="s">
        <v>108</v>
      </c>
      <c r="C23" s="43">
        <v>39430</v>
      </c>
      <c r="D23" s="47" t="s">
        <v>67</v>
      </c>
      <c r="E23" s="47" t="s">
        <v>109</v>
      </c>
      <c r="F23" s="44">
        <v>43</v>
      </c>
      <c r="G23" s="44">
        <v>8</v>
      </c>
      <c r="H23" s="44">
        <v>4</v>
      </c>
      <c r="I23" s="99">
        <v>5207.5</v>
      </c>
      <c r="J23" s="112">
        <v>1171</v>
      </c>
      <c r="K23" s="177">
        <f>IF(I23&lt;&gt;0,J23/G23,"")</f>
        <v>146.375</v>
      </c>
      <c r="L23" s="178">
        <f>IF(I23&lt;&gt;0,I23/J23,"")</f>
        <v>4.447053800170794</v>
      </c>
      <c r="M23" s="176">
        <f>43240+25728.5+5226.5+5207.5</f>
        <v>79402.5</v>
      </c>
      <c r="N23" s="174">
        <f>5272+3593+870+1171</f>
        <v>10906</v>
      </c>
      <c r="O23" s="199">
        <f>IF(M23&lt;&gt;0,M23/N23,"")</f>
        <v>7.280625343847423</v>
      </c>
      <c r="P23" s="270">
        <v>1</v>
      </c>
    </row>
    <row r="24" spans="1:15" ht="15">
      <c r="A24" s="104">
        <v>21</v>
      </c>
      <c r="B24" s="57" t="s">
        <v>3</v>
      </c>
      <c r="C24" s="42">
        <v>39381</v>
      </c>
      <c r="D24" s="45" t="s">
        <v>61</v>
      </c>
      <c r="E24" s="45" t="s">
        <v>39</v>
      </c>
      <c r="F24" s="65">
        <v>91</v>
      </c>
      <c r="G24" s="65">
        <v>3</v>
      </c>
      <c r="H24" s="65">
        <v>11</v>
      </c>
      <c r="I24" s="111">
        <v>4126</v>
      </c>
      <c r="J24" s="145">
        <v>781</v>
      </c>
      <c r="K24" s="177">
        <f>IF(I24&lt;&gt;0,J24/G24,"")</f>
        <v>260.3333333333333</v>
      </c>
      <c r="L24" s="178">
        <f>IF(I24&lt;&gt;0,I24/J24,"")</f>
        <v>5.282970550576184</v>
      </c>
      <c r="M24" s="179">
        <f>964543+666618+447582+156310.5+90863+70894+37352.5+3350+1874+714.5+4126</f>
        <v>2444227.5</v>
      </c>
      <c r="N24" s="174">
        <f>104009+73251+49929+20007+15751+12767+7228+691+416+233+781</f>
        <v>285063</v>
      </c>
      <c r="O24" s="199">
        <f>IF(M24&lt;&gt;0,M24/N24,"")</f>
        <v>8.574341461361172</v>
      </c>
    </row>
    <row r="25" spans="1:15" ht="15">
      <c r="A25" s="104">
        <v>22</v>
      </c>
      <c r="B25" s="57" t="s">
        <v>5</v>
      </c>
      <c r="C25" s="42">
        <v>39402</v>
      </c>
      <c r="D25" s="46" t="s">
        <v>65</v>
      </c>
      <c r="E25" s="45" t="s">
        <v>36</v>
      </c>
      <c r="F25" s="65">
        <v>20</v>
      </c>
      <c r="G25" s="65">
        <v>6</v>
      </c>
      <c r="H25" s="65">
        <v>8</v>
      </c>
      <c r="I25" s="98">
        <v>3777</v>
      </c>
      <c r="J25" s="110">
        <v>663</v>
      </c>
      <c r="K25" s="184">
        <f>J25/G25</f>
        <v>110.5</v>
      </c>
      <c r="L25" s="185">
        <f>I25/J25</f>
        <v>5.6968325791855206</v>
      </c>
      <c r="M25" s="186">
        <f>8296+141704+66729+20126+11859+581+2076+3662+3777</f>
        <v>258810</v>
      </c>
      <c r="N25" s="187">
        <f>702+12499+6089+1727+1871+101+444+549+663</f>
        <v>24645</v>
      </c>
      <c r="O25" s="94">
        <f>+M25/N25</f>
        <v>10.501521606816798</v>
      </c>
    </row>
    <row r="26" spans="1:15" ht="15">
      <c r="A26" s="104">
        <v>23</v>
      </c>
      <c r="B26" s="57" t="s">
        <v>95</v>
      </c>
      <c r="C26" s="42">
        <v>39409</v>
      </c>
      <c r="D26" s="46" t="s">
        <v>65</v>
      </c>
      <c r="E26" s="45" t="s">
        <v>76</v>
      </c>
      <c r="F26" s="65">
        <v>69</v>
      </c>
      <c r="G26" s="65">
        <v>4</v>
      </c>
      <c r="H26" s="65">
        <v>7</v>
      </c>
      <c r="I26" s="98">
        <v>3613</v>
      </c>
      <c r="J26" s="110">
        <v>696</v>
      </c>
      <c r="K26" s="184">
        <f>J26/G26</f>
        <v>174</v>
      </c>
      <c r="L26" s="185">
        <f>I26/J26</f>
        <v>5.191091954022989</v>
      </c>
      <c r="M26" s="186">
        <f>387069+277494+166747+4993+4045+7291+3613</f>
        <v>851252</v>
      </c>
      <c r="N26" s="187">
        <f>37017+27892+17708+698+855+1523+696</f>
        <v>86389</v>
      </c>
      <c r="O26" s="94">
        <f>+M26/N26</f>
        <v>9.85370822674183</v>
      </c>
    </row>
    <row r="27" spans="1:15" ht="15">
      <c r="A27" s="104">
        <v>24</v>
      </c>
      <c r="B27" s="59" t="s">
        <v>146</v>
      </c>
      <c r="C27" s="42">
        <v>39423</v>
      </c>
      <c r="D27" s="48" t="s">
        <v>100</v>
      </c>
      <c r="E27" s="48" t="s">
        <v>100</v>
      </c>
      <c r="F27" s="60">
        <v>1</v>
      </c>
      <c r="G27" s="60">
        <v>1</v>
      </c>
      <c r="H27" s="60">
        <v>5</v>
      </c>
      <c r="I27" s="98">
        <v>3429</v>
      </c>
      <c r="J27" s="110">
        <v>317</v>
      </c>
      <c r="K27" s="177">
        <f>+J27/G27</f>
        <v>317</v>
      </c>
      <c r="L27" s="178">
        <f>+I27/J27</f>
        <v>10.817034700315457</v>
      </c>
      <c r="M27" s="186">
        <v>22339</v>
      </c>
      <c r="N27" s="187">
        <v>1936</v>
      </c>
      <c r="O27" s="199">
        <f>+M27/N27</f>
        <v>11.538739669421487</v>
      </c>
    </row>
    <row r="28" spans="1:15" ht="15">
      <c r="A28" s="104">
        <v>25</v>
      </c>
      <c r="B28" s="58" t="s">
        <v>91</v>
      </c>
      <c r="C28" s="43">
        <v>39416</v>
      </c>
      <c r="D28" s="47" t="s">
        <v>67</v>
      </c>
      <c r="E28" s="47" t="s">
        <v>1</v>
      </c>
      <c r="F28" s="44">
        <v>20</v>
      </c>
      <c r="G28" s="44">
        <v>3</v>
      </c>
      <c r="H28" s="44">
        <v>6</v>
      </c>
      <c r="I28" s="99">
        <v>3347</v>
      </c>
      <c r="J28" s="112">
        <v>396</v>
      </c>
      <c r="K28" s="177">
        <f>IF(I28&lt;&gt;0,J28/G28,"")</f>
        <v>132</v>
      </c>
      <c r="L28" s="178">
        <f>IF(I28&lt;&gt;0,I28/J28,"")</f>
        <v>8.452020202020202</v>
      </c>
      <c r="M28" s="176">
        <f>75692.5+51302+12584.5+2036+2909.5+3347</f>
        <v>147871.5</v>
      </c>
      <c r="N28" s="174">
        <f>7291+5230+1727+233+363+396</f>
        <v>15240</v>
      </c>
      <c r="O28" s="199">
        <f>IF(M28&lt;&gt;0,M28/N28,"")</f>
        <v>9.70285433070866</v>
      </c>
    </row>
    <row r="29" spans="1:15" ht="15">
      <c r="A29" s="104">
        <v>26</v>
      </c>
      <c r="B29" s="57" t="s">
        <v>12</v>
      </c>
      <c r="C29" s="42">
        <v>39402</v>
      </c>
      <c r="D29" s="46" t="s">
        <v>65</v>
      </c>
      <c r="E29" s="45" t="s">
        <v>76</v>
      </c>
      <c r="F29" s="65">
        <v>64</v>
      </c>
      <c r="G29" s="65">
        <v>1</v>
      </c>
      <c r="H29" s="65">
        <v>8</v>
      </c>
      <c r="I29" s="98">
        <v>3337</v>
      </c>
      <c r="J29" s="110">
        <v>358</v>
      </c>
      <c r="K29" s="184">
        <f>J29/G29</f>
        <v>358</v>
      </c>
      <c r="L29" s="185">
        <f>I29/J29</f>
        <v>9.32122905027933</v>
      </c>
      <c r="M29" s="186">
        <f>299858+213967+97347+22667+8568+16509+4053+3337</f>
        <v>666306</v>
      </c>
      <c r="N29" s="187">
        <f>33225+24189+12517+4002+2479+2973+867+358</f>
        <v>80610</v>
      </c>
      <c r="O29" s="94">
        <f>+M29/N29</f>
        <v>8.265798288053592</v>
      </c>
    </row>
    <row r="30" spans="1:15" ht="15">
      <c r="A30" s="104">
        <v>27</v>
      </c>
      <c r="B30" s="58" t="s">
        <v>8</v>
      </c>
      <c r="C30" s="43">
        <v>39402</v>
      </c>
      <c r="D30" s="100" t="s">
        <v>66</v>
      </c>
      <c r="E30" s="100" t="s">
        <v>103</v>
      </c>
      <c r="F30" s="44">
        <v>130</v>
      </c>
      <c r="G30" s="44">
        <v>21</v>
      </c>
      <c r="H30" s="44">
        <v>8</v>
      </c>
      <c r="I30" s="99">
        <v>3233</v>
      </c>
      <c r="J30" s="112">
        <v>645</v>
      </c>
      <c r="K30" s="174">
        <f>J30/G30</f>
        <v>30.714285714285715</v>
      </c>
      <c r="L30" s="175">
        <f>+I30/J30</f>
        <v>5.0124031007751935</v>
      </c>
      <c r="M30" s="176">
        <v>2076609</v>
      </c>
      <c r="N30" s="174">
        <v>260506</v>
      </c>
      <c r="O30" s="198">
        <f>+M30/N30</f>
        <v>7.971444035837946</v>
      </c>
    </row>
    <row r="31" spans="1:15" ht="15">
      <c r="A31" s="104">
        <v>28</v>
      </c>
      <c r="B31" s="59" t="s">
        <v>127</v>
      </c>
      <c r="C31" s="42">
        <v>39444</v>
      </c>
      <c r="D31" s="48" t="s">
        <v>25</v>
      </c>
      <c r="E31" s="48" t="s">
        <v>147</v>
      </c>
      <c r="F31" s="66" t="s">
        <v>122</v>
      </c>
      <c r="G31" s="66" t="s">
        <v>51</v>
      </c>
      <c r="H31" s="66" t="s">
        <v>24</v>
      </c>
      <c r="I31" s="98">
        <v>3171</v>
      </c>
      <c r="J31" s="110">
        <v>499</v>
      </c>
      <c r="K31" s="184">
        <f>J31/G31</f>
        <v>62.375</v>
      </c>
      <c r="L31" s="185">
        <f>I31/J31</f>
        <v>6.354709418837675</v>
      </c>
      <c r="M31" s="186">
        <v>18357.5</v>
      </c>
      <c r="N31" s="187">
        <v>2250</v>
      </c>
      <c r="O31" s="94">
        <f>+M31/N31</f>
        <v>8.158888888888889</v>
      </c>
    </row>
    <row r="32" spans="1:16" ht="15">
      <c r="A32" s="104">
        <v>29</v>
      </c>
      <c r="B32" s="58" t="s">
        <v>13</v>
      </c>
      <c r="C32" s="43">
        <v>39045</v>
      </c>
      <c r="D32" s="47" t="s">
        <v>67</v>
      </c>
      <c r="E32" s="47" t="s">
        <v>14</v>
      </c>
      <c r="F32" s="44">
        <v>59</v>
      </c>
      <c r="G32" s="44">
        <v>1</v>
      </c>
      <c r="H32" s="44">
        <v>32</v>
      </c>
      <c r="I32" s="99">
        <v>3021</v>
      </c>
      <c r="J32" s="112">
        <v>756</v>
      </c>
      <c r="K32" s="177">
        <f>IF(I32&lt;&gt;0,J32/G32,"")</f>
        <v>756</v>
      </c>
      <c r="L32" s="178">
        <f>IF(I32&lt;&gt;0,I32/J32,"")</f>
        <v>3.996031746031746</v>
      </c>
      <c r="M32" s="176">
        <f>923228.5+937012.5+950194+628448.5+336851+386155+185586+7528+78557+38487.5+19951.5+79+2267.5-1008+9203+2435+1210+836+3795.5+1284+1033+2376+108+8910+3564+10330+5034+2376+2376+972+2376+200+20659.5+1510.5+3021</f>
        <v>4576947.5</v>
      </c>
      <c r="N32" s="174">
        <f>117837+123027+120667+81172+47916+61261+32646+795+14471+9345+4644+35+561-336+1591+487+300+161+1018+303+241+475+13+2228+891+2583+1259+594+594+162+594+67+4132+378+756</f>
        <v>632868</v>
      </c>
      <c r="O32" s="199">
        <f>IF(M32&lt;&gt;0,M32/N32,"")</f>
        <v>7.232072880916716</v>
      </c>
      <c r="P32" s="270">
        <v>1</v>
      </c>
    </row>
    <row r="33" spans="1:15" ht="15">
      <c r="A33" s="104">
        <v>30</v>
      </c>
      <c r="B33" s="59" t="s">
        <v>93</v>
      </c>
      <c r="C33" s="43">
        <v>39416</v>
      </c>
      <c r="D33" s="48" t="s">
        <v>18</v>
      </c>
      <c r="E33" s="48" t="s">
        <v>49</v>
      </c>
      <c r="F33" s="101">
        <v>4</v>
      </c>
      <c r="G33" s="102">
        <v>4</v>
      </c>
      <c r="H33" s="101">
        <v>6</v>
      </c>
      <c r="I33" s="98">
        <v>2995</v>
      </c>
      <c r="J33" s="110">
        <v>518</v>
      </c>
      <c r="K33" s="184">
        <f>J33/G33</f>
        <v>129.5</v>
      </c>
      <c r="L33" s="185">
        <f>I33/J33</f>
        <v>5.781853281853282</v>
      </c>
      <c r="M33" s="186">
        <v>43169</v>
      </c>
      <c r="N33" s="187">
        <v>4604</v>
      </c>
      <c r="O33" s="94">
        <f>+M33/N33</f>
        <v>9.376411815812338</v>
      </c>
    </row>
    <row r="34" spans="1:15" ht="15">
      <c r="A34" s="104">
        <v>31</v>
      </c>
      <c r="B34" s="59" t="s">
        <v>40</v>
      </c>
      <c r="C34" s="43">
        <v>39381</v>
      </c>
      <c r="D34" s="48" t="s">
        <v>18</v>
      </c>
      <c r="E34" s="48" t="s">
        <v>41</v>
      </c>
      <c r="F34" s="101">
        <v>11</v>
      </c>
      <c r="G34" s="102">
        <v>4</v>
      </c>
      <c r="H34" s="101">
        <v>11</v>
      </c>
      <c r="I34" s="98">
        <v>2972</v>
      </c>
      <c r="J34" s="110">
        <v>542</v>
      </c>
      <c r="K34" s="184">
        <f>J34/G34</f>
        <v>135.5</v>
      </c>
      <c r="L34" s="185">
        <f>I34/J34</f>
        <v>5.483394833948339</v>
      </c>
      <c r="M34" s="186">
        <v>220410.7</v>
      </c>
      <c r="N34" s="187">
        <v>24789</v>
      </c>
      <c r="O34" s="94">
        <f>+M34/N34</f>
        <v>8.89147202388156</v>
      </c>
    </row>
    <row r="35" spans="1:15" ht="15">
      <c r="A35" s="104">
        <v>32</v>
      </c>
      <c r="B35" s="59" t="s">
        <v>118</v>
      </c>
      <c r="C35" s="42">
        <v>39437</v>
      </c>
      <c r="D35" s="48" t="s">
        <v>78</v>
      </c>
      <c r="E35" s="48" t="s">
        <v>53</v>
      </c>
      <c r="F35" s="66" t="s">
        <v>119</v>
      </c>
      <c r="G35" s="66" t="s">
        <v>23</v>
      </c>
      <c r="H35" s="66" t="s">
        <v>110</v>
      </c>
      <c r="I35" s="98">
        <v>2441.5</v>
      </c>
      <c r="J35" s="110">
        <v>412</v>
      </c>
      <c r="K35" s="184">
        <f>J35/G35</f>
        <v>41.2</v>
      </c>
      <c r="L35" s="185">
        <f>I35/J35</f>
        <v>5.925970873786408</v>
      </c>
      <c r="M35" s="186">
        <v>76642.5</v>
      </c>
      <c r="N35" s="187">
        <v>7945</v>
      </c>
      <c r="O35" s="94">
        <f>+M35/N35</f>
        <v>9.646633102580239</v>
      </c>
    </row>
    <row r="36" spans="1:15" ht="15">
      <c r="A36" s="104">
        <v>33</v>
      </c>
      <c r="B36" s="58" t="s">
        <v>148</v>
      </c>
      <c r="C36" s="43">
        <v>39444</v>
      </c>
      <c r="D36" s="47" t="s">
        <v>67</v>
      </c>
      <c r="E36" s="47" t="s">
        <v>128</v>
      </c>
      <c r="F36" s="65">
        <v>10</v>
      </c>
      <c r="G36" s="44">
        <v>8</v>
      </c>
      <c r="H36" s="44">
        <v>2</v>
      </c>
      <c r="I36" s="99">
        <v>1895</v>
      </c>
      <c r="J36" s="112">
        <v>200</v>
      </c>
      <c r="K36" s="177">
        <f>IF(I36&lt;&gt;0,J36/G36,"")</f>
        <v>25</v>
      </c>
      <c r="L36" s="178">
        <f>IF(I36&lt;&gt;0,I36/J36,"")</f>
        <v>9.475</v>
      </c>
      <c r="M36" s="176">
        <f>8804+1895</f>
        <v>10699</v>
      </c>
      <c r="N36" s="174">
        <f>970+200</f>
        <v>1170</v>
      </c>
      <c r="O36" s="199">
        <f>IF(M36&lt;&gt;0,M36/N36,"")</f>
        <v>9.144444444444444</v>
      </c>
    </row>
    <row r="37" spans="1:15" ht="15">
      <c r="A37" s="104">
        <v>34</v>
      </c>
      <c r="B37" s="59" t="s">
        <v>88</v>
      </c>
      <c r="C37" s="42">
        <v>39416</v>
      </c>
      <c r="D37" s="48" t="s">
        <v>78</v>
      </c>
      <c r="E37" s="48" t="s">
        <v>53</v>
      </c>
      <c r="F37" s="66" t="s">
        <v>89</v>
      </c>
      <c r="G37" s="66" t="s">
        <v>110</v>
      </c>
      <c r="H37" s="66" t="s">
        <v>123</v>
      </c>
      <c r="I37" s="98">
        <v>1534</v>
      </c>
      <c r="J37" s="110">
        <v>239</v>
      </c>
      <c r="K37" s="184">
        <f>J37/G37</f>
        <v>79.66666666666667</v>
      </c>
      <c r="L37" s="185">
        <f>I37/J37</f>
        <v>6.418410041841004</v>
      </c>
      <c r="M37" s="186">
        <v>258757</v>
      </c>
      <c r="N37" s="187">
        <v>27577</v>
      </c>
      <c r="O37" s="94">
        <f>+M37/N37</f>
        <v>9.383072850563876</v>
      </c>
    </row>
    <row r="38" spans="1:15" ht="15">
      <c r="A38" s="104">
        <v>35</v>
      </c>
      <c r="B38" s="58" t="s">
        <v>57</v>
      </c>
      <c r="C38" s="43">
        <v>39325</v>
      </c>
      <c r="D38" s="47" t="s">
        <v>83</v>
      </c>
      <c r="E38" s="47" t="s">
        <v>83</v>
      </c>
      <c r="F38" s="44">
        <v>41</v>
      </c>
      <c r="G38" s="44">
        <v>1</v>
      </c>
      <c r="H38" s="44">
        <v>14</v>
      </c>
      <c r="I38" s="99">
        <v>1464</v>
      </c>
      <c r="J38" s="112">
        <v>222</v>
      </c>
      <c r="K38" s="177">
        <f>IF(I38&lt;&gt;0,J38/G38,"")</f>
        <v>222</v>
      </c>
      <c r="L38" s="178">
        <f>IF(I38&lt;&gt;0,I38/J38,"")</f>
        <v>6.594594594594595</v>
      </c>
      <c r="M38" s="176">
        <f>134878+121098+57423.5+36002.5+21899.5+24766+21116+4712+2484+2133+1303+125+2376+1464</f>
        <v>431780.5</v>
      </c>
      <c r="N38" s="174">
        <f>16294+14776+7255+5972+3786+4702+3853+904+447+385+312+25+594+222</f>
        <v>59527</v>
      </c>
      <c r="O38" s="199">
        <f>IF(M38&lt;&gt;0,M38/N38,"")</f>
        <v>7.253523611134443</v>
      </c>
    </row>
    <row r="39" spans="1:15" ht="15">
      <c r="A39" s="104">
        <v>36</v>
      </c>
      <c r="B39" s="59" t="s">
        <v>121</v>
      </c>
      <c r="C39" s="43">
        <v>39437</v>
      </c>
      <c r="D39" s="48" t="s">
        <v>18</v>
      </c>
      <c r="E39" s="48" t="s">
        <v>55</v>
      </c>
      <c r="F39" s="101">
        <v>1</v>
      </c>
      <c r="G39" s="102">
        <v>1</v>
      </c>
      <c r="H39" s="101">
        <v>3</v>
      </c>
      <c r="I39" s="98">
        <v>1464</v>
      </c>
      <c r="J39" s="110">
        <v>173</v>
      </c>
      <c r="K39" s="184">
        <f>J39/G39</f>
        <v>173</v>
      </c>
      <c r="L39" s="185">
        <f>I39/J39</f>
        <v>8.46242774566474</v>
      </c>
      <c r="M39" s="186">
        <v>22500.2</v>
      </c>
      <c r="N39" s="187">
        <v>3129</v>
      </c>
      <c r="O39" s="94">
        <f>+M39/N39</f>
        <v>7.190859699584532</v>
      </c>
    </row>
    <row r="40" spans="1:15" ht="15">
      <c r="A40" s="104">
        <v>37</v>
      </c>
      <c r="B40" s="58" t="s">
        <v>135</v>
      </c>
      <c r="C40" s="43">
        <v>39437</v>
      </c>
      <c r="D40" s="48" t="s">
        <v>18</v>
      </c>
      <c r="E40" s="48" t="s">
        <v>120</v>
      </c>
      <c r="F40" s="101">
        <v>7</v>
      </c>
      <c r="G40" s="102">
        <v>2</v>
      </c>
      <c r="H40" s="101">
        <v>3</v>
      </c>
      <c r="I40" s="98">
        <v>1415</v>
      </c>
      <c r="J40" s="110">
        <v>283</v>
      </c>
      <c r="K40" s="184">
        <f>J40/G40</f>
        <v>141.5</v>
      </c>
      <c r="L40" s="185">
        <f>I40/J40</f>
        <v>5</v>
      </c>
      <c r="M40" s="186">
        <v>38426</v>
      </c>
      <c r="N40" s="187">
        <v>4907</v>
      </c>
      <c r="O40" s="94">
        <f>+M40/N40</f>
        <v>7.830853882209089</v>
      </c>
    </row>
    <row r="41" spans="1:15" ht="15">
      <c r="A41" s="104">
        <v>38</v>
      </c>
      <c r="B41" s="57" t="s">
        <v>22</v>
      </c>
      <c r="C41" s="42">
        <v>39164</v>
      </c>
      <c r="D41" s="45" t="s">
        <v>61</v>
      </c>
      <c r="E41" s="45" t="s">
        <v>75</v>
      </c>
      <c r="F41" s="65">
        <v>119</v>
      </c>
      <c r="G41" s="65">
        <v>2</v>
      </c>
      <c r="H41" s="65">
        <v>27</v>
      </c>
      <c r="I41" s="111">
        <v>1363</v>
      </c>
      <c r="J41" s="145">
        <v>284</v>
      </c>
      <c r="K41" s="177">
        <f>IF(I41&lt;&gt;0,J41/G41,"")</f>
        <v>142</v>
      </c>
      <c r="L41" s="178">
        <f>IF(I41&lt;&gt;0,I41/J41,"")</f>
        <v>4.799295774647887</v>
      </c>
      <c r="M41" s="179">
        <f>1463503.5+1774+208+20289+1136+123+3728+1281+565+311+129+80+136+123+1928+7469+133+1363</f>
        <v>1504279.5</v>
      </c>
      <c r="N41" s="174">
        <f>193429+337+32+3321+216+18+619+252+110+56+19+12+21+18+377+1489+25+284</f>
        <v>200635</v>
      </c>
      <c r="O41" s="199">
        <f>IF(M41&lt;&gt;0,M41/N41,"")</f>
        <v>7.497592643357341</v>
      </c>
    </row>
    <row r="42" spans="1:15" ht="15">
      <c r="A42" s="104">
        <v>39</v>
      </c>
      <c r="B42" s="58" t="s">
        <v>134</v>
      </c>
      <c r="C42" s="43">
        <v>39395</v>
      </c>
      <c r="D42" s="47" t="s">
        <v>67</v>
      </c>
      <c r="E42" s="47" t="s">
        <v>68</v>
      </c>
      <c r="F42" s="44">
        <v>35</v>
      </c>
      <c r="G42" s="44">
        <v>1</v>
      </c>
      <c r="H42" s="44">
        <v>9</v>
      </c>
      <c r="I42" s="99">
        <v>1269</v>
      </c>
      <c r="J42" s="112">
        <v>249</v>
      </c>
      <c r="K42" s="177">
        <f>IF(I42&lt;&gt;0,J42/G42,"")</f>
        <v>249</v>
      </c>
      <c r="L42" s="178">
        <f>IF(I42&lt;&gt;0,I42/J42,"")</f>
        <v>5.096385542168675</v>
      </c>
      <c r="M42" s="176">
        <f>310876.5+189449.5+81911+30301+17300.5+2478+1808+1661.5+1269</f>
        <v>637055</v>
      </c>
      <c r="N42" s="174">
        <f>27485+16830+7465+3781+3026+485+290+393+249</f>
        <v>60004</v>
      </c>
      <c r="O42" s="199">
        <f>IF(M42&lt;&gt;0,M42/N42,"")</f>
        <v>10.616875541630558</v>
      </c>
    </row>
    <row r="43" spans="1:15" ht="15">
      <c r="A43" s="104">
        <v>40</v>
      </c>
      <c r="B43" s="59" t="s">
        <v>85</v>
      </c>
      <c r="C43" s="43">
        <v>39311</v>
      </c>
      <c r="D43" s="48" t="s">
        <v>18</v>
      </c>
      <c r="E43" s="48" t="s">
        <v>74</v>
      </c>
      <c r="F43" s="101">
        <v>10</v>
      </c>
      <c r="G43" s="102">
        <v>1</v>
      </c>
      <c r="H43" s="101">
        <v>17</v>
      </c>
      <c r="I43" s="98">
        <v>952</v>
      </c>
      <c r="J43" s="110">
        <v>238</v>
      </c>
      <c r="K43" s="184">
        <f aca="true" t="shared" si="2" ref="K43:K50">J43/G43</f>
        <v>238</v>
      </c>
      <c r="L43" s="185">
        <f>I43/J43</f>
        <v>4</v>
      </c>
      <c r="M43" s="186">
        <v>54548</v>
      </c>
      <c r="N43" s="187">
        <v>6721</v>
      </c>
      <c r="O43" s="94">
        <f aca="true" t="shared" si="3" ref="O43:O50">+M43/N43</f>
        <v>8.11605415860735</v>
      </c>
    </row>
    <row r="44" spans="1:15" ht="15">
      <c r="A44" s="104">
        <v>41</v>
      </c>
      <c r="B44" s="58" t="s">
        <v>112</v>
      </c>
      <c r="C44" s="43">
        <v>39388</v>
      </c>
      <c r="D44" s="100" t="s">
        <v>66</v>
      </c>
      <c r="E44" s="100" t="s">
        <v>71</v>
      </c>
      <c r="F44" s="44">
        <v>60</v>
      </c>
      <c r="G44" s="44">
        <v>1</v>
      </c>
      <c r="H44" s="44">
        <v>10</v>
      </c>
      <c r="I44" s="99">
        <v>945</v>
      </c>
      <c r="J44" s="112">
        <v>350</v>
      </c>
      <c r="K44" s="174">
        <f t="shared" si="2"/>
        <v>350</v>
      </c>
      <c r="L44" s="175">
        <f>+I44/J44</f>
        <v>2.7</v>
      </c>
      <c r="M44" s="176">
        <v>604935</v>
      </c>
      <c r="N44" s="174">
        <v>66207</v>
      </c>
      <c r="O44" s="198">
        <f t="shared" si="3"/>
        <v>9.137024785898772</v>
      </c>
    </row>
    <row r="45" spans="1:15" ht="15">
      <c r="A45" s="104">
        <v>42</v>
      </c>
      <c r="B45" s="57" t="s">
        <v>2</v>
      </c>
      <c r="C45" s="42">
        <v>39395</v>
      </c>
      <c r="D45" s="46" t="s">
        <v>65</v>
      </c>
      <c r="E45" s="45" t="s">
        <v>70</v>
      </c>
      <c r="F45" s="65">
        <v>56</v>
      </c>
      <c r="G45" s="65">
        <v>2</v>
      </c>
      <c r="H45" s="65">
        <v>6</v>
      </c>
      <c r="I45" s="98">
        <v>918</v>
      </c>
      <c r="J45" s="110">
        <v>162</v>
      </c>
      <c r="K45" s="184">
        <f t="shared" si="2"/>
        <v>81</v>
      </c>
      <c r="L45" s="185">
        <f>I45/J45</f>
        <v>5.666666666666667</v>
      </c>
      <c r="M45" s="186">
        <f>1295+255300+147780+51761+8278+8834+918</f>
        <v>474166</v>
      </c>
      <c r="N45" s="187">
        <f>119+28097+15891+6021+1461+2448+162</f>
        <v>54199</v>
      </c>
      <c r="O45" s="94">
        <f t="shared" si="3"/>
        <v>8.748611597999963</v>
      </c>
    </row>
    <row r="46" spans="1:16" ht="15">
      <c r="A46" s="104">
        <v>43</v>
      </c>
      <c r="B46" s="58" t="s">
        <v>149</v>
      </c>
      <c r="C46" s="43">
        <v>39416</v>
      </c>
      <c r="D46" s="100" t="s">
        <v>66</v>
      </c>
      <c r="E46" s="100" t="s">
        <v>79</v>
      </c>
      <c r="F46" s="44">
        <v>11</v>
      </c>
      <c r="G46" s="44">
        <v>3</v>
      </c>
      <c r="H46" s="44">
        <v>6</v>
      </c>
      <c r="I46" s="99">
        <v>893</v>
      </c>
      <c r="J46" s="112">
        <v>150</v>
      </c>
      <c r="K46" s="174">
        <f t="shared" si="2"/>
        <v>50</v>
      </c>
      <c r="L46" s="175">
        <f>+I46/J46</f>
        <v>5.953333333333333</v>
      </c>
      <c r="M46" s="176">
        <v>32259</v>
      </c>
      <c r="N46" s="174">
        <v>3764</v>
      </c>
      <c r="O46" s="198">
        <f t="shared" si="3"/>
        <v>8.570403825717323</v>
      </c>
      <c r="P46" s="270">
        <v>1</v>
      </c>
    </row>
    <row r="47" spans="1:15" ht="15">
      <c r="A47" s="104">
        <v>44</v>
      </c>
      <c r="B47" s="57" t="s">
        <v>38</v>
      </c>
      <c r="C47" s="42">
        <v>39381</v>
      </c>
      <c r="D47" s="46" t="s">
        <v>65</v>
      </c>
      <c r="E47" s="45" t="s">
        <v>76</v>
      </c>
      <c r="F47" s="65">
        <v>144</v>
      </c>
      <c r="G47" s="65">
        <v>1</v>
      </c>
      <c r="H47" s="65">
        <v>11</v>
      </c>
      <c r="I47" s="98">
        <v>616</v>
      </c>
      <c r="J47" s="110">
        <v>90</v>
      </c>
      <c r="K47" s="184">
        <f t="shared" si="2"/>
        <v>90</v>
      </c>
      <c r="L47" s="185">
        <f>I47/J47</f>
        <v>6.844444444444444</v>
      </c>
      <c r="M47" s="186">
        <f>2013361+924282+612528+224314+161621+67993+19442+6068+2170+613+616</f>
        <v>4033008</v>
      </c>
      <c r="N47" s="187">
        <f>250162+117111+77738+30679+29851+12478+4485+1923+349+89+90</f>
        <v>524955</v>
      </c>
      <c r="O47" s="94">
        <f t="shared" si="3"/>
        <v>7.682578506729148</v>
      </c>
    </row>
    <row r="48" spans="1:16" ht="15">
      <c r="A48" s="104">
        <v>45</v>
      </c>
      <c r="B48" s="59" t="s">
        <v>4</v>
      </c>
      <c r="C48" s="42">
        <v>39395</v>
      </c>
      <c r="D48" s="48" t="s">
        <v>78</v>
      </c>
      <c r="E48" s="48" t="s">
        <v>129</v>
      </c>
      <c r="F48" s="66" t="s">
        <v>52</v>
      </c>
      <c r="G48" s="66" t="s">
        <v>17</v>
      </c>
      <c r="H48" s="66" t="s">
        <v>122</v>
      </c>
      <c r="I48" s="98">
        <v>611</v>
      </c>
      <c r="J48" s="110">
        <v>178</v>
      </c>
      <c r="K48" s="184">
        <f t="shared" si="2"/>
        <v>178</v>
      </c>
      <c r="L48" s="185">
        <f>I48/J48</f>
        <v>3.432584269662921</v>
      </c>
      <c r="M48" s="186">
        <v>138360.98</v>
      </c>
      <c r="N48" s="187">
        <v>22412</v>
      </c>
      <c r="O48" s="94">
        <f t="shared" si="3"/>
        <v>6.173522220239158</v>
      </c>
      <c r="P48" s="270">
        <v>1</v>
      </c>
    </row>
    <row r="49" spans="1:15" ht="15">
      <c r="A49" s="104">
        <v>46</v>
      </c>
      <c r="B49" s="59" t="s">
        <v>50</v>
      </c>
      <c r="C49" s="43">
        <v>39094</v>
      </c>
      <c r="D49" s="48" t="s">
        <v>18</v>
      </c>
      <c r="E49" s="48" t="s">
        <v>74</v>
      </c>
      <c r="F49" s="101">
        <v>42</v>
      </c>
      <c r="G49" s="102">
        <v>2</v>
      </c>
      <c r="H49" s="101">
        <v>37</v>
      </c>
      <c r="I49" s="98">
        <v>576</v>
      </c>
      <c r="J49" s="110">
        <v>130</v>
      </c>
      <c r="K49" s="184">
        <f t="shared" si="2"/>
        <v>65</v>
      </c>
      <c r="L49" s="185">
        <f>I49/J49</f>
        <v>4.430769230769231</v>
      </c>
      <c r="M49" s="186">
        <v>450428.5</v>
      </c>
      <c r="N49" s="187">
        <v>69310</v>
      </c>
      <c r="O49" s="94">
        <f t="shared" si="3"/>
        <v>6.498751983840716</v>
      </c>
    </row>
    <row r="50" spans="1:15" ht="15">
      <c r="A50" s="104">
        <v>47</v>
      </c>
      <c r="B50" s="58" t="s">
        <v>86</v>
      </c>
      <c r="C50" s="43">
        <v>39318</v>
      </c>
      <c r="D50" s="100" t="s">
        <v>66</v>
      </c>
      <c r="E50" s="100" t="s">
        <v>69</v>
      </c>
      <c r="F50" s="44">
        <v>116</v>
      </c>
      <c r="G50" s="44">
        <v>1</v>
      </c>
      <c r="H50" s="44">
        <v>20</v>
      </c>
      <c r="I50" s="99">
        <v>232</v>
      </c>
      <c r="J50" s="112">
        <v>187</v>
      </c>
      <c r="K50" s="174">
        <f t="shared" si="2"/>
        <v>187</v>
      </c>
      <c r="L50" s="175">
        <f>+I50/J50</f>
        <v>1.2406417112299466</v>
      </c>
      <c r="M50" s="176">
        <v>2643571</v>
      </c>
      <c r="N50" s="174">
        <v>331519</v>
      </c>
      <c r="O50" s="198">
        <f t="shared" si="3"/>
        <v>7.974116114008549</v>
      </c>
    </row>
    <row r="51" spans="1:16" ht="15">
      <c r="A51" s="104">
        <v>48</v>
      </c>
      <c r="B51" s="58" t="s">
        <v>97</v>
      </c>
      <c r="C51" s="43">
        <v>39409</v>
      </c>
      <c r="D51" s="47" t="s">
        <v>67</v>
      </c>
      <c r="E51" s="47" t="s">
        <v>113</v>
      </c>
      <c r="F51" s="44">
        <v>13</v>
      </c>
      <c r="G51" s="44">
        <v>1</v>
      </c>
      <c r="H51" s="44">
        <v>6</v>
      </c>
      <c r="I51" s="99">
        <v>193</v>
      </c>
      <c r="J51" s="112">
        <v>38</v>
      </c>
      <c r="K51" s="177">
        <f>IF(I51&lt;&gt;0,J51/G51,"")</f>
        <v>38</v>
      </c>
      <c r="L51" s="178">
        <f>IF(I51&lt;&gt;0,I51/J51,"")</f>
        <v>5.078947368421052</v>
      </c>
      <c r="M51" s="176">
        <f>12464+5333-100+2072+1025+199+193</f>
        <v>21186</v>
      </c>
      <c r="N51" s="174">
        <f>1407+644-8+342+204+38+38</f>
        <v>2665</v>
      </c>
      <c r="O51" s="199">
        <f>IF(M51&lt;&gt;0,M51/N51,"")</f>
        <v>7.949718574108818</v>
      </c>
      <c r="P51" s="270">
        <v>1</v>
      </c>
    </row>
    <row r="52" spans="1:15" ht="15">
      <c r="A52" s="104">
        <v>49</v>
      </c>
      <c r="B52" s="57" t="s">
        <v>94</v>
      </c>
      <c r="C52" s="42">
        <v>39360</v>
      </c>
      <c r="D52" s="46" t="s">
        <v>65</v>
      </c>
      <c r="E52" s="45" t="s">
        <v>36</v>
      </c>
      <c r="F52" s="65">
        <v>73</v>
      </c>
      <c r="G52" s="65">
        <v>1</v>
      </c>
      <c r="H52" s="65">
        <v>14</v>
      </c>
      <c r="I52" s="98">
        <v>168</v>
      </c>
      <c r="J52" s="110">
        <v>24</v>
      </c>
      <c r="K52" s="184">
        <f>J52/G52</f>
        <v>24</v>
      </c>
      <c r="L52" s="185">
        <f>I52/J52</f>
        <v>7</v>
      </c>
      <c r="M52" s="186">
        <f>2527+398811+325917+116748+8773+28+28081+14690+2838+221+3656+238+712+147+168+168</f>
        <v>903723</v>
      </c>
      <c r="N52" s="187">
        <f>228+40290+35016+12251+1468+5988+2689+521+31+1450+32+140+21+26+24</f>
        <v>100175</v>
      </c>
      <c r="O52" s="94">
        <f>+M52/N52</f>
        <v>9.021442475667582</v>
      </c>
    </row>
    <row r="53" spans="1:15" ht="15">
      <c r="A53" s="104">
        <v>50</v>
      </c>
      <c r="B53" s="59" t="s">
        <v>80</v>
      </c>
      <c r="C53" s="43">
        <v>39220</v>
      </c>
      <c r="D53" s="48" t="s">
        <v>18</v>
      </c>
      <c r="E53" s="48" t="s">
        <v>74</v>
      </c>
      <c r="F53" s="101">
        <v>88</v>
      </c>
      <c r="G53" s="102">
        <v>1</v>
      </c>
      <c r="H53" s="101">
        <v>33</v>
      </c>
      <c r="I53" s="98">
        <v>146</v>
      </c>
      <c r="J53" s="110">
        <v>34</v>
      </c>
      <c r="K53" s="184">
        <f>J53/G53</f>
        <v>34</v>
      </c>
      <c r="L53" s="185">
        <f>I53/J53</f>
        <v>4.294117647058823</v>
      </c>
      <c r="M53" s="186">
        <v>587148</v>
      </c>
      <c r="N53" s="187">
        <v>86661</v>
      </c>
      <c r="O53" s="94">
        <f>+M53/N53</f>
        <v>6.775227611036106</v>
      </c>
    </row>
    <row r="54" spans="1:15" ht="15">
      <c r="A54" s="104">
        <v>51</v>
      </c>
      <c r="B54" s="80" t="s">
        <v>58</v>
      </c>
      <c r="C54" s="63">
        <v>39339</v>
      </c>
      <c r="D54" s="93" t="s">
        <v>81</v>
      </c>
      <c r="E54" s="93" t="s">
        <v>59</v>
      </c>
      <c r="F54" s="91">
        <v>79</v>
      </c>
      <c r="G54" s="92">
        <v>2</v>
      </c>
      <c r="H54" s="92">
        <v>17</v>
      </c>
      <c r="I54" s="146">
        <v>111</v>
      </c>
      <c r="J54" s="180">
        <v>16</v>
      </c>
      <c r="K54" s="181">
        <v>7.333333333333333</v>
      </c>
      <c r="L54" s="182">
        <v>6.363636363636363</v>
      </c>
      <c r="M54" s="183">
        <v>307739</v>
      </c>
      <c r="N54" s="184">
        <v>48509</v>
      </c>
      <c r="O54" s="200">
        <f>M54/N54</f>
        <v>6.3439567915232224</v>
      </c>
    </row>
    <row r="55" spans="1:15" ht="15">
      <c r="A55" s="104">
        <v>52</v>
      </c>
      <c r="B55" s="64" t="s">
        <v>82</v>
      </c>
      <c r="C55" s="42">
        <v>39304</v>
      </c>
      <c r="D55" s="46" t="s">
        <v>65</v>
      </c>
      <c r="E55" s="45" t="s">
        <v>36</v>
      </c>
      <c r="F55" s="65">
        <v>165</v>
      </c>
      <c r="G55" s="65">
        <v>1</v>
      </c>
      <c r="H55" s="65">
        <v>22</v>
      </c>
      <c r="I55" s="98">
        <v>81</v>
      </c>
      <c r="J55" s="110">
        <v>40</v>
      </c>
      <c r="K55" s="184">
        <f>J55/G55</f>
        <v>40</v>
      </c>
      <c r="L55" s="185">
        <f>I55/J55</f>
        <v>2.025</v>
      </c>
      <c r="M55" s="186">
        <f>2632960+1103806+622810+343330+175885+112509+60772+28410+15737+16484+3567+7825+3899+7196+3981+1749+1616+3566+772+1288+684+81</f>
        <v>5148927</v>
      </c>
      <c r="N55" s="187">
        <f>336483+141879+82533+45209+26903+20540+11529+5833+3987+3318+680+865+384+1787+580+811+720+1776+383+644+340+40</f>
        <v>687224</v>
      </c>
      <c r="O55" s="94">
        <f>+M55/N55</f>
        <v>7.492356204090661</v>
      </c>
    </row>
    <row r="56" spans="1:15" ht="15">
      <c r="A56" s="104">
        <v>53</v>
      </c>
      <c r="B56" s="59" t="s">
        <v>150</v>
      </c>
      <c r="C56" s="42">
        <v>39416</v>
      </c>
      <c r="D56" s="48" t="s">
        <v>25</v>
      </c>
      <c r="E56" s="48" t="s">
        <v>151</v>
      </c>
      <c r="F56" s="66" t="s">
        <v>92</v>
      </c>
      <c r="G56" s="66" t="s">
        <v>17</v>
      </c>
      <c r="H56" s="66" t="s">
        <v>21</v>
      </c>
      <c r="I56" s="98">
        <v>80</v>
      </c>
      <c r="J56" s="110">
        <v>14</v>
      </c>
      <c r="K56" s="184">
        <f>J56/G56</f>
        <v>14</v>
      </c>
      <c r="L56" s="185">
        <f>I56/J56</f>
        <v>5.714285714285714</v>
      </c>
      <c r="M56" s="186">
        <v>28346</v>
      </c>
      <c r="N56" s="187">
        <v>3690</v>
      </c>
      <c r="O56" s="94">
        <f>+M56/N56</f>
        <v>7.681842818428184</v>
      </c>
    </row>
    <row r="57" spans="1:15" ht="15.75" thickBot="1">
      <c r="A57" s="104">
        <v>54</v>
      </c>
      <c r="B57" s="168" t="s">
        <v>84</v>
      </c>
      <c r="C57" s="115">
        <v>39311</v>
      </c>
      <c r="D57" s="169" t="s">
        <v>67</v>
      </c>
      <c r="E57" s="202" t="s">
        <v>68</v>
      </c>
      <c r="F57" s="217">
        <v>51</v>
      </c>
      <c r="G57" s="170">
        <v>1</v>
      </c>
      <c r="H57" s="170">
        <v>13</v>
      </c>
      <c r="I57" s="171">
        <v>80</v>
      </c>
      <c r="J57" s="172">
        <v>12</v>
      </c>
      <c r="K57" s="203">
        <f>IF(I57&lt;&gt;0,J57/G57,"")</f>
        <v>12</v>
      </c>
      <c r="L57" s="204">
        <f>IF(I57&lt;&gt;0,I57/J57,"")</f>
        <v>6.666666666666667</v>
      </c>
      <c r="M57" s="205">
        <f>307706+165406+101634+49698+32049.5+23376.5+11639-20+12239.5+6765.5+893+48+38+80</f>
        <v>711553</v>
      </c>
      <c r="N57" s="206">
        <f>37496+19653+12173+6929+5777+4291+2342-2+2292+1679+199+7+5+12</f>
        <v>92853</v>
      </c>
      <c r="O57" s="207">
        <f>IF(M57&lt;&gt;0,M57/N57,"")</f>
        <v>7.663220359062174</v>
      </c>
    </row>
    <row r="58" spans="1:15" ht="12.75">
      <c r="A58" s="154"/>
      <c r="B58" s="155"/>
      <c r="C58" s="156"/>
      <c r="D58" s="156"/>
      <c r="E58" s="156"/>
      <c r="F58" s="263"/>
      <c r="G58" s="264"/>
      <c r="H58" s="265"/>
      <c r="I58" s="158">
        <f>SUM(I4:I57)</f>
        <v>5179546.7</v>
      </c>
      <c r="J58" s="159">
        <f>SUM(J4:J57)</f>
        <v>669434</v>
      </c>
      <c r="K58" s="157"/>
      <c r="L58" s="157"/>
      <c r="M58" s="157"/>
      <c r="N58" s="157"/>
      <c r="O58" s="157"/>
    </row>
    <row r="59" spans="1:9" ht="12.75">
      <c r="A59" s="34"/>
      <c r="B59" s="32"/>
      <c r="C59" s="24"/>
      <c r="D59" s="24"/>
      <c r="E59" s="24"/>
      <c r="F59" s="266"/>
      <c r="G59" s="267"/>
      <c r="I59" s="173"/>
    </row>
    <row r="60" spans="1:15" ht="13.5">
      <c r="A60" s="34"/>
      <c r="B60" s="32"/>
      <c r="C60" s="151"/>
      <c r="D60" s="152"/>
      <c r="E60" s="152"/>
      <c r="F60" s="24"/>
      <c r="G60" s="24"/>
      <c r="K60" s="302" t="s">
        <v>10</v>
      </c>
      <c r="L60" s="339"/>
      <c r="M60" s="339"/>
      <c r="N60" s="339"/>
      <c r="O60" s="339"/>
    </row>
    <row r="61" spans="1:15" ht="12.75">
      <c r="A61" s="34"/>
      <c r="B61" s="32"/>
      <c r="C61" s="152"/>
      <c r="D61" s="152"/>
      <c r="E61" s="152"/>
      <c r="F61" s="24"/>
      <c r="G61" s="24"/>
      <c r="K61" s="339"/>
      <c r="L61" s="339"/>
      <c r="M61" s="339"/>
      <c r="N61" s="339"/>
      <c r="O61" s="339"/>
    </row>
    <row r="62" spans="1:15" ht="12.75">
      <c r="A62" s="34"/>
      <c r="B62" s="32"/>
      <c r="C62" s="152"/>
      <c r="D62" s="152"/>
      <c r="E62" s="152"/>
      <c r="F62" s="24"/>
      <c r="G62" s="24"/>
      <c r="K62" s="339"/>
      <c r="L62" s="339"/>
      <c r="M62" s="339"/>
      <c r="N62" s="339"/>
      <c r="O62" s="339"/>
    </row>
    <row r="63" spans="1:15" ht="8.25" customHeight="1">
      <c r="A63" s="34"/>
      <c r="B63" s="32"/>
      <c r="C63" s="152"/>
      <c r="D63" s="152"/>
      <c r="E63" s="152"/>
      <c r="F63" s="24"/>
      <c r="G63" s="24"/>
      <c r="K63" s="339"/>
      <c r="L63" s="339"/>
      <c r="M63" s="339"/>
      <c r="N63" s="339"/>
      <c r="O63" s="339"/>
    </row>
    <row r="64" spans="1:15" ht="12.75">
      <c r="A64" s="34"/>
      <c r="B64" s="32"/>
      <c r="C64" s="152"/>
      <c r="D64" s="152"/>
      <c r="E64" s="152"/>
      <c r="F64" s="24"/>
      <c r="G64" s="24"/>
      <c r="K64" s="339"/>
      <c r="L64" s="339"/>
      <c r="M64" s="339"/>
      <c r="N64" s="339"/>
      <c r="O64" s="339"/>
    </row>
    <row r="65" spans="1:15" ht="116.25" customHeight="1">
      <c r="A65" s="34"/>
      <c r="B65" s="32"/>
      <c r="C65" s="152"/>
      <c r="D65" s="152"/>
      <c r="E65" s="152"/>
      <c r="F65" s="24"/>
      <c r="G65" s="24"/>
      <c r="K65" s="339"/>
      <c r="L65" s="339"/>
      <c r="M65" s="339"/>
      <c r="N65" s="339"/>
      <c r="O65" s="339"/>
    </row>
    <row r="66" spans="1:15" ht="12.75">
      <c r="A66" s="34"/>
      <c r="B66" s="32"/>
      <c r="C66" s="24"/>
      <c r="D66" s="152"/>
      <c r="E66" s="152"/>
      <c r="F66" s="266"/>
      <c r="G66" s="267"/>
      <c r="K66" s="106"/>
      <c r="L66" s="105"/>
      <c r="M66" s="105"/>
      <c r="N66" s="150"/>
      <c r="O66" s="109"/>
    </row>
    <row r="67" spans="1:15" ht="13.5">
      <c r="A67" s="34"/>
      <c r="B67" s="32"/>
      <c r="C67" s="153"/>
      <c r="D67" s="152"/>
      <c r="E67" s="152"/>
      <c r="F67" s="24"/>
      <c r="G67" s="24"/>
      <c r="K67" s="343" t="s">
        <v>16</v>
      </c>
      <c r="L67" s="339"/>
      <c r="M67" s="339"/>
      <c r="N67" s="339"/>
      <c r="O67" s="339"/>
    </row>
    <row r="68" spans="1:15" ht="12.75">
      <c r="A68" s="34"/>
      <c r="B68" s="32"/>
      <c r="C68" s="152"/>
      <c r="D68" s="152"/>
      <c r="E68" s="152"/>
      <c r="F68" s="24"/>
      <c r="G68" s="24"/>
      <c r="K68" s="339"/>
      <c r="L68" s="339"/>
      <c r="M68" s="339"/>
      <c r="N68" s="339"/>
      <c r="O68" s="339"/>
    </row>
    <row r="69" spans="1:15" ht="12.75">
      <c r="A69" s="34"/>
      <c r="B69" s="32"/>
      <c r="C69" s="152"/>
      <c r="D69" s="152"/>
      <c r="E69" s="152"/>
      <c r="F69" s="24"/>
      <c r="G69" s="24"/>
      <c r="K69" s="339"/>
      <c r="L69" s="339"/>
      <c r="M69" s="339"/>
      <c r="N69" s="339"/>
      <c r="O69" s="339"/>
    </row>
    <row r="70" spans="1:15" ht="12.75">
      <c r="A70" s="34"/>
      <c r="B70" s="32"/>
      <c r="C70" s="152"/>
      <c r="D70" s="152"/>
      <c r="E70" s="152"/>
      <c r="F70" s="24"/>
      <c r="G70" s="24"/>
      <c r="K70" s="339"/>
      <c r="L70" s="339"/>
      <c r="M70" s="339"/>
      <c r="N70" s="339"/>
      <c r="O70" s="339"/>
    </row>
    <row r="71" spans="1:15" ht="12.75">
      <c r="A71" s="34"/>
      <c r="B71" s="32"/>
      <c r="C71" s="152"/>
      <c r="D71" s="152"/>
      <c r="E71" s="152"/>
      <c r="F71" s="24"/>
      <c r="G71" s="24"/>
      <c r="K71" s="339"/>
      <c r="L71" s="339"/>
      <c r="M71" s="339"/>
      <c r="N71" s="339"/>
      <c r="O71" s="339"/>
    </row>
    <row r="72" spans="1:15" ht="12.75">
      <c r="A72" s="34"/>
      <c r="B72" s="32"/>
      <c r="C72" s="152"/>
      <c r="D72" s="152"/>
      <c r="E72" s="152"/>
      <c r="F72" s="24"/>
      <c r="G72" s="24"/>
      <c r="K72" s="339"/>
      <c r="L72" s="339"/>
      <c r="M72" s="339"/>
      <c r="N72" s="339"/>
      <c r="O72" s="339"/>
    </row>
    <row r="73" spans="1:15" ht="141.75" customHeight="1">
      <c r="A73" s="34"/>
      <c r="B73" s="32"/>
      <c r="C73" s="32"/>
      <c r="D73" s="32"/>
      <c r="E73" s="32"/>
      <c r="F73" s="24"/>
      <c r="G73" s="24"/>
      <c r="K73" s="344"/>
      <c r="L73" s="344"/>
      <c r="M73" s="344"/>
      <c r="N73" s="344"/>
      <c r="O73" s="344"/>
    </row>
    <row r="74" spans="1:7" ht="12.75">
      <c r="A74" s="34"/>
      <c r="B74" s="32"/>
      <c r="C74" s="24"/>
      <c r="D74" s="24"/>
      <c r="E74" s="24"/>
      <c r="F74" s="266"/>
      <c r="G74" s="267"/>
    </row>
    <row r="75" spans="1:7" ht="12.75">
      <c r="A75" s="34"/>
      <c r="B75" s="32"/>
      <c r="C75" s="24"/>
      <c r="D75" s="24"/>
      <c r="E75" s="24"/>
      <c r="F75" s="266"/>
      <c r="G75" s="267"/>
    </row>
  </sheetData>
  <sheetProtection/>
  <mergeCells count="12">
    <mergeCell ref="K67:O73"/>
    <mergeCell ref="G2:G3"/>
    <mergeCell ref="H2:H3"/>
    <mergeCell ref="I2:L2"/>
    <mergeCell ref="M2:O2"/>
    <mergeCell ref="E2:E3"/>
    <mergeCell ref="F2:F3"/>
    <mergeCell ref="A1:O1"/>
    <mergeCell ref="K60:O65"/>
    <mergeCell ref="B2:B3"/>
    <mergeCell ref="C2:C3"/>
    <mergeCell ref="D2:D3"/>
  </mergeCells>
  <printOptions/>
  <pageMargins left="0.75" right="0.75" top="1" bottom="1" header="0.5" footer="0.5"/>
  <pageSetup orientation="portrait" paperSize="9"/>
  <ignoredErrors>
    <ignoredError sqref="F12:I49" numberStoredAsText="1"/>
    <ignoredError sqref="O9:O15 M9:N15" unlockedFormula="1"/>
    <ignoredError sqref="O16:O56 M16:N56" formula="1" unlockedFormula="1"/>
    <ignoredError sqref="K16:L56 L11" formula="1"/>
  </ignoredErrors>
</worksheet>
</file>

<file path=xl/worksheets/sheet4.xml><?xml version="1.0" encoding="utf-8"?>
<worksheet xmlns="http://schemas.openxmlformats.org/spreadsheetml/2006/main" xmlns:r="http://schemas.openxmlformats.org/officeDocument/2006/relationships">
  <dimension ref="A1:N61"/>
  <sheetViews>
    <sheetView zoomScale="210" zoomScaleNormal="210" zoomScalePageLayoutView="0" workbookViewId="0" topLeftCell="A1">
      <selection activeCell="A56" sqref="A56:C56"/>
    </sheetView>
  </sheetViews>
  <sheetFormatPr defaultColWidth="9.140625" defaultRowHeight="12.75"/>
  <cols>
    <col min="1" max="1" width="1.7109375" style="228" bestFit="1" customWidth="1"/>
    <col min="2" max="2" width="4.57421875" style="229" bestFit="1" customWidth="1"/>
    <col min="3" max="3" width="6.421875" style="230" bestFit="1" customWidth="1"/>
    <col min="4" max="4" width="2.421875" style="238" bestFit="1" customWidth="1"/>
    <col min="5" max="5" width="9.28125" style="239" bestFit="1" customWidth="1"/>
    <col min="6" max="6" width="7.28125" style="238" bestFit="1" customWidth="1"/>
    <col min="7" max="7" width="1.7109375" style="228" bestFit="1" customWidth="1"/>
    <col min="8" max="8" width="9.28125" style="247" bestFit="1" customWidth="1"/>
    <col min="9" max="9" width="6.00390625" style="248" bestFit="1" customWidth="1"/>
    <col min="10" max="10" width="5.7109375" style="249" bestFit="1" customWidth="1"/>
    <col min="11" max="11" width="2.421875" style="253" bestFit="1" customWidth="1"/>
    <col min="12" max="12" width="9.28125" style="239" bestFit="1" customWidth="1"/>
    <col min="13" max="13" width="6.00390625" style="238" bestFit="1" customWidth="1"/>
    <col min="14" max="14" width="5.7109375" style="254" bestFit="1" customWidth="1"/>
    <col min="15" max="16384" width="9.140625" style="107" customWidth="1"/>
  </cols>
  <sheetData>
    <row r="1" spans="1:14" ht="14.25" thickBot="1">
      <c r="A1" s="222">
        <v>1</v>
      </c>
      <c r="B1" s="223" t="s">
        <v>0</v>
      </c>
      <c r="C1" s="224" t="s">
        <v>11</v>
      </c>
      <c r="D1" s="231">
        <v>58</v>
      </c>
      <c r="E1" s="232">
        <v>5529440.2</v>
      </c>
      <c r="F1" s="233">
        <v>704032</v>
      </c>
      <c r="G1" s="222">
        <v>4</v>
      </c>
      <c r="H1" s="240">
        <v>349893.5</v>
      </c>
      <c r="I1" s="241">
        <v>34598</v>
      </c>
      <c r="J1" s="242">
        <f>SUM(I1/F1)</f>
        <v>0.04914265260669969</v>
      </c>
      <c r="K1" s="231">
        <v>11</v>
      </c>
      <c r="L1" s="232">
        <v>2912032.2</v>
      </c>
      <c r="M1" s="250">
        <v>397934</v>
      </c>
      <c r="N1" s="251">
        <f>SUM(M1/F1)</f>
        <v>0.565221467206036</v>
      </c>
    </row>
    <row r="2" spans="1:14" ht="14.25" thickBot="1">
      <c r="A2" s="222"/>
      <c r="B2" s="223"/>
      <c r="C2" s="224"/>
      <c r="D2" s="234"/>
      <c r="E2" s="232"/>
      <c r="F2" s="233"/>
      <c r="G2" s="222"/>
      <c r="H2" s="240"/>
      <c r="I2" s="241"/>
      <c r="J2" s="242"/>
      <c r="K2" s="231"/>
      <c r="L2" s="232"/>
      <c r="M2" s="250"/>
      <c r="N2" s="251"/>
    </row>
    <row r="3" spans="1:14" ht="14.25" thickBot="1">
      <c r="A3" s="222"/>
      <c r="B3" s="223"/>
      <c r="C3" s="224"/>
      <c r="D3" s="234"/>
      <c r="E3" s="232"/>
      <c r="F3" s="233"/>
      <c r="G3" s="222"/>
      <c r="H3" s="240"/>
      <c r="I3" s="241"/>
      <c r="J3" s="242"/>
      <c r="K3" s="231"/>
      <c r="L3" s="232"/>
      <c r="M3" s="250"/>
      <c r="N3" s="251"/>
    </row>
    <row r="4" spans="1:14" ht="14.25" thickBot="1">
      <c r="A4" s="222"/>
      <c r="B4" s="223"/>
      <c r="C4" s="224"/>
      <c r="D4" s="234"/>
      <c r="E4" s="232"/>
      <c r="F4" s="233"/>
      <c r="G4" s="222"/>
      <c r="H4" s="240"/>
      <c r="I4" s="241"/>
      <c r="J4" s="242"/>
      <c r="K4" s="231"/>
      <c r="L4" s="232"/>
      <c r="M4" s="250"/>
      <c r="N4" s="251"/>
    </row>
    <row r="5" spans="1:14" ht="14.25" thickBot="1">
      <c r="A5" s="222"/>
      <c r="B5" s="223"/>
      <c r="C5" s="224"/>
      <c r="D5" s="234"/>
      <c r="E5" s="232"/>
      <c r="F5" s="233"/>
      <c r="G5" s="222"/>
      <c r="H5" s="240"/>
      <c r="I5" s="241"/>
      <c r="J5" s="242"/>
      <c r="K5" s="231"/>
      <c r="L5" s="232"/>
      <c r="M5" s="250"/>
      <c r="N5" s="251"/>
    </row>
    <row r="6" spans="1:14" ht="14.25" thickBot="1">
      <c r="A6" s="222"/>
      <c r="B6" s="223"/>
      <c r="C6" s="224"/>
      <c r="D6" s="234"/>
      <c r="E6" s="232"/>
      <c r="F6" s="233"/>
      <c r="G6" s="222"/>
      <c r="H6" s="240"/>
      <c r="I6" s="241"/>
      <c r="J6" s="242"/>
      <c r="K6" s="231"/>
      <c r="L6" s="232"/>
      <c r="M6" s="250"/>
      <c r="N6" s="251"/>
    </row>
    <row r="7" spans="1:14" ht="14.25" thickBot="1">
      <c r="A7" s="222"/>
      <c r="B7" s="223"/>
      <c r="C7" s="224"/>
      <c r="D7" s="234"/>
      <c r="E7" s="232"/>
      <c r="F7" s="233"/>
      <c r="G7" s="222"/>
      <c r="H7" s="240"/>
      <c r="I7" s="241"/>
      <c r="J7" s="242"/>
      <c r="K7" s="231"/>
      <c r="L7" s="232"/>
      <c r="M7" s="250"/>
      <c r="N7" s="251"/>
    </row>
    <row r="8" spans="1:14" ht="14.25" thickBot="1">
      <c r="A8" s="222"/>
      <c r="B8" s="223"/>
      <c r="C8" s="224"/>
      <c r="D8" s="234"/>
      <c r="E8" s="232"/>
      <c r="F8" s="233"/>
      <c r="G8" s="222"/>
      <c r="H8" s="240"/>
      <c r="I8" s="241"/>
      <c r="J8" s="242"/>
      <c r="K8" s="231"/>
      <c r="L8" s="232"/>
      <c r="M8" s="250"/>
      <c r="N8" s="251"/>
    </row>
    <row r="9" spans="1:14" ht="14.25" thickBot="1">
      <c r="A9" s="222"/>
      <c r="B9" s="223"/>
      <c r="C9" s="224"/>
      <c r="D9" s="234"/>
      <c r="E9" s="232"/>
      <c r="F9" s="233"/>
      <c r="G9" s="222"/>
      <c r="H9" s="240"/>
      <c r="I9" s="241"/>
      <c r="J9" s="242"/>
      <c r="K9" s="231"/>
      <c r="L9" s="232"/>
      <c r="M9" s="250"/>
      <c r="N9" s="251"/>
    </row>
    <row r="10" spans="1:14" ht="14.25" thickBot="1">
      <c r="A10" s="222"/>
      <c r="B10" s="223"/>
      <c r="C10" s="224"/>
      <c r="D10" s="234"/>
      <c r="E10" s="232"/>
      <c r="F10" s="233"/>
      <c r="G10" s="222"/>
      <c r="H10" s="240"/>
      <c r="I10" s="241"/>
      <c r="J10" s="242"/>
      <c r="K10" s="231"/>
      <c r="L10" s="232"/>
      <c r="M10" s="250"/>
      <c r="N10" s="251"/>
    </row>
    <row r="11" spans="1:14" ht="14.25" thickBot="1">
      <c r="A11" s="222"/>
      <c r="B11" s="223"/>
      <c r="C11" s="224"/>
      <c r="D11" s="234"/>
      <c r="E11" s="232"/>
      <c r="F11" s="233"/>
      <c r="G11" s="222"/>
      <c r="H11" s="240"/>
      <c r="I11" s="241"/>
      <c r="J11" s="242"/>
      <c r="K11" s="231"/>
      <c r="L11" s="232"/>
      <c r="M11" s="250"/>
      <c r="N11" s="251"/>
    </row>
    <row r="12" spans="1:14" ht="14.25" thickBot="1">
      <c r="A12" s="222"/>
      <c r="B12" s="223"/>
      <c r="C12" s="224"/>
      <c r="D12" s="234"/>
      <c r="E12" s="232"/>
      <c r="F12" s="233"/>
      <c r="G12" s="222"/>
      <c r="H12" s="240"/>
      <c r="I12" s="241"/>
      <c r="J12" s="242"/>
      <c r="K12" s="231"/>
      <c r="L12" s="232"/>
      <c r="M12" s="250"/>
      <c r="N12" s="251"/>
    </row>
    <row r="13" spans="1:14" ht="14.25" thickBot="1">
      <c r="A13" s="222"/>
      <c r="B13" s="223"/>
      <c r="C13" s="224"/>
      <c r="D13" s="234"/>
      <c r="E13" s="232"/>
      <c r="F13" s="233"/>
      <c r="G13" s="222"/>
      <c r="H13" s="240"/>
      <c r="I13" s="241"/>
      <c r="J13" s="242"/>
      <c r="K13" s="231"/>
      <c r="L13" s="232"/>
      <c r="M13" s="250"/>
      <c r="N13" s="251"/>
    </row>
    <row r="14" spans="1:14" ht="14.25" hidden="1" thickBot="1">
      <c r="A14" s="222"/>
      <c r="B14" s="223"/>
      <c r="C14" s="224"/>
      <c r="D14" s="234"/>
      <c r="E14" s="232"/>
      <c r="F14" s="233"/>
      <c r="G14" s="222"/>
      <c r="H14" s="240"/>
      <c r="I14" s="241"/>
      <c r="J14" s="242"/>
      <c r="K14" s="231"/>
      <c r="L14" s="232"/>
      <c r="M14" s="250"/>
      <c r="N14" s="251"/>
    </row>
    <row r="15" spans="1:14" ht="14.25" hidden="1" thickBot="1">
      <c r="A15" s="222"/>
      <c r="B15" s="223"/>
      <c r="C15" s="224"/>
      <c r="D15" s="234"/>
      <c r="E15" s="232"/>
      <c r="F15" s="233"/>
      <c r="G15" s="222"/>
      <c r="H15" s="240"/>
      <c r="I15" s="241"/>
      <c r="J15" s="242"/>
      <c r="K15" s="231"/>
      <c r="L15" s="232"/>
      <c r="M15" s="250"/>
      <c r="N15" s="251"/>
    </row>
    <row r="16" spans="1:14" ht="14.25" hidden="1" thickBot="1">
      <c r="A16" s="222"/>
      <c r="B16" s="223"/>
      <c r="C16" s="224"/>
      <c r="D16" s="234"/>
      <c r="E16" s="232"/>
      <c r="F16" s="233"/>
      <c r="G16" s="222"/>
      <c r="H16" s="240"/>
      <c r="I16" s="241"/>
      <c r="J16" s="242"/>
      <c r="K16" s="231"/>
      <c r="L16" s="232"/>
      <c r="M16" s="250"/>
      <c r="N16" s="251"/>
    </row>
    <row r="17" spans="1:14" ht="14.25" hidden="1" thickBot="1">
      <c r="A17" s="222"/>
      <c r="B17" s="223"/>
      <c r="C17" s="224"/>
      <c r="D17" s="234"/>
      <c r="E17" s="232"/>
      <c r="F17" s="233"/>
      <c r="G17" s="222"/>
      <c r="H17" s="240"/>
      <c r="I17" s="241"/>
      <c r="J17" s="242"/>
      <c r="K17" s="231"/>
      <c r="L17" s="232"/>
      <c r="M17" s="250"/>
      <c r="N17" s="251"/>
    </row>
    <row r="18" spans="1:14" ht="14.25" hidden="1" thickBot="1">
      <c r="A18" s="222"/>
      <c r="B18" s="223"/>
      <c r="C18" s="224"/>
      <c r="D18" s="234"/>
      <c r="E18" s="232"/>
      <c r="F18" s="233"/>
      <c r="G18" s="222"/>
      <c r="H18" s="240"/>
      <c r="I18" s="241"/>
      <c r="J18" s="242"/>
      <c r="K18" s="231"/>
      <c r="L18" s="232"/>
      <c r="M18" s="250"/>
      <c r="N18" s="251"/>
    </row>
    <row r="19" spans="1:14" ht="14.25" hidden="1" thickBot="1">
      <c r="A19" s="222"/>
      <c r="B19" s="223"/>
      <c r="C19" s="224"/>
      <c r="D19" s="234"/>
      <c r="E19" s="232"/>
      <c r="F19" s="233"/>
      <c r="G19" s="222"/>
      <c r="H19" s="240"/>
      <c r="I19" s="241"/>
      <c r="J19" s="242"/>
      <c r="K19" s="231"/>
      <c r="L19" s="232"/>
      <c r="M19" s="250"/>
      <c r="N19" s="251"/>
    </row>
    <row r="20" spans="1:14" ht="14.25" hidden="1" thickBot="1">
      <c r="A20" s="222"/>
      <c r="B20" s="223"/>
      <c r="C20" s="224"/>
      <c r="D20" s="234"/>
      <c r="E20" s="232"/>
      <c r="F20" s="233"/>
      <c r="G20" s="222"/>
      <c r="H20" s="240"/>
      <c r="I20" s="241"/>
      <c r="J20" s="242"/>
      <c r="K20" s="231"/>
      <c r="L20" s="232"/>
      <c r="M20" s="250"/>
      <c r="N20" s="251"/>
    </row>
    <row r="21" spans="1:14" ht="14.25" hidden="1" thickBot="1">
      <c r="A21" s="222"/>
      <c r="B21" s="223"/>
      <c r="C21" s="224"/>
      <c r="D21" s="234"/>
      <c r="E21" s="232"/>
      <c r="F21" s="233"/>
      <c r="G21" s="222"/>
      <c r="H21" s="240"/>
      <c r="I21" s="241"/>
      <c r="J21" s="242"/>
      <c r="K21" s="231"/>
      <c r="L21" s="232"/>
      <c r="M21" s="250"/>
      <c r="N21" s="251"/>
    </row>
    <row r="22" spans="1:14" ht="14.25" hidden="1" thickBot="1">
      <c r="A22" s="222"/>
      <c r="B22" s="223"/>
      <c r="C22" s="224"/>
      <c r="D22" s="234"/>
      <c r="E22" s="232"/>
      <c r="F22" s="233"/>
      <c r="G22" s="222"/>
      <c r="H22" s="240"/>
      <c r="I22" s="241"/>
      <c r="J22" s="242"/>
      <c r="K22" s="231"/>
      <c r="L22" s="232"/>
      <c r="M22" s="250"/>
      <c r="N22" s="251"/>
    </row>
    <row r="23" spans="1:14" ht="14.25" hidden="1" thickBot="1">
      <c r="A23" s="222"/>
      <c r="B23" s="223"/>
      <c r="C23" s="224"/>
      <c r="D23" s="234"/>
      <c r="E23" s="232"/>
      <c r="F23" s="233"/>
      <c r="G23" s="222"/>
      <c r="H23" s="240"/>
      <c r="I23" s="241"/>
      <c r="J23" s="242"/>
      <c r="K23" s="231"/>
      <c r="L23" s="232"/>
      <c r="M23" s="250"/>
      <c r="N23" s="251"/>
    </row>
    <row r="24" spans="1:14" ht="14.25" hidden="1" thickBot="1">
      <c r="A24" s="222"/>
      <c r="B24" s="223"/>
      <c r="C24" s="224"/>
      <c r="D24" s="234"/>
      <c r="E24" s="232"/>
      <c r="F24" s="233"/>
      <c r="G24" s="222"/>
      <c r="H24" s="240"/>
      <c r="I24" s="241"/>
      <c r="J24" s="242"/>
      <c r="K24" s="231"/>
      <c r="L24" s="232"/>
      <c r="M24" s="250"/>
      <c r="N24" s="251"/>
    </row>
    <row r="25" spans="1:14" ht="14.25" hidden="1" thickBot="1">
      <c r="A25" s="222"/>
      <c r="B25" s="223"/>
      <c r="C25" s="224"/>
      <c r="D25" s="234"/>
      <c r="E25" s="232"/>
      <c r="F25" s="233"/>
      <c r="G25" s="222"/>
      <c r="H25" s="240"/>
      <c r="I25" s="241"/>
      <c r="J25" s="242"/>
      <c r="K25" s="231"/>
      <c r="L25" s="232"/>
      <c r="M25" s="250"/>
      <c r="N25" s="251"/>
    </row>
    <row r="26" spans="1:14" ht="14.25" hidden="1" thickBot="1">
      <c r="A26" s="222"/>
      <c r="B26" s="223"/>
      <c r="C26" s="224"/>
      <c r="D26" s="234"/>
      <c r="E26" s="232"/>
      <c r="F26" s="233"/>
      <c r="G26" s="222"/>
      <c r="H26" s="240"/>
      <c r="I26" s="241"/>
      <c r="J26" s="242"/>
      <c r="K26" s="231"/>
      <c r="L26" s="232"/>
      <c r="M26" s="250"/>
      <c r="N26" s="251"/>
    </row>
    <row r="27" spans="1:14" ht="14.25" hidden="1" thickBot="1">
      <c r="A27" s="222"/>
      <c r="B27" s="223"/>
      <c r="C27" s="224"/>
      <c r="D27" s="234"/>
      <c r="E27" s="232"/>
      <c r="F27" s="233"/>
      <c r="G27" s="222"/>
      <c r="H27" s="240"/>
      <c r="I27" s="241"/>
      <c r="J27" s="242"/>
      <c r="K27" s="231"/>
      <c r="L27" s="232"/>
      <c r="M27" s="250"/>
      <c r="N27" s="251"/>
    </row>
    <row r="28" spans="1:14" ht="14.25" hidden="1" thickBot="1">
      <c r="A28" s="222"/>
      <c r="B28" s="223"/>
      <c r="C28" s="224"/>
      <c r="D28" s="234"/>
      <c r="E28" s="232"/>
      <c r="F28" s="233"/>
      <c r="G28" s="222"/>
      <c r="H28" s="240"/>
      <c r="I28" s="241"/>
      <c r="J28" s="242"/>
      <c r="K28" s="231"/>
      <c r="L28" s="232"/>
      <c r="M28" s="250"/>
      <c r="N28" s="251"/>
    </row>
    <row r="29" spans="1:14" ht="14.25" hidden="1" thickBot="1">
      <c r="A29" s="222"/>
      <c r="B29" s="223"/>
      <c r="C29" s="224"/>
      <c r="D29" s="234"/>
      <c r="E29" s="232"/>
      <c r="F29" s="233"/>
      <c r="G29" s="222"/>
      <c r="H29" s="240"/>
      <c r="I29" s="241"/>
      <c r="J29" s="242"/>
      <c r="K29" s="231"/>
      <c r="L29" s="232"/>
      <c r="M29" s="250"/>
      <c r="N29" s="251"/>
    </row>
    <row r="30" spans="1:14" ht="14.25" hidden="1" thickBot="1">
      <c r="A30" s="222"/>
      <c r="B30" s="223"/>
      <c r="C30" s="224"/>
      <c r="D30" s="234"/>
      <c r="E30" s="232"/>
      <c r="F30" s="233"/>
      <c r="G30" s="222"/>
      <c r="H30" s="240"/>
      <c r="I30" s="241"/>
      <c r="J30" s="242"/>
      <c r="K30" s="231"/>
      <c r="L30" s="232"/>
      <c r="M30" s="250"/>
      <c r="N30" s="251"/>
    </row>
    <row r="31" spans="1:14" ht="14.25" hidden="1" thickBot="1">
      <c r="A31" s="222"/>
      <c r="B31" s="223"/>
      <c r="C31" s="224"/>
      <c r="D31" s="234"/>
      <c r="E31" s="232"/>
      <c r="F31" s="233"/>
      <c r="G31" s="222"/>
      <c r="H31" s="240"/>
      <c r="I31" s="241"/>
      <c r="J31" s="242"/>
      <c r="K31" s="231"/>
      <c r="L31" s="232"/>
      <c r="M31" s="250"/>
      <c r="N31" s="251"/>
    </row>
    <row r="32" spans="1:14" ht="14.25" hidden="1" thickBot="1">
      <c r="A32" s="222"/>
      <c r="B32" s="223"/>
      <c r="C32" s="224"/>
      <c r="D32" s="234"/>
      <c r="E32" s="232"/>
      <c r="F32" s="233"/>
      <c r="G32" s="222"/>
      <c r="H32" s="240"/>
      <c r="I32" s="241"/>
      <c r="J32" s="242"/>
      <c r="K32" s="231"/>
      <c r="L32" s="232"/>
      <c r="M32" s="250"/>
      <c r="N32" s="251"/>
    </row>
    <row r="33" spans="1:14" ht="14.25" hidden="1" thickBot="1">
      <c r="A33" s="222"/>
      <c r="B33" s="223"/>
      <c r="C33" s="224"/>
      <c r="D33" s="234"/>
      <c r="E33" s="232"/>
      <c r="F33" s="233"/>
      <c r="G33" s="222"/>
      <c r="H33" s="240"/>
      <c r="I33" s="241"/>
      <c r="J33" s="242"/>
      <c r="K33" s="231"/>
      <c r="L33" s="232"/>
      <c r="M33" s="250"/>
      <c r="N33" s="251"/>
    </row>
    <row r="34" spans="1:14" ht="14.25" hidden="1" thickBot="1">
      <c r="A34" s="222"/>
      <c r="B34" s="223"/>
      <c r="C34" s="224"/>
      <c r="D34" s="234"/>
      <c r="E34" s="232"/>
      <c r="F34" s="233"/>
      <c r="G34" s="222"/>
      <c r="H34" s="240"/>
      <c r="I34" s="241"/>
      <c r="J34" s="242"/>
      <c r="K34" s="231"/>
      <c r="L34" s="232"/>
      <c r="M34" s="250"/>
      <c r="N34" s="251"/>
    </row>
    <row r="35" spans="1:14" ht="14.25" hidden="1" thickBot="1">
      <c r="A35" s="222"/>
      <c r="B35" s="223"/>
      <c r="C35" s="224"/>
      <c r="D35" s="234"/>
      <c r="E35" s="232"/>
      <c r="F35" s="233"/>
      <c r="G35" s="222"/>
      <c r="H35" s="240"/>
      <c r="I35" s="241"/>
      <c r="J35" s="242"/>
      <c r="K35" s="231"/>
      <c r="L35" s="232"/>
      <c r="M35" s="250"/>
      <c r="N35" s="251"/>
    </row>
    <row r="36" spans="1:14" ht="14.25" hidden="1" thickBot="1">
      <c r="A36" s="222"/>
      <c r="B36" s="223"/>
      <c r="C36" s="224"/>
      <c r="D36" s="234"/>
      <c r="E36" s="232"/>
      <c r="F36" s="233"/>
      <c r="G36" s="222"/>
      <c r="H36" s="240"/>
      <c r="I36" s="241"/>
      <c r="J36" s="242"/>
      <c r="K36" s="231"/>
      <c r="L36" s="232"/>
      <c r="M36" s="250"/>
      <c r="N36" s="251"/>
    </row>
    <row r="37" spans="1:14" ht="14.25" hidden="1" thickBot="1">
      <c r="A37" s="222"/>
      <c r="B37" s="223"/>
      <c r="C37" s="224"/>
      <c r="D37" s="234"/>
      <c r="E37" s="232"/>
      <c r="F37" s="233"/>
      <c r="G37" s="222"/>
      <c r="H37" s="240"/>
      <c r="I37" s="241"/>
      <c r="J37" s="242"/>
      <c r="K37" s="231"/>
      <c r="L37" s="232"/>
      <c r="M37" s="250"/>
      <c r="N37" s="251"/>
    </row>
    <row r="38" spans="1:14" ht="14.25" hidden="1" thickBot="1">
      <c r="A38" s="222"/>
      <c r="B38" s="223"/>
      <c r="C38" s="224"/>
      <c r="D38" s="234"/>
      <c r="E38" s="232"/>
      <c r="F38" s="233"/>
      <c r="G38" s="222"/>
      <c r="H38" s="240"/>
      <c r="I38" s="241"/>
      <c r="J38" s="242"/>
      <c r="K38" s="231"/>
      <c r="L38" s="232"/>
      <c r="M38" s="250"/>
      <c r="N38" s="251"/>
    </row>
    <row r="39" spans="1:14" ht="14.25" hidden="1" thickBot="1">
      <c r="A39" s="222"/>
      <c r="B39" s="223"/>
      <c r="C39" s="224"/>
      <c r="D39" s="234"/>
      <c r="E39" s="232"/>
      <c r="F39" s="233"/>
      <c r="G39" s="222"/>
      <c r="H39" s="240"/>
      <c r="I39" s="241"/>
      <c r="J39" s="242"/>
      <c r="K39" s="231"/>
      <c r="L39" s="232"/>
      <c r="M39" s="250"/>
      <c r="N39" s="251"/>
    </row>
    <row r="40" spans="1:14" ht="14.25" hidden="1" thickBot="1">
      <c r="A40" s="222"/>
      <c r="B40" s="223"/>
      <c r="C40" s="224"/>
      <c r="D40" s="234"/>
      <c r="E40" s="232"/>
      <c r="F40" s="233"/>
      <c r="G40" s="222"/>
      <c r="H40" s="240"/>
      <c r="I40" s="241"/>
      <c r="J40" s="242"/>
      <c r="K40" s="231"/>
      <c r="L40" s="232"/>
      <c r="M40" s="250"/>
      <c r="N40" s="251"/>
    </row>
    <row r="41" spans="1:14" ht="14.25" hidden="1" thickBot="1">
      <c r="A41" s="222"/>
      <c r="B41" s="223"/>
      <c r="C41" s="224"/>
      <c r="D41" s="234"/>
      <c r="E41" s="232"/>
      <c r="F41" s="233"/>
      <c r="G41" s="222"/>
      <c r="H41" s="240"/>
      <c r="I41" s="241"/>
      <c r="J41" s="242"/>
      <c r="K41" s="231"/>
      <c r="L41" s="232"/>
      <c r="M41" s="250"/>
      <c r="N41" s="251"/>
    </row>
    <row r="42" spans="1:14" ht="14.25" hidden="1" thickBot="1">
      <c r="A42" s="222"/>
      <c r="B42" s="223"/>
      <c r="C42" s="224"/>
      <c r="D42" s="234"/>
      <c r="E42" s="232"/>
      <c r="F42" s="233"/>
      <c r="G42" s="222"/>
      <c r="H42" s="240"/>
      <c r="I42" s="241"/>
      <c r="J42" s="242"/>
      <c r="K42" s="231"/>
      <c r="L42" s="232"/>
      <c r="M42" s="250"/>
      <c r="N42" s="251"/>
    </row>
    <row r="43" spans="1:14" ht="14.25" hidden="1" thickBot="1">
      <c r="A43" s="222"/>
      <c r="B43" s="223"/>
      <c r="C43" s="224"/>
      <c r="D43" s="234"/>
      <c r="E43" s="232"/>
      <c r="F43" s="233"/>
      <c r="G43" s="222"/>
      <c r="H43" s="240"/>
      <c r="I43" s="241"/>
      <c r="J43" s="242"/>
      <c r="K43" s="231"/>
      <c r="L43" s="232"/>
      <c r="M43" s="250"/>
      <c r="N43" s="251"/>
    </row>
    <row r="44" spans="1:14" ht="14.25" hidden="1" thickBot="1">
      <c r="A44" s="222"/>
      <c r="B44" s="223"/>
      <c r="C44" s="224"/>
      <c r="D44" s="234"/>
      <c r="E44" s="232"/>
      <c r="F44" s="233"/>
      <c r="G44" s="222"/>
      <c r="H44" s="240"/>
      <c r="I44" s="241"/>
      <c r="J44" s="242"/>
      <c r="K44" s="231"/>
      <c r="L44" s="232"/>
      <c r="M44" s="250"/>
      <c r="N44" s="251"/>
    </row>
    <row r="45" spans="1:14" ht="14.25" hidden="1" thickBot="1">
      <c r="A45" s="222"/>
      <c r="B45" s="223"/>
      <c r="C45" s="224"/>
      <c r="D45" s="234"/>
      <c r="E45" s="232"/>
      <c r="F45" s="233"/>
      <c r="G45" s="222"/>
      <c r="H45" s="240"/>
      <c r="I45" s="241"/>
      <c r="J45" s="242"/>
      <c r="K45" s="231"/>
      <c r="L45" s="232"/>
      <c r="M45" s="250"/>
      <c r="N45" s="251"/>
    </row>
    <row r="46" spans="1:14" ht="14.25" hidden="1" thickBot="1">
      <c r="A46" s="222"/>
      <c r="B46" s="223"/>
      <c r="C46" s="224"/>
      <c r="D46" s="234"/>
      <c r="E46" s="232"/>
      <c r="F46" s="233"/>
      <c r="G46" s="222"/>
      <c r="H46" s="240"/>
      <c r="I46" s="241"/>
      <c r="J46" s="242"/>
      <c r="K46" s="231"/>
      <c r="L46" s="232"/>
      <c r="M46" s="250"/>
      <c r="N46" s="251"/>
    </row>
    <row r="47" spans="1:14" ht="14.25" hidden="1" thickBot="1">
      <c r="A47" s="222"/>
      <c r="B47" s="223"/>
      <c r="C47" s="224"/>
      <c r="D47" s="234"/>
      <c r="E47" s="232"/>
      <c r="F47" s="233"/>
      <c r="G47" s="222"/>
      <c r="H47" s="240"/>
      <c r="I47" s="241"/>
      <c r="J47" s="242"/>
      <c r="K47" s="231"/>
      <c r="L47" s="232"/>
      <c r="M47" s="250"/>
      <c r="N47" s="251"/>
    </row>
    <row r="48" spans="1:14" ht="14.25" thickBot="1">
      <c r="A48" s="222"/>
      <c r="B48" s="223"/>
      <c r="C48" s="224"/>
      <c r="D48" s="234"/>
      <c r="E48" s="232"/>
      <c r="F48" s="233"/>
      <c r="G48" s="222"/>
      <c r="H48" s="240"/>
      <c r="I48" s="241"/>
      <c r="J48" s="242"/>
      <c r="K48" s="231"/>
      <c r="L48" s="232"/>
      <c r="M48" s="250"/>
      <c r="N48" s="251"/>
    </row>
    <row r="49" spans="1:14" ht="13.5">
      <c r="A49" s="225"/>
      <c r="B49" s="226"/>
      <c r="C49" s="227"/>
      <c r="D49" s="235"/>
      <c r="E49" s="236"/>
      <c r="F49" s="235"/>
      <c r="G49" s="225"/>
      <c r="H49" s="243"/>
      <c r="I49" s="244"/>
      <c r="J49" s="245"/>
      <c r="K49" s="237"/>
      <c r="L49" s="236"/>
      <c r="M49" s="235"/>
      <c r="N49" s="252"/>
    </row>
    <row r="50" spans="1:14" ht="13.5">
      <c r="A50" s="225"/>
      <c r="B50" s="226"/>
      <c r="C50" s="227"/>
      <c r="D50" s="235"/>
      <c r="E50" s="236"/>
      <c r="F50" s="235"/>
      <c r="G50" s="225"/>
      <c r="H50" s="243"/>
      <c r="I50" s="244"/>
      <c r="J50" s="245"/>
      <c r="K50" s="237"/>
      <c r="L50" s="236"/>
      <c r="M50" s="235"/>
      <c r="N50" s="252"/>
    </row>
    <row r="51" spans="1:14" ht="13.5">
      <c r="A51" s="225"/>
      <c r="B51" s="226"/>
      <c r="C51" s="227"/>
      <c r="D51" s="235"/>
      <c r="E51" s="236"/>
      <c r="F51" s="235"/>
      <c r="G51" s="225"/>
      <c r="H51" s="243"/>
      <c r="I51" s="244"/>
      <c r="J51" s="245"/>
      <c r="K51" s="237"/>
      <c r="L51" s="236"/>
      <c r="M51" s="235"/>
      <c r="N51" s="252"/>
    </row>
    <row r="55" spans="1:14" ht="13.5">
      <c r="A55" s="350">
        <v>2008</v>
      </c>
      <c r="B55" s="351"/>
      <c r="C55" s="351"/>
      <c r="D55" s="235">
        <f>SUM(D1:D52)</f>
        <v>58</v>
      </c>
      <c r="E55" s="236">
        <f>SUM(E1:E52)</f>
        <v>5529440.2</v>
      </c>
      <c r="F55" s="235">
        <f>SUM(F1:F54)</f>
        <v>704032</v>
      </c>
      <c r="G55" s="225"/>
      <c r="H55" s="243"/>
      <c r="I55" s="244"/>
      <c r="J55" s="245"/>
      <c r="K55" s="237"/>
      <c r="L55" s="236">
        <f>SUM(L1:L52)</f>
        <v>2912032.2</v>
      </c>
      <c r="M55" s="235">
        <f>SUM(M1:M52)</f>
        <v>397934</v>
      </c>
      <c r="N55" s="252">
        <f>SUM(M55/F55)</f>
        <v>0.565221467206036</v>
      </c>
    </row>
    <row r="56" spans="1:14" s="108" customFormat="1" ht="13.5">
      <c r="A56" s="352">
        <v>2007</v>
      </c>
      <c r="B56" s="353"/>
      <c r="C56" s="353"/>
      <c r="D56" s="237">
        <v>56</v>
      </c>
      <c r="E56" s="236">
        <v>8693888.8</v>
      </c>
      <c r="F56" s="235">
        <v>1116814</v>
      </c>
      <c r="G56" s="225">
        <v>4</v>
      </c>
      <c r="H56" s="243">
        <v>3073193</v>
      </c>
      <c r="I56" s="244">
        <v>356022</v>
      </c>
      <c r="J56" s="245">
        <f>SUM(I56/F56)</f>
        <v>0.31878361123696514</v>
      </c>
      <c r="K56" s="237">
        <v>15</v>
      </c>
      <c r="L56" s="236">
        <v>4982432.6</v>
      </c>
      <c r="M56" s="235">
        <v>687078</v>
      </c>
      <c r="N56" s="252">
        <f>SUM(M56/F56)</f>
        <v>0.6152125600144698</v>
      </c>
    </row>
    <row r="57" spans="1:14" ht="13.5">
      <c r="A57" s="225"/>
      <c r="B57" s="226"/>
      <c r="C57" s="227"/>
      <c r="D57" s="235"/>
      <c r="E57" s="236"/>
      <c r="F57" s="235"/>
      <c r="G57" s="246"/>
      <c r="H57" s="243"/>
      <c r="I57" s="244"/>
      <c r="J57" s="245"/>
      <c r="K57" s="237"/>
      <c r="L57" s="236"/>
      <c r="M57" s="235"/>
      <c r="N57" s="252"/>
    </row>
    <row r="58" spans="1:14" ht="13.5">
      <c r="A58" s="225"/>
      <c r="B58" s="226"/>
      <c r="C58" s="227"/>
      <c r="D58" s="235"/>
      <c r="E58" s="236"/>
      <c r="F58" s="235"/>
      <c r="G58" s="225"/>
      <c r="H58" s="243"/>
      <c r="I58" s="244"/>
      <c r="J58" s="245"/>
      <c r="K58" s="237"/>
      <c r="L58" s="236"/>
      <c r="M58" s="235"/>
      <c r="N58" s="252"/>
    </row>
    <row r="61" ht="13.5">
      <c r="L61" s="238"/>
    </row>
  </sheetData>
  <sheetProtection/>
  <mergeCells count="2">
    <mergeCell ref="A55:C55"/>
    <mergeCell ref="A56:C56"/>
  </mergeCells>
  <printOptions/>
  <pageMargins left="0.75" right="0.75" top="1" bottom="1" header="0.5" footer="0.5"/>
  <pageSetup orientation="portrait" paperSize="9" r:id="rId2"/>
  <ignoredErrors>
    <ignoredError sqref="G55 D55 E55 M55 L55 H55:K55 N55" emptyCellReferenc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2008-01-10T15:01:25Z</cp:lastPrinted>
  <dcterms:created xsi:type="dcterms:W3CDTF">2006-03-17T12:24:26Z</dcterms:created>
  <dcterms:modified xsi:type="dcterms:W3CDTF">2008-01-15T06:23:33Z</dcterms:modified>
  <cp:category/>
  <cp:version/>
  <cp:contentType/>
  <cp:contentStatus/>
</cp:coreProperties>
</file>