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65491" windowWidth="12495" windowHeight="11640" tabRatio="832" activeTab="0"/>
  </bookViews>
  <sheets>
    <sheet name="02-08 Jan' '09 (WK 01)" sheetId="1" r:id="rId1"/>
    <sheet name="02-08 Jan' '09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'02-08 Jan' '09 (Annual)'!$A$5:$J$8</definedName>
    <definedName name="_xlnm.Print_Area" localSheetId="0">'02-08 Jan' '09 (WK 01)'!$A$1:$O$70</definedName>
  </definedNames>
  <calcPr fullCalcOnLoad="1"/>
</workbook>
</file>

<file path=xl/sharedStrings.xml><?xml version="1.0" encoding="utf-8"?>
<sst xmlns="http://schemas.openxmlformats.org/spreadsheetml/2006/main" count="323" uniqueCount="121">
  <si>
    <t>MADAGASCAR 2</t>
  </si>
  <si>
    <t>BURN AFTER READING</t>
  </si>
  <si>
    <t>SUGARWORKZ-TIM'S</t>
  </si>
  <si>
    <t>LORNA'S SILENCE</t>
  </si>
  <si>
    <t>MEMENTO</t>
  </si>
  <si>
    <t>STORY OF LEO, THE</t>
  </si>
  <si>
    <t>TILSIM DESIGN</t>
  </si>
  <si>
    <t>ELEGY</t>
  </si>
  <si>
    <t>MAX PAYNE</t>
  </si>
  <si>
    <t>IMPY'S WONDERLAND</t>
  </si>
  <si>
    <t>ODYSSEY</t>
  </si>
  <si>
    <t>MUSTAFA</t>
  </si>
  <si>
    <t>AŞK TUTULMASI</t>
  </si>
  <si>
    <t>3 MAYMUN</t>
  </si>
  <si>
    <t>DEVRİM ARABALARI</t>
  </si>
  <si>
    <t>EKIP FILM</t>
  </si>
  <si>
    <t>PARIS</t>
  </si>
  <si>
    <t>DUCHESS, THE</t>
  </si>
  <si>
    <t>QUANTUM OF SOLACE</t>
  </si>
  <si>
    <t>SPRI</t>
  </si>
  <si>
    <t>ISSIZ ADAM</t>
  </si>
  <si>
    <t>CINEFILM</t>
  </si>
  <si>
    <t>MOST PRODUCTION</t>
  </si>
  <si>
    <t>GÜNEŞİN OĞLU</t>
  </si>
  <si>
    <t>SON CELLAT</t>
  </si>
  <si>
    <t>[REC]</t>
  </si>
  <si>
    <t>FIRTINA</t>
  </si>
  <si>
    <t>YAPIM 13</t>
  </si>
  <si>
    <t>OSMANLI CUMHURİYETİ</t>
  </si>
  <si>
    <t>DESTERE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</si>
  <si>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</si>
  <si>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</si>
  <si>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G.B.O. YTL</t>
  </si>
  <si>
    <t>D PRODUCTIONS</t>
  </si>
  <si>
    <t>FOCUS</t>
  </si>
  <si>
    <t>BARBAR FILM</t>
  </si>
  <si>
    <t>TATİL KİTABI</t>
  </si>
  <si>
    <t>BULUT FILM</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</si>
  <si>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</si>
  <si>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BIR FILM</t>
  </si>
  <si>
    <t>Admission</t>
  </si>
  <si>
    <t>Title</t>
  </si>
  <si>
    <t>PINEMA</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</si>
  <si>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</si>
  <si>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</si>
  <si>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</si>
  <si>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</si>
  <si>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</si>
  <si>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ZERO FILM</t>
  </si>
  <si>
    <t>FILMA</t>
  </si>
  <si>
    <t>OZEN-UMUT</t>
  </si>
  <si>
    <t>02-08</t>
  </si>
  <si>
    <t>Production Company</t>
  </si>
  <si>
    <t>Türkiye Distributor</t>
  </si>
  <si>
    <t>WALT DISNEY</t>
  </si>
  <si>
    <t>PATHE</t>
  </si>
  <si>
    <t>Release
Date</t>
  </si>
  <si>
    <t># of
Prints</t>
  </si>
  <si>
    <t>Week</t>
  </si>
  <si>
    <t>Cumulative</t>
  </si>
  <si>
    <t>G.B.O.</t>
  </si>
  <si>
    <t>Adm.</t>
  </si>
  <si>
    <t>Avg.
Ticket</t>
  </si>
  <si>
    <t xml:space="preserve">Avg.
Ticket </t>
  </si>
  <si>
    <t># of
Screen</t>
  </si>
  <si>
    <t>WARNER BROS.</t>
  </si>
  <si>
    <t>Weeks in Release</t>
  </si>
  <si>
    <t>TMC</t>
  </si>
  <si>
    <t>Weekly Movie Magazine Antrakt Presents - Haftalık Antrakt Sinema Gazetesi Sunar</t>
  </si>
  <si>
    <t>AVSAR FILM</t>
  </si>
  <si>
    <t>PARAMOUNT</t>
  </si>
  <si>
    <t>Company</t>
  </si>
  <si>
    <t>Distributor</t>
  </si>
  <si>
    <t>WB</t>
  </si>
  <si>
    <t>UIP</t>
  </si>
  <si>
    <t>OZEN</t>
  </si>
  <si>
    <t>FOX</t>
  </si>
  <si>
    <t>TIGLON</t>
  </si>
  <si>
    <t>*Sorted according to Week Total G.B.O. - Haftalık toplam hasılat sütununa göre sıralanmıştır.</t>
  </si>
  <si>
    <t>MEDYAVIZYON</t>
  </si>
  <si>
    <t>TOTAL</t>
  </si>
  <si>
    <t>FIDA FILM-CMYLMZ</t>
  </si>
  <si>
    <t>MURO: NALET OLSUN İÇİMDEKİ İNSAN SEVGİSİNE</t>
  </si>
  <si>
    <t>PANA FILM</t>
  </si>
  <si>
    <t>ENTRE LES MURS (THE CLASS)</t>
  </si>
  <si>
    <t>DAY THE EARTH STOOD STILL, THE</t>
  </si>
  <si>
    <t>EFLATUN FILM</t>
  </si>
  <si>
    <t>BODY OF LIES</t>
  </si>
  <si>
    <t>SICAK</t>
  </si>
  <si>
    <t>ANS</t>
  </si>
  <si>
    <t>SONBAHAR</t>
  </si>
  <si>
    <t>KUZEY</t>
  </si>
  <si>
    <t>TRANSSIBERIAN</t>
  </si>
  <si>
    <t>A.R.O.G: BİR YONTMATAŞ FİLMİ</t>
  </si>
  <si>
    <t>ŞEYTANIN PABUCU</t>
  </si>
  <si>
    <t>MIA YAPIM</t>
  </si>
  <si>
    <t>BOLT - 3D</t>
  </si>
  <si>
    <t>AUSTRALIA</t>
  </si>
  <si>
    <t>TRANSPORTER 3</t>
  </si>
  <si>
    <t>YAĞMURDAN SONRA</t>
  </si>
  <si>
    <t>UZMAN FILM</t>
  </si>
  <si>
    <t>KO-MEDYA-NTV</t>
  </si>
  <si>
    <t>HAYALIM FILM</t>
  </si>
  <si>
    <t>IMAJ-NBC-ZEYNO FILM</t>
  </si>
  <si>
    <t>BIR FILM-MARS P.</t>
  </si>
  <si>
    <r>
      <t xml:space="preserve">2008 Türkiye Annual Box Office Report  </t>
    </r>
    <r>
      <rPr>
        <sz val="16"/>
        <rFont val="Impact"/>
        <family val="0"/>
      </rPr>
      <t>02-08 January 2009</t>
    </r>
  </si>
  <si>
    <r>
      <t>2008 Türkiye Ex Years Releases Annual Box Office Report</t>
    </r>
    <r>
      <rPr>
        <b/>
        <sz val="26"/>
        <rFont val="Impact"/>
        <family val="2"/>
      </rPr>
      <t xml:space="preserve">  </t>
    </r>
    <r>
      <rPr>
        <b/>
        <sz val="16"/>
        <rFont val="Impact"/>
        <family val="2"/>
      </rPr>
      <t>02-08 January 2009</t>
    </r>
  </si>
  <si>
    <t>PASSENGERS</t>
  </si>
  <si>
    <t>FIDA FILM</t>
  </si>
  <si>
    <t>MUTANT CHRONICLES, THE</t>
  </si>
  <si>
    <t>VOLTAGE</t>
  </si>
  <si>
    <t>NO MAN'S LAND: THE RISE OF REEKER</t>
  </si>
  <si>
    <t>SÜT</t>
  </si>
  <si>
    <t>KAPLAN FILM</t>
  </si>
  <si>
    <t>DREAM</t>
  </si>
  <si>
    <t>SAW V</t>
  </si>
  <si>
    <t>CHRONICLES OF NARNIA: PRINCE CASPIAN, THE</t>
  </si>
  <si>
    <t>UNIVERSAL</t>
  </si>
  <si>
    <t>PATHOLOGY</t>
  </si>
  <si>
    <t>KUNG FU PANDA</t>
  </si>
  <si>
    <t>NIGHTS IN RODANTHE</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</si>
</sst>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57">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b/>
      <sz val="8"/>
      <name val="Trebuchet MS"/>
      <family val="2"/>
    </font>
    <font>
      <sz val="8"/>
      <name val="Trebuchet MS"/>
      <family val="2"/>
    </font>
    <font>
      <b/>
      <sz val="10"/>
      <name val="Arial"/>
      <family val="2"/>
    </font>
    <font>
      <sz val="20"/>
      <name val="Impact"/>
      <family val="2"/>
    </font>
    <font>
      <sz val="10"/>
      <name val="Trebuchet MS"/>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sz val="9"/>
      <name val="Trebuchet MS"/>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2"/>
    </font>
    <font>
      <b/>
      <sz val="26"/>
      <name val="Arial"/>
      <family val="0"/>
    </font>
    <font>
      <b/>
      <u val="single"/>
      <sz val="8"/>
      <name val="Arial"/>
      <family val="2"/>
    </font>
    <font>
      <b/>
      <sz val="8"/>
      <name val="Arial"/>
      <family val="2"/>
    </font>
    <font>
      <sz val="8"/>
      <color indexed="9"/>
      <name val="Arial"/>
      <family val="2"/>
    </font>
    <font>
      <b/>
      <u val="single"/>
      <sz val="10"/>
      <color indexed="9"/>
      <name val="Trebuchet MS"/>
      <family val="2"/>
    </font>
    <font>
      <u val="single"/>
      <sz val="10"/>
      <color indexed="9"/>
      <name val="Trebuchet MS"/>
      <family val="2"/>
    </font>
    <font>
      <sz val="20"/>
      <color indexed="8"/>
      <name val="Impact"/>
      <family val="2"/>
    </font>
    <font>
      <sz val="40"/>
      <color indexed="8"/>
      <name val="Impact"/>
      <family val="0"/>
    </font>
    <font>
      <sz val="40"/>
      <color indexed="8"/>
      <name val="Arial"/>
      <family val="2"/>
    </font>
    <font>
      <sz val="26"/>
      <color indexed="8"/>
      <name val="Impact"/>
      <family val="0"/>
    </font>
    <font>
      <sz val="20"/>
      <color indexed="40"/>
      <name val="GoudyLight"/>
      <family val="0"/>
    </font>
    <font>
      <sz val="10"/>
      <color indexed="40"/>
      <name val="Arial"/>
      <family val="0"/>
    </font>
    <font>
      <sz val="26"/>
      <name val="Impact"/>
      <family val="0"/>
    </font>
    <font>
      <sz val="16"/>
      <name val="Impact"/>
      <family val="0"/>
    </font>
    <font>
      <b/>
      <sz val="16"/>
      <name val="Impact"/>
      <family val="2"/>
    </font>
    <font>
      <b/>
      <sz val="26"/>
      <name val="Impact"/>
      <family val="2"/>
    </font>
  </fonts>
  <fills count="5">
    <fill>
      <patternFill/>
    </fill>
    <fill>
      <patternFill patternType="gray125"/>
    </fill>
    <fill>
      <patternFill patternType="solid">
        <fgColor indexed="8"/>
        <bgColor indexed="64"/>
      </patternFill>
    </fill>
    <fill>
      <patternFill patternType="solid">
        <fgColor indexed="49"/>
        <bgColor indexed="64"/>
      </patternFill>
    </fill>
    <fill>
      <patternFill patternType="solid">
        <fgColor indexed="40"/>
        <bgColor indexed="64"/>
      </patternFill>
    </fill>
  </fills>
  <borders count="50">
    <border>
      <left/>
      <right/>
      <top/>
      <bottom/>
      <diagonal/>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hair"/>
      <bottom style="medium"/>
    </border>
    <border>
      <left style="hair"/>
      <right style="hair"/>
      <top style="hair"/>
      <bottom style="medium"/>
    </border>
    <border>
      <left style="hair"/>
      <right style="medium"/>
      <top style="hair"/>
      <bottom style="hair"/>
    </border>
    <border>
      <left style="hair"/>
      <right>
        <color indexed="63"/>
      </right>
      <top style="hair"/>
      <bottom style="thin"/>
    </border>
    <border>
      <left style="medium"/>
      <right style="hair"/>
      <top style="hair"/>
      <bottom style="thin"/>
    </border>
    <border>
      <left style="hair"/>
      <right style="hair"/>
      <top style="hair"/>
      <bottom style="thin"/>
    </border>
    <border>
      <left style="medium"/>
      <right>
        <color indexed="63"/>
      </right>
      <top style="hair"/>
      <bottom style="thin"/>
    </border>
    <border>
      <left>
        <color indexed="63"/>
      </left>
      <right style="hair"/>
      <top style="hair"/>
      <bottom style="hair"/>
    </border>
    <border>
      <left style="hair"/>
      <right style="medium"/>
      <top style="hair"/>
      <bottom style="medium"/>
    </border>
    <border>
      <left>
        <color indexed="63"/>
      </left>
      <right>
        <color indexed="63"/>
      </right>
      <top>
        <color indexed="63"/>
      </top>
      <bottom style="thin"/>
    </border>
    <border>
      <left style="medium"/>
      <right style="hair"/>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thin"/>
      <top style="medium"/>
      <bottom style="thin"/>
    </border>
    <border>
      <left style="medium"/>
      <right>
        <color indexed="63"/>
      </right>
      <top style="hair"/>
      <bottom style="hair"/>
    </border>
    <border>
      <left>
        <color indexed="63"/>
      </left>
      <right style="hair"/>
      <top>
        <color indexed="63"/>
      </top>
      <bottom style="hair"/>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7">
    <xf numFmtId="0" fontId="0" fillId="0" borderId="0" xfId="0" applyAlignment="1">
      <alignment/>
    </xf>
    <xf numFmtId="171"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8"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9" fillId="0" borderId="0" xfId="0" applyFont="1" applyBorder="1" applyAlignment="1">
      <alignment horizontal="center" vertical="center"/>
    </xf>
    <xf numFmtId="187" fontId="7" fillId="0" borderId="0"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19" fillId="0" borderId="0" xfId="0" applyNumberFormat="1"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1" fillId="0" borderId="1" xfId="0" applyNumberFormat="1" applyFont="1" applyFill="1" applyBorder="1" applyAlignment="1" applyProtection="1">
      <alignment horizontal="center" vertical="center" wrapText="1"/>
      <protection/>
    </xf>
    <xf numFmtId="193" fontId="22" fillId="0" borderId="2"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19" fillId="0" borderId="0" xfId="0" applyFont="1" applyBorder="1" applyAlignment="1">
      <alignment horizontal="right" vertical="center"/>
    </xf>
    <xf numFmtId="0" fontId="19" fillId="0" borderId="1" xfId="0" applyFont="1" applyFill="1" applyBorder="1" applyAlignment="1">
      <alignment horizontal="center" vertical="center"/>
    </xf>
    <xf numFmtId="184" fontId="13" fillId="2"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3" fontId="13" fillId="2" borderId="3" xfId="0" applyNumberFormat="1" applyFont="1" applyFill="1" applyBorder="1" applyAlignment="1">
      <alignment horizontal="center" vertical="center"/>
    </xf>
    <xf numFmtId="192" fontId="13" fillId="2" borderId="4" xfId="0" applyNumberFormat="1" applyFont="1" applyFill="1" applyBorder="1" applyAlignment="1">
      <alignment horizontal="right" vertical="center"/>
    </xf>
    <xf numFmtId="0" fontId="27" fillId="0" borderId="0" xfId="0" applyFont="1" applyFill="1" applyBorder="1" applyAlignment="1" applyProtection="1">
      <alignment vertical="center"/>
      <protection locked="0"/>
    </xf>
    <xf numFmtId="184" fontId="11" fillId="0" borderId="5" xfId="0" applyNumberFormat="1" applyFont="1" applyFill="1" applyBorder="1" applyAlignment="1" applyProtection="1">
      <alignment horizontal="center" vertical="center"/>
      <protection locked="0"/>
    </xf>
    <xf numFmtId="184"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left" vertical="center"/>
      <protection locked="0"/>
    </xf>
    <xf numFmtId="184" fontId="11" fillId="0" borderId="5" xfId="0" applyNumberFormat="1" applyFont="1" applyFill="1" applyBorder="1" applyAlignment="1" applyProtection="1">
      <alignment horizontal="left" vertical="center"/>
      <protection locked="0"/>
    </xf>
    <xf numFmtId="0" fontId="11" fillId="0" borderId="5" xfId="0" applyFont="1" applyFill="1" applyBorder="1" applyAlignment="1">
      <alignment horizontal="left" vertical="center"/>
    </xf>
    <xf numFmtId="49" fontId="11" fillId="0" borderId="5" xfId="0" applyNumberFormat="1" applyFont="1" applyFill="1" applyBorder="1" applyAlignment="1" applyProtection="1">
      <alignment horizontal="left" vertical="center"/>
      <protection locked="0"/>
    </xf>
    <xf numFmtId="184" fontId="0" fillId="0" borderId="0" xfId="0" applyNumberFormat="1" applyAlignment="1">
      <alignment horizontal="center" vertical="center"/>
    </xf>
    <xf numFmtId="0" fontId="20" fillId="0" borderId="6" xfId="0" applyFont="1" applyFill="1" applyBorder="1" applyAlignment="1">
      <alignment horizontal="center" vertical="center"/>
    </xf>
    <xf numFmtId="0" fontId="11" fillId="0" borderId="7" xfId="0" applyFont="1" applyFill="1" applyBorder="1" applyAlignment="1" applyProtection="1">
      <alignment horizontal="left" vertical="center"/>
      <protection locked="0"/>
    </xf>
    <xf numFmtId="0" fontId="11" fillId="0" borderId="7" xfId="0" applyFont="1" applyFill="1" applyBorder="1" applyAlignment="1">
      <alignment horizontal="left" vertical="center"/>
    </xf>
    <xf numFmtId="0" fontId="11" fillId="0" borderId="5" xfId="0" applyNumberFormat="1" applyFont="1" applyFill="1" applyBorder="1" applyAlignment="1" applyProtection="1">
      <alignment horizontal="center" vertical="center"/>
      <protection locked="0"/>
    </xf>
    <xf numFmtId="192" fontId="22" fillId="0" borderId="2" xfId="0" applyNumberFormat="1" applyFont="1" applyFill="1" applyBorder="1" applyAlignment="1" applyProtection="1">
      <alignment horizontal="center" wrapText="1"/>
      <protection/>
    </xf>
    <xf numFmtId="192" fontId="22" fillId="0" borderId="8" xfId="0" applyNumberFormat="1" applyFont="1" applyFill="1" applyBorder="1" applyAlignment="1" applyProtection="1">
      <alignment horizontal="center" wrapText="1"/>
      <protection/>
    </xf>
    <xf numFmtId="0" fontId="11" fillId="0" borderId="7" xfId="0" applyNumberFormat="1"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locked="0"/>
    </xf>
    <xf numFmtId="3" fontId="22"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2" fillId="0" borderId="0" xfId="0" applyNumberFormat="1" applyFont="1" applyFill="1" applyBorder="1" applyAlignment="1">
      <alignment horizontal="center" vertical="center"/>
    </xf>
    <xf numFmtId="4" fontId="0" fillId="0" borderId="0" xfId="0" applyNumberFormat="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3" fillId="2" borderId="3" xfId="0" applyNumberFormat="1" applyFont="1" applyFill="1" applyBorder="1" applyAlignment="1">
      <alignment horizontal="right" vertical="center"/>
    </xf>
    <xf numFmtId="0" fontId="0" fillId="0" borderId="0" xfId="0" applyAlignment="1">
      <alignment horizontal="center"/>
    </xf>
    <xf numFmtId="0" fontId="28" fillId="0" borderId="9" xfId="0" applyFont="1" applyBorder="1" applyAlignment="1" applyProtection="1">
      <alignment vertical="center"/>
      <protection locked="0"/>
    </xf>
    <xf numFmtId="0" fontId="28" fillId="0" borderId="10" xfId="0" applyFont="1" applyBorder="1" applyAlignment="1" applyProtection="1">
      <alignment vertical="center"/>
      <protection locked="0"/>
    </xf>
    <xf numFmtId="14" fontId="11" fillId="0" borderId="5" xfId="0" applyNumberFormat="1" applyFont="1" applyFill="1" applyBorder="1" applyAlignment="1">
      <alignment horizontal="left" vertical="center"/>
    </xf>
    <xf numFmtId="200" fontId="22" fillId="0" borderId="2" xfId="0" applyNumberFormat="1" applyFont="1" applyFill="1" applyBorder="1" applyAlignment="1" applyProtection="1">
      <alignment horizontal="center" vertical="center" wrapText="1"/>
      <protection/>
    </xf>
    <xf numFmtId="0" fontId="19" fillId="0" borderId="11" xfId="0" applyFont="1" applyFill="1" applyBorder="1" applyAlignment="1" applyProtection="1">
      <alignment horizontal="right" vertical="center"/>
      <protection/>
    </xf>
    <xf numFmtId="200" fontId="16" fillId="0" borderId="0" xfId="0" applyNumberFormat="1" applyFont="1" applyFill="1" applyBorder="1" applyAlignment="1" applyProtection="1">
      <alignment horizontal="right" vertical="center"/>
      <protection/>
    </xf>
    <xf numFmtId="200" fontId="12" fillId="2" borderId="3" xfId="0" applyNumberFormat="1" applyFont="1" applyFill="1" applyBorder="1" applyAlignment="1">
      <alignment horizontal="right" vertical="center"/>
    </xf>
    <xf numFmtId="200" fontId="17" fillId="0" borderId="0" xfId="0" applyNumberFormat="1" applyFont="1" applyFill="1" applyBorder="1" applyAlignment="1" applyProtection="1">
      <alignment horizontal="right" vertical="center"/>
      <protection locked="0"/>
    </xf>
    <xf numFmtId="200" fontId="18" fillId="0" borderId="0" xfId="0" applyNumberFormat="1" applyFont="1" applyFill="1" applyBorder="1" applyAlignment="1" applyProtection="1">
      <alignment horizontal="right" vertical="center"/>
      <protection locked="0"/>
    </xf>
    <xf numFmtId="200" fontId="9"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3" fillId="2" borderId="3"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8" fillId="0" borderId="0" xfId="15"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3" fillId="2" borderId="3"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8"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3" fillId="0" borderId="6"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8" fillId="0" borderId="0" xfId="0" applyFont="1" applyBorder="1" applyAlignment="1">
      <alignment horizontal="right" vertical="center"/>
    </xf>
    <xf numFmtId="0" fontId="20" fillId="2" borderId="0" xfId="0" applyFont="1" applyFill="1" applyBorder="1" applyAlignment="1">
      <alignment horizontal="right" vertical="center"/>
    </xf>
    <xf numFmtId="0" fontId="30" fillId="2" borderId="0" xfId="0" applyFont="1" applyFill="1" applyBorder="1" applyAlignment="1">
      <alignment vertical="center"/>
    </xf>
    <xf numFmtId="0" fontId="30" fillId="2" borderId="0" xfId="0" applyFont="1" applyFill="1" applyBorder="1" applyAlignment="1">
      <alignment horizontal="center" vertical="center"/>
    </xf>
    <xf numFmtId="0" fontId="11" fillId="0" borderId="12" xfId="0" applyFont="1" applyFill="1" applyBorder="1" applyAlignment="1">
      <alignment horizontal="left" vertical="center"/>
    </xf>
    <xf numFmtId="0" fontId="11" fillId="0" borderId="13" xfId="0" applyFont="1" applyFill="1" applyBorder="1" applyAlignment="1">
      <alignment horizontal="center" vertical="center"/>
    </xf>
    <xf numFmtId="0" fontId="32" fillId="0" borderId="0" xfId="0" applyFont="1" applyFill="1" applyBorder="1" applyAlignment="1" applyProtection="1">
      <alignment horizontal="center" vertical="center" wrapText="1"/>
      <protection locked="0"/>
    </xf>
    <xf numFmtId="193" fontId="22" fillId="0" borderId="2" xfId="0" applyNumberFormat="1" applyFont="1" applyFill="1" applyBorder="1" applyAlignment="1" applyProtection="1">
      <alignment horizontal="center" wrapText="1"/>
      <protection/>
    </xf>
    <xf numFmtId="1" fontId="19" fillId="0" borderId="1" xfId="0" applyNumberFormat="1" applyFont="1" applyFill="1" applyBorder="1" applyAlignment="1" applyProtection="1">
      <alignment horizontal="center" vertical="center" wrapText="1"/>
      <protection/>
    </xf>
    <xf numFmtId="1" fontId="20" fillId="0" borderId="6" xfId="0" applyNumberFormat="1" applyFont="1" applyFill="1" applyBorder="1" applyAlignment="1" applyProtection="1">
      <alignment horizontal="center" vertical="center" wrapText="1"/>
      <protection/>
    </xf>
    <xf numFmtId="200" fontId="30" fillId="2" borderId="0" xfId="0" applyNumberFormat="1" applyFont="1" applyFill="1" applyBorder="1" applyAlignment="1">
      <alignment horizontal="center" vertical="center"/>
    </xf>
    <xf numFmtId="193" fontId="30" fillId="2" borderId="0" xfId="0" applyNumberFormat="1" applyFont="1" applyFill="1" applyBorder="1" applyAlignment="1">
      <alignment horizontal="center" vertical="center"/>
    </xf>
    <xf numFmtId="0" fontId="30" fillId="2" borderId="0" xfId="0" applyFont="1" applyFill="1" applyAlignment="1">
      <alignment horizontal="center"/>
    </xf>
    <xf numFmtId="200" fontId="9" fillId="0" borderId="0" xfId="0" applyNumberFormat="1" applyFont="1" applyBorder="1" applyAlignment="1">
      <alignment horizontal="center" vertical="center"/>
    </xf>
    <xf numFmtId="193" fontId="9" fillId="0" borderId="0" xfId="0" applyNumberFormat="1" applyFont="1" applyBorder="1" applyAlignment="1">
      <alignment horizontal="center" vertical="center"/>
    </xf>
    <xf numFmtId="200" fontId="9" fillId="0" borderId="0" xfId="0" applyNumberFormat="1" applyFont="1" applyAlignment="1">
      <alignment horizontal="center"/>
    </xf>
    <xf numFmtId="193" fontId="9" fillId="0" borderId="0" xfId="0" applyNumberFormat="1" applyFont="1" applyAlignment="1">
      <alignment horizontal="center"/>
    </xf>
    <xf numFmtId="0" fontId="34" fillId="0" borderId="0" xfId="0" applyFont="1" applyFill="1" applyBorder="1" applyAlignment="1" applyProtection="1">
      <alignment horizontal="center" vertical="center" wrapText="1"/>
      <protection locked="0"/>
    </xf>
    <xf numFmtId="192" fontId="11" fillId="0" borderId="14" xfId="0" applyNumberFormat="1" applyFont="1" applyFill="1" applyBorder="1" applyAlignment="1">
      <alignment vertical="center"/>
    </xf>
    <xf numFmtId="192" fontId="11" fillId="0" borderId="14" xfId="21" applyNumberFormat="1" applyFont="1" applyFill="1" applyBorder="1" applyAlignment="1" applyProtection="1">
      <alignment vertical="center"/>
      <protection/>
    </xf>
    <xf numFmtId="192" fontId="11" fillId="0" borderId="14" xfId="15" applyNumberFormat="1" applyFont="1" applyFill="1" applyBorder="1" applyAlignment="1" applyProtection="1">
      <alignment vertical="center"/>
      <protection/>
    </xf>
    <xf numFmtId="0" fontId="19" fillId="0" borderId="0" xfId="0" applyFont="1" applyFill="1" applyBorder="1" applyAlignment="1">
      <alignment horizontal="right" vertical="center"/>
    </xf>
    <xf numFmtId="3" fontId="24" fillId="0" borderId="0" xfId="0" applyNumberFormat="1" applyFont="1" applyFill="1" applyBorder="1" applyAlignment="1">
      <alignment horizontal="center" vertical="center"/>
    </xf>
    <xf numFmtId="4" fontId="24" fillId="0" borderId="0" xfId="0" applyNumberFormat="1" applyFont="1" applyFill="1" applyBorder="1" applyAlignment="1">
      <alignment horizontal="center" vertical="center"/>
    </xf>
    <xf numFmtId="0" fontId="13" fillId="2" borderId="3"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193" fontId="37" fillId="0" borderId="0" xfId="0" applyNumberFormat="1" applyFont="1" applyFill="1" applyBorder="1" applyAlignment="1" applyProtection="1">
      <alignment horizontal="right" vertical="center"/>
      <protection/>
    </xf>
    <xf numFmtId="193" fontId="12" fillId="2" borderId="3" xfId="0" applyNumberFormat="1" applyFont="1" applyFill="1" applyBorder="1" applyAlignment="1">
      <alignment horizontal="right" vertical="center"/>
    </xf>
    <xf numFmtId="193" fontId="7" fillId="0" borderId="0" xfId="0" applyNumberFormat="1" applyFont="1" applyFill="1" applyBorder="1" applyAlignment="1" applyProtection="1">
      <alignment horizontal="right" vertical="center"/>
      <protection locked="0"/>
    </xf>
    <xf numFmtId="193" fontId="9" fillId="0" borderId="0" xfId="0" applyNumberFormat="1" applyFont="1" applyAlignment="1">
      <alignment horizontal="right" vertical="center"/>
    </xf>
    <xf numFmtId="193" fontId="36"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1" fillId="0" borderId="13" xfId="0" applyFont="1" applyFill="1" applyBorder="1" applyAlignment="1">
      <alignment horizontal="left" vertical="center"/>
    </xf>
    <xf numFmtId="200" fontId="22" fillId="0" borderId="2" xfId="0" applyNumberFormat="1" applyFont="1" applyFill="1" applyBorder="1" applyAlignment="1" applyProtection="1">
      <alignment horizontal="center" wrapText="1"/>
      <protection/>
    </xf>
    <xf numFmtId="4" fontId="33" fillId="0" borderId="0" xfId="0" applyNumberFormat="1" applyFont="1" applyFill="1" applyBorder="1" applyAlignment="1">
      <alignment horizontal="center" vertical="center"/>
    </xf>
    <xf numFmtId="4" fontId="26" fillId="0" borderId="0" xfId="0" applyNumberFormat="1" applyFont="1" applyFill="1" applyBorder="1" applyAlignment="1">
      <alignment vertical="center"/>
    </xf>
    <xf numFmtId="0" fontId="26" fillId="0" borderId="0" xfId="0" applyFont="1" applyFill="1" applyBorder="1" applyAlignment="1">
      <alignment/>
    </xf>
    <xf numFmtId="0" fontId="28" fillId="0" borderId="0" xfId="0" applyFont="1" applyFill="1" applyAlignment="1">
      <alignment/>
    </xf>
    <xf numFmtId="0" fontId="40" fillId="0" borderId="0" xfId="0" applyFont="1" applyFill="1" applyAlignment="1">
      <alignment/>
    </xf>
    <xf numFmtId="0" fontId="28" fillId="0" borderId="15" xfId="0" applyFont="1" applyBorder="1" applyAlignment="1" applyProtection="1">
      <alignment vertical="center"/>
      <protection locked="0"/>
    </xf>
    <xf numFmtId="0" fontId="11" fillId="0" borderId="16" xfId="0" applyFont="1" applyFill="1" applyBorder="1" applyAlignment="1">
      <alignment horizontal="left" vertical="center"/>
    </xf>
    <xf numFmtId="0" fontId="11" fillId="0" borderId="17" xfId="0" applyFont="1" applyFill="1" applyBorder="1" applyAlignment="1">
      <alignment horizontal="center" vertical="center"/>
    </xf>
    <xf numFmtId="4" fontId="28" fillId="0" borderId="0" xfId="0" applyNumberFormat="1" applyFont="1" applyFill="1" applyAlignment="1">
      <alignment/>
    </xf>
    <xf numFmtId="3" fontId="28" fillId="0" borderId="0" xfId="0" applyNumberFormat="1" applyFont="1" applyFill="1" applyAlignment="1">
      <alignment/>
    </xf>
    <xf numFmtId="184" fontId="11" fillId="0" borderId="17" xfId="0" applyNumberFormat="1" applyFont="1" applyFill="1" applyBorder="1" applyAlignment="1">
      <alignment horizontal="center" vertical="center"/>
    </xf>
    <xf numFmtId="0" fontId="19" fillId="0" borderId="18" xfId="0" applyFont="1" applyFill="1" applyBorder="1" applyAlignment="1" applyProtection="1">
      <alignment horizontal="right" vertical="center"/>
      <protection/>
    </xf>
    <xf numFmtId="184" fontId="11" fillId="0" borderId="13" xfId="0" applyNumberFormat="1" applyFont="1" applyFill="1" applyBorder="1" applyAlignment="1">
      <alignment horizontal="center" vertical="center"/>
    </xf>
    <xf numFmtId="0" fontId="13" fillId="0" borderId="19" xfId="0" applyFont="1" applyFill="1" applyBorder="1" applyAlignment="1" applyProtection="1">
      <alignment horizontal="right" vertical="center"/>
      <protection locked="0"/>
    </xf>
    <xf numFmtId="0" fontId="26" fillId="0" borderId="0" xfId="0" applyFont="1" applyFill="1" applyAlignment="1">
      <alignment/>
    </xf>
    <xf numFmtId="200" fontId="9" fillId="0" borderId="0" xfId="0" applyNumberFormat="1" applyFont="1" applyBorder="1" applyAlignment="1">
      <alignment horizontal="right" vertical="center"/>
    </xf>
    <xf numFmtId="193" fontId="9" fillId="0" borderId="0" xfId="0" applyNumberFormat="1" applyFont="1" applyBorder="1" applyAlignment="1">
      <alignment horizontal="right" vertical="center" indent="1"/>
    </xf>
    <xf numFmtId="0" fontId="11" fillId="0" borderId="5" xfId="0" applyNumberFormat="1" applyFont="1" applyFill="1" applyBorder="1" applyAlignment="1" applyProtection="1">
      <alignment horizontal="left" vertical="center"/>
      <protection locked="0"/>
    </xf>
    <xf numFmtId="0" fontId="29" fillId="0" borderId="0" xfId="0" applyFont="1" applyFill="1" applyBorder="1" applyAlignment="1" applyProtection="1">
      <alignment vertical="center"/>
      <protection locked="0"/>
    </xf>
    <xf numFmtId="0" fontId="31" fillId="0" borderId="0" xfId="0" applyFont="1" applyFill="1" applyBorder="1" applyAlignment="1" applyProtection="1">
      <alignment horizontal="center" vertical="center" wrapText="1"/>
      <protection locked="0"/>
    </xf>
    <xf numFmtId="192" fontId="11" fillId="0" borderId="20" xfId="15" applyNumberFormat="1" applyFont="1" applyFill="1" applyBorder="1" applyAlignment="1" applyProtection="1">
      <alignment vertical="center"/>
      <protection/>
    </xf>
    <xf numFmtId="4" fontId="35" fillId="0" borderId="2" xfId="0" applyNumberFormat="1" applyFont="1" applyFill="1" applyBorder="1" applyAlignment="1" applyProtection="1">
      <alignment horizontal="center" wrapText="1"/>
      <protection/>
    </xf>
    <xf numFmtId="4" fontId="26" fillId="2" borderId="0" xfId="0" applyNumberFormat="1" applyFont="1" applyFill="1" applyAlignment="1">
      <alignment/>
    </xf>
    <xf numFmtId="4" fontId="0" fillId="0" borderId="0" xfId="0" applyNumberFormat="1" applyFont="1" applyAlignment="1">
      <alignment/>
    </xf>
    <xf numFmtId="4" fontId="35" fillId="0" borderId="2" xfId="0" applyNumberFormat="1" applyFont="1" applyFill="1" applyBorder="1" applyAlignment="1" applyProtection="1">
      <alignment horizontal="right" wrapText="1"/>
      <protection/>
    </xf>
    <xf numFmtId="4" fontId="0" fillId="0" borderId="0" xfId="0" applyNumberFormat="1" applyFont="1" applyBorder="1" applyAlignment="1">
      <alignment horizontal="right" vertical="center" wrapText="1"/>
    </xf>
    <xf numFmtId="3" fontId="35" fillId="0" borderId="2" xfId="0" applyNumberFormat="1" applyFont="1" applyFill="1" applyBorder="1" applyAlignment="1" applyProtection="1">
      <alignment horizontal="center" wrapText="1"/>
      <protection/>
    </xf>
    <xf numFmtId="3" fontId="30" fillId="2" borderId="0" xfId="0" applyNumberFormat="1" applyFont="1" applyFill="1" applyAlignment="1">
      <alignment/>
    </xf>
    <xf numFmtId="3" fontId="9" fillId="0" borderId="0" xfId="0" applyNumberFormat="1" applyFont="1" applyAlignment="1">
      <alignment/>
    </xf>
    <xf numFmtId="3" fontId="26" fillId="2" borderId="0" xfId="0" applyNumberFormat="1" applyFont="1" applyFill="1" applyAlignment="1">
      <alignment/>
    </xf>
    <xf numFmtId="3" fontId="0" fillId="0" borderId="0" xfId="0" applyNumberFormat="1" applyFont="1" applyAlignment="1">
      <alignment/>
    </xf>
    <xf numFmtId="3"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35" fillId="0" borderId="2" xfId="0" applyNumberFormat="1" applyFont="1" applyFill="1" applyBorder="1" applyAlignment="1" applyProtection="1">
      <alignment horizontal="center" wrapText="1"/>
      <protection/>
    </xf>
    <xf numFmtId="2" fontId="26" fillId="2" borderId="0" xfId="0" applyNumberFormat="1" applyFont="1" applyFill="1" applyAlignment="1">
      <alignment/>
    </xf>
    <xf numFmtId="2" fontId="0" fillId="0" borderId="0" xfId="0" applyNumberFormat="1" applyFont="1" applyAlignment="1">
      <alignment/>
    </xf>
    <xf numFmtId="2" fontId="35" fillId="0" borderId="8" xfId="0" applyNumberFormat="1" applyFont="1" applyFill="1" applyBorder="1" applyAlignment="1" applyProtection="1">
      <alignment horizontal="center" wrapText="1"/>
      <protection/>
    </xf>
    <xf numFmtId="4" fontId="30" fillId="2" borderId="0" xfId="0" applyNumberFormat="1" applyFont="1" applyFill="1" applyAlignment="1">
      <alignment/>
    </xf>
    <xf numFmtId="4" fontId="9" fillId="0" borderId="0" xfId="0" applyNumberFormat="1" applyFont="1" applyAlignment="1">
      <alignment/>
    </xf>
    <xf numFmtId="4" fontId="44" fillId="0" borderId="0" xfId="0" applyNumberFormat="1" applyFont="1" applyFill="1" applyBorder="1" applyAlignment="1">
      <alignment vertical="center"/>
    </xf>
    <xf numFmtId="3"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0" fontId="14" fillId="0" borderId="0" xfId="0" applyFont="1" applyBorder="1" applyAlignment="1">
      <alignment vertical="center"/>
    </xf>
    <xf numFmtId="184" fontId="11" fillId="0" borderId="3" xfId="0" applyNumberFormat="1" applyFont="1" applyFill="1" applyBorder="1" applyAlignment="1" applyProtection="1">
      <alignment horizontal="center" vertical="center"/>
      <protection locked="0"/>
    </xf>
    <xf numFmtId="0" fontId="19" fillId="0" borderId="21" xfId="0" applyFont="1" applyFill="1" applyBorder="1" applyAlignment="1">
      <alignment horizontal="right" vertical="center"/>
    </xf>
    <xf numFmtId="0" fontId="11" fillId="0" borderId="17" xfId="0" applyFont="1" applyFill="1" applyBorder="1" applyAlignment="1">
      <alignment horizontal="left" vertical="center"/>
    </xf>
    <xf numFmtId="0" fontId="11" fillId="0" borderId="2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3" xfId="0" applyFont="1" applyFill="1" applyBorder="1" applyAlignment="1" applyProtection="1">
      <alignment horizontal="center" vertical="center"/>
      <protection locked="0"/>
    </xf>
    <xf numFmtId="200" fontId="11" fillId="0" borderId="5" xfId="15" applyNumberFormat="1" applyFont="1" applyFill="1" applyBorder="1" applyAlignment="1" applyProtection="1">
      <alignment vertical="center"/>
      <protection locked="0"/>
    </xf>
    <xf numFmtId="193" fontId="11" fillId="0" borderId="5" xfId="15" applyNumberFormat="1" applyFont="1" applyFill="1" applyBorder="1" applyAlignment="1" applyProtection="1">
      <alignment vertical="center"/>
      <protection locked="0"/>
    </xf>
    <xf numFmtId="193" fontId="11" fillId="0" borderId="5" xfId="21" applyNumberFormat="1" applyFont="1" applyFill="1" applyBorder="1" applyAlignment="1" applyProtection="1">
      <alignment vertical="center"/>
      <protection/>
    </xf>
    <xf numFmtId="192" fontId="11" fillId="0" borderId="5" xfId="21" applyNumberFormat="1" applyFont="1" applyFill="1" applyBorder="1" applyAlignment="1" applyProtection="1">
      <alignment vertical="center"/>
      <protection/>
    </xf>
    <xf numFmtId="200" fontId="11" fillId="0" borderId="5" xfId="0" applyNumberFormat="1" applyFont="1" applyFill="1" applyBorder="1" applyAlignment="1">
      <alignment vertical="center"/>
    </xf>
    <xf numFmtId="193" fontId="11" fillId="0" borderId="5" xfId="0" applyNumberFormat="1" applyFont="1" applyFill="1" applyBorder="1" applyAlignment="1">
      <alignment vertical="center"/>
    </xf>
    <xf numFmtId="192" fontId="11" fillId="0" borderId="5" xfId="0" applyNumberFormat="1" applyFont="1" applyFill="1" applyBorder="1" applyAlignment="1">
      <alignment vertical="center"/>
    </xf>
    <xf numFmtId="200" fontId="11" fillId="0" borderId="5" xfId="15" applyNumberFormat="1" applyFont="1" applyFill="1" applyBorder="1" applyAlignment="1" applyProtection="1">
      <alignment vertical="center"/>
      <protection/>
    </xf>
    <xf numFmtId="193" fontId="11" fillId="0" borderId="5" xfId="15" applyNumberFormat="1" applyFont="1" applyFill="1" applyBorder="1" applyAlignment="1" applyProtection="1">
      <alignment vertical="center"/>
      <protection/>
    </xf>
    <xf numFmtId="192" fontId="11" fillId="0" borderId="5" xfId="15" applyNumberFormat="1" applyFont="1" applyFill="1" applyBorder="1" applyAlignment="1" applyProtection="1">
      <alignment vertical="center"/>
      <protection/>
    </xf>
    <xf numFmtId="200" fontId="11" fillId="0" borderId="5" xfId="0" applyNumberFormat="1" applyFont="1" applyFill="1" applyBorder="1" applyAlignment="1" applyProtection="1">
      <alignment vertical="center"/>
      <protection locked="0"/>
    </xf>
    <xf numFmtId="193" fontId="11" fillId="0" borderId="5" xfId="0" applyNumberFormat="1" applyFont="1" applyFill="1" applyBorder="1" applyAlignment="1" applyProtection="1">
      <alignment vertical="center"/>
      <protection locked="0"/>
    </xf>
    <xf numFmtId="0" fontId="11" fillId="0" borderId="19" xfId="0" applyFont="1" applyFill="1" applyBorder="1" applyAlignment="1" applyProtection="1">
      <alignment horizontal="right" vertical="center"/>
      <protection locked="0"/>
    </xf>
    <xf numFmtId="0" fontId="11" fillId="0" borderId="23" xfId="0" applyNumberFormat="1"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center" vertical="center"/>
      <protection locked="0"/>
    </xf>
    <xf numFmtId="0" fontId="11" fillId="0" borderId="24" xfId="0" applyNumberFormat="1" applyFont="1" applyFill="1" applyBorder="1" applyAlignment="1" applyProtection="1">
      <alignment horizontal="left" vertical="center"/>
      <protection locked="0"/>
    </xf>
    <xf numFmtId="0" fontId="11" fillId="0" borderId="24" xfId="0" applyNumberFormat="1" applyFont="1" applyFill="1" applyBorder="1" applyAlignment="1" applyProtection="1">
      <alignment horizontal="center" vertical="center"/>
      <protection locked="0"/>
    </xf>
    <xf numFmtId="200" fontId="11" fillId="0" borderId="24" xfId="15" applyNumberFormat="1" applyFont="1" applyFill="1" applyBorder="1" applyAlignment="1" applyProtection="1">
      <alignment vertical="center"/>
      <protection locked="0"/>
    </xf>
    <xf numFmtId="193" fontId="11" fillId="0" borderId="24" xfId="15" applyNumberFormat="1" applyFont="1" applyFill="1" applyBorder="1" applyAlignment="1" applyProtection="1">
      <alignment vertical="center"/>
      <protection locked="0"/>
    </xf>
    <xf numFmtId="193" fontId="11" fillId="0" borderId="24" xfId="21" applyNumberFormat="1" applyFont="1" applyFill="1" applyBorder="1" applyAlignment="1" applyProtection="1">
      <alignment vertical="center"/>
      <protection/>
    </xf>
    <xf numFmtId="192" fontId="11" fillId="0" borderId="24" xfId="21" applyNumberFormat="1" applyFont="1" applyFill="1" applyBorder="1" applyAlignment="1" applyProtection="1">
      <alignment vertical="center"/>
      <protection/>
    </xf>
    <xf numFmtId="192" fontId="11" fillId="0" borderId="25" xfId="21" applyNumberFormat="1" applyFont="1" applyFill="1" applyBorder="1" applyAlignment="1" applyProtection="1">
      <alignment vertical="center"/>
      <protection/>
    </xf>
    <xf numFmtId="192" fontId="11" fillId="0" borderId="4" xfId="21" applyNumberFormat="1" applyFont="1" applyFill="1" applyBorder="1" applyAlignment="1" applyProtection="1">
      <alignment vertical="center"/>
      <protection/>
    </xf>
    <xf numFmtId="184" fontId="11" fillId="0" borderId="17" xfId="0" applyNumberFormat="1" applyFont="1" applyFill="1" applyBorder="1" applyAlignment="1" applyProtection="1">
      <alignment horizontal="center" vertical="center"/>
      <protection locked="0"/>
    </xf>
    <xf numFmtId="192" fontId="11" fillId="0" borderId="26" xfId="21" applyNumberFormat="1" applyFont="1" applyFill="1" applyBorder="1" applyAlignment="1" applyProtection="1">
      <alignment vertical="center"/>
      <protection/>
    </xf>
    <xf numFmtId="200" fontId="11" fillId="0" borderId="3" xfId="15" applyNumberFormat="1" applyFont="1" applyFill="1" applyBorder="1" applyAlignment="1" applyProtection="1">
      <alignment vertical="center"/>
      <protection/>
    </xf>
    <xf numFmtId="193" fontId="11" fillId="0" borderId="3" xfId="15" applyNumberFormat="1" applyFont="1" applyFill="1" applyBorder="1" applyAlignment="1" applyProtection="1">
      <alignment vertical="center"/>
      <protection/>
    </xf>
    <xf numFmtId="193" fontId="11" fillId="0" borderId="3" xfId="21" applyNumberFormat="1" applyFont="1" applyFill="1" applyBorder="1" applyAlignment="1" applyProtection="1">
      <alignment vertical="center"/>
      <protection/>
    </xf>
    <xf numFmtId="192" fontId="11" fillId="0" borderId="3" xfId="21" applyNumberFormat="1" applyFont="1" applyFill="1" applyBorder="1" applyAlignment="1" applyProtection="1">
      <alignment vertical="center"/>
      <protection/>
    </xf>
    <xf numFmtId="193" fontId="11" fillId="0" borderId="3" xfId="0" applyNumberFormat="1" applyFont="1" applyFill="1" applyBorder="1" applyAlignment="1">
      <alignment vertical="center"/>
    </xf>
    <xf numFmtId="200" fontId="11" fillId="0" borderId="17" xfId="0" applyNumberFormat="1" applyFont="1" applyFill="1" applyBorder="1" applyAlignment="1">
      <alignment vertical="center"/>
    </xf>
    <xf numFmtId="193" fontId="11" fillId="0" borderId="17" xfId="0" applyNumberFormat="1" applyFont="1" applyFill="1" applyBorder="1" applyAlignment="1">
      <alignment vertical="center"/>
    </xf>
    <xf numFmtId="0" fontId="28" fillId="3" borderId="27" xfId="0" applyFont="1" applyFill="1" applyBorder="1" applyAlignment="1">
      <alignment horizontal="right"/>
    </xf>
    <xf numFmtId="49" fontId="28" fillId="3" borderId="28" xfId="0" applyNumberFormat="1" applyFont="1" applyFill="1" applyBorder="1" applyAlignment="1">
      <alignment horizontal="right"/>
    </xf>
    <xf numFmtId="0" fontId="28" fillId="3" borderId="29" xfId="0" applyFont="1" applyFill="1" applyBorder="1" applyAlignment="1">
      <alignment horizontal="right"/>
    </xf>
    <xf numFmtId="0" fontId="28" fillId="3" borderId="28" xfId="0" applyFont="1" applyFill="1" applyBorder="1" applyAlignment="1">
      <alignment horizontal="right"/>
    </xf>
    <xf numFmtId="0" fontId="28" fillId="3" borderId="0" xfId="0" applyFont="1" applyFill="1" applyBorder="1" applyAlignment="1">
      <alignment horizontal="right"/>
    </xf>
    <xf numFmtId="49" fontId="28" fillId="3" borderId="0" xfId="0" applyNumberFormat="1" applyFont="1" applyFill="1" applyBorder="1" applyAlignment="1">
      <alignment horizontal="right"/>
    </xf>
    <xf numFmtId="0" fontId="28" fillId="3" borderId="30" xfId="0" applyFont="1" applyFill="1" applyBorder="1" applyAlignment="1">
      <alignment horizontal="right"/>
    </xf>
    <xf numFmtId="0" fontId="28" fillId="3" borderId="31" xfId="0" applyFont="1" applyFill="1" applyBorder="1" applyAlignment="1">
      <alignment horizontal="right"/>
    </xf>
    <xf numFmtId="49" fontId="28" fillId="3" borderId="31" xfId="0" applyNumberFormat="1" applyFont="1" applyFill="1" applyBorder="1" applyAlignment="1">
      <alignment horizontal="right"/>
    </xf>
    <xf numFmtId="0" fontId="28" fillId="3" borderId="32" xfId="0" applyFont="1" applyFill="1" applyBorder="1" applyAlignment="1">
      <alignment horizontal="right"/>
    </xf>
    <xf numFmtId="0" fontId="28" fillId="3" borderId="0" xfId="0" applyFont="1" applyFill="1" applyAlignment="1">
      <alignment horizontal="right"/>
    </xf>
    <xf numFmtId="49" fontId="28" fillId="3" borderId="0" xfId="0" applyNumberFormat="1" applyFont="1" applyFill="1" applyAlignment="1">
      <alignment horizontal="right"/>
    </xf>
    <xf numFmtId="4" fontId="28" fillId="3" borderId="28" xfId="0" applyNumberFormat="1" applyFont="1" applyFill="1" applyBorder="1" applyAlignment="1">
      <alignment horizontal="right"/>
    </xf>
    <xf numFmtId="3" fontId="28" fillId="3" borderId="28" xfId="0" applyNumberFormat="1" applyFont="1" applyFill="1" applyBorder="1" applyAlignment="1">
      <alignment horizontal="right"/>
    </xf>
    <xf numFmtId="10" fontId="28" fillId="3" borderId="29" xfId="0" applyNumberFormat="1" applyFont="1" applyFill="1" applyBorder="1" applyAlignment="1">
      <alignment horizontal="right"/>
    </xf>
    <xf numFmtId="4" fontId="28" fillId="3" borderId="0" xfId="0" applyNumberFormat="1" applyFont="1" applyFill="1" applyBorder="1" applyAlignment="1">
      <alignment horizontal="right"/>
    </xf>
    <xf numFmtId="3" fontId="28" fillId="3" borderId="0" xfId="0" applyNumberFormat="1" applyFont="1" applyFill="1" applyBorder="1" applyAlignment="1">
      <alignment horizontal="right"/>
    </xf>
    <xf numFmtId="10" fontId="28" fillId="3" borderId="30" xfId="0" applyNumberFormat="1" applyFont="1" applyFill="1" applyBorder="1" applyAlignment="1">
      <alignment horizontal="right"/>
    </xf>
    <xf numFmtId="4" fontId="28" fillId="3" borderId="0" xfId="0" applyNumberFormat="1" applyFont="1" applyFill="1" applyAlignment="1">
      <alignment horizontal="right"/>
    </xf>
    <xf numFmtId="3" fontId="28" fillId="3" borderId="0" xfId="0" applyNumberFormat="1" applyFont="1" applyFill="1" applyAlignment="1">
      <alignment horizontal="right"/>
    </xf>
    <xf numFmtId="0" fontId="45" fillId="3" borderId="0" xfId="0" applyFont="1" applyFill="1" applyBorder="1" applyAlignment="1">
      <alignment horizontal="right"/>
    </xf>
    <xf numFmtId="4" fontId="45" fillId="3" borderId="0" xfId="0" applyNumberFormat="1" applyFont="1" applyFill="1" applyBorder="1" applyAlignment="1">
      <alignment horizontal="right"/>
    </xf>
    <xf numFmtId="3" fontId="45" fillId="3" borderId="0" xfId="0" applyNumberFormat="1" applyFont="1" applyFill="1" applyBorder="1" applyAlignment="1">
      <alignment horizontal="right"/>
    </xf>
    <xf numFmtId="10" fontId="45" fillId="3" borderId="30" xfId="0" applyNumberFormat="1" applyFont="1" applyFill="1" applyBorder="1" applyAlignment="1">
      <alignment horizontal="right"/>
    </xf>
    <xf numFmtId="2" fontId="28" fillId="3" borderId="0" xfId="0" applyNumberFormat="1" applyFont="1" applyFill="1" applyBorder="1" applyAlignment="1">
      <alignment horizontal="right"/>
    </xf>
    <xf numFmtId="4" fontId="28" fillId="3" borderId="31" xfId="0" applyNumberFormat="1" applyFont="1" applyFill="1" applyBorder="1" applyAlignment="1">
      <alignment horizontal="right"/>
    </xf>
    <xf numFmtId="3" fontId="28" fillId="3" borderId="31" xfId="0" applyNumberFormat="1" applyFont="1" applyFill="1" applyBorder="1" applyAlignment="1">
      <alignment horizontal="right"/>
    </xf>
    <xf numFmtId="10" fontId="28" fillId="3" borderId="32" xfId="0" applyNumberFormat="1" applyFont="1" applyFill="1" applyBorder="1" applyAlignment="1">
      <alignment horizontal="right"/>
    </xf>
    <xf numFmtId="10" fontId="28" fillId="3" borderId="0" xfId="0" applyNumberFormat="1" applyFont="1" applyFill="1" applyAlignment="1">
      <alignment horizontal="right"/>
    </xf>
    <xf numFmtId="0" fontId="28" fillId="4" borderId="28" xfId="0" applyFont="1" applyFill="1" applyBorder="1" applyAlignment="1">
      <alignment horizontal="right"/>
    </xf>
    <xf numFmtId="4" fontId="28" fillId="4" borderId="28" xfId="0" applyNumberFormat="1" applyFont="1" applyFill="1" applyBorder="1" applyAlignment="1">
      <alignment horizontal="right"/>
    </xf>
    <xf numFmtId="3" fontId="28" fillId="4" borderId="29" xfId="0" applyNumberFormat="1" applyFont="1" applyFill="1" applyBorder="1" applyAlignment="1">
      <alignment horizontal="right"/>
    </xf>
    <xf numFmtId="3" fontId="28" fillId="4" borderId="28" xfId="0" applyNumberFormat="1" applyFont="1" applyFill="1" applyBorder="1" applyAlignment="1">
      <alignment horizontal="right"/>
    </xf>
    <xf numFmtId="3" fontId="28" fillId="4" borderId="0" xfId="0" applyNumberFormat="1" applyFont="1" applyFill="1" applyBorder="1" applyAlignment="1">
      <alignment horizontal="right"/>
    </xf>
    <xf numFmtId="4" fontId="28" fillId="4" borderId="0" xfId="0" applyNumberFormat="1" applyFont="1" applyFill="1" applyBorder="1" applyAlignment="1">
      <alignment horizontal="right"/>
    </xf>
    <xf numFmtId="3" fontId="28" fillId="4" borderId="30" xfId="0" applyNumberFormat="1" applyFont="1" applyFill="1" applyBorder="1" applyAlignment="1">
      <alignment horizontal="right"/>
    </xf>
    <xf numFmtId="3" fontId="28" fillId="4" borderId="0" xfId="0" applyNumberFormat="1" applyFont="1" applyFill="1" applyAlignment="1">
      <alignment horizontal="right"/>
    </xf>
    <xf numFmtId="4" fontId="28" fillId="4" borderId="0" xfId="0" applyNumberFormat="1" applyFont="1" applyFill="1" applyAlignment="1">
      <alignment horizontal="right"/>
    </xf>
    <xf numFmtId="3" fontId="45" fillId="4" borderId="0" xfId="0" applyNumberFormat="1" applyFont="1" applyFill="1" applyBorder="1" applyAlignment="1">
      <alignment horizontal="right"/>
    </xf>
    <xf numFmtId="4" fontId="45" fillId="4" borderId="0" xfId="0" applyNumberFormat="1" applyFont="1" applyFill="1" applyBorder="1" applyAlignment="1">
      <alignment horizontal="right"/>
    </xf>
    <xf numFmtId="3" fontId="45" fillId="4" borderId="30" xfId="0" applyNumberFormat="1" applyFont="1" applyFill="1" applyBorder="1" applyAlignment="1">
      <alignment horizontal="right"/>
    </xf>
    <xf numFmtId="0" fontId="28" fillId="4" borderId="0" xfId="0" applyFont="1" applyFill="1" applyBorder="1" applyAlignment="1">
      <alignment horizontal="right"/>
    </xf>
    <xf numFmtId="3" fontId="28" fillId="4" borderId="31" xfId="0" applyNumberFormat="1" applyFont="1" applyFill="1" applyBorder="1" applyAlignment="1">
      <alignment horizontal="right"/>
    </xf>
    <xf numFmtId="4" fontId="28" fillId="4" borderId="31" xfId="0" applyNumberFormat="1" applyFont="1" applyFill="1" applyBorder="1" applyAlignment="1">
      <alignment horizontal="right"/>
    </xf>
    <xf numFmtId="3" fontId="28" fillId="4" borderId="32" xfId="0" applyNumberFormat="1" applyFont="1" applyFill="1" applyBorder="1" applyAlignment="1">
      <alignment horizontal="right"/>
    </xf>
    <xf numFmtId="10" fontId="28" fillId="4" borderId="29" xfId="0" applyNumberFormat="1" applyFont="1" applyFill="1" applyBorder="1" applyAlignment="1">
      <alignment horizontal="right"/>
    </xf>
    <xf numFmtId="10" fontId="28" fillId="4" borderId="30" xfId="0" applyNumberFormat="1" applyFont="1" applyFill="1" applyBorder="1" applyAlignment="1">
      <alignment horizontal="right"/>
    </xf>
    <xf numFmtId="0" fontId="28" fillId="4" borderId="0" xfId="0" applyFont="1" applyFill="1" applyAlignment="1">
      <alignment horizontal="right"/>
    </xf>
    <xf numFmtId="0" fontId="45" fillId="4" borderId="0" xfId="0" applyFont="1" applyFill="1" applyBorder="1" applyAlignment="1">
      <alignment horizontal="right"/>
    </xf>
    <xf numFmtId="10" fontId="45" fillId="4" borderId="30" xfId="0" applyNumberFormat="1" applyFont="1" applyFill="1" applyBorder="1" applyAlignment="1">
      <alignment horizontal="right"/>
    </xf>
    <xf numFmtId="0" fontId="28" fillId="4" borderId="31" xfId="0" applyFont="1" applyFill="1" applyBorder="1" applyAlignment="1">
      <alignment horizontal="right"/>
    </xf>
    <xf numFmtId="10" fontId="28" fillId="4" borderId="32" xfId="0" applyNumberFormat="1" applyFont="1" applyFill="1" applyBorder="1" applyAlignment="1">
      <alignment horizontal="right"/>
    </xf>
    <xf numFmtId="10" fontId="28" fillId="4" borderId="0" xfId="0" applyNumberFormat="1" applyFont="1" applyFill="1" applyAlignment="1">
      <alignment horizontal="right"/>
    </xf>
    <xf numFmtId="192" fontId="22" fillId="0" borderId="33" xfId="0" applyNumberFormat="1" applyFont="1" applyFill="1" applyBorder="1" applyAlignment="1" applyProtection="1">
      <alignment horizontal="center" vertical="center" wrapText="1"/>
      <protection/>
    </xf>
    <xf numFmtId="193" fontId="11" fillId="0" borderId="5" xfId="15" applyNumberFormat="1" applyFont="1" applyFill="1" applyBorder="1" applyAlignment="1" applyProtection="1">
      <alignment vertical="center"/>
      <protection locked="0"/>
    </xf>
    <xf numFmtId="192" fontId="11" fillId="0" borderId="5" xfId="0" applyNumberFormat="1" applyFont="1" applyFill="1" applyBorder="1" applyAlignment="1" applyProtection="1">
      <alignment vertical="center"/>
      <protection locked="0"/>
    </xf>
    <xf numFmtId="49" fontId="11" fillId="0" borderId="13" xfId="0" applyNumberFormat="1" applyFont="1" applyFill="1" applyBorder="1" applyAlignment="1" applyProtection="1">
      <alignment horizontal="left" vertical="center"/>
      <protection locked="0"/>
    </xf>
    <xf numFmtId="200" fontId="11" fillId="0" borderId="13" xfId="15" applyNumberFormat="1" applyFont="1" applyFill="1" applyBorder="1" applyAlignment="1" applyProtection="1">
      <alignment vertical="center"/>
      <protection locked="0"/>
    </xf>
    <xf numFmtId="193" fontId="11" fillId="0" borderId="13" xfId="15" applyNumberFormat="1" applyFont="1" applyFill="1" applyBorder="1" applyAlignment="1" applyProtection="1">
      <alignment vertical="center"/>
      <protection locked="0"/>
    </xf>
    <xf numFmtId="193" fontId="11" fillId="0" borderId="13" xfId="15" applyNumberFormat="1" applyFont="1" applyFill="1" applyBorder="1" applyAlignment="1" applyProtection="1">
      <alignment vertical="center"/>
      <protection/>
    </xf>
    <xf numFmtId="192" fontId="11" fillId="0" borderId="13" xfId="15" applyNumberFormat="1" applyFont="1" applyFill="1" applyBorder="1" applyAlignment="1" applyProtection="1">
      <alignment vertical="center"/>
      <protection/>
    </xf>
    <xf numFmtId="49" fontId="11" fillId="0" borderId="17" xfId="0" applyNumberFormat="1" applyFont="1" applyFill="1" applyBorder="1" applyAlignment="1" applyProtection="1">
      <alignment horizontal="left" vertical="center"/>
      <protection locked="0"/>
    </xf>
    <xf numFmtId="200" fontId="11" fillId="0" borderId="17" xfId="15" applyNumberFormat="1" applyFont="1" applyFill="1" applyBorder="1" applyAlignment="1" applyProtection="1">
      <alignment vertical="center"/>
      <protection locked="0"/>
    </xf>
    <xf numFmtId="193" fontId="11" fillId="0" borderId="17" xfId="15" applyNumberFormat="1" applyFont="1" applyFill="1" applyBorder="1" applyAlignment="1" applyProtection="1">
      <alignment vertical="center"/>
      <protection locked="0"/>
    </xf>
    <xf numFmtId="193" fontId="11" fillId="0" borderId="17" xfId="15" applyNumberFormat="1" applyFont="1" applyFill="1" applyBorder="1" applyAlignment="1" applyProtection="1">
      <alignment vertical="center"/>
      <protection/>
    </xf>
    <xf numFmtId="192" fontId="11" fillId="0" borderId="17" xfId="15" applyNumberFormat="1" applyFont="1" applyFill="1" applyBorder="1" applyAlignment="1" applyProtection="1">
      <alignment vertical="center"/>
      <protection/>
    </xf>
    <xf numFmtId="0" fontId="11" fillId="0" borderId="23" xfId="0" applyFont="1" applyFill="1" applyBorder="1" applyAlignment="1" applyProtection="1">
      <alignment horizontal="left" vertical="center"/>
      <protection locked="0"/>
    </xf>
    <xf numFmtId="184" fontId="11" fillId="0" borderId="24" xfId="0" applyNumberFormat="1" applyFont="1" applyFill="1" applyBorder="1" applyAlignment="1" applyProtection="1">
      <alignment horizontal="left" vertical="center"/>
      <protection locked="0"/>
    </xf>
    <xf numFmtId="0" fontId="11" fillId="0" borderId="24" xfId="0" applyFont="1" applyFill="1" applyBorder="1" applyAlignment="1" applyProtection="1">
      <alignment horizontal="left" vertical="center"/>
      <protection locked="0"/>
    </xf>
    <xf numFmtId="0" fontId="11" fillId="0" borderId="24" xfId="0" applyFont="1" applyFill="1" applyBorder="1" applyAlignment="1" applyProtection="1">
      <alignment horizontal="center" vertical="center"/>
      <protection locked="0"/>
    </xf>
    <xf numFmtId="192" fontId="11" fillId="0" borderId="25" xfId="15" applyNumberFormat="1" applyFont="1" applyFill="1" applyBorder="1" applyAlignment="1" applyProtection="1">
      <alignment vertical="center"/>
      <protection/>
    </xf>
    <xf numFmtId="0" fontId="11" fillId="0" borderId="34" xfId="0" applyFont="1" applyFill="1" applyBorder="1" applyAlignment="1" applyProtection="1">
      <alignment horizontal="left" vertical="center"/>
      <protection locked="0"/>
    </xf>
    <xf numFmtId="184" fontId="11" fillId="0" borderId="35" xfId="0" applyNumberFormat="1" applyFont="1" applyFill="1" applyBorder="1" applyAlignment="1" applyProtection="1">
      <alignment horizontal="center" vertical="center"/>
      <protection locked="0"/>
    </xf>
    <xf numFmtId="0" fontId="11" fillId="0" borderId="35" xfId="0" applyFont="1" applyFill="1" applyBorder="1" applyAlignment="1" applyProtection="1">
      <alignment horizontal="left" vertical="center"/>
      <protection locked="0"/>
    </xf>
    <xf numFmtId="0" fontId="11" fillId="0" borderId="35" xfId="0" applyFont="1" applyFill="1" applyBorder="1" applyAlignment="1" applyProtection="1">
      <alignment horizontal="center" vertical="center"/>
      <protection locked="0"/>
    </xf>
    <xf numFmtId="200" fontId="11" fillId="0" borderId="35" xfId="15" applyNumberFormat="1" applyFont="1" applyFill="1" applyBorder="1" applyAlignment="1" applyProtection="1">
      <alignment vertical="center"/>
      <protection/>
    </xf>
    <xf numFmtId="193" fontId="11" fillId="0" borderId="35" xfId="0" applyNumberFormat="1" applyFont="1" applyFill="1" applyBorder="1" applyAlignment="1">
      <alignment vertical="center"/>
    </xf>
    <xf numFmtId="192" fontId="11" fillId="0" borderId="36" xfId="21" applyNumberFormat="1" applyFont="1" applyFill="1" applyBorder="1" applyAlignment="1" applyProtection="1">
      <alignment vertical="center"/>
      <protection/>
    </xf>
    <xf numFmtId="0" fontId="51" fillId="2" borderId="31" xfId="0" applyFont="1" applyFill="1" applyBorder="1" applyAlignment="1" applyProtection="1">
      <alignment horizontal="center" vertical="center"/>
      <protection/>
    </xf>
    <xf numFmtId="0" fontId="52" fillId="0" borderId="31" xfId="0" applyFont="1" applyBorder="1" applyAlignment="1">
      <alignment/>
    </xf>
    <xf numFmtId="181" fontId="22" fillId="0" borderId="37" xfId="0" applyNumberFormat="1" applyFont="1" applyFill="1" applyBorder="1" applyAlignment="1" applyProtection="1">
      <alignment horizontal="center" vertical="center" wrapText="1"/>
      <protection/>
    </xf>
    <xf numFmtId="0" fontId="0" fillId="0" borderId="38" xfId="0" applyBorder="1" applyAlignment="1">
      <alignment/>
    </xf>
    <xf numFmtId="0" fontId="0" fillId="0" borderId="39" xfId="0" applyBorder="1" applyAlignment="1">
      <alignment/>
    </xf>
    <xf numFmtId="0" fontId="22" fillId="0" borderId="40" xfId="0" applyNumberFormat="1" applyFont="1" applyFill="1" applyBorder="1" applyAlignment="1" applyProtection="1">
      <alignment horizontal="center" vertical="center" wrapText="1"/>
      <protection/>
    </xf>
    <xf numFmtId="0" fontId="0" fillId="0" borderId="41" xfId="0" applyBorder="1" applyAlignment="1">
      <alignment/>
    </xf>
    <xf numFmtId="171" fontId="22" fillId="0" borderId="40" xfId="15" applyFont="1" applyFill="1" applyBorder="1" applyAlignment="1" applyProtection="1">
      <alignment horizontal="center" vertical="center" wrapText="1"/>
      <protection/>
    </xf>
    <xf numFmtId="0" fontId="22" fillId="0" borderId="40" xfId="0" applyFont="1" applyFill="1" applyBorder="1" applyAlignment="1" applyProtection="1">
      <alignment horizontal="center" vertical="center" wrapText="1"/>
      <protection/>
    </xf>
    <xf numFmtId="4" fontId="22" fillId="0" borderId="37" xfId="0" applyNumberFormat="1" applyFont="1" applyFill="1" applyBorder="1" applyAlignment="1" applyProtection="1">
      <alignment horizontal="center" vertical="center" wrapText="1"/>
      <protection/>
    </xf>
    <xf numFmtId="4" fontId="22" fillId="0" borderId="38" xfId="0" applyNumberFormat="1" applyFont="1" applyFill="1" applyBorder="1" applyAlignment="1" applyProtection="1">
      <alignment horizontal="center" vertical="center" wrapText="1"/>
      <protection/>
    </xf>
    <xf numFmtId="4" fontId="22" fillId="0" borderId="42" xfId="0" applyNumberFormat="1" applyFont="1" applyFill="1" applyBorder="1" applyAlignment="1" applyProtection="1">
      <alignment horizontal="center" vertical="center" wrapText="1"/>
      <protection/>
    </xf>
    <xf numFmtId="184" fontId="22" fillId="0" borderId="4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center" wrapText="1"/>
      <protection locked="0"/>
    </xf>
    <xf numFmtId="0" fontId="0" fillId="0" borderId="0" xfId="0" applyAlignment="1">
      <alignment/>
    </xf>
    <xf numFmtId="0" fontId="8" fillId="0" borderId="0" xfId="0" applyFont="1" applyAlignment="1">
      <alignment horizontal="right" vertical="center" wrapText="1"/>
    </xf>
    <xf numFmtId="0" fontId="13" fillId="2" borderId="43" xfId="0" applyFont="1" applyFill="1" applyBorder="1" applyAlignment="1">
      <alignment horizontal="right" vertical="center"/>
    </xf>
    <xf numFmtId="0" fontId="0" fillId="0" borderId="44" xfId="0" applyBorder="1" applyAlignment="1">
      <alignment/>
    </xf>
    <xf numFmtId="0" fontId="25" fillId="0" borderId="0" xfId="0" applyFont="1" applyBorder="1" applyAlignment="1" applyProtection="1">
      <alignment horizontal="right" vertical="center" wrapText="1"/>
      <protection locked="0"/>
    </xf>
    <xf numFmtId="0" fontId="15" fillId="0" borderId="0" xfId="0" applyFont="1" applyBorder="1" applyAlignment="1" applyProtection="1">
      <alignment horizontal="right" vertical="center" wrapText="1"/>
      <protection locked="0"/>
    </xf>
    <xf numFmtId="0" fontId="53" fillId="3" borderId="31" xfId="0"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0" fontId="22" fillId="0" borderId="41" xfId="0" applyNumberFormat="1" applyFont="1" applyFill="1" applyBorder="1" applyAlignment="1">
      <alignment horizontal="center" vertical="center" wrapText="1"/>
    </xf>
    <xf numFmtId="0" fontId="22" fillId="0" borderId="41" xfId="0" applyNumberFormat="1" applyFont="1" applyFill="1" applyBorder="1" applyAlignment="1" applyProtection="1">
      <alignment horizontal="center" vertical="center" wrapText="1"/>
      <protection/>
    </xf>
    <xf numFmtId="0" fontId="22" fillId="0" borderId="37" xfId="0" applyNumberFormat="1" applyFont="1" applyFill="1" applyBorder="1" applyAlignment="1" applyProtection="1">
      <alignment horizontal="center" vertical="center" wrapText="1"/>
      <protection/>
    </xf>
    <xf numFmtId="0" fontId="22" fillId="0" borderId="42" xfId="0" applyNumberFormat="1" applyFont="1" applyFill="1" applyBorder="1" applyAlignment="1" applyProtection="1">
      <alignment horizontal="center" vertical="center" wrapText="1"/>
      <protection/>
    </xf>
    <xf numFmtId="192" fontId="22" fillId="0" borderId="45" xfId="0" applyNumberFormat="1" applyFont="1" applyFill="1" applyBorder="1" applyAlignment="1" applyProtection="1">
      <alignment horizontal="center" vertical="center" wrapText="1"/>
      <protection/>
    </xf>
    <xf numFmtId="2" fontId="8"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horizontal="right" vertical="center" wrapText="1"/>
    </xf>
    <xf numFmtId="2" fontId="0" fillId="0" borderId="0" xfId="0" applyNumberFormat="1" applyFont="1" applyBorder="1" applyAlignment="1">
      <alignment vertical="center" wrapText="1"/>
    </xf>
    <xf numFmtId="2" fontId="0" fillId="0" borderId="0" xfId="0" applyNumberFormat="1" applyFont="1" applyBorder="1" applyAlignment="1">
      <alignment vertical="center" wrapText="1"/>
    </xf>
    <xf numFmtId="0" fontId="35" fillId="0" borderId="46" xfId="0" applyNumberFormat="1" applyFont="1" applyFill="1" applyBorder="1" applyAlignment="1" applyProtection="1">
      <alignment horizontal="center" vertical="center" wrapText="1"/>
      <protection/>
    </xf>
    <xf numFmtId="0" fontId="9" fillId="0" borderId="2" xfId="0" applyFont="1" applyBorder="1" applyAlignment="1">
      <alignment horizontal="center" vertical="center"/>
    </xf>
    <xf numFmtId="0" fontId="35" fillId="0" borderId="40" xfId="0" applyNumberFormat="1" applyFont="1" applyFill="1" applyBorder="1" applyAlignment="1" applyProtection="1">
      <alignment horizontal="center" vertical="center" wrapText="1"/>
      <protection/>
    </xf>
    <xf numFmtId="0" fontId="9" fillId="0" borderId="41" xfId="0" applyFont="1" applyBorder="1" applyAlignment="1">
      <alignment horizontal="center" vertical="center" wrapText="1"/>
    </xf>
    <xf numFmtId="2" fontId="35" fillId="0" borderId="46" xfId="0" applyNumberFormat="1" applyFont="1" applyFill="1" applyBorder="1" applyAlignment="1" applyProtection="1">
      <alignment horizontal="center" vertical="center" wrapText="1"/>
      <protection/>
    </xf>
    <xf numFmtId="2" fontId="35" fillId="0" borderId="47" xfId="0" applyNumberFormat="1" applyFont="1" applyFill="1" applyBorder="1" applyAlignment="1" applyProtection="1">
      <alignment horizontal="center" vertical="center" wrapText="1"/>
      <protection/>
    </xf>
    <xf numFmtId="0" fontId="35" fillId="0" borderId="46" xfId="0" applyFont="1" applyFill="1" applyBorder="1" applyAlignment="1" applyProtection="1">
      <alignment horizontal="center" vertical="center" wrapText="1"/>
      <protection/>
    </xf>
    <xf numFmtId="2" fontId="55" fillId="3" borderId="31" xfId="0" applyNumberFormat="1" applyFont="1" applyFill="1" applyBorder="1" applyAlignment="1">
      <alignment horizontal="center" vertical="center" wrapText="1"/>
    </xf>
    <xf numFmtId="2" fontId="41" fillId="3" borderId="31" xfId="0" applyNumberFormat="1" applyFont="1" applyFill="1" applyBorder="1" applyAlignment="1">
      <alignment vertical="center" wrapText="1"/>
    </xf>
    <xf numFmtId="2" fontId="9" fillId="3" borderId="31" xfId="0" applyNumberFormat="1" applyFont="1" applyFill="1" applyBorder="1" applyAlignment="1">
      <alignment wrapText="1"/>
    </xf>
    <xf numFmtId="2" fontId="8" fillId="0" borderId="0" xfId="0" applyNumberFormat="1" applyFont="1" applyFill="1" applyBorder="1" applyAlignment="1" applyProtection="1">
      <alignment horizontal="right" vertical="center" wrapText="1"/>
      <protection locked="0"/>
    </xf>
    <xf numFmtId="171" fontId="35" fillId="0" borderId="48" xfId="15" applyFont="1" applyFill="1" applyBorder="1" applyAlignment="1" applyProtection="1">
      <alignment horizontal="center" vertical="center" wrapText="1"/>
      <protection/>
    </xf>
    <xf numFmtId="0" fontId="9" fillId="0" borderId="49" xfId="0" applyFont="1" applyBorder="1" applyAlignment="1">
      <alignment horizontal="center" vertical="center"/>
    </xf>
    <xf numFmtId="184" fontId="35" fillId="0" borderId="46" xfId="0" applyNumberFormat="1" applyFont="1" applyFill="1" applyBorder="1" applyAlignment="1" applyProtection="1">
      <alignment horizontal="center" vertical="center" wrapText="1"/>
      <protection/>
    </xf>
    <xf numFmtId="184" fontId="9" fillId="0" borderId="2" xfId="0" applyNumberFormat="1" applyFont="1" applyBorder="1" applyAlignment="1">
      <alignment horizontal="center" vertical="center"/>
    </xf>
    <xf numFmtId="0" fontId="45" fillId="3" borderId="0" xfId="0" applyNumberFormat="1" applyFont="1" applyFill="1" applyBorder="1" applyAlignment="1">
      <alignment horizontal="center" wrapText="1"/>
    </xf>
    <xf numFmtId="0" fontId="46" fillId="3" borderId="0" xfId="0" applyNumberFormat="1" applyFont="1" applyFill="1" applyBorder="1" applyAlignment="1">
      <alignment horizontal="center" wrapText="1"/>
    </xf>
    <xf numFmtId="0" fontId="46" fillId="3" borderId="30" xfId="0" applyNumberFormat="1" applyFont="1" applyFill="1" applyBorder="1" applyAlignment="1">
      <alignment horizontal="center" wrapText="1"/>
    </xf>
    <xf numFmtId="0" fontId="38" fillId="3" borderId="0" xfId="0" applyNumberFormat="1" applyFont="1" applyFill="1" applyBorder="1" applyAlignment="1">
      <alignment horizontal="center" wrapText="1"/>
    </xf>
    <xf numFmtId="0" fontId="39" fillId="3" borderId="0" xfId="0" applyNumberFormat="1" applyFont="1" applyFill="1" applyBorder="1" applyAlignment="1">
      <alignment horizontal="center" wrapText="1"/>
    </xf>
    <xf numFmtId="0" fontId="39" fillId="3" borderId="30" xfId="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476250</xdr:colOff>
      <xdr:row>0</xdr:row>
      <xdr:rowOff>1066800</xdr:rowOff>
    </xdr:to>
    <xdr:sp>
      <xdr:nvSpPr>
        <xdr:cNvPr id="1" name="TextBox 1"/>
        <xdr:cNvSpPr txBox="1">
          <a:spLocks noChangeArrowheads="1"/>
        </xdr:cNvSpPr>
      </xdr:nvSpPr>
      <xdr:spPr>
        <a:xfrm>
          <a:off x="0" y="9525"/>
          <a:ext cx="14182725" cy="1057275"/>
        </a:xfrm>
        <a:prstGeom prst="rect">
          <a:avLst/>
        </a:prstGeom>
        <a:solidFill>
          <a:srgbClr val="33CCCC"/>
        </a:solidFill>
        <a:ln w="38100" cmpd="dbl">
          <a:noFill/>
        </a:ln>
      </xdr:spPr>
      <xdr:txBody>
        <a:bodyPr vertOverflow="clip" wrap="square"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WEEKLY MARKET DATA    </a:t>
          </a:r>
          <a:r>
            <a:rPr lang="en-US" cap="none" sz="2600" b="0" i="0" u="none" baseline="0">
              <a:solidFill>
                <a:srgbClr val="000000"/>
              </a:solidFill>
              <a:latin typeface="Impact"/>
              <a:ea typeface="Impact"/>
              <a:cs typeface="Impact"/>
            </a:rPr>
            <a:t>
WEEKLY BOX OFFICE &amp; ADMISSION REPORT</a:t>
          </a:r>
        </a:p>
      </xdr:txBody>
    </xdr:sp>
    <xdr:clientData/>
  </xdr:twoCellAnchor>
  <xdr:twoCellAnchor>
    <xdr:from>
      <xdr:col>9</xdr:col>
      <xdr:colOff>295275</xdr:colOff>
      <xdr:row>0</xdr:row>
      <xdr:rowOff>323850</xdr:rowOff>
    </xdr:from>
    <xdr:to>
      <xdr:col>14</xdr:col>
      <xdr:colOff>400050</xdr:colOff>
      <xdr:row>0</xdr:row>
      <xdr:rowOff>1066800</xdr:rowOff>
    </xdr:to>
    <xdr:sp fLocksText="0">
      <xdr:nvSpPr>
        <xdr:cNvPr id="2" name="TextBox 2"/>
        <xdr:cNvSpPr txBox="1">
          <a:spLocks noChangeArrowheads="1"/>
        </xdr:cNvSpPr>
      </xdr:nvSpPr>
      <xdr:spPr>
        <a:xfrm>
          <a:off x="10391775" y="323850"/>
          <a:ext cx="3714750" cy="742950"/>
        </a:xfrm>
        <a:prstGeom prst="rect">
          <a:avLst/>
        </a:prstGeom>
        <a:solidFill>
          <a:srgbClr val="33CCCC"/>
        </a:solidFill>
        <a:ln w="9525" cmpd="sng">
          <a:noFill/>
        </a:ln>
      </xdr:spPr>
      <xdr:txBody>
        <a:bodyPr vertOverflow="clip" wrap="square"/>
        <a:p>
          <a:pPr algn="r">
            <a:defRPr/>
          </a:pPr>
          <a:r>
            <a:rPr lang="en-US" cap="none" sz="2000" b="0" i="0" u="none" baseline="0">
              <a:solidFill>
                <a:srgbClr val="000000"/>
              </a:solidFill>
            </a:rPr>
            <a:t>WEEK: 01
02-08 JANUARY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0</xdr:rowOff>
    </xdr:from>
    <xdr:to>
      <xdr:col>13</xdr:col>
      <xdr:colOff>504825</xdr:colOff>
      <xdr:row>55</xdr:row>
      <xdr:rowOff>95250</xdr:rowOff>
    </xdr:to>
    <xdr:sp>
      <xdr:nvSpPr>
        <xdr:cNvPr id="1" name="TextBox 2"/>
        <xdr:cNvSpPr txBox="1">
          <a:spLocks noChangeArrowheads="1"/>
        </xdr:cNvSpPr>
      </xdr:nvSpPr>
      <xdr:spPr>
        <a:xfrm>
          <a:off x="76200" y="10591800"/>
          <a:ext cx="8715375"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sng" baseline="0">
              <a:latin typeface="Arial"/>
              <a:ea typeface="Arial"/>
              <a:cs typeface="Arial"/>
            </a:rPr>
            <a:t>a:</a:t>
          </a:r>
          <a:r>
            <a:rPr lang="en-US" cap="none" sz="800" b="0" i="0" u="none" baseline="0">
              <a:latin typeface="Arial"/>
              <a:ea typeface="Arial"/>
              <a:cs typeface="Arial"/>
            </a:rPr>
            <a:t> hafta numarasını, </a:t>
          </a:r>
          <a:r>
            <a:rPr lang="en-US" cap="none" sz="800" b="1" i="0" u="sng" baseline="0">
              <a:latin typeface="Arial"/>
              <a:ea typeface="Arial"/>
              <a:cs typeface="Arial"/>
            </a:rPr>
            <a:t>b:</a:t>
          </a:r>
          <a:r>
            <a:rPr lang="en-US" cap="none" sz="800" b="0" i="0" u="none" baseline="0">
              <a:latin typeface="Arial"/>
              <a:ea typeface="Arial"/>
              <a:cs typeface="Arial"/>
            </a:rPr>
            <a:t> tarih aralığını,</a:t>
          </a:r>
          <a:r>
            <a:rPr lang="en-US" cap="none" sz="800" b="1" i="0" u="none" baseline="0">
              <a:latin typeface="Arial"/>
              <a:ea typeface="Arial"/>
              <a:cs typeface="Arial"/>
            </a:rPr>
            <a:t> </a:t>
          </a:r>
          <a:r>
            <a:rPr lang="en-US" cap="none" sz="800" b="1" i="0" u="sng" baseline="0">
              <a:latin typeface="Arial"/>
              <a:ea typeface="Arial"/>
              <a:cs typeface="Arial"/>
            </a:rPr>
            <a:t>c:</a:t>
          </a:r>
          <a:r>
            <a:rPr lang="en-US" cap="none" sz="800" b="0" i="0" u="none" baseline="0">
              <a:latin typeface="Arial"/>
              <a:ea typeface="Arial"/>
              <a:cs typeface="Arial"/>
            </a:rPr>
            <a:t> ayı, </a:t>
          </a:r>
          <a:r>
            <a:rPr lang="en-US" cap="none" sz="800" b="1" i="0" u="sng" baseline="0">
              <a:latin typeface="Arial"/>
              <a:ea typeface="Arial"/>
              <a:cs typeface="Arial"/>
            </a:rPr>
            <a:t>d:</a:t>
          </a:r>
          <a:r>
            <a:rPr lang="en-US" cap="none" sz="800" b="0" i="0" u="none" baseline="0">
              <a:latin typeface="Arial"/>
              <a:ea typeface="Arial"/>
              <a:cs typeface="Arial"/>
            </a:rPr>
            <a:t> o hafta sinemalarda gösterilen film sayısını, </a:t>
          </a:r>
          <a:r>
            <a:rPr lang="en-US" cap="none" sz="800" b="1" i="0" u="sng" baseline="0">
              <a:latin typeface="Arial"/>
              <a:ea typeface="Arial"/>
              <a:cs typeface="Arial"/>
            </a:rPr>
            <a:t>e:</a:t>
          </a:r>
          <a:r>
            <a:rPr lang="en-US" cap="none" sz="800" b="0" i="0" u="none" baseline="0">
              <a:latin typeface="Arial"/>
              <a:ea typeface="Arial"/>
              <a:cs typeface="Arial"/>
            </a:rPr>
            <a:t> toplam hasılatı, </a:t>
          </a:r>
          <a:r>
            <a:rPr lang="en-US" cap="none" sz="800" b="1" i="0" u="sng" baseline="0">
              <a:latin typeface="Arial"/>
              <a:ea typeface="Arial"/>
              <a:cs typeface="Arial"/>
            </a:rPr>
            <a:t>f:</a:t>
          </a:r>
          <a:r>
            <a:rPr lang="en-US" cap="none" sz="800" b="0" i="0" u="none" baseline="0">
              <a:latin typeface="Arial"/>
              <a:ea typeface="Arial"/>
              <a:cs typeface="Arial"/>
            </a:rPr>
            <a:t> toplam seyirci sayısını, </a:t>
          </a:r>
          <a:r>
            <a:rPr lang="en-US" cap="none" sz="800" b="1" i="0" u="sng" baseline="0">
              <a:latin typeface="Arial"/>
              <a:ea typeface="Arial"/>
              <a:cs typeface="Arial"/>
            </a:rPr>
            <a:t>g:</a:t>
          </a:r>
          <a:r>
            <a:rPr lang="en-US" cap="none" sz="800" b="0" i="0" u="none" baseline="0">
              <a:latin typeface="Arial"/>
              <a:ea typeface="Arial"/>
              <a:cs typeface="Arial"/>
            </a:rPr>
            <a:t> o hafta ilk kez gösterilen film sayısını, </a:t>
          </a:r>
          <a:r>
            <a:rPr lang="en-US" cap="none" sz="800" b="1" i="0" u="sng" baseline="0">
              <a:latin typeface="Arial"/>
              <a:ea typeface="Arial"/>
              <a:cs typeface="Arial"/>
            </a:rPr>
            <a:t>h:</a:t>
          </a:r>
          <a:r>
            <a:rPr lang="en-US" cap="none" sz="800" b="0" i="0" u="none" baseline="0">
              <a:latin typeface="Arial"/>
              <a:ea typeface="Arial"/>
              <a:cs typeface="Arial"/>
            </a:rPr>
            <a:t> bu yeni filmlerin toplam hasılatını, </a:t>
          </a:r>
          <a:r>
            <a:rPr lang="en-US" cap="none" sz="800" b="1" i="0" u="sng" baseline="0">
              <a:latin typeface="Arial"/>
              <a:ea typeface="Arial"/>
              <a:cs typeface="Arial"/>
            </a:rPr>
            <a:t>ı:</a:t>
          </a:r>
          <a:r>
            <a:rPr lang="en-US" cap="none" sz="800" b="0" i="0" u="none" baseline="0">
              <a:latin typeface="Arial"/>
              <a:ea typeface="Arial"/>
              <a:cs typeface="Arial"/>
            </a:rPr>
            <a:t> aynı filmlerin seyirci sayısını, </a:t>
          </a:r>
          <a:r>
            <a:rPr lang="en-US" cap="none" sz="800" b="1" i="0" u="sng" baseline="0">
              <a:latin typeface="Arial"/>
              <a:ea typeface="Arial"/>
              <a:cs typeface="Arial"/>
            </a:rPr>
            <a:t>j:</a:t>
          </a:r>
          <a:r>
            <a:rPr lang="en-US" cap="none" sz="800" b="0" i="0" u="none" baseline="0">
              <a:latin typeface="Arial"/>
              <a:ea typeface="Arial"/>
              <a:cs typeface="Arial"/>
            </a:rPr>
            <a:t> yeni filmlerin toplam seyirci sayısı üzerindeki yüzdesini, </a:t>
          </a:r>
          <a:r>
            <a:rPr lang="en-US" cap="none" sz="800" b="1" i="0" u="sng" baseline="0">
              <a:latin typeface="Arial"/>
              <a:ea typeface="Arial"/>
              <a:cs typeface="Arial"/>
            </a:rPr>
            <a:t>k:</a:t>
          </a:r>
          <a:r>
            <a:rPr lang="en-US" cap="none" sz="800" b="0" i="0" u="none" baseline="0">
              <a:latin typeface="Arial"/>
              <a:ea typeface="Arial"/>
              <a:cs typeface="Arial"/>
            </a:rPr>
            <a:t> o hafta gösterilen yerli film sayısını, </a:t>
          </a:r>
          <a:r>
            <a:rPr lang="en-US" cap="none" sz="800" b="1" i="0" u="sng" baseline="0">
              <a:latin typeface="Arial"/>
              <a:ea typeface="Arial"/>
              <a:cs typeface="Arial"/>
            </a:rPr>
            <a:t>l:</a:t>
          </a:r>
          <a:r>
            <a:rPr lang="en-US" cap="none" sz="800" b="0" i="0" u="none" baseline="0">
              <a:latin typeface="Arial"/>
              <a:ea typeface="Arial"/>
              <a:cs typeface="Arial"/>
            </a:rPr>
            <a:t> bu filmlerin toplam hasılatını, </a:t>
          </a:r>
          <a:r>
            <a:rPr lang="en-US" cap="none" sz="800" b="1" i="0" u="sng" baseline="0">
              <a:latin typeface="Arial"/>
              <a:ea typeface="Arial"/>
              <a:cs typeface="Arial"/>
            </a:rPr>
            <a:t>m:</a:t>
          </a:r>
          <a:r>
            <a:rPr lang="en-US" cap="none" sz="800" b="0" i="0" u="none" baseline="0">
              <a:latin typeface="Arial"/>
              <a:ea typeface="Arial"/>
              <a:cs typeface="Arial"/>
            </a:rPr>
            <a:t> aynı filmlerin toplam seyirci sayısını, </a:t>
          </a:r>
          <a:r>
            <a:rPr lang="en-US" cap="none" sz="800" b="1" i="0" u="sng" baseline="0">
              <a:latin typeface="Arial"/>
              <a:ea typeface="Arial"/>
              <a:cs typeface="Arial"/>
            </a:rPr>
            <a:t>n:</a:t>
          </a:r>
          <a:r>
            <a:rPr lang="en-US" cap="none" sz="800" b="0" i="0" u="none" baseline="0">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86"/>
  <sheetViews>
    <sheetView showGridLines="0" tabSelected="1" zoomScale="80" zoomScaleNormal="80" workbookViewId="0" topLeftCell="A1">
      <pane xSplit="2" ySplit="4" topLeftCell="C5" activePane="bottomRight" state="frozen"/>
      <selection pane="topLeft" activeCell="A1" sqref="A1"/>
      <selection pane="topRight" activeCell="D1" sqref="D1"/>
      <selection pane="bottomLeft" activeCell="A5" sqref="A5"/>
      <selection pane="bottomRight" activeCell="J10" sqref="J10"/>
    </sheetView>
  </sheetViews>
  <sheetFormatPr defaultColWidth="9.140625" defaultRowHeight="12.75"/>
  <cols>
    <col min="1" max="1" width="5.28125" style="26" bestFit="1" customWidth="1"/>
    <col min="2" max="2" width="51.8515625" style="4" customWidth="1"/>
    <col min="3" max="3" width="9.7109375" style="12" customWidth="1"/>
    <col min="4" max="4" width="16.00390625" style="15" customWidth="1"/>
    <col min="5" max="5" width="24.421875" style="15" bestFit="1" customWidth="1"/>
    <col min="6" max="6" width="7.140625" style="6" bestFit="1" customWidth="1"/>
    <col min="7" max="7" width="8.7109375" style="6" customWidth="1"/>
    <col min="8" max="8" width="10.7109375" style="6" customWidth="1"/>
    <col min="9" max="9" width="17.57421875" style="72" bestFit="1" customWidth="1"/>
    <col min="10" max="10" width="12.421875" style="120" bestFit="1" customWidth="1"/>
    <col min="11" max="11" width="8.7109375" style="120" customWidth="1"/>
    <col min="12" max="12" width="7.421875" style="22" customWidth="1"/>
    <col min="13" max="13" width="14.8515625" style="76" bestFit="1" customWidth="1"/>
    <col min="14" max="14" width="10.7109375" style="81" bestFit="1" customWidth="1"/>
    <col min="15" max="15" width="7.421875" style="22" customWidth="1"/>
    <col min="16" max="16" width="3.00390625" style="142" customWidth="1"/>
    <col min="17" max="16384" width="9.140625" style="4" customWidth="1"/>
  </cols>
  <sheetData>
    <row r="1" spans="1:16" s="2" customFormat="1" ht="90.75" customHeight="1">
      <c r="A1" s="25"/>
      <c r="B1" s="1"/>
      <c r="C1" s="10"/>
      <c r="D1" s="13"/>
      <c r="E1" s="13"/>
      <c r="F1" s="5"/>
      <c r="G1" s="5"/>
      <c r="H1" s="5"/>
      <c r="I1" s="69"/>
      <c r="J1" s="116"/>
      <c r="K1" s="116"/>
      <c r="L1" s="20"/>
      <c r="M1" s="74"/>
      <c r="N1" s="79"/>
      <c r="O1" s="20"/>
      <c r="P1" s="142"/>
    </row>
    <row r="2" spans="1:16" s="9" customFormat="1" ht="27.75" thickBot="1">
      <c r="A2" s="284" t="s">
        <v>68</v>
      </c>
      <c r="B2" s="285"/>
      <c r="C2" s="285"/>
      <c r="D2" s="285"/>
      <c r="E2" s="285"/>
      <c r="F2" s="285"/>
      <c r="G2" s="285"/>
      <c r="H2" s="285"/>
      <c r="I2" s="285"/>
      <c r="J2" s="285"/>
      <c r="K2" s="285"/>
      <c r="L2" s="285"/>
      <c r="M2" s="285"/>
      <c r="N2" s="285"/>
      <c r="O2" s="285"/>
      <c r="P2" s="142"/>
    </row>
    <row r="3" spans="1:16" s="95" customFormat="1" ht="16.5">
      <c r="A3" s="28"/>
      <c r="B3" s="291" t="s">
        <v>41</v>
      </c>
      <c r="C3" s="296" t="s">
        <v>56</v>
      </c>
      <c r="D3" s="292" t="s">
        <v>72</v>
      </c>
      <c r="E3" s="292" t="s">
        <v>71</v>
      </c>
      <c r="F3" s="289" t="s">
        <v>57</v>
      </c>
      <c r="G3" s="289" t="s">
        <v>64</v>
      </c>
      <c r="H3" s="289" t="s">
        <v>66</v>
      </c>
      <c r="I3" s="293" t="s">
        <v>58</v>
      </c>
      <c r="J3" s="294"/>
      <c r="K3" s="294"/>
      <c r="L3" s="295"/>
      <c r="M3" s="286" t="s">
        <v>59</v>
      </c>
      <c r="N3" s="287"/>
      <c r="O3" s="288"/>
      <c r="P3" s="143"/>
    </row>
    <row r="4" spans="1:16" s="95" customFormat="1" ht="43.5" thickBot="1">
      <c r="A4" s="86"/>
      <c r="B4" s="290"/>
      <c r="C4" s="290"/>
      <c r="D4" s="290"/>
      <c r="E4" s="290"/>
      <c r="F4" s="290"/>
      <c r="G4" s="290"/>
      <c r="H4" s="290"/>
      <c r="I4" s="123" t="s">
        <v>60</v>
      </c>
      <c r="J4" s="96" t="s">
        <v>61</v>
      </c>
      <c r="K4" s="96" t="s">
        <v>44</v>
      </c>
      <c r="L4" s="52" t="s">
        <v>62</v>
      </c>
      <c r="M4" s="123" t="s">
        <v>60</v>
      </c>
      <c r="N4" s="96" t="s">
        <v>61</v>
      </c>
      <c r="O4" s="53" t="s">
        <v>63</v>
      </c>
      <c r="P4" s="143"/>
    </row>
    <row r="5" spans="1:16" s="3" customFormat="1" ht="15">
      <c r="A5" s="64">
        <v>1</v>
      </c>
      <c r="B5" s="187" t="s">
        <v>20</v>
      </c>
      <c r="C5" s="188">
        <v>39759</v>
      </c>
      <c r="D5" s="189" t="s">
        <v>21</v>
      </c>
      <c r="E5" s="189" t="s">
        <v>22</v>
      </c>
      <c r="F5" s="190">
        <v>159</v>
      </c>
      <c r="G5" s="190">
        <v>159</v>
      </c>
      <c r="H5" s="190">
        <v>9</v>
      </c>
      <c r="I5" s="191">
        <v>2001009.5</v>
      </c>
      <c r="J5" s="192">
        <v>246070</v>
      </c>
      <c r="K5" s="193">
        <f>+J5/G5</f>
        <v>1547.6100628930817</v>
      </c>
      <c r="L5" s="194">
        <f>+I5/J5</f>
        <v>8.13187101231357</v>
      </c>
      <c r="M5" s="191">
        <v>19583374</v>
      </c>
      <c r="N5" s="192">
        <v>2259210</v>
      </c>
      <c r="O5" s="195">
        <f>+M5/N5</f>
        <v>8.668239782932972</v>
      </c>
      <c r="P5" s="137">
        <v>1</v>
      </c>
    </row>
    <row r="6" spans="1:16" s="3" customFormat="1" ht="15">
      <c r="A6" s="64">
        <v>2</v>
      </c>
      <c r="B6" s="50" t="s">
        <v>93</v>
      </c>
      <c r="C6" s="41">
        <v>39787</v>
      </c>
      <c r="D6" s="66" t="s">
        <v>74</v>
      </c>
      <c r="E6" s="66" t="s">
        <v>81</v>
      </c>
      <c r="F6" s="42">
        <v>406</v>
      </c>
      <c r="G6" s="42">
        <v>284</v>
      </c>
      <c r="H6" s="42">
        <v>5</v>
      </c>
      <c r="I6" s="178">
        <v>779810</v>
      </c>
      <c r="J6" s="179">
        <v>96885</v>
      </c>
      <c r="K6" s="179">
        <f>J6/G6</f>
        <v>341.1443661971831</v>
      </c>
      <c r="L6" s="180">
        <f>+I6/J6</f>
        <v>8.048820766888579</v>
      </c>
      <c r="M6" s="178">
        <v>29377571</v>
      </c>
      <c r="N6" s="179">
        <v>3556373</v>
      </c>
      <c r="O6" s="107">
        <f>+M6/N6</f>
        <v>8.260542693356406</v>
      </c>
      <c r="P6" s="137">
        <v>1</v>
      </c>
    </row>
    <row r="7" spans="1:16" s="3" customFormat="1" ht="15">
      <c r="A7" s="129">
        <v>3</v>
      </c>
      <c r="B7" s="130" t="s">
        <v>97</v>
      </c>
      <c r="C7" s="197">
        <v>39808</v>
      </c>
      <c r="D7" s="267" t="s">
        <v>77</v>
      </c>
      <c r="E7" s="170" t="s">
        <v>76</v>
      </c>
      <c r="F7" s="131">
        <v>75</v>
      </c>
      <c r="G7" s="131">
        <v>75</v>
      </c>
      <c r="H7" s="131">
        <v>2</v>
      </c>
      <c r="I7" s="268">
        <v>578530</v>
      </c>
      <c r="J7" s="269">
        <v>57106</v>
      </c>
      <c r="K7" s="270">
        <f>(J7/G7)</f>
        <v>761.4133333333333</v>
      </c>
      <c r="L7" s="271">
        <f>I7/J7</f>
        <v>10.130809372044968</v>
      </c>
      <c r="M7" s="268">
        <f>681566+578530</f>
        <v>1260096</v>
      </c>
      <c r="N7" s="269">
        <f>64102+57106</f>
        <v>121208</v>
      </c>
      <c r="O7" s="198">
        <f>IF(M7&lt;&gt;0,M7/N7,"")</f>
        <v>10.396145468945944</v>
      </c>
      <c r="P7" s="137"/>
    </row>
    <row r="8" spans="1:16" s="3" customFormat="1" ht="15">
      <c r="A8" s="65">
        <v>4</v>
      </c>
      <c r="B8" s="171" t="s">
        <v>94</v>
      </c>
      <c r="C8" s="168">
        <v>39808</v>
      </c>
      <c r="D8" s="172" t="s">
        <v>79</v>
      </c>
      <c r="E8" s="172" t="s">
        <v>95</v>
      </c>
      <c r="F8" s="173">
        <v>198</v>
      </c>
      <c r="G8" s="173">
        <v>198</v>
      </c>
      <c r="H8" s="173">
        <v>2</v>
      </c>
      <c r="I8" s="199">
        <v>532572.5</v>
      </c>
      <c r="J8" s="200">
        <v>67146</v>
      </c>
      <c r="K8" s="201">
        <f>IF(I8&lt;&gt;0,J8/G8,"")</f>
        <v>339.1212121212121</v>
      </c>
      <c r="L8" s="202">
        <f>IF(I8&lt;&gt;0,I8/J8,"")</f>
        <v>7.9315595865725435</v>
      </c>
      <c r="M8" s="199">
        <f>909072+532572.5</f>
        <v>1441644.5</v>
      </c>
      <c r="N8" s="203">
        <f>112486+67146</f>
        <v>179632</v>
      </c>
      <c r="O8" s="196">
        <f>IF(M8&lt;&gt;0,M8/N8,"")</f>
        <v>8.025543889730114</v>
      </c>
      <c r="P8" s="137">
        <v>1</v>
      </c>
    </row>
    <row r="9" spans="1:16" s="7" customFormat="1" ht="15">
      <c r="A9" s="64">
        <v>5</v>
      </c>
      <c r="B9" s="50" t="s">
        <v>82</v>
      </c>
      <c r="C9" s="41">
        <v>39787</v>
      </c>
      <c r="D9" s="45" t="s">
        <v>75</v>
      </c>
      <c r="E9" s="45" t="s">
        <v>83</v>
      </c>
      <c r="F9" s="42">
        <v>241</v>
      </c>
      <c r="G9" s="42">
        <v>215</v>
      </c>
      <c r="H9" s="42">
        <v>5</v>
      </c>
      <c r="I9" s="178">
        <v>528440.5</v>
      </c>
      <c r="J9" s="179">
        <v>73035</v>
      </c>
      <c r="K9" s="176">
        <f>+J9/G9</f>
        <v>339.69767441860466</v>
      </c>
      <c r="L9" s="177">
        <f>+I9/J9</f>
        <v>7.2354419114123365</v>
      </c>
      <c r="M9" s="178">
        <f>9280968+4694050.5+1992628+1117778+528440.5</f>
        <v>17613865</v>
      </c>
      <c r="N9" s="179">
        <f>1147876+614752+261380+141495+73035</f>
        <v>2238538</v>
      </c>
      <c r="O9" s="108">
        <f>+M9/N9</f>
        <v>7.868468169850143</v>
      </c>
      <c r="P9" s="137">
        <v>1</v>
      </c>
    </row>
    <row r="10" spans="1:16" s="7" customFormat="1" ht="15">
      <c r="A10" s="64">
        <v>6</v>
      </c>
      <c r="B10" s="50" t="s">
        <v>96</v>
      </c>
      <c r="C10" s="41">
        <v>39808</v>
      </c>
      <c r="D10" s="66" t="s">
        <v>74</v>
      </c>
      <c r="E10" s="45" t="s">
        <v>54</v>
      </c>
      <c r="F10" s="42">
        <v>112</v>
      </c>
      <c r="G10" s="42">
        <v>111</v>
      </c>
      <c r="H10" s="42">
        <v>2</v>
      </c>
      <c r="I10" s="178">
        <v>463795</v>
      </c>
      <c r="J10" s="179">
        <v>46542</v>
      </c>
      <c r="K10" s="179">
        <f>J10/G10</f>
        <v>419.2972972972973</v>
      </c>
      <c r="L10" s="180">
        <f>+I10/J10</f>
        <v>9.965085299299558</v>
      </c>
      <c r="M10" s="178">
        <v>1284128</v>
      </c>
      <c r="N10" s="179">
        <v>127360</v>
      </c>
      <c r="O10" s="107">
        <f>+M10/N10</f>
        <v>10.082663316582915</v>
      </c>
      <c r="P10" s="137"/>
    </row>
    <row r="11" spans="1:16" s="7" customFormat="1" ht="15">
      <c r="A11" s="64">
        <v>7</v>
      </c>
      <c r="B11" s="49" t="s">
        <v>87</v>
      </c>
      <c r="C11" s="40">
        <v>39801</v>
      </c>
      <c r="D11" s="44" t="s">
        <v>73</v>
      </c>
      <c r="E11" s="43" t="s">
        <v>65</v>
      </c>
      <c r="F11" s="55">
        <v>69</v>
      </c>
      <c r="G11" s="55">
        <v>69</v>
      </c>
      <c r="H11" s="55">
        <v>3</v>
      </c>
      <c r="I11" s="174">
        <v>413907</v>
      </c>
      <c r="J11" s="175">
        <v>42374</v>
      </c>
      <c r="K11" s="182">
        <f>J11/G11</f>
        <v>614.1159420289855</v>
      </c>
      <c r="L11" s="183">
        <f>I11/J11</f>
        <v>9.767947326190589</v>
      </c>
      <c r="M11" s="174">
        <f>820286+588484+413907</f>
        <v>1822677</v>
      </c>
      <c r="N11" s="175">
        <f>83839+57678+42374</f>
        <v>183891</v>
      </c>
      <c r="O11" s="109">
        <f>+M11/N11</f>
        <v>9.911724880499861</v>
      </c>
      <c r="P11" s="137"/>
    </row>
    <row r="12" spans="1:16" s="7" customFormat="1" ht="15">
      <c r="A12" s="64">
        <v>8</v>
      </c>
      <c r="B12" s="49" t="s">
        <v>107</v>
      </c>
      <c r="C12" s="40">
        <v>39815</v>
      </c>
      <c r="D12" s="44" t="s">
        <v>73</v>
      </c>
      <c r="E12" s="43" t="s">
        <v>108</v>
      </c>
      <c r="F12" s="55">
        <v>62</v>
      </c>
      <c r="G12" s="55">
        <v>62</v>
      </c>
      <c r="H12" s="55">
        <v>1</v>
      </c>
      <c r="I12" s="174">
        <v>364878</v>
      </c>
      <c r="J12" s="175">
        <v>36690</v>
      </c>
      <c r="K12" s="182">
        <f>J12/G12</f>
        <v>591.7741935483871</v>
      </c>
      <c r="L12" s="183">
        <f>I12/J12</f>
        <v>9.9448896156991</v>
      </c>
      <c r="M12" s="174">
        <v>364878</v>
      </c>
      <c r="N12" s="175">
        <v>36690</v>
      </c>
      <c r="O12" s="109">
        <f>+M12/N12</f>
        <v>9.9448896156991</v>
      </c>
      <c r="P12" s="137"/>
    </row>
    <row r="13" spans="1:16" s="7" customFormat="1" ht="15">
      <c r="A13" s="64">
        <v>9</v>
      </c>
      <c r="B13" s="50" t="s">
        <v>98</v>
      </c>
      <c r="C13" s="41">
        <v>39808</v>
      </c>
      <c r="D13" s="66" t="s">
        <v>74</v>
      </c>
      <c r="E13" s="45" t="s">
        <v>67</v>
      </c>
      <c r="F13" s="42">
        <v>34</v>
      </c>
      <c r="G13" s="42">
        <v>34</v>
      </c>
      <c r="H13" s="42">
        <v>2</v>
      </c>
      <c r="I13" s="178">
        <v>252304</v>
      </c>
      <c r="J13" s="179">
        <v>27182</v>
      </c>
      <c r="K13" s="179">
        <f>J13/G13</f>
        <v>799.4705882352941</v>
      </c>
      <c r="L13" s="180">
        <f>+I13/J13</f>
        <v>9.282024869398867</v>
      </c>
      <c r="M13" s="178">
        <v>650913</v>
      </c>
      <c r="N13" s="179">
        <v>68745</v>
      </c>
      <c r="O13" s="107">
        <f>+M13/N13</f>
        <v>9.468514073750818</v>
      </c>
      <c r="P13" s="137"/>
    </row>
    <row r="14" spans="1:16" s="7" customFormat="1" ht="15">
      <c r="A14" s="64">
        <v>10</v>
      </c>
      <c r="B14" s="50" t="s">
        <v>90</v>
      </c>
      <c r="C14" s="41">
        <v>39801</v>
      </c>
      <c r="D14" s="46" t="s">
        <v>77</v>
      </c>
      <c r="E14" s="45" t="s">
        <v>91</v>
      </c>
      <c r="F14" s="42">
        <v>36</v>
      </c>
      <c r="G14" s="42">
        <v>38</v>
      </c>
      <c r="H14" s="42">
        <v>3</v>
      </c>
      <c r="I14" s="174">
        <v>145464.5</v>
      </c>
      <c r="J14" s="175">
        <v>19417</v>
      </c>
      <c r="K14" s="182">
        <f>(J14/G14)</f>
        <v>510.9736842105263</v>
      </c>
      <c r="L14" s="183">
        <f>I14/J14</f>
        <v>7.491605294329711</v>
      </c>
      <c r="M14" s="174">
        <f>295344+204961.5+145464.5</f>
        <v>645770</v>
      </c>
      <c r="N14" s="175">
        <f>36142+24747+19417</f>
        <v>80306</v>
      </c>
      <c r="O14" s="109">
        <f>M14/N14</f>
        <v>8.04136677209673</v>
      </c>
      <c r="P14" s="137">
        <v>1</v>
      </c>
    </row>
    <row r="15" spans="1:16" s="7" customFormat="1" ht="15">
      <c r="A15" s="64">
        <v>11</v>
      </c>
      <c r="B15" s="50" t="s">
        <v>85</v>
      </c>
      <c r="C15" s="41">
        <v>39794</v>
      </c>
      <c r="D15" s="46" t="s">
        <v>77</v>
      </c>
      <c r="E15" s="45" t="s">
        <v>76</v>
      </c>
      <c r="F15" s="42">
        <v>100</v>
      </c>
      <c r="G15" s="42">
        <v>73</v>
      </c>
      <c r="H15" s="42">
        <v>4</v>
      </c>
      <c r="I15" s="174">
        <v>112679.5</v>
      </c>
      <c r="J15" s="260">
        <v>14968</v>
      </c>
      <c r="K15" s="182">
        <f>(J15/G15)</f>
        <v>205.04109589041096</v>
      </c>
      <c r="L15" s="183">
        <f>I15/J15</f>
        <v>7.528026456440406</v>
      </c>
      <c r="M15" s="174">
        <f>1276778.5+626123+380324+112679.5</f>
        <v>2395905</v>
      </c>
      <c r="N15" s="175">
        <f>133555+68793+41581+14968</f>
        <v>258897</v>
      </c>
      <c r="O15" s="109">
        <f>M15/N15</f>
        <v>9.254278728606357</v>
      </c>
      <c r="P15" s="137"/>
    </row>
    <row r="16" spans="1:16" s="7" customFormat="1" ht="15">
      <c r="A16" s="64">
        <v>12</v>
      </c>
      <c r="B16" s="50" t="s">
        <v>99</v>
      </c>
      <c r="C16" s="41">
        <v>39808</v>
      </c>
      <c r="D16" s="45" t="s">
        <v>75</v>
      </c>
      <c r="E16" s="45" t="s">
        <v>100</v>
      </c>
      <c r="F16" s="42">
        <v>89</v>
      </c>
      <c r="G16" s="42">
        <v>88</v>
      </c>
      <c r="H16" s="42">
        <v>2</v>
      </c>
      <c r="I16" s="178">
        <v>101994</v>
      </c>
      <c r="J16" s="179">
        <v>15166</v>
      </c>
      <c r="K16" s="176">
        <f>+J16/G16</f>
        <v>172.3409090909091</v>
      </c>
      <c r="L16" s="177">
        <f>+I16/J16</f>
        <v>6.725174732955295</v>
      </c>
      <c r="M16" s="178">
        <f>173290.5+101994</f>
        <v>275284.5</v>
      </c>
      <c r="N16" s="179">
        <f>23989+15166</f>
        <v>39155</v>
      </c>
      <c r="O16" s="108">
        <f>+M16/N16</f>
        <v>7.030634657131912</v>
      </c>
      <c r="P16" s="137">
        <v>1</v>
      </c>
    </row>
    <row r="17" spans="1:16" s="7" customFormat="1" ht="15">
      <c r="A17" s="64">
        <v>13</v>
      </c>
      <c r="B17" s="50" t="s">
        <v>109</v>
      </c>
      <c r="C17" s="41">
        <v>39815</v>
      </c>
      <c r="D17" s="46" t="s">
        <v>77</v>
      </c>
      <c r="E17" s="45" t="s">
        <v>110</v>
      </c>
      <c r="F17" s="42">
        <v>37</v>
      </c>
      <c r="G17" s="42">
        <v>37</v>
      </c>
      <c r="H17" s="42">
        <v>1</v>
      </c>
      <c r="I17" s="174">
        <v>95365.5</v>
      </c>
      <c r="J17" s="175">
        <v>9915</v>
      </c>
      <c r="K17" s="182">
        <f>(J17/G17)</f>
        <v>267.97297297297297</v>
      </c>
      <c r="L17" s="183">
        <f>I17/J17</f>
        <v>9.618305597579425</v>
      </c>
      <c r="M17" s="174">
        <f>95365.5</f>
        <v>95365.5</v>
      </c>
      <c r="N17" s="175">
        <f>9915</f>
        <v>9915</v>
      </c>
      <c r="O17" s="109">
        <f>M17/N17</f>
        <v>9.618305597579425</v>
      </c>
      <c r="P17" s="137"/>
    </row>
    <row r="18" spans="1:16" s="7" customFormat="1" ht="15">
      <c r="A18" s="64">
        <v>14</v>
      </c>
      <c r="B18" s="50" t="s">
        <v>111</v>
      </c>
      <c r="C18" s="41">
        <v>39815</v>
      </c>
      <c r="D18" s="45" t="s">
        <v>50</v>
      </c>
      <c r="E18" s="45" t="s">
        <v>50</v>
      </c>
      <c r="F18" s="42">
        <v>26</v>
      </c>
      <c r="G18" s="42">
        <v>26</v>
      </c>
      <c r="H18" s="42">
        <v>1</v>
      </c>
      <c r="I18" s="178">
        <v>73862</v>
      </c>
      <c r="J18" s="179">
        <v>7639</v>
      </c>
      <c r="K18" s="176">
        <f>+J18/G18</f>
        <v>293.8076923076923</v>
      </c>
      <c r="L18" s="177">
        <f>+I18/J18</f>
        <v>9.669066631758083</v>
      </c>
      <c r="M18" s="178">
        <v>73862</v>
      </c>
      <c r="N18" s="179">
        <v>7639</v>
      </c>
      <c r="O18" s="108">
        <f>+M18/N18</f>
        <v>9.669066631758083</v>
      </c>
      <c r="P18" s="137"/>
    </row>
    <row r="19" spans="1:16" s="7" customFormat="1" ht="15">
      <c r="A19" s="64">
        <v>15</v>
      </c>
      <c r="B19" s="49" t="s">
        <v>88</v>
      </c>
      <c r="C19" s="40">
        <v>39801</v>
      </c>
      <c r="D19" s="43" t="s">
        <v>79</v>
      </c>
      <c r="E19" s="43" t="s">
        <v>89</v>
      </c>
      <c r="F19" s="55">
        <v>84</v>
      </c>
      <c r="G19" s="55">
        <v>48</v>
      </c>
      <c r="H19" s="55">
        <v>3</v>
      </c>
      <c r="I19" s="181">
        <v>43813</v>
      </c>
      <c r="J19" s="182">
        <v>6346</v>
      </c>
      <c r="K19" s="176">
        <f>IF(I19&lt;&gt;0,J19/G19,"")</f>
        <v>132.20833333333334</v>
      </c>
      <c r="L19" s="177">
        <f>IF(I19&lt;&gt;0,I19/J19,"")</f>
        <v>6.90403403718878</v>
      </c>
      <c r="M19" s="181">
        <f>369313.5+145108.5+43813</f>
        <v>558235</v>
      </c>
      <c r="N19" s="179">
        <f>41017+16460+6346</f>
        <v>63823</v>
      </c>
      <c r="O19" s="108">
        <f>IF(M19&lt;&gt;0,M19/N19,"")</f>
        <v>8.74661172304655</v>
      </c>
      <c r="P19" s="137">
        <v>1</v>
      </c>
    </row>
    <row r="20" spans="1:16" s="7" customFormat="1" ht="15">
      <c r="A20" s="64">
        <v>16</v>
      </c>
      <c r="B20" s="49" t="s">
        <v>112</v>
      </c>
      <c r="C20" s="40">
        <v>39815</v>
      </c>
      <c r="D20" s="43" t="s">
        <v>79</v>
      </c>
      <c r="E20" s="43" t="s">
        <v>113</v>
      </c>
      <c r="F20" s="55">
        <v>16</v>
      </c>
      <c r="G20" s="55">
        <v>16</v>
      </c>
      <c r="H20" s="55">
        <v>1</v>
      </c>
      <c r="I20" s="181">
        <v>39086</v>
      </c>
      <c r="J20" s="182">
        <v>3939</v>
      </c>
      <c r="K20" s="176">
        <f>IF(I20&lt;&gt;0,J20/G20,"")</f>
        <v>246.1875</v>
      </c>
      <c r="L20" s="177">
        <f>IF(I20&lt;&gt;0,I20/J20,"")</f>
        <v>9.922823051535923</v>
      </c>
      <c r="M20" s="181">
        <v>39086</v>
      </c>
      <c r="N20" s="179">
        <v>3939</v>
      </c>
      <c r="O20" s="108">
        <f>IF(M20&lt;&gt;0,M20/N20,"")</f>
        <v>9.922823051535923</v>
      </c>
      <c r="P20" s="137">
        <v>1</v>
      </c>
    </row>
    <row r="21" spans="1:16" s="7" customFormat="1" ht="15">
      <c r="A21" s="64">
        <v>17</v>
      </c>
      <c r="B21" s="50" t="s">
        <v>28</v>
      </c>
      <c r="C21" s="41">
        <v>39773</v>
      </c>
      <c r="D21" s="66" t="s">
        <v>74</v>
      </c>
      <c r="E21" s="45" t="s">
        <v>69</v>
      </c>
      <c r="F21" s="42">
        <v>204</v>
      </c>
      <c r="G21" s="42">
        <v>30</v>
      </c>
      <c r="H21" s="42">
        <v>7</v>
      </c>
      <c r="I21" s="178">
        <v>33453</v>
      </c>
      <c r="J21" s="179">
        <v>5727</v>
      </c>
      <c r="K21" s="179">
        <f>J21/G21</f>
        <v>190.9</v>
      </c>
      <c r="L21" s="180">
        <f>+I21/J21</f>
        <v>5.841278156102671</v>
      </c>
      <c r="M21" s="178">
        <v>11399323</v>
      </c>
      <c r="N21" s="179">
        <v>1407230</v>
      </c>
      <c r="O21" s="107">
        <f>+M21/N21</f>
        <v>8.100540068077002</v>
      </c>
      <c r="P21" s="137">
        <v>1</v>
      </c>
    </row>
    <row r="22" spans="1:16" s="7" customFormat="1" ht="15">
      <c r="A22" s="64">
        <v>18</v>
      </c>
      <c r="B22" s="50" t="s">
        <v>0</v>
      </c>
      <c r="C22" s="41">
        <v>39780</v>
      </c>
      <c r="D22" s="66" t="s">
        <v>74</v>
      </c>
      <c r="E22" s="45" t="s">
        <v>70</v>
      </c>
      <c r="F22" s="42">
        <v>121</v>
      </c>
      <c r="G22" s="42">
        <v>34</v>
      </c>
      <c r="H22" s="42">
        <v>6</v>
      </c>
      <c r="I22" s="178">
        <v>24200</v>
      </c>
      <c r="J22" s="179">
        <v>4086</v>
      </c>
      <c r="K22" s="179">
        <f>J22/G22</f>
        <v>120.17647058823529</v>
      </c>
      <c r="L22" s="180">
        <f>+I22/J22</f>
        <v>5.922662750856584</v>
      </c>
      <c r="M22" s="178">
        <v>3379638</v>
      </c>
      <c r="N22" s="179">
        <v>389905</v>
      </c>
      <c r="O22" s="107">
        <f>+M22/N22</f>
        <v>8.667849860863544</v>
      </c>
      <c r="P22" s="137"/>
    </row>
    <row r="23" spans="1:16" s="7" customFormat="1" ht="15">
      <c r="A23" s="64">
        <v>19</v>
      </c>
      <c r="B23" s="50" t="s">
        <v>26</v>
      </c>
      <c r="C23" s="41">
        <v>39766</v>
      </c>
      <c r="D23" s="45" t="s">
        <v>75</v>
      </c>
      <c r="E23" s="45" t="s">
        <v>27</v>
      </c>
      <c r="F23" s="42">
        <v>24</v>
      </c>
      <c r="G23" s="42">
        <v>5</v>
      </c>
      <c r="H23" s="42">
        <v>8</v>
      </c>
      <c r="I23" s="178">
        <v>19699.5</v>
      </c>
      <c r="J23" s="179">
        <v>2958</v>
      </c>
      <c r="K23" s="176">
        <f>+J23/G23</f>
        <v>591.6</v>
      </c>
      <c r="L23" s="177">
        <f>+I23/J23</f>
        <v>6.65973630831643</v>
      </c>
      <c r="M23" s="178">
        <f>191668+16358.5+8305+0.5+19699.5</f>
        <v>236031.5</v>
      </c>
      <c r="N23" s="179">
        <f>10324+8249+7871+7121+4755+3362+1751+2958</f>
        <v>46391</v>
      </c>
      <c r="O23" s="108">
        <f>+M23/N23</f>
        <v>5.087872647711841</v>
      </c>
      <c r="P23" s="137">
        <v>1</v>
      </c>
    </row>
    <row r="24" spans="1:16" s="7" customFormat="1" ht="15">
      <c r="A24" s="64">
        <v>20</v>
      </c>
      <c r="B24" s="50" t="s">
        <v>25</v>
      </c>
      <c r="C24" s="41">
        <v>39766</v>
      </c>
      <c r="D24" s="46" t="s">
        <v>77</v>
      </c>
      <c r="E24" s="45" t="s">
        <v>6</v>
      </c>
      <c r="F24" s="42">
        <v>20</v>
      </c>
      <c r="G24" s="42">
        <v>13</v>
      </c>
      <c r="H24" s="42">
        <v>8</v>
      </c>
      <c r="I24" s="174">
        <v>9410</v>
      </c>
      <c r="J24" s="175">
        <v>1542</v>
      </c>
      <c r="K24" s="182">
        <f>(J24/G24)</f>
        <v>118.61538461538461</v>
      </c>
      <c r="L24" s="183">
        <f>I24/J24</f>
        <v>6.102464332036316</v>
      </c>
      <c r="M24" s="174">
        <f>109364.5+38539+31287+12101+5368+8640.5+12331+9410</f>
        <v>227041</v>
      </c>
      <c r="N24" s="175">
        <f>11866+4674+4443+2133+1061+1670+2334+1542</f>
        <v>29723</v>
      </c>
      <c r="O24" s="109">
        <f>M24/N24</f>
        <v>7.638562729199609</v>
      </c>
      <c r="P24" s="137"/>
    </row>
    <row r="25" spans="1:16" s="7" customFormat="1" ht="15">
      <c r="A25" s="64">
        <v>21</v>
      </c>
      <c r="B25" s="50" t="s">
        <v>29</v>
      </c>
      <c r="C25" s="41">
        <v>39772</v>
      </c>
      <c r="D25" s="46" t="s">
        <v>77</v>
      </c>
      <c r="E25" s="45" t="s">
        <v>48</v>
      </c>
      <c r="F25" s="42">
        <v>195</v>
      </c>
      <c r="G25" s="42">
        <v>8</v>
      </c>
      <c r="H25" s="42">
        <v>7</v>
      </c>
      <c r="I25" s="174">
        <v>9376.5</v>
      </c>
      <c r="J25" s="175">
        <v>2234</v>
      </c>
      <c r="K25" s="182">
        <f>(J25/G25)</f>
        <v>279.25</v>
      </c>
      <c r="L25" s="183">
        <f>I25/J25</f>
        <v>4.197179946284691</v>
      </c>
      <c r="M25" s="174">
        <f>1011017+512350.5+217314+64545+38656.5+8087+9376.5</f>
        <v>1861346.5</v>
      </c>
      <c r="N25" s="175">
        <f>136878+68007+31396+9807+8372+1564+2234</f>
        <v>258258</v>
      </c>
      <c r="O25" s="109">
        <f>M25/N25</f>
        <v>7.207314003825632</v>
      </c>
      <c r="P25" s="137"/>
    </row>
    <row r="26" spans="1:16" s="7" customFormat="1" ht="15">
      <c r="A26" s="64">
        <v>22</v>
      </c>
      <c r="B26" s="50" t="s">
        <v>23</v>
      </c>
      <c r="C26" s="41">
        <v>39759</v>
      </c>
      <c r="D26" s="46" t="s">
        <v>77</v>
      </c>
      <c r="E26" s="45" t="s">
        <v>86</v>
      </c>
      <c r="F26" s="42">
        <v>93</v>
      </c>
      <c r="G26" s="42">
        <v>4</v>
      </c>
      <c r="H26" s="42">
        <v>9</v>
      </c>
      <c r="I26" s="174">
        <v>5279</v>
      </c>
      <c r="J26" s="175">
        <v>685</v>
      </c>
      <c r="K26" s="182">
        <f>(J26/G26)</f>
        <v>171.25</v>
      </c>
      <c r="L26" s="183">
        <f>I26/J26</f>
        <v>7.706569343065693</v>
      </c>
      <c r="M26" s="174">
        <f>224223+136351+27895+24212+1274+3482+7147+2804+5279</f>
        <v>432667</v>
      </c>
      <c r="N26" s="175">
        <f>27969+18593+4268+4646+311+857+1472+745+685</f>
        <v>59546</v>
      </c>
      <c r="O26" s="109">
        <f>M26/N26</f>
        <v>7.26609679911329</v>
      </c>
      <c r="P26" s="137">
        <v>1</v>
      </c>
    </row>
    <row r="27" spans="1:16" s="7" customFormat="1" ht="15">
      <c r="A27" s="64">
        <v>23</v>
      </c>
      <c r="B27" s="54" t="s">
        <v>92</v>
      </c>
      <c r="C27" s="40">
        <v>39801</v>
      </c>
      <c r="D27" s="46" t="s">
        <v>42</v>
      </c>
      <c r="E27" s="46" t="s">
        <v>33</v>
      </c>
      <c r="F27" s="51">
        <v>19</v>
      </c>
      <c r="G27" s="51">
        <v>9</v>
      </c>
      <c r="H27" s="51">
        <v>3</v>
      </c>
      <c r="I27" s="174">
        <v>4887</v>
      </c>
      <c r="J27" s="175">
        <v>751</v>
      </c>
      <c r="K27" s="176">
        <f>+J27/G27</f>
        <v>83.44444444444444</v>
      </c>
      <c r="L27" s="177">
        <f>+I27/J27</f>
        <v>6.507323568575233</v>
      </c>
      <c r="M27" s="174">
        <v>136638</v>
      </c>
      <c r="N27" s="175">
        <v>12656</v>
      </c>
      <c r="O27" s="108">
        <f>+M27/N27</f>
        <v>10.796302149178256</v>
      </c>
      <c r="P27" s="137"/>
    </row>
    <row r="28" spans="1:16" s="7" customFormat="1" ht="15">
      <c r="A28" s="64">
        <v>24</v>
      </c>
      <c r="B28" s="50" t="s">
        <v>1</v>
      </c>
      <c r="C28" s="41">
        <v>39780</v>
      </c>
      <c r="D28" s="46" t="s">
        <v>77</v>
      </c>
      <c r="E28" s="45" t="s">
        <v>34</v>
      </c>
      <c r="F28" s="42">
        <v>61</v>
      </c>
      <c r="G28" s="42">
        <v>8</v>
      </c>
      <c r="H28" s="42">
        <v>6</v>
      </c>
      <c r="I28" s="174">
        <v>4772</v>
      </c>
      <c r="J28" s="175">
        <v>944</v>
      </c>
      <c r="K28" s="182">
        <f>(J28/G28)</f>
        <v>118</v>
      </c>
      <c r="L28" s="183">
        <f>I28/J28</f>
        <v>5.055084745762712</v>
      </c>
      <c r="M28" s="174">
        <f>499000.5+313125.5+89561.5+27980+2002.5+4772</f>
        <v>936442</v>
      </c>
      <c r="N28" s="175">
        <f>48458+27725+9315+4737+330+944</f>
        <v>91509</v>
      </c>
      <c r="O28" s="109">
        <f>M28/N28</f>
        <v>10.233332240544646</v>
      </c>
      <c r="P28" s="137"/>
    </row>
    <row r="29" spans="1:16" s="7" customFormat="1" ht="15">
      <c r="A29" s="64">
        <v>25</v>
      </c>
      <c r="B29" s="49" t="s">
        <v>12</v>
      </c>
      <c r="C29" s="40">
        <v>39745</v>
      </c>
      <c r="D29" s="43" t="s">
        <v>79</v>
      </c>
      <c r="E29" s="43" t="s">
        <v>2</v>
      </c>
      <c r="F29" s="55">
        <v>104</v>
      </c>
      <c r="G29" s="55">
        <v>6</v>
      </c>
      <c r="H29" s="55">
        <v>11</v>
      </c>
      <c r="I29" s="181">
        <v>4346</v>
      </c>
      <c r="J29" s="182">
        <v>1003</v>
      </c>
      <c r="K29" s="176">
        <f>IF(I29&lt;&gt;0,J29/G29,"")</f>
        <v>167.16666666666666</v>
      </c>
      <c r="L29" s="177">
        <f>IF(I29&lt;&gt;0,I29/J29,"")</f>
        <v>4.333000997008973</v>
      </c>
      <c r="M29" s="181">
        <f>821522+622841.5+494230+434015.5+185757.5+145248.5+16130+16159+2033+6489+4346</f>
        <v>2748772</v>
      </c>
      <c r="N29" s="179">
        <f>99216+78381+65128+58419+30420+24530+3077+3918+431+1704+1003</f>
        <v>366227</v>
      </c>
      <c r="O29" s="108">
        <f>IF(M29&lt;&gt;0,M29/N29,"")</f>
        <v>7.505650866812114</v>
      </c>
      <c r="P29" s="137">
        <v>1</v>
      </c>
    </row>
    <row r="30" spans="1:16" s="7" customFormat="1" ht="15">
      <c r="A30" s="64">
        <v>26</v>
      </c>
      <c r="B30" s="49" t="s">
        <v>11</v>
      </c>
      <c r="C30" s="40">
        <v>39750</v>
      </c>
      <c r="D30" s="44" t="s">
        <v>73</v>
      </c>
      <c r="E30" s="43" t="s">
        <v>101</v>
      </c>
      <c r="F30" s="55">
        <v>198</v>
      </c>
      <c r="G30" s="55">
        <v>6</v>
      </c>
      <c r="H30" s="55">
        <v>11</v>
      </c>
      <c r="I30" s="174">
        <v>2375</v>
      </c>
      <c r="J30" s="175">
        <v>495</v>
      </c>
      <c r="K30" s="182">
        <f>J30/G30</f>
        <v>82.5</v>
      </c>
      <c r="L30" s="183">
        <f>I30/J30</f>
        <v>4.797979797979798</v>
      </c>
      <c r="M30" s="174">
        <f>4975832+1882135+1034271+412191+151618-1635+10999+12408+14293+6423+2375</f>
        <v>8500910</v>
      </c>
      <c r="N30" s="175">
        <f>642956+245951+129523+51207+21082-161+1623+2391+2711+1404+495</f>
        <v>1099182</v>
      </c>
      <c r="O30" s="109">
        <f>+M30/N30</f>
        <v>7.733851172963167</v>
      </c>
      <c r="P30" s="137">
        <v>1</v>
      </c>
    </row>
    <row r="31" spans="1:16" s="7" customFormat="1" ht="15">
      <c r="A31" s="64">
        <v>27</v>
      </c>
      <c r="B31" s="50" t="s">
        <v>9</v>
      </c>
      <c r="C31" s="41">
        <v>39738</v>
      </c>
      <c r="D31" s="46" t="s">
        <v>77</v>
      </c>
      <c r="E31" s="45" t="s">
        <v>10</v>
      </c>
      <c r="F31" s="42">
        <v>67</v>
      </c>
      <c r="G31" s="42">
        <v>6</v>
      </c>
      <c r="H31" s="42">
        <v>12</v>
      </c>
      <c r="I31" s="174">
        <v>2137</v>
      </c>
      <c r="J31" s="175">
        <v>440</v>
      </c>
      <c r="K31" s="182">
        <f>(J31/G31)</f>
        <v>73.33333333333333</v>
      </c>
      <c r="L31" s="183">
        <f>I31/J31</f>
        <v>4.8568181818181815</v>
      </c>
      <c r="M31" s="174">
        <f>167196+176809+54428+37340+38330.5+23467+11581+5867+4382+2577+3552+2137</f>
        <v>527666.5</v>
      </c>
      <c r="N31" s="175">
        <f>19168+21164+7719+6215+6404+4964+2339+1306+907+580+859+440</f>
        <v>72065</v>
      </c>
      <c r="O31" s="109">
        <f>M31/N31</f>
        <v>7.32209116769583</v>
      </c>
      <c r="P31" s="137"/>
    </row>
    <row r="32" spans="1:16" s="7" customFormat="1" ht="15">
      <c r="A32" s="64">
        <v>28</v>
      </c>
      <c r="B32" s="50" t="s">
        <v>114</v>
      </c>
      <c r="C32" s="41">
        <v>39752</v>
      </c>
      <c r="D32" s="46" t="s">
        <v>77</v>
      </c>
      <c r="E32" s="45" t="s">
        <v>39</v>
      </c>
      <c r="F32" s="42">
        <v>1</v>
      </c>
      <c r="G32" s="42">
        <v>1</v>
      </c>
      <c r="H32" s="42">
        <v>6</v>
      </c>
      <c r="I32" s="174">
        <v>1590</v>
      </c>
      <c r="J32" s="175">
        <v>189</v>
      </c>
      <c r="K32" s="182">
        <f>(J32/G32)</f>
        <v>189</v>
      </c>
      <c r="L32" s="183">
        <f>I32/J32</f>
        <v>8.412698412698413</v>
      </c>
      <c r="M32" s="174">
        <f>5026+4844+3356+2376+712+1590</f>
        <v>17904</v>
      </c>
      <c r="N32" s="175">
        <f>591+575+394+594+178+189</f>
        <v>2521</v>
      </c>
      <c r="O32" s="109">
        <f>M32/N32</f>
        <v>7.101943673145577</v>
      </c>
      <c r="P32" s="137"/>
    </row>
    <row r="33" spans="1:16" s="7" customFormat="1" ht="15">
      <c r="A33" s="64">
        <v>29</v>
      </c>
      <c r="B33" s="49" t="s">
        <v>115</v>
      </c>
      <c r="C33" s="40">
        <v>39745</v>
      </c>
      <c r="D33" s="44" t="s">
        <v>73</v>
      </c>
      <c r="E33" s="43" t="s">
        <v>108</v>
      </c>
      <c r="F33" s="55">
        <v>202</v>
      </c>
      <c r="G33" s="55">
        <v>1</v>
      </c>
      <c r="H33" s="55">
        <v>10</v>
      </c>
      <c r="I33" s="174">
        <v>1192</v>
      </c>
      <c r="J33" s="175">
        <v>296</v>
      </c>
      <c r="K33" s="182">
        <f>J33/G33</f>
        <v>296</v>
      </c>
      <c r="L33" s="183">
        <f>I33/J33</f>
        <v>4.027027027027027</v>
      </c>
      <c r="M33" s="174">
        <f>2979211+551475+289248+35506+23768+5044+549+3932+1192</f>
        <v>3889925</v>
      </c>
      <c r="N33" s="175">
        <f>374252+72341+40702+5164+4326+1290+108+783+296</f>
        <v>499262</v>
      </c>
      <c r="O33" s="109">
        <f>+M33/N33</f>
        <v>7.791350032648189</v>
      </c>
      <c r="P33" s="137"/>
    </row>
    <row r="34" spans="1:16" s="7" customFormat="1" ht="15">
      <c r="A34" s="64">
        <v>30</v>
      </c>
      <c r="B34" s="54" t="s">
        <v>14</v>
      </c>
      <c r="C34" s="40">
        <v>39745</v>
      </c>
      <c r="D34" s="46" t="s">
        <v>42</v>
      </c>
      <c r="E34" s="46" t="s">
        <v>15</v>
      </c>
      <c r="F34" s="51">
        <v>72</v>
      </c>
      <c r="G34" s="51">
        <v>3</v>
      </c>
      <c r="H34" s="51">
        <v>11</v>
      </c>
      <c r="I34" s="174">
        <v>1146</v>
      </c>
      <c r="J34" s="175">
        <v>178</v>
      </c>
      <c r="K34" s="176">
        <f>+J34/G34</f>
        <v>59.333333333333336</v>
      </c>
      <c r="L34" s="177">
        <f>+I34/J34</f>
        <v>6.438202247191011</v>
      </c>
      <c r="M34" s="174">
        <v>1284354</v>
      </c>
      <c r="N34" s="175">
        <v>145282</v>
      </c>
      <c r="O34" s="108">
        <f>+M34/N34</f>
        <v>8.840420699054253</v>
      </c>
      <c r="P34" s="137">
        <v>1</v>
      </c>
    </row>
    <row r="35" spans="1:16" s="7" customFormat="1" ht="15">
      <c r="A35" s="64">
        <v>31</v>
      </c>
      <c r="B35" s="50" t="s">
        <v>3</v>
      </c>
      <c r="C35" s="41">
        <v>39780</v>
      </c>
      <c r="D35" s="46" t="s">
        <v>77</v>
      </c>
      <c r="E35" s="45" t="s">
        <v>104</v>
      </c>
      <c r="F35" s="42">
        <v>6</v>
      </c>
      <c r="G35" s="42">
        <v>2</v>
      </c>
      <c r="H35" s="42">
        <v>6</v>
      </c>
      <c r="I35" s="174">
        <v>997</v>
      </c>
      <c r="J35" s="175">
        <v>230</v>
      </c>
      <c r="K35" s="182">
        <f>(J35/G35)</f>
        <v>115</v>
      </c>
      <c r="L35" s="183">
        <f>I35/J35</f>
        <v>4.334782608695652</v>
      </c>
      <c r="M35" s="174">
        <f>25457+3030+1123+7370+430+997</f>
        <v>38407</v>
      </c>
      <c r="N35" s="175">
        <f>2151+404+165+1079+59+230</f>
        <v>4088</v>
      </c>
      <c r="O35" s="109">
        <f>M35/N35</f>
        <v>9.395058708414872</v>
      </c>
      <c r="P35" s="137"/>
    </row>
    <row r="36" spans="1:16" s="7" customFormat="1" ht="15">
      <c r="A36" s="64">
        <v>32</v>
      </c>
      <c r="B36" s="50" t="s">
        <v>8</v>
      </c>
      <c r="C36" s="41">
        <v>39738</v>
      </c>
      <c r="D36" s="46" t="s">
        <v>77</v>
      </c>
      <c r="E36" s="45" t="s">
        <v>76</v>
      </c>
      <c r="F36" s="42">
        <v>65</v>
      </c>
      <c r="G36" s="42">
        <v>4</v>
      </c>
      <c r="H36" s="42">
        <v>11</v>
      </c>
      <c r="I36" s="174">
        <v>891</v>
      </c>
      <c r="J36" s="175">
        <v>149</v>
      </c>
      <c r="K36" s="182">
        <f>(J36/G36)</f>
        <v>37.25</v>
      </c>
      <c r="L36" s="183">
        <f>I36/J36</f>
        <v>5.97986577181208</v>
      </c>
      <c r="M36" s="174">
        <f>502954.7+385847+127398.5+41644+35371+15703.5+9494+704+1120.5+952+891</f>
        <v>1122080.2</v>
      </c>
      <c r="N36" s="175">
        <f>51438+39611+14487+7156+6343+2488+1591+176+567+238+149</f>
        <v>124244</v>
      </c>
      <c r="O36" s="109">
        <f>M36/N36</f>
        <v>9.03126267666849</v>
      </c>
      <c r="P36" s="137"/>
    </row>
    <row r="37" spans="1:16" s="7" customFormat="1" ht="15">
      <c r="A37" s="64">
        <v>33</v>
      </c>
      <c r="B37" s="50" t="s">
        <v>116</v>
      </c>
      <c r="C37" s="41">
        <v>39640</v>
      </c>
      <c r="D37" s="66" t="s">
        <v>74</v>
      </c>
      <c r="E37" s="66" t="s">
        <v>117</v>
      </c>
      <c r="F37" s="42">
        <v>137</v>
      </c>
      <c r="G37" s="42">
        <v>1</v>
      </c>
      <c r="H37" s="42">
        <v>25</v>
      </c>
      <c r="I37" s="178">
        <v>805</v>
      </c>
      <c r="J37" s="179">
        <v>350</v>
      </c>
      <c r="K37" s="179">
        <f>J37/G37</f>
        <v>350</v>
      </c>
      <c r="L37" s="180">
        <f>+I37/J37</f>
        <v>2.3</v>
      </c>
      <c r="M37" s="178">
        <v>1629170</v>
      </c>
      <c r="N37" s="179">
        <v>217304</v>
      </c>
      <c r="O37" s="107">
        <f>+M37/N37</f>
        <v>7.497192872657659</v>
      </c>
      <c r="P37" s="137"/>
    </row>
    <row r="38" spans="1:16" s="7" customFormat="1" ht="15">
      <c r="A38" s="64">
        <v>34</v>
      </c>
      <c r="B38" s="50" t="s">
        <v>13</v>
      </c>
      <c r="C38" s="41">
        <v>39745</v>
      </c>
      <c r="D38" s="66" t="s">
        <v>74</v>
      </c>
      <c r="E38" s="66" t="s">
        <v>103</v>
      </c>
      <c r="F38" s="42">
        <v>57</v>
      </c>
      <c r="G38" s="42">
        <v>1</v>
      </c>
      <c r="H38" s="42">
        <v>11</v>
      </c>
      <c r="I38" s="178">
        <v>801</v>
      </c>
      <c r="J38" s="179">
        <v>157</v>
      </c>
      <c r="K38" s="179">
        <f>J38/G38</f>
        <v>157</v>
      </c>
      <c r="L38" s="180">
        <f>+I38/J38</f>
        <v>5.101910828025478</v>
      </c>
      <c r="M38" s="178">
        <v>1167434</v>
      </c>
      <c r="N38" s="179">
        <v>125785</v>
      </c>
      <c r="O38" s="107">
        <f>+M38/N38</f>
        <v>9.281186150971896</v>
      </c>
      <c r="P38" s="137">
        <v>1</v>
      </c>
    </row>
    <row r="39" spans="1:16" s="7" customFormat="1" ht="15">
      <c r="A39" s="64">
        <v>35</v>
      </c>
      <c r="B39" s="49" t="s">
        <v>24</v>
      </c>
      <c r="C39" s="40">
        <v>39759</v>
      </c>
      <c r="D39" s="43" t="s">
        <v>79</v>
      </c>
      <c r="E39" s="43" t="s">
        <v>102</v>
      </c>
      <c r="F39" s="55">
        <v>40</v>
      </c>
      <c r="G39" s="55">
        <v>1</v>
      </c>
      <c r="H39" s="55">
        <v>9</v>
      </c>
      <c r="I39" s="181">
        <v>556</v>
      </c>
      <c r="J39" s="182">
        <v>77</v>
      </c>
      <c r="K39" s="176">
        <f>IF(I39&lt;&gt;0,J39/G39,"")</f>
        <v>77</v>
      </c>
      <c r="L39" s="177">
        <f>IF(I39&lt;&gt;0,I39/J39,"")</f>
        <v>7.220779220779221</v>
      </c>
      <c r="M39" s="181">
        <f>84918+52341+11404+7823+3207+2014+937+2034+556</f>
        <v>165234</v>
      </c>
      <c r="N39" s="179">
        <f>10694+7043+2046+1560+538+345+174+389+77</f>
        <v>22866</v>
      </c>
      <c r="O39" s="108">
        <f>IF(M39&lt;&gt;0,M39/N39,"")</f>
        <v>7.226187352400944</v>
      </c>
      <c r="P39" s="137">
        <v>1</v>
      </c>
    </row>
    <row r="40" spans="1:16" s="7" customFormat="1" ht="15">
      <c r="A40" s="64">
        <v>36</v>
      </c>
      <c r="B40" s="54" t="s">
        <v>118</v>
      </c>
      <c r="C40" s="40">
        <v>39633</v>
      </c>
      <c r="D40" s="46" t="s">
        <v>42</v>
      </c>
      <c r="E40" s="46" t="s">
        <v>33</v>
      </c>
      <c r="F40" s="51">
        <v>28</v>
      </c>
      <c r="G40" s="51">
        <v>1</v>
      </c>
      <c r="H40" s="51">
        <v>27</v>
      </c>
      <c r="I40" s="174">
        <v>475</v>
      </c>
      <c r="J40" s="175">
        <v>95</v>
      </c>
      <c r="K40" s="176">
        <f>+J40/G40</f>
        <v>95</v>
      </c>
      <c r="L40" s="177">
        <f>+I40/J40</f>
        <v>5</v>
      </c>
      <c r="M40" s="174">
        <v>315463</v>
      </c>
      <c r="N40" s="175">
        <v>42108</v>
      </c>
      <c r="O40" s="108">
        <f aca="true" t="shared" si="0" ref="O40:O45">+M40/N40</f>
        <v>7.491759285646433</v>
      </c>
      <c r="P40" s="137"/>
    </row>
    <row r="41" spans="1:16" s="7" customFormat="1" ht="15">
      <c r="A41" s="64">
        <v>37</v>
      </c>
      <c r="B41" s="50" t="s">
        <v>119</v>
      </c>
      <c r="C41" s="41">
        <v>39633</v>
      </c>
      <c r="D41" s="66" t="s">
        <v>74</v>
      </c>
      <c r="E41" s="45" t="s">
        <v>70</v>
      </c>
      <c r="F41" s="42">
        <v>123</v>
      </c>
      <c r="G41" s="42">
        <v>1</v>
      </c>
      <c r="H41" s="42">
        <v>24</v>
      </c>
      <c r="I41" s="178">
        <v>441</v>
      </c>
      <c r="J41" s="179">
        <v>350</v>
      </c>
      <c r="K41" s="179">
        <f>J41/G41</f>
        <v>350</v>
      </c>
      <c r="L41" s="180">
        <f>+I41/J41</f>
        <v>1.26</v>
      </c>
      <c r="M41" s="178">
        <v>1541323</v>
      </c>
      <c r="N41" s="179">
        <v>212942</v>
      </c>
      <c r="O41" s="107">
        <f t="shared" si="0"/>
        <v>7.238229189168882</v>
      </c>
      <c r="P41" s="137"/>
    </row>
    <row r="42" spans="1:16" s="7" customFormat="1" ht="15">
      <c r="A42" s="64">
        <v>38</v>
      </c>
      <c r="B42" s="49" t="s">
        <v>120</v>
      </c>
      <c r="C42" s="40">
        <v>39738</v>
      </c>
      <c r="D42" s="44" t="s">
        <v>73</v>
      </c>
      <c r="E42" s="43" t="s">
        <v>65</v>
      </c>
      <c r="F42" s="55">
        <v>52</v>
      </c>
      <c r="G42" s="55">
        <v>1</v>
      </c>
      <c r="H42" s="55">
        <v>11</v>
      </c>
      <c r="I42" s="174">
        <v>392</v>
      </c>
      <c r="J42" s="175">
        <v>67</v>
      </c>
      <c r="K42" s="182">
        <f>J42/G42</f>
        <v>67</v>
      </c>
      <c r="L42" s="183">
        <f>I42/J42</f>
        <v>5.850746268656716</v>
      </c>
      <c r="M42" s="174">
        <f>406562+322843+70349+13845+3121+7380+8038+2297+3564+114+392</f>
        <v>838505</v>
      </c>
      <c r="N42" s="175">
        <f>38224+30194+7191+2669+501+1117+1379+703+1188+19+67</f>
        <v>83252</v>
      </c>
      <c r="O42" s="109">
        <f t="shared" si="0"/>
        <v>10.071890164800845</v>
      </c>
      <c r="P42" s="137"/>
    </row>
    <row r="43" spans="1:16" s="7" customFormat="1" ht="15">
      <c r="A43" s="64">
        <v>39</v>
      </c>
      <c r="B43" s="50" t="s">
        <v>5</v>
      </c>
      <c r="C43" s="41">
        <v>39710</v>
      </c>
      <c r="D43" s="45" t="s">
        <v>50</v>
      </c>
      <c r="E43" s="45" t="s">
        <v>50</v>
      </c>
      <c r="F43" s="42">
        <v>66</v>
      </c>
      <c r="G43" s="42">
        <v>4</v>
      </c>
      <c r="H43" s="42">
        <v>16</v>
      </c>
      <c r="I43" s="178">
        <v>351.5</v>
      </c>
      <c r="J43" s="179">
        <v>65</v>
      </c>
      <c r="K43" s="176">
        <f>+J43/G43</f>
        <v>16.25</v>
      </c>
      <c r="L43" s="177">
        <f>+I43/J43</f>
        <v>5.407692307692308</v>
      </c>
      <c r="M43" s="178">
        <f>152576+127511+68854.5+21974+10111.5+7103+7290+0.5+1014+3149+989+3524+0.5+3768+138+2528+257+351.5</f>
        <v>411139.5</v>
      </c>
      <c r="N43" s="179">
        <f>50018+825+47+65</f>
        <v>50955</v>
      </c>
      <c r="O43" s="108">
        <f t="shared" si="0"/>
        <v>8.068678245510744</v>
      </c>
      <c r="P43" s="137"/>
    </row>
    <row r="44" spans="1:16" s="7" customFormat="1" ht="15">
      <c r="A44" s="64">
        <v>40</v>
      </c>
      <c r="B44" s="54" t="s">
        <v>7</v>
      </c>
      <c r="C44" s="40">
        <v>39731</v>
      </c>
      <c r="D44" s="46" t="s">
        <v>42</v>
      </c>
      <c r="E44" s="46" t="s">
        <v>33</v>
      </c>
      <c r="F44" s="51">
        <v>20</v>
      </c>
      <c r="G44" s="51">
        <v>1</v>
      </c>
      <c r="H44" s="51">
        <v>13</v>
      </c>
      <c r="I44" s="174">
        <v>305</v>
      </c>
      <c r="J44" s="175">
        <v>61</v>
      </c>
      <c r="K44" s="182">
        <f>J44/G44</f>
        <v>61</v>
      </c>
      <c r="L44" s="177">
        <f>+I44/J44</f>
        <v>5</v>
      </c>
      <c r="M44" s="174">
        <v>397120</v>
      </c>
      <c r="N44" s="175">
        <v>35350</v>
      </c>
      <c r="O44" s="108">
        <f t="shared" si="0"/>
        <v>11.233946251768034</v>
      </c>
      <c r="P44" s="137"/>
    </row>
    <row r="45" spans="1:16" s="7" customFormat="1" ht="15">
      <c r="A45" s="64">
        <v>41</v>
      </c>
      <c r="B45" s="49" t="s">
        <v>18</v>
      </c>
      <c r="C45" s="40">
        <v>39689</v>
      </c>
      <c r="D45" s="44" t="s">
        <v>73</v>
      </c>
      <c r="E45" s="43" t="s">
        <v>19</v>
      </c>
      <c r="F45" s="55">
        <v>100</v>
      </c>
      <c r="G45" s="55">
        <v>1</v>
      </c>
      <c r="H45" s="55">
        <v>9</v>
      </c>
      <c r="I45" s="174">
        <v>276</v>
      </c>
      <c r="J45" s="175">
        <v>55</v>
      </c>
      <c r="K45" s="176">
        <f>+J45/G45</f>
        <v>55</v>
      </c>
      <c r="L45" s="183">
        <f>I45/J45</f>
        <v>5.0181818181818185</v>
      </c>
      <c r="M45" s="174">
        <f>17818+1364876+864151+384239+240974+16635+2871+5064-50+5187+276</f>
        <v>2902041</v>
      </c>
      <c r="N45" s="175">
        <f>1487+139515+89937+39711+26370+2302+499+787-9+1471+55</f>
        <v>302125</v>
      </c>
      <c r="O45" s="109">
        <f t="shared" si="0"/>
        <v>9.605431526685974</v>
      </c>
      <c r="P45" s="137"/>
    </row>
    <row r="46" spans="1:16" s="7" customFormat="1" ht="15">
      <c r="A46" s="64">
        <v>42</v>
      </c>
      <c r="B46" s="50" t="s">
        <v>16</v>
      </c>
      <c r="C46" s="41">
        <v>39745</v>
      </c>
      <c r="D46" s="46" t="s">
        <v>77</v>
      </c>
      <c r="E46" s="45" t="s">
        <v>49</v>
      </c>
      <c r="F46" s="42">
        <v>7</v>
      </c>
      <c r="G46" s="42">
        <v>1</v>
      </c>
      <c r="H46" s="42">
        <v>10</v>
      </c>
      <c r="I46" s="174">
        <v>128</v>
      </c>
      <c r="J46" s="175">
        <v>22</v>
      </c>
      <c r="K46" s="182">
        <f>J46/G46</f>
        <v>22</v>
      </c>
      <c r="L46" s="183">
        <f>I46/J46</f>
        <v>5.818181818181818</v>
      </c>
      <c r="M46" s="174">
        <f>31758.5+8225.5+1958+2180+395+7254.5+494+2046+429+128</f>
        <v>54868.5</v>
      </c>
      <c r="N46" s="175">
        <f>2732+851+288+247+46+761+52+333+72+22</f>
        <v>5404</v>
      </c>
      <c r="O46" s="109">
        <f>M46/N46</f>
        <v>10.153312361213915</v>
      </c>
      <c r="P46" s="137"/>
    </row>
    <row r="47" spans="1:16" s="7" customFormat="1" ht="15">
      <c r="A47" s="64">
        <v>43</v>
      </c>
      <c r="B47" s="54" t="s">
        <v>84</v>
      </c>
      <c r="C47" s="40">
        <v>39780</v>
      </c>
      <c r="D47" s="141" t="s">
        <v>35</v>
      </c>
      <c r="E47" s="141" t="s">
        <v>4</v>
      </c>
      <c r="F47" s="55">
        <v>3</v>
      </c>
      <c r="G47" s="55">
        <v>1</v>
      </c>
      <c r="H47" s="55">
        <v>6</v>
      </c>
      <c r="I47" s="184">
        <v>81</v>
      </c>
      <c r="J47" s="185">
        <v>13</v>
      </c>
      <c r="K47" s="176">
        <f>+J47/G47</f>
        <v>13</v>
      </c>
      <c r="L47" s="261">
        <f>IF(I47&lt;&gt;0,I47/J47,"")</f>
        <v>6.230769230769231</v>
      </c>
      <c r="M47" s="184">
        <v>42285.5</v>
      </c>
      <c r="N47" s="185">
        <v>3919</v>
      </c>
      <c r="O47" s="108">
        <f>IF(M47&lt;&gt;0,M47/N47,"")</f>
        <v>10.78986986476142</v>
      </c>
      <c r="P47" s="137"/>
    </row>
    <row r="48" spans="1:16" s="7" customFormat="1" ht="15">
      <c r="A48" s="64">
        <v>44</v>
      </c>
      <c r="B48" s="50" t="s">
        <v>36</v>
      </c>
      <c r="C48" s="41">
        <v>39703</v>
      </c>
      <c r="D48" s="46" t="s">
        <v>77</v>
      </c>
      <c r="E48" s="45" t="s">
        <v>37</v>
      </c>
      <c r="F48" s="42">
        <v>6</v>
      </c>
      <c r="G48" s="42">
        <v>1</v>
      </c>
      <c r="H48" s="42">
        <v>14</v>
      </c>
      <c r="I48" s="174">
        <v>73</v>
      </c>
      <c r="J48" s="175">
        <v>11</v>
      </c>
      <c r="K48" s="182">
        <f>(J48/G48)</f>
        <v>11</v>
      </c>
      <c r="L48" s="183">
        <f>I48/J48</f>
        <v>6.636363636363637</v>
      </c>
      <c r="M48" s="174">
        <f>18453+18044+4959+3105.5+2221+2795+1156+907+1188+3416+108+86+53+73</f>
        <v>56564.5</v>
      </c>
      <c r="N48" s="175">
        <f>1896+1808+596+485+314+510+270+216+297+854+33+15+9+11</f>
        <v>7314</v>
      </c>
      <c r="O48" s="109">
        <f>M48/N48</f>
        <v>7.733729833196609</v>
      </c>
      <c r="P48" s="137">
        <v>1</v>
      </c>
    </row>
    <row r="49" spans="1:16" s="7" customFormat="1" ht="15.75" thickBot="1">
      <c r="A49" s="64">
        <v>45</v>
      </c>
      <c r="B49" s="93" t="s">
        <v>17</v>
      </c>
      <c r="C49" s="136">
        <v>39752</v>
      </c>
      <c r="D49" s="262" t="s">
        <v>77</v>
      </c>
      <c r="E49" s="122" t="s">
        <v>55</v>
      </c>
      <c r="F49" s="94">
        <v>27</v>
      </c>
      <c r="G49" s="94">
        <v>1</v>
      </c>
      <c r="H49" s="94">
        <v>10</v>
      </c>
      <c r="I49" s="263">
        <v>67</v>
      </c>
      <c r="J49" s="264">
        <v>10</v>
      </c>
      <c r="K49" s="265">
        <f>(J49/G49)</f>
        <v>10</v>
      </c>
      <c r="L49" s="266">
        <f>I49/J49</f>
        <v>6.7</v>
      </c>
      <c r="M49" s="263">
        <f>122635.5+51150+18262+4454+16388.5+1375+1246+204+334+67</f>
        <v>216116</v>
      </c>
      <c r="N49" s="264">
        <f>11002+4826+2043+624+2156+227+195+32+110+10</f>
        <v>21225</v>
      </c>
      <c r="O49" s="144">
        <f>M49/N49</f>
        <v>10.182143698468787</v>
      </c>
      <c r="P49" s="137"/>
    </row>
    <row r="50" spans="1:16" s="39" customFormat="1" ht="15">
      <c r="A50" s="300" t="s">
        <v>80</v>
      </c>
      <c r="B50" s="301"/>
      <c r="C50" s="35"/>
      <c r="D50" s="113"/>
      <c r="E50" s="113"/>
      <c r="F50" s="36"/>
      <c r="G50" s="37"/>
      <c r="H50" s="36"/>
      <c r="I50" s="70">
        <f>SUM(I5:I49)</f>
        <v>6658013.5</v>
      </c>
      <c r="J50" s="117">
        <f>SUM(J5:J49)</f>
        <v>793660</v>
      </c>
      <c r="K50" s="117"/>
      <c r="L50" s="62"/>
      <c r="M50" s="75"/>
      <c r="N50" s="80"/>
      <c r="O50" s="38"/>
      <c r="P50" s="142"/>
    </row>
    <row r="51" spans="1:16" s="7" customFormat="1" ht="13.5">
      <c r="A51" s="26"/>
      <c r="C51" s="11"/>
      <c r="D51" s="14"/>
      <c r="E51" s="14"/>
      <c r="F51" s="8"/>
      <c r="G51" s="8"/>
      <c r="H51" s="8"/>
      <c r="I51" s="71"/>
      <c r="J51" s="118"/>
      <c r="K51" s="118"/>
      <c r="L51" s="21"/>
      <c r="M51" s="77"/>
      <c r="N51" s="82"/>
      <c r="O51" s="21"/>
      <c r="P51" s="142"/>
    </row>
    <row r="52" spans="1:16" s="7" customFormat="1" ht="13.5">
      <c r="A52" s="26"/>
      <c r="B52"/>
      <c r="C52" s="85"/>
      <c r="D52" s="114"/>
      <c r="E52" s="114"/>
      <c r="F52" s="63"/>
      <c r="G52" s="16"/>
      <c r="H52" s="8"/>
      <c r="I52" s="71"/>
      <c r="J52" s="118"/>
      <c r="K52" s="302" t="s">
        <v>78</v>
      </c>
      <c r="L52" s="298"/>
      <c r="M52" s="298"/>
      <c r="N52" s="298"/>
      <c r="O52" s="298"/>
      <c r="P52" s="142"/>
    </row>
    <row r="53" spans="1:16" s="7" customFormat="1" ht="13.5">
      <c r="A53" s="26"/>
      <c r="B53"/>
      <c r="C53" s="85"/>
      <c r="D53" s="114"/>
      <c r="E53" s="114"/>
      <c r="F53" s="63"/>
      <c r="G53" s="8"/>
      <c r="H53" s="17"/>
      <c r="I53" s="71"/>
      <c r="J53" s="118"/>
      <c r="K53" s="298"/>
      <c r="L53" s="298"/>
      <c r="M53" s="298"/>
      <c r="N53" s="298"/>
      <c r="O53" s="298"/>
      <c r="P53" s="142"/>
    </row>
    <row r="54" spans="1:16" s="7" customFormat="1" ht="13.5">
      <c r="A54" s="26"/>
      <c r="B54"/>
      <c r="C54" s="85"/>
      <c r="D54" s="114"/>
      <c r="E54" s="114"/>
      <c r="F54" s="63"/>
      <c r="G54" s="8"/>
      <c r="H54" s="17"/>
      <c r="I54" s="71"/>
      <c r="J54" s="118"/>
      <c r="K54" s="298"/>
      <c r="L54" s="298"/>
      <c r="M54" s="298"/>
      <c r="N54" s="298"/>
      <c r="O54" s="298"/>
      <c r="P54" s="142"/>
    </row>
    <row r="55" spans="1:16" s="7" customFormat="1" ht="13.5">
      <c r="A55" s="26"/>
      <c r="B55"/>
      <c r="C55" s="85"/>
      <c r="D55" s="114"/>
      <c r="E55" s="114"/>
      <c r="F55" s="63"/>
      <c r="G55" s="8"/>
      <c r="H55" s="17"/>
      <c r="I55" s="71"/>
      <c r="J55" s="118"/>
      <c r="K55" s="303"/>
      <c r="L55" s="303"/>
      <c r="M55" s="303"/>
      <c r="N55" s="303"/>
      <c r="O55" s="303"/>
      <c r="P55" s="142"/>
    </row>
    <row r="56" spans="1:16" s="7" customFormat="1" ht="13.5">
      <c r="A56" s="26"/>
      <c r="B56"/>
      <c r="C56" s="85"/>
      <c r="D56" s="114"/>
      <c r="E56" s="114"/>
      <c r="F56" s="63"/>
      <c r="G56" s="8"/>
      <c r="H56" s="297" t="s">
        <v>43</v>
      </c>
      <c r="I56" s="298"/>
      <c r="J56" s="298"/>
      <c r="K56" s="298"/>
      <c r="L56" s="298"/>
      <c r="M56" s="298"/>
      <c r="N56" s="298"/>
      <c r="O56" s="298"/>
      <c r="P56" s="142"/>
    </row>
    <row r="57" spans="1:16" s="19" customFormat="1" ht="15">
      <c r="A57" s="26"/>
      <c r="B57"/>
      <c r="C57" s="85"/>
      <c r="D57" s="114"/>
      <c r="E57" s="114"/>
      <c r="F57" s="63"/>
      <c r="G57" s="23"/>
      <c r="H57" s="298"/>
      <c r="I57" s="298"/>
      <c r="J57" s="298"/>
      <c r="K57" s="298"/>
      <c r="L57" s="298"/>
      <c r="M57" s="298"/>
      <c r="N57" s="298"/>
      <c r="O57" s="298"/>
      <c r="P57" s="142"/>
    </row>
    <row r="58" spans="1:16" s="19" customFormat="1" ht="15">
      <c r="A58" s="26"/>
      <c r="B58"/>
      <c r="C58" s="85"/>
      <c r="D58" s="114"/>
      <c r="E58" s="114"/>
      <c r="F58" s="63"/>
      <c r="G58" s="18"/>
      <c r="H58" s="298"/>
      <c r="I58" s="298"/>
      <c r="J58" s="298"/>
      <c r="K58" s="298"/>
      <c r="L58" s="298"/>
      <c r="M58" s="298"/>
      <c r="N58" s="298"/>
      <c r="O58" s="298"/>
      <c r="P58" s="142"/>
    </row>
    <row r="59" spans="1:16" s="19" customFormat="1" ht="15">
      <c r="A59" s="26"/>
      <c r="B59"/>
      <c r="C59" s="85"/>
      <c r="D59" s="114"/>
      <c r="E59" s="114"/>
      <c r="F59" s="63"/>
      <c r="G59" s="18"/>
      <c r="H59" s="298"/>
      <c r="I59" s="298"/>
      <c r="J59" s="298"/>
      <c r="K59" s="298"/>
      <c r="L59" s="298"/>
      <c r="M59" s="298"/>
      <c r="N59" s="298"/>
      <c r="O59" s="298"/>
      <c r="P59" s="142"/>
    </row>
    <row r="60" spans="1:16" s="19" customFormat="1" ht="15">
      <c r="A60" s="26"/>
      <c r="B60"/>
      <c r="C60" s="85"/>
      <c r="D60" s="114"/>
      <c r="E60" s="114"/>
      <c r="F60" s="63"/>
      <c r="G60" s="18"/>
      <c r="H60" s="298"/>
      <c r="I60" s="298"/>
      <c r="J60" s="298"/>
      <c r="K60" s="298"/>
      <c r="L60" s="298"/>
      <c r="M60" s="298"/>
      <c r="N60" s="298"/>
      <c r="O60" s="298"/>
      <c r="P60" s="142"/>
    </row>
    <row r="61" spans="1:16" s="19" customFormat="1" ht="15">
      <c r="A61" s="26"/>
      <c r="B61"/>
      <c r="C61" s="85"/>
      <c r="D61" s="114"/>
      <c r="E61" s="114"/>
      <c r="F61" s="63"/>
      <c r="G61" s="18"/>
      <c r="H61" s="298"/>
      <c r="I61" s="298"/>
      <c r="J61" s="298"/>
      <c r="K61" s="298"/>
      <c r="L61" s="298"/>
      <c r="M61" s="298"/>
      <c r="N61" s="298"/>
      <c r="O61" s="298"/>
      <c r="P61" s="142"/>
    </row>
    <row r="62" spans="1:16" s="19" customFormat="1" ht="15">
      <c r="A62" s="26"/>
      <c r="B62"/>
      <c r="C62" s="85"/>
      <c r="D62" s="114"/>
      <c r="E62" s="114"/>
      <c r="F62" s="63"/>
      <c r="G62" s="18"/>
      <c r="H62" s="299" t="s">
        <v>38</v>
      </c>
      <c r="I62" s="298"/>
      <c r="J62" s="298"/>
      <c r="K62" s="298"/>
      <c r="L62" s="298"/>
      <c r="M62" s="298"/>
      <c r="N62" s="298"/>
      <c r="O62" s="298"/>
      <c r="P62" s="142"/>
    </row>
    <row r="63" spans="1:16" s="19" customFormat="1" ht="15">
      <c r="A63" s="26"/>
      <c r="B63"/>
      <c r="C63" s="85"/>
      <c r="D63" s="114"/>
      <c r="E63" s="114"/>
      <c r="F63" s="63"/>
      <c r="G63" s="18"/>
      <c r="H63" s="298"/>
      <c r="I63" s="298"/>
      <c r="J63" s="298"/>
      <c r="K63" s="298"/>
      <c r="L63" s="298"/>
      <c r="M63" s="298"/>
      <c r="N63" s="298"/>
      <c r="O63" s="298"/>
      <c r="P63" s="142"/>
    </row>
    <row r="64" spans="1:16" s="19" customFormat="1" ht="15">
      <c r="A64" s="26"/>
      <c r="B64"/>
      <c r="C64" s="85"/>
      <c r="D64" s="114"/>
      <c r="E64" s="114"/>
      <c r="F64" s="63"/>
      <c r="G64" s="18"/>
      <c r="H64" s="298"/>
      <c r="I64" s="298"/>
      <c r="J64" s="298"/>
      <c r="K64" s="298"/>
      <c r="L64" s="298"/>
      <c r="M64" s="298"/>
      <c r="N64" s="298"/>
      <c r="O64" s="298"/>
      <c r="P64" s="142"/>
    </row>
    <row r="65" spans="1:16" s="19" customFormat="1" ht="15">
      <c r="A65" s="26"/>
      <c r="B65"/>
      <c r="C65" s="85"/>
      <c r="D65" s="114"/>
      <c r="E65" s="114"/>
      <c r="F65" s="63"/>
      <c r="G65" s="18"/>
      <c r="H65" s="298"/>
      <c r="I65" s="298"/>
      <c r="J65" s="298"/>
      <c r="K65" s="298"/>
      <c r="L65" s="298"/>
      <c r="M65" s="298"/>
      <c r="N65" s="298"/>
      <c r="O65" s="298"/>
      <c r="P65" s="142"/>
    </row>
    <row r="66" spans="1:16" s="19" customFormat="1" ht="15">
      <c r="A66" s="26"/>
      <c r="B66"/>
      <c r="C66" s="85"/>
      <c r="D66" s="114"/>
      <c r="E66" s="114"/>
      <c r="F66" s="63"/>
      <c r="G66" s="18"/>
      <c r="H66" s="298"/>
      <c r="I66" s="298"/>
      <c r="J66" s="298"/>
      <c r="K66" s="298"/>
      <c r="L66" s="298"/>
      <c r="M66" s="298"/>
      <c r="N66" s="298"/>
      <c r="O66" s="298"/>
      <c r="P66" s="142"/>
    </row>
    <row r="67" spans="1:16" s="19" customFormat="1" ht="15">
      <c r="A67" s="26"/>
      <c r="B67" s="27"/>
      <c r="C67" s="47"/>
      <c r="D67" s="115"/>
      <c r="E67" s="115"/>
      <c r="F67" s="60"/>
      <c r="G67" s="18"/>
      <c r="H67" s="298"/>
      <c r="I67" s="298"/>
      <c r="J67" s="298"/>
      <c r="K67" s="298"/>
      <c r="L67" s="298"/>
      <c r="M67" s="298"/>
      <c r="N67" s="298"/>
      <c r="O67" s="298"/>
      <c r="P67" s="142"/>
    </row>
    <row r="68" spans="1:16" s="19" customFormat="1" ht="15">
      <c r="A68" s="26"/>
      <c r="B68" s="27"/>
      <c r="C68" s="47"/>
      <c r="D68" s="115"/>
      <c r="E68" s="115"/>
      <c r="F68" s="60"/>
      <c r="G68" s="18"/>
      <c r="H68" s="298"/>
      <c r="I68" s="298"/>
      <c r="J68" s="298"/>
      <c r="K68" s="298"/>
      <c r="L68" s="298"/>
      <c r="M68" s="298"/>
      <c r="N68" s="298"/>
      <c r="O68" s="298"/>
      <c r="P68" s="142"/>
    </row>
    <row r="69" spans="1:16" s="19" customFormat="1" ht="15">
      <c r="A69" s="26"/>
      <c r="B69" s="27"/>
      <c r="C69" s="47"/>
      <c r="D69" s="115"/>
      <c r="E69" s="115"/>
      <c r="F69" s="60"/>
      <c r="G69" s="18"/>
      <c r="H69" s="60"/>
      <c r="I69" s="73"/>
      <c r="J69" s="119"/>
      <c r="K69" s="119"/>
      <c r="L69" s="61"/>
      <c r="M69" s="121"/>
      <c r="N69" s="83"/>
      <c r="O69" s="61"/>
      <c r="P69" s="142"/>
    </row>
    <row r="70" spans="1:16" s="19" customFormat="1" ht="15">
      <c r="A70" s="26"/>
      <c r="B70" s="27"/>
      <c r="C70" s="47"/>
      <c r="D70" s="115"/>
      <c r="E70" s="115"/>
      <c r="F70" s="60"/>
      <c r="G70" s="18"/>
      <c r="H70" s="60"/>
      <c r="I70" s="73"/>
      <c r="J70" s="119"/>
      <c r="K70" s="119"/>
      <c r="L70" s="61"/>
      <c r="M70" s="121"/>
      <c r="N70" s="83"/>
      <c r="O70" s="61"/>
      <c r="P70" s="142"/>
    </row>
    <row r="71" spans="2:6" ht="18">
      <c r="B71" s="27"/>
      <c r="C71" s="47"/>
      <c r="D71" s="115"/>
      <c r="E71" s="115"/>
      <c r="F71" s="60"/>
    </row>
    <row r="72" spans="2:6" ht="18">
      <c r="B72" s="27"/>
      <c r="C72" s="47"/>
      <c r="D72" s="115"/>
      <c r="E72" s="115"/>
      <c r="F72" s="60"/>
    </row>
    <row r="73" spans="2:15" ht="18">
      <c r="B73" s="27"/>
      <c r="C73" s="47"/>
      <c r="D73" s="115"/>
      <c r="E73" s="115"/>
      <c r="F73" s="60"/>
      <c r="G73" s="60"/>
      <c r="H73" s="60"/>
      <c r="I73" s="73"/>
      <c r="J73" s="119"/>
      <c r="K73" s="119"/>
      <c r="L73" s="61"/>
      <c r="M73" s="78"/>
      <c r="N73" s="84"/>
      <c r="O73" s="61"/>
    </row>
    <row r="74" spans="2:15" ht="18">
      <c r="B74" s="27"/>
      <c r="C74" s="47"/>
      <c r="D74" s="115"/>
      <c r="E74" s="115"/>
      <c r="F74" s="60"/>
      <c r="G74" s="60"/>
      <c r="H74" s="60"/>
      <c r="I74" s="73"/>
      <c r="J74" s="119"/>
      <c r="K74" s="119"/>
      <c r="L74" s="61"/>
      <c r="M74" s="78"/>
      <c r="N74" s="84"/>
      <c r="O74" s="61"/>
    </row>
    <row r="75" spans="2:15" ht="18">
      <c r="B75" s="27"/>
      <c r="C75" s="47"/>
      <c r="D75" s="115"/>
      <c r="E75" s="115"/>
      <c r="F75" s="60"/>
      <c r="G75" s="60"/>
      <c r="H75" s="60"/>
      <c r="I75" s="73"/>
      <c r="J75" s="119"/>
      <c r="K75" s="119"/>
      <c r="L75" s="61"/>
      <c r="M75" s="78"/>
      <c r="N75" s="84"/>
      <c r="O75" s="61"/>
    </row>
    <row r="76" spans="2:15" ht="18">
      <c r="B76" s="27"/>
      <c r="C76" s="47"/>
      <c r="D76" s="115"/>
      <c r="E76" s="115"/>
      <c r="F76" s="60"/>
      <c r="G76" s="60"/>
      <c r="H76" s="60"/>
      <c r="I76" s="73"/>
      <c r="J76" s="119"/>
      <c r="K76" s="119"/>
      <c r="L76" s="61"/>
      <c r="M76" s="78"/>
      <c r="N76" s="84"/>
      <c r="O76" s="61"/>
    </row>
    <row r="77" spans="2:15" ht="18">
      <c r="B77" s="27"/>
      <c r="C77" s="47"/>
      <c r="D77" s="115"/>
      <c r="E77" s="115"/>
      <c r="F77" s="60"/>
      <c r="G77" s="60"/>
      <c r="H77" s="60"/>
      <c r="I77" s="73"/>
      <c r="J77" s="119"/>
      <c r="K77" s="119"/>
      <c r="L77" s="61"/>
      <c r="M77" s="78"/>
      <c r="N77" s="84"/>
      <c r="O77" s="61"/>
    </row>
    <row r="78" spans="2:15" ht="18">
      <c r="B78" s="27"/>
      <c r="C78" s="47"/>
      <c r="D78" s="115"/>
      <c r="E78" s="115"/>
      <c r="F78" s="60"/>
      <c r="G78" s="60"/>
      <c r="H78" s="60"/>
      <c r="I78" s="73"/>
      <c r="J78" s="119"/>
      <c r="K78" s="119"/>
      <c r="L78" s="61"/>
      <c r="M78" s="78"/>
      <c r="N78" s="84"/>
      <c r="O78" s="61"/>
    </row>
    <row r="79" spans="2:15" ht="18">
      <c r="B79" s="27"/>
      <c r="C79" s="47"/>
      <c r="D79" s="115"/>
      <c r="E79" s="115"/>
      <c r="F79" s="60"/>
      <c r="G79" s="60"/>
      <c r="H79" s="60"/>
      <c r="I79" s="73"/>
      <c r="J79" s="119"/>
      <c r="K79" s="119"/>
      <c r="L79" s="61"/>
      <c r="M79" s="78"/>
      <c r="N79" s="84"/>
      <c r="O79" s="61"/>
    </row>
    <row r="80" spans="2:15" ht="18">
      <c r="B80" s="27"/>
      <c r="C80" s="47"/>
      <c r="D80" s="115"/>
      <c r="E80" s="115"/>
      <c r="F80" s="60"/>
      <c r="G80" s="60"/>
      <c r="H80" s="60"/>
      <c r="I80" s="73"/>
      <c r="J80" s="119"/>
      <c r="K80" s="119"/>
      <c r="L80" s="61"/>
      <c r="M80" s="78"/>
      <c r="N80" s="84"/>
      <c r="O80" s="61"/>
    </row>
    <row r="81" spans="7:15" ht="18">
      <c r="G81" s="60"/>
      <c r="H81" s="60"/>
      <c r="I81" s="73"/>
      <c r="J81" s="119"/>
      <c r="K81" s="119"/>
      <c r="L81" s="61"/>
      <c r="M81" s="78"/>
      <c r="N81" s="84"/>
      <c r="O81" s="61"/>
    </row>
    <row r="82" spans="7:15" ht="18">
      <c r="G82" s="60"/>
      <c r="H82" s="60"/>
      <c r="I82" s="73"/>
      <c r="J82" s="119"/>
      <c r="K82" s="119"/>
      <c r="L82" s="61"/>
      <c r="M82" s="78"/>
      <c r="N82" s="84"/>
      <c r="O82" s="61"/>
    </row>
    <row r="83" spans="7:15" ht="18">
      <c r="G83" s="60"/>
      <c r="H83" s="60"/>
      <c r="I83" s="73"/>
      <c r="J83" s="119"/>
      <c r="K83" s="119"/>
      <c r="L83" s="61"/>
      <c r="M83" s="78"/>
      <c r="N83" s="84"/>
      <c r="O83" s="61"/>
    </row>
    <row r="84" spans="7:15" ht="18">
      <c r="G84" s="60"/>
      <c r="H84" s="60"/>
      <c r="I84" s="73"/>
      <c r="J84" s="119"/>
      <c r="K84" s="119"/>
      <c r="L84" s="61"/>
      <c r="M84" s="78"/>
      <c r="N84" s="84"/>
      <c r="O84" s="61"/>
    </row>
    <row r="85" spans="7:15" ht="18">
      <c r="G85" s="60"/>
      <c r="H85" s="60"/>
      <c r="I85" s="73"/>
      <c r="J85" s="119"/>
      <c r="K85" s="119"/>
      <c r="L85" s="61"/>
      <c r="M85" s="78"/>
      <c r="N85" s="84"/>
      <c r="O85" s="61"/>
    </row>
    <row r="86" spans="7:15" ht="18">
      <c r="G86" s="60"/>
      <c r="H86" s="60"/>
      <c r="I86" s="73"/>
      <c r="J86" s="119"/>
      <c r="K86" s="119"/>
      <c r="L86" s="61"/>
      <c r="M86" s="78"/>
      <c r="N86" s="84"/>
      <c r="O86" s="61"/>
    </row>
  </sheetData>
  <sheetProtection insertRows="0" deleteRows="0" sort="0"/>
  <mergeCells count="15">
    <mergeCell ref="H56:O61"/>
    <mergeCell ref="H62:O68"/>
    <mergeCell ref="A50:B50"/>
    <mergeCell ref="K52:O54"/>
    <mergeCell ref="K55:O55"/>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r:id="rId2"/>
  <ignoredErrors>
    <ignoredError sqref="Q46 Q38:Q41 Q16:Q18 Q7 Q8:Q12 L13:L15 O43:O46 Q13:Q15 L16:L30 K16:K30 L49 L43:L46 L48 L31:L42 O16:O42 O47:O48 K43:K46" formula="1"/>
    <ignoredError sqref="L50:N50 M7:N49" unlockedFormula="1"/>
    <ignoredError sqref="L47" formula="1" unlockedFormula="1"/>
  </ignoredErrors>
  <drawing r:id="rId1"/>
</worksheet>
</file>

<file path=xl/worksheets/sheet2.xml><?xml version="1.0" encoding="utf-8"?>
<worksheet xmlns="http://schemas.openxmlformats.org/spreadsheetml/2006/main" xmlns:r="http://schemas.openxmlformats.org/officeDocument/2006/relationships">
  <dimension ref="A1:N8"/>
  <sheetViews>
    <sheetView workbookViewId="0" topLeftCell="A1">
      <selection activeCell="B3" sqref="B3:B4"/>
    </sheetView>
  </sheetViews>
  <sheetFormatPr defaultColWidth="9.140625" defaultRowHeight="12.75"/>
  <cols>
    <col min="1" max="1" width="4.140625" style="33" bestFit="1" customWidth="1"/>
    <col min="2" max="2" width="49.421875" style="31" bestFit="1" customWidth="1"/>
    <col min="3" max="3" width="15.421875" style="24" bestFit="1" customWidth="1"/>
    <col min="4" max="4" width="14.8515625" style="24" customWidth="1"/>
    <col min="5" max="5" width="22.57421875" style="24" customWidth="1"/>
    <col min="6" max="6" width="6.421875" style="24" bestFit="1" customWidth="1"/>
    <col min="7" max="7" width="10.140625" style="24" customWidth="1"/>
    <col min="8" max="8" width="16.57421875" style="139" bestFit="1" customWidth="1"/>
    <col min="9" max="9" width="11.8515625" style="140" bestFit="1" customWidth="1"/>
    <col min="10" max="10" width="8.421875" style="32" customWidth="1"/>
    <col min="11" max="11" width="3.140625" style="125" bestFit="1" customWidth="1"/>
    <col min="12" max="12" width="17.421875" style="57" customWidth="1"/>
    <col min="13" max="13" width="17.421875" style="59" customWidth="1"/>
    <col min="14" max="14" width="17.421875" style="57" customWidth="1"/>
    <col min="15" max="16" width="17.421875" style="0" customWidth="1"/>
    <col min="17" max="16384" width="17.421875" style="31" customWidth="1"/>
  </cols>
  <sheetData>
    <row r="1" spans="1:14" s="167" customFormat="1" ht="81.75" customHeight="1" thickBot="1">
      <c r="A1" s="304" t="s">
        <v>105</v>
      </c>
      <c r="B1" s="304"/>
      <c r="C1" s="304"/>
      <c r="D1" s="304"/>
      <c r="E1" s="304"/>
      <c r="F1" s="304"/>
      <c r="G1" s="304"/>
      <c r="H1" s="304"/>
      <c r="I1" s="304"/>
      <c r="J1" s="304"/>
      <c r="K1" s="164"/>
      <c r="L1" s="165"/>
      <c r="M1" s="166"/>
      <c r="N1" s="165"/>
    </row>
    <row r="2" ht="13.5" thickBot="1"/>
    <row r="3" spans="1:14" s="30" customFormat="1" ht="14.25">
      <c r="A3" s="34"/>
      <c r="B3" s="305" t="s">
        <v>41</v>
      </c>
      <c r="C3" s="305" t="s">
        <v>45</v>
      </c>
      <c r="D3" s="305" t="s">
        <v>53</v>
      </c>
      <c r="E3" s="305" t="s">
        <v>52</v>
      </c>
      <c r="F3" s="289" t="s">
        <v>57</v>
      </c>
      <c r="G3" s="289" t="s">
        <v>46</v>
      </c>
      <c r="H3" s="308" t="s">
        <v>59</v>
      </c>
      <c r="I3" s="309"/>
      <c r="J3" s="259" t="s">
        <v>47</v>
      </c>
      <c r="K3" s="124"/>
      <c r="L3" s="56"/>
      <c r="M3" s="58"/>
      <c r="N3" s="56"/>
    </row>
    <row r="4" spans="1:14" s="30" customFormat="1" ht="33" customHeight="1" thickBot="1">
      <c r="A4" s="48"/>
      <c r="B4" s="306"/>
      <c r="C4" s="306"/>
      <c r="D4" s="306"/>
      <c r="E4" s="306"/>
      <c r="F4" s="307"/>
      <c r="G4" s="307"/>
      <c r="H4" s="67" t="s">
        <v>32</v>
      </c>
      <c r="I4" s="29" t="s">
        <v>40</v>
      </c>
      <c r="J4" s="310"/>
      <c r="K4" s="124"/>
      <c r="L4" s="56"/>
      <c r="M4" s="58"/>
      <c r="N4" s="56"/>
    </row>
    <row r="5" spans="1:14" s="30" customFormat="1" ht="15">
      <c r="A5" s="110">
        <v>1</v>
      </c>
      <c r="B5" s="272" t="s">
        <v>107</v>
      </c>
      <c r="C5" s="188">
        <v>39815</v>
      </c>
      <c r="D5" s="273" t="s">
        <v>73</v>
      </c>
      <c r="E5" s="274" t="s">
        <v>108</v>
      </c>
      <c r="F5" s="275">
        <v>62</v>
      </c>
      <c r="G5" s="275">
        <v>1</v>
      </c>
      <c r="H5" s="191">
        <v>364878</v>
      </c>
      <c r="I5" s="192">
        <v>36690</v>
      </c>
      <c r="J5" s="276">
        <f>+H5/I5</f>
        <v>9.9448896156991</v>
      </c>
      <c r="K5" s="186"/>
      <c r="L5" s="111"/>
      <c r="M5" s="112"/>
      <c r="N5" s="111"/>
    </row>
    <row r="6" spans="1:14" s="30" customFormat="1" ht="15">
      <c r="A6" s="110">
        <v>2</v>
      </c>
      <c r="B6" s="50" t="s">
        <v>109</v>
      </c>
      <c r="C6" s="41">
        <v>39815</v>
      </c>
      <c r="D6" s="46" t="s">
        <v>77</v>
      </c>
      <c r="E6" s="45" t="s">
        <v>110</v>
      </c>
      <c r="F6" s="42">
        <v>37</v>
      </c>
      <c r="G6" s="42">
        <v>1</v>
      </c>
      <c r="H6" s="174">
        <f>95365.5</f>
        <v>95365.5</v>
      </c>
      <c r="I6" s="175">
        <f>9915</f>
        <v>9915</v>
      </c>
      <c r="J6" s="109">
        <f>H6/I6</f>
        <v>9.618305597579425</v>
      </c>
      <c r="K6" s="186"/>
      <c r="L6" s="111"/>
      <c r="M6" s="112"/>
      <c r="N6" s="111"/>
    </row>
    <row r="7" spans="1:14" s="30" customFormat="1" ht="15">
      <c r="A7" s="169">
        <v>3</v>
      </c>
      <c r="B7" s="130" t="s">
        <v>111</v>
      </c>
      <c r="C7" s="134">
        <v>39815</v>
      </c>
      <c r="D7" s="170" t="s">
        <v>50</v>
      </c>
      <c r="E7" s="170" t="s">
        <v>50</v>
      </c>
      <c r="F7" s="131">
        <v>26</v>
      </c>
      <c r="G7" s="131">
        <v>1</v>
      </c>
      <c r="H7" s="204">
        <v>73862</v>
      </c>
      <c r="I7" s="205">
        <v>7639</v>
      </c>
      <c r="J7" s="198">
        <f>+H7/I7</f>
        <v>9.669066631758083</v>
      </c>
      <c r="K7" s="186"/>
      <c r="L7" s="111"/>
      <c r="M7" s="112"/>
      <c r="N7" s="111"/>
    </row>
    <row r="8" spans="1:14" s="30" customFormat="1" ht="15.75" thickBot="1">
      <c r="A8" s="110">
        <v>4</v>
      </c>
      <c r="B8" s="277" t="s">
        <v>112</v>
      </c>
      <c r="C8" s="278">
        <v>39815</v>
      </c>
      <c r="D8" s="279" t="s">
        <v>79</v>
      </c>
      <c r="E8" s="279" t="s">
        <v>113</v>
      </c>
      <c r="F8" s="280">
        <v>16</v>
      </c>
      <c r="G8" s="280">
        <v>1</v>
      </c>
      <c r="H8" s="281">
        <v>39086</v>
      </c>
      <c r="I8" s="282">
        <v>3939</v>
      </c>
      <c r="J8" s="283">
        <f>IF(H8&lt;&gt;0,H8/I8,"")</f>
        <v>9.922823051535923</v>
      </c>
      <c r="K8" s="137">
        <v>1</v>
      </c>
      <c r="L8" s="111"/>
      <c r="M8" s="112"/>
      <c r="N8" s="111"/>
    </row>
  </sheetData>
  <mergeCells count="9">
    <mergeCell ref="A1:J1"/>
    <mergeCell ref="B3:B4"/>
    <mergeCell ref="C3:C4"/>
    <mergeCell ref="D3:D4"/>
    <mergeCell ref="G3:G4"/>
    <mergeCell ref="H3:I3"/>
    <mergeCell ref="J3:J4"/>
    <mergeCell ref="F3:F4"/>
    <mergeCell ref="E3:E4"/>
  </mergeCells>
  <printOptions/>
  <pageMargins left="0.87" right="0.58" top="0.63" bottom="0.76" header="0.11811023622047245" footer="0.5"/>
  <pageSetup orientation="portrait" paperSize="9" scale="80"/>
</worksheet>
</file>

<file path=xl/worksheets/sheet3.xml><?xml version="1.0" encoding="utf-8"?>
<worksheet xmlns="http://schemas.openxmlformats.org/spreadsheetml/2006/main" xmlns:r="http://schemas.openxmlformats.org/officeDocument/2006/relationships">
  <dimension ref="A1:Q62"/>
  <sheetViews>
    <sheetView zoomScale="95" zoomScaleNormal="95" workbookViewId="0" topLeftCell="A1">
      <selection activeCell="B2" sqref="B2:B3"/>
    </sheetView>
  </sheetViews>
  <sheetFormatPr defaultColWidth="9.140625" defaultRowHeight="12.75"/>
  <cols>
    <col min="1" max="1" width="4.57421875" style="0" bestFit="1" customWidth="1"/>
    <col min="2" max="2" width="38.140625" style="0" bestFit="1" customWidth="1"/>
    <col min="3" max="3" width="9.00390625" style="63" bestFit="1" customWidth="1"/>
    <col min="4" max="4" width="13.140625" style="0" bestFit="1" customWidth="1"/>
    <col min="5" max="5" width="20.140625" style="0" bestFit="1" customWidth="1"/>
    <col min="6" max="6" width="5.57421875" style="104" bestFit="1" customWidth="1"/>
    <col min="7" max="7" width="7.28125" style="105" bestFit="1" customWidth="1"/>
    <col min="8" max="8" width="13.57421875" style="63" customWidth="1"/>
    <col min="9" max="9" width="13.8515625" style="163" bestFit="1" customWidth="1"/>
    <col min="10" max="10" width="10.140625" style="152" bestFit="1" customWidth="1"/>
    <col min="11" max="11" width="8.7109375" style="154" customWidth="1"/>
    <col min="12" max="12" width="6.57421875" style="160" bestFit="1" customWidth="1"/>
    <col min="13" max="13" width="14.57421875" style="147" bestFit="1" customWidth="1"/>
    <col min="14" max="14" width="10.57421875" style="154" bestFit="1" customWidth="1"/>
    <col min="15" max="15" width="6.8515625" style="160" bestFit="1" customWidth="1"/>
    <col min="16" max="16" width="3.28125" style="126" bestFit="1" customWidth="1"/>
    <col min="17" max="17" width="4.00390625" style="138" customWidth="1"/>
    <col min="18" max="16384" width="4.00390625" style="0" customWidth="1"/>
  </cols>
  <sheetData>
    <row r="1" spans="1:15" ht="34.5" thickBot="1">
      <c r="A1" s="323" t="s">
        <v>106</v>
      </c>
      <c r="B1" s="324"/>
      <c r="C1" s="324"/>
      <c r="D1" s="324"/>
      <c r="E1" s="324"/>
      <c r="F1" s="324"/>
      <c r="G1" s="324"/>
      <c r="H1" s="325"/>
      <c r="I1" s="325"/>
      <c r="J1" s="325"/>
      <c r="K1" s="325"/>
      <c r="L1" s="325"/>
      <c r="M1" s="325"/>
      <c r="N1" s="325"/>
      <c r="O1" s="325"/>
    </row>
    <row r="2" spans="1:17" s="95" customFormat="1" ht="14.25">
      <c r="A2" s="97"/>
      <c r="B2" s="327" t="s">
        <v>41</v>
      </c>
      <c r="C2" s="329" t="s">
        <v>56</v>
      </c>
      <c r="D2" s="322" t="s">
        <v>72</v>
      </c>
      <c r="E2" s="322" t="s">
        <v>71</v>
      </c>
      <c r="F2" s="316" t="s">
        <v>57</v>
      </c>
      <c r="G2" s="316" t="s">
        <v>64</v>
      </c>
      <c r="H2" s="318" t="s">
        <v>66</v>
      </c>
      <c r="I2" s="320" t="s">
        <v>58</v>
      </c>
      <c r="J2" s="320"/>
      <c r="K2" s="320"/>
      <c r="L2" s="320"/>
      <c r="M2" s="320" t="s">
        <v>59</v>
      </c>
      <c r="N2" s="320"/>
      <c r="O2" s="321"/>
      <c r="P2" s="106"/>
      <c r="Q2" s="106"/>
    </row>
    <row r="3" spans="1:17" s="95" customFormat="1" ht="39" thickBot="1">
      <c r="A3" s="98"/>
      <c r="B3" s="328"/>
      <c r="C3" s="330"/>
      <c r="D3" s="317"/>
      <c r="E3" s="317"/>
      <c r="F3" s="317"/>
      <c r="G3" s="317"/>
      <c r="H3" s="319"/>
      <c r="I3" s="145" t="s">
        <v>60</v>
      </c>
      <c r="J3" s="150" t="s">
        <v>61</v>
      </c>
      <c r="K3" s="150" t="s">
        <v>44</v>
      </c>
      <c r="L3" s="158" t="s">
        <v>62</v>
      </c>
      <c r="M3" s="148" t="s">
        <v>60</v>
      </c>
      <c r="N3" s="150" t="s">
        <v>61</v>
      </c>
      <c r="O3" s="161" t="s">
        <v>63</v>
      </c>
      <c r="P3" s="106"/>
      <c r="Q3" s="106"/>
    </row>
    <row r="4" spans="1:16" ht="15">
      <c r="A4" s="68">
        <v>1</v>
      </c>
      <c r="B4" s="187" t="s">
        <v>20</v>
      </c>
      <c r="C4" s="188">
        <v>39759</v>
      </c>
      <c r="D4" s="189" t="s">
        <v>21</v>
      </c>
      <c r="E4" s="189" t="s">
        <v>22</v>
      </c>
      <c r="F4" s="190">
        <v>159</v>
      </c>
      <c r="G4" s="190">
        <v>159</v>
      </c>
      <c r="H4" s="190">
        <v>9</v>
      </c>
      <c r="I4" s="191">
        <v>2001009.5</v>
      </c>
      <c r="J4" s="192">
        <v>246070</v>
      </c>
      <c r="K4" s="193">
        <f>+J4/G4</f>
        <v>1547.6100628930817</v>
      </c>
      <c r="L4" s="194">
        <f>+I4/J4</f>
        <v>8.13187101231357</v>
      </c>
      <c r="M4" s="191">
        <v>19583374</v>
      </c>
      <c r="N4" s="192">
        <v>2259210</v>
      </c>
      <c r="O4" s="195">
        <f>+M4/N4</f>
        <v>8.668239782932972</v>
      </c>
      <c r="P4" s="137">
        <v>1</v>
      </c>
    </row>
    <row r="5" spans="1:16" ht="15">
      <c r="A5" s="68">
        <v>2</v>
      </c>
      <c r="B5" s="50" t="s">
        <v>93</v>
      </c>
      <c r="C5" s="41">
        <v>39787</v>
      </c>
      <c r="D5" s="66" t="s">
        <v>74</v>
      </c>
      <c r="E5" s="66" t="s">
        <v>81</v>
      </c>
      <c r="F5" s="42">
        <v>406</v>
      </c>
      <c r="G5" s="42">
        <v>284</v>
      </c>
      <c r="H5" s="42">
        <v>5</v>
      </c>
      <c r="I5" s="178">
        <v>779810</v>
      </c>
      <c r="J5" s="179">
        <v>96885</v>
      </c>
      <c r="K5" s="179">
        <f>J5/G5</f>
        <v>341.1443661971831</v>
      </c>
      <c r="L5" s="180">
        <f>+I5/J5</f>
        <v>8.048820766888579</v>
      </c>
      <c r="M5" s="178">
        <v>29377571</v>
      </c>
      <c r="N5" s="179">
        <v>3556373</v>
      </c>
      <c r="O5" s="107">
        <f>+M5/N5</f>
        <v>8.260542693356406</v>
      </c>
      <c r="P5" s="137">
        <v>1</v>
      </c>
    </row>
    <row r="6" spans="1:16" ht="15">
      <c r="A6" s="135">
        <v>3</v>
      </c>
      <c r="B6" s="130" t="s">
        <v>97</v>
      </c>
      <c r="C6" s="197">
        <v>39808</v>
      </c>
      <c r="D6" s="267" t="s">
        <v>77</v>
      </c>
      <c r="E6" s="170" t="s">
        <v>76</v>
      </c>
      <c r="F6" s="131">
        <v>75</v>
      </c>
      <c r="G6" s="131">
        <v>75</v>
      </c>
      <c r="H6" s="131">
        <v>2</v>
      </c>
      <c r="I6" s="268">
        <v>578530</v>
      </c>
      <c r="J6" s="269">
        <v>57106</v>
      </c>
      <c r="K6" s="270">
        <f>(J6/G6)</f>
        <v>761.4133333333333</v>
      </c>
      <c r="L6" s="271">
        <f>I6/J6</f>
        <v>10.130809372044968</v>
      </c>
      <c r="M6" s="268">
        <f>681566+578530</f>
        <v>1260096</v>
      </c>
      <c r="N6" s="269">
        <f>64102+57106</f>
        <v>121208</v>
      </c>
      <c r="O6" s="198">
        <f>IF(M6&lt;&gt;0,M6/N6,"")</f>
        <v>10.396145468945944</v>
      </c>
      <c r="P6" s="137"/>
    </row>
    <row r="7" spans="1:16" ht="15">
      <c r="A7" s="68">
        <v>4</v>
      </c>
      <c r="B7" s="171" t="s">
        <v>94</v>
      </c>
      <c r="C7" s="168">
        <v>39808</v>
      </c>
      <c r="D7" s="172" t="s">
        <v>79</v>
      </c>
      <c r="E7" s="172" t="s">
        <v>95</v>
      </c>
      <c r="F7" s="173">
        <v>198</v>
      </c>
      <c r="G7" s="173">
        <v>198</v>
      </c>
      <c r="H7" s="173">
        <v>2</v>
      </c>
      <c r="I7" s="199">
        <v>532572.5</v>
      </c>
      <c r="J7" s="200">
        <v>67146</v>
      </c>
      <c r="K7" s="201">
        <f>IF(I7&lt;&gt;0,J7/G7,"")</f>
        <v>339.1212121212121</v>
      </c>
      <c r="L7" s="202">
        <f>IF(I7&lt;&gt;0,I7/J7,"")</f>
        <v>7.9315595865725435</v>
      </c>
      <c r="M7" s="199">
        <f>909072+532572.5</f>
        <v>1441644.5</v>
      </c>
      <c r="N7" s="203">
        <f>112486+67146</f>
        <v>179632</v>
      </c>
      <c r="O7" s="196">
        <f>IF(M7&lt;&gt;0,M7/N7,"")</f>
        <v>8.025543889730114</v>
      </c>
      <c r="P7" s="137">
        <v>1</v>
      </c>
    </row>
    <row r="8" spans="1:16" ht="15">
      <c r="A8" s="68">
        <v>5</v>
      </c>
      <c r="B8" s="50" t="s">
        <v>82</v>
      </c>
      <c r="C8" s="41">
        <v>39787</v>
      </c>
      <c r="D8" s="45" t="s">
        <v>75</v>
      </c>
      <c r="E8" s="45" t="s">
        <v>83</v>
      </c>
      <c r="F8" s="42">
        <v>241</v>
      </c>
      <c r="G8" s="42">
        <v>215</v>
      </c>
      <c r="H8" s="42">
        <v>5</v>
      </c>
      <c r="I8" s="178">
        <v>528440.5</v>
      </c>
      <c r="J8" s="179">
        <v>73035</v>
      </c>
      <c r="K8" s="176">
        <f>+J8/G8</f>
        <v>339.69767441860466</v>
      </c>
      <c r="L8" s="177">
        <f>+I8/J8</f>
        <v>7.2354419114123365</v>
      </c>
      <c r="M8" s="178">
        <f>9280968+4694050.5+1992628+1117778+528440.5</f>
        <v>17613865</v>
      </c>
      <c r="N8" s="179">
        <f>1147876+614752+261380+141495+73035</f>
        <v>2238538</v>
      </c>
      <c r="O8" s="108">
        <f>+M8/N8</f>
        <v>7.868468169850143</v>
      </c>
      <c r="P8" s="137">
        <v>1</v>
      </c>
    </row>
    <row r="9" spans="1:16" ht="15">
      <c r="A9" s="68">
        <v>6</v>
      </c>
      <c r="B9" s="50" t="s">
        <v>96</v>
      </c>
      <c r="C9" s="41">
        <v>39808</v>
      </c>
      <c r="D9" s="66" t="s">
        <v>74</v>
      </c>
      <c r="E9" s="45" t="s">
        <v>54</v>
      </c>
      <c r="F9" s="42">
        <v>112</v>
      </c>
      <c r="G9" s="42">
        <v>111</v>
      </c>
      <c r="H9" s="42">
        <v>2</v>
      </c>
      <c r="I9" s="178">
        <v>463795</v>
      </c>
      <c r="J9" s="179">
        <v>46542</v>
      </c>
      <c r="K9" s="179">
        <f>J9/G9</f>
        <v>419.2972972972973</v>
      </c>
      <c r="L9" s="180">
        <f>+I9/J9</f>
        <v>9.965085299299558</v>
      </c>
      <c r="M9" s="178">
        <v>1284128</v>
      </c>
      <c r="N9" s="179">
        <v>127360</v>
      </c>
      <c r="O9" s="107">
        <f>+M9/N9</f>
        <v>10.082663316582915</v>
      </c>
      <c r="P9" s="137"/>
    </row>
    <row r="10" spans="1:16" ht="15">
      <c r="A10" s="68">
        <v>7</v>
      </c>
      <c r="B10" s="49" t="s">
        <v>87</v>
      </c>
      <c r="C10" s="40">
        <v>39801</v>
      </c>
      <c r="D10" s="44" t="s">
        <v>73</v>
      </c>
      <c r="E10" s="43" t="s">
        <v>65</v>
      </c>
      <c r="F10" s="55">
        <v>69</v>
      </c>
      <c r="G10" s="55">
        <v>69</v>
      </c>
      <c r="H10" s="55">
        <v>3</v>
      </c>
      <c r="I10" s="174">
        <v>413907</v>
      </c>
      <c r="J10" s="175">
        <v>42374</v>
      </c>
      <c r="K10" s="182">
        <f>J10/G10</f>
        <v>614.1159420289855</v>
      </c>
      <c r="L10" s="183">
        <f>I10/J10</f>
        <v>9.767947326190589</v>
      </c>
      <c r="M10" s="174">
        <f>820286+588484+413907</f>
        <v>1822677</v>
      </c>
      <c r="N10" s="175">
        <f>83839+57678+42374</f>
        <v>183891</v>
      </c>
      <c r="O10" s="109">
        <f>+M10/N10</f>
        <v>9.911724880499861</v>
      </c>
      <c r="P10" s="137"/>
    </row>
    <row r="11" spans="1:16" ht="15">
      <c r="A11" s="68">
        <v>8</v>
      </c>
      <c r="B11" s="50" t="s">
        <v>98</v>
      </c>
      <c r="C11" s="41">
        <v>39808</v>
      </c>
      <c r="D11" s="66" t="s">
        <v>74</v>
      </c>
      <c r="E11" s="45" t="s">
        <v>67</v>
      </c>
      <c r="F11" s="42">
        <v>34</v>
      </c>
      <c r="G11" s="42">
        <v>34</v>
      </c>
      <c r="H11" s="42">
        <v>2</v>
      </c>
      <c r="I11" s="178">
        <v>252304</v>
      </c>
      <c r="J11" s="179">
        <v>27182</v>
      </c>
      <c r="K11" s="179">
        <f>J11/G11</f>
        <v>799.4705882352941</v>
      </c>
      <c r="L11" s="180">
        <f>+I11/J11</f>
        <v>9.282024869398867</v>
      </c>
      <c r="M11" s="178">
        <v>650913</v>
      </c>
      <c r="N11" s="179">
        <v>68745</v>
      </c>
      <c r="O11" s="107">
        <f>+M11/N11</f>
        <v>9.468514073750818</v>
      </c>
      <c r="P11" s="137"/>
    </row>
    <row r="12" spans="1:16" ht="15">
      <c r="A12" s="68">
        <v>9</v>
      </c>
      <c r="B12" s="50" t="s">
        <v>90</v>
      </c>
      <c r="C12" s="41">
        <v>39801</v>
      </c>
      <c r="D12" s="46" t="s">
        <v>77</v>
      </c>
      <c r="E12" s="45" t="s">
        <v>91</v>
      </c>
      <c r="F12" s="42">
        <v>36</v>
      </c>
      <c r="G12" s="42">
        <v>38</v>
      </c>
      <c r="H12" s="42">
        <v>3</v>
      </c>
      <c r="I12" s="174">
        <v>145464.5</v>
      </c>
      <c r="J12" s="175">
        <v>19417</v>
      </c>
      <c r="K12" s="182">
        <f>(J12/G12)</f>
        <v>510.9736842105263</v>
      </c>
      <c r="L12" s="183">
        <f>I12/J12</f>
        <v>7.491605294329711</v>
      </c>
      <c r="M12" s="174">
        <f>295344+204961.5+145464.5</f>
        <v>645770</v>
      </c>
      <c r="N12" s="175">
        <f>36142+24747+19417</f>
        <v>80306</v>
      </c>
      <c r="O12" s="109">
        <f>M12/N12</f>
        <v>8.04136677209673</v>
      </c>
      <c r="P12" s="137">
        <v>1</v>
      </c>
    </row>
    <row r="13" spans="1:16" ht="15">
      <c r="A13" s="68">
        <v>10</v>
      </c>
      <c r="B13" s="50" t="s">
        <v>85</v>
      </c>
      <c r="C13" s="41">
        <v>39794</v>
      </c>
      <c r="D13" s="46" t="s">
        <v>77</v>
      </c>
      <c r="E13" s="45" t="s">
        <v>76</v>
      </c>
      <c r="F13" s="42">
        <v>100</v>
      </c>
      <c r="G13" s="42">
        <v>73</v>
      </c>
      <c r="H13" s="42">
        <v>4</v>
      </c>
      <c r="I13" s="174">
        <v>112679.5</v>
      </c>
      <c r="J13" s="260">
        <v>14968</v>
      </c>
      <c r="K13" s="182">
        <f>(J13/G13)</f>
        <v>205.04109589041096</v>
      </c>
      <c r="L13" s="183">
        <f>I13/J13</f>
        <v>7.528026456440406</v>
      </c>
      <c r="M13" s="174">
        <f>1276778.5+626123+380324+112679.5</f>
        <v>2395905</v>
      </c>
      <c r="N13" s="175">
        <f>133555+68793+41581+14968</f>
        <v>258897</v>
      </c>
      <c r="O13" s="109">
        <f>M13/N13</f>
        <v>9.254278728606357</v>
      </c>
      <c r="P13" s="137"/>
    </row>
    <row r="14" spans="1:16" ht="15">
      <c r="A14" s="68">
        <v>11</v>
      </c>
      <c r="B14" s="50" t="s">
        <v>99</v>
      </c>
      <c r="C14" s="41">
        <v>39808</v>
      </c>
      <c r="D14" s="45" t="s">
        <v>75</v>
      </c>
      <c r="E14" s="45" t="s">
        <v>100</v>
      </c>
      <c r="F14" s="42">
        <v>89</v>
      </c>
      <c r="G14" s="42">
        <v>88</v>
      </c>
      <c r="H14" s="42">
        <v>2</v>
      </c>
      <c r="I14" s="178">
        <v>101994</v>
      </c>
      <c r="J14" s="179">
        <v>15166</v>
      </c>
      <c r="K14" s="176">
        <f>+J14/G14</f>
        <v>172.3409090909091</v>
      </c>
      <c r="L14" s="177">
        <f>+I14/J14</f>
        <v>6.725174732955295</v>
      </c>
      <c r="M14" s="178">
        <f>173290.5+101994</f>
        <v>275284.5</v>
      </c>
      <c r="N14" s="179">
        <f>23989+15166</f>
        <v>39155</v>
      </c>
      <c r="O14" s="108">
        <f>+M14/N14</f>
        <v>7.030634657131912</v>
      </c>
      <c r="P14" s="137">
        <v>1</v>
      </c>
    </row>
    <row r="15" spans="1:16" ht="15">
      <c r="A15" s="68">
        <v>12</v>
      </c>
      <c r="B15" s="49" t="s">
        <v>88</v>
      </c>
      <c r="C15" s="40">
        <v>39801</v>
      </c>
      <c r="D15" s="43" t="s">
        <v>79</v>
      </c>
      <c r="E15" s="43" t="s">
        <v>89</v>
      </c>
      <c r="F15" s="55">
        <v>84</v>
      </c>
      <c r="G15" s="55">
        <v>48</v>
      </c>
      <c r="H15" s="55">
        <v>3</v>
      </c>
      <c r="I15" s="181">
        <v>43813</v>
      </c>
      <c r="J15" s="182">
        <v>6346</v>
      </c>
      <c r="K15" s="176">
        <f>IF(I15&lt;&gt;0,J15/G15,"")</f>
        <v>132.20833333333334</v>
      </c>
      <c r="L15" s="177">
        <f>IF(I15&lt;&gt;0,I15/J15,"")</f>
        <v>6.90403403718878</v>
      </c>
      <c r="M15" s="181">
        <f>369313.5+145108.5+43813</f>
        <v>558235</v>
      </c>
      <c r="N15" s="179">
        <f>41017+16460+6346</f>
        <v>63823</v>
      </c>
      <c r="O15" s="108">
        <f>IF(M15&lt;&gt;0,M15/N15,"")</f>
        <v>8.74661172304655</v>
      </c>
      <c r="P15" s="137">
        <v>1</v>
      </c>
    </row>
    <row r="16" spans="1:16" ht="15">
      <c r="A16" s="68">
        <v>13</v>
      </c>
      <c r="B16" s="50" t="s">
        <v>28</v>
      </c>
      <c r="C16" s="41">
        <v>39773</v>
      </c>
      <c r="D16" s="66" t="s">
        <v>74</v>
      </c>
      <c r="E16" s="45" t="s">
        <v>69</v>
      </c>
      <c r="F16" s="42">
        <v>204</v>
      </c>
      <c r="G16" s="42">
        <v>30</v>
      </c>
      <c r="H16" s="42">
        <v>7</v>
      </c>
      <c r="I16" s="178">
        <v>33453</v>
      </c>
      <c r="J16" s="179">
        <v>5727</v>
      </c>
      <c r="K16" s="179">
        <f>J16/G16</f>
        <v>190.9</v>
      </c>
      <c r="L16" s="180">
        <f>+I16/J16</f>
        <v>5.841278156102671</v>
      </c>
      <c r="M16" s="178">
        <v>11399323</v>
      </c>
      <c r="N16" s="179">
        <v>1407230</v>
      </c>
      <c r="O16" s="107">
        <f>+M16/N16</f>
        <v>8.100540068077002</v>
      </c>
      <c r="P16" s="137">
        <v>1</v>
      </c>
    </row>
    <row r="17" spans="1:16" ht="15">
      <c r="A17" s="68">
        <v>14</v>
      </c>
      <c r="B17" s="50" t="s">
        <v>0</v>
      </c>
      <c r="C17" s="41">
        <v>39780</v>
      </c>
      <c r="D17" s="66" t="s">
        <v>74</v>
      </c>
      <c r="E17" s="45" t="s">
        <v>70</v>
      </c>
      <c r="F17" s="42">
        <v>121</v>
      </c>
      <c r="G17" s="42">
        <v>34</v>
      </c>
      <c r="H17" s="42">
        <v>6</v>
      </c>
      <c r="I17" s="178">
        <v>24200</v>
      </c>
      <c r="J17" s="179">
        <v>4086</v>
      </c>
      <c r="K17" s="179">
        <f>J17/G17</f>
        <v>120.17647058823529</v>
      </c>
      <c r="L17" s="180">
        <f>+I17/J17</f>
        <v>5.922662750856584</v>
      </c>
      <c r="M17" s="178">
        <v>3379638</v>
      </c>
      <c r="N17" s="179">
        <v>389905</v>
      </c>
      <c r="O17" s="107">
        <f>+M17/N17</f>
        <v>8.667849860863544</v>
      </c>
      <c r="P17" s="137"/>
    </row>
    <row r="18" spans="1:16" ht="15">
      <c r="A18" s="68">
        <v>15</v>
      </c>
      <c r="B18" s="50" t="s">
        <v>26</v>
      </c>
      <c r="C18" s="41">
        <v>39766</v>
      </c>
      <c r="D18" s="45" t="s">
        <v>75</v>
      </c>
      <c r="E18" s="45" t="s">
        <v>27</v>
      </c>
      <c r="F18" s="42">
        <v>24</v>
      </c>
      <c r="G18" s="42">
        <v>5</v>
      </c>
      <c r="H18" s="42">
        <v>8</v>
      </c>
      <c r="I18" s="178">
        <v>19699.5</v>
      </c>
      <c r="J18" s="179">
        <v>2958</v>
      </c>
      <c r="K18" s="176">
        <f>+J18/G18</f>
        <v>591.6</v>
      </c>
      <c r="L18" s="177">
        <f>+I18/J18</f>
        <v>6.65973630831643</v>
      </c>
      <c r="M18" s="178">
        <f>191668+16358.5+8305+0.5+19699.5</f>
        <v>236031.5</v>
      </c>
      <c r="N18" s="179">
        <f>10324+8249+7871+7121+4755+3362+1751+2958</f>
        <v>46391</v>
      </c>
      <c r="O18" s="108">
        <f>+M18/N18</f>
        <v>5.087872647711841</v>
      </c>
      <c r="P18" s="137">
        <v>1</v>
      </c>
    </row>
    <row r="19" spans="1:16" ht="15">
      <c r="A19" s="68">
        <v>16</v>
      </c>
      <c r="B19" s="50" t="s">
        <v>25</v>
      </c>
      <c r="C19" s="41">
        <v>39766</v>
      </c>
      <c r="D19" s="46" t="s">
        <v>77</v>
      </c>
      <c r="E19" s="45" t="s">
        <v>6</v>
      </c>
      <c r="F19" s="42">
        <v>20</v>
      </c>
      <c r="G19" s="42">
        <v>13</v>
      </c>
      <c r="H19" s="42">
        <v>8</v>
      </c>
      <c r="I19" s="174">
        <v>9410</v>
      </c>
      <c r="J19" s="175">
        <v>1542</v>
      </c>
      <c r="K19" s="182">
        <f>(J19/G19)</f>
        <v>118.61538461538461</v>
      </c>
      <c r="L19" s="183">
        <f>I19/J19</f>
        <v>6.102464332036316</v>
      </c>
      <c r="M19" s="174">
        <f>109364.5+38539+31287+12101+5368+8640.5+12331+9410</f>
        <v>227041</v>
      </c>
      <c r="N19" s="175">
        <f>11866+4674+4443+2133+1061+1670+2334+1542</f>
        <v>29723</v>
      </c>
      <c r="O19" s="109">
        <f>M19/N19</f>
        <v>7.638562729199609</v>
      </c>
      <c r="P19" s="137"/>
    </row>
    <row r="20" spans="1:16" ht="15">
      <c r="A20" s="68">
        <v>17</v>
      </c>
      <c r="B20" s="50" t="s">
        <v>29</v>
      </c>
      <c r="C20" s="41">
        <v>39772</v>
      </c>
      <c r="D20" s="46" t="s">
        <v>77</v>
      </c>
      <c r="E20" s="45" t="s">
        <v>48</v>
      </c>
      <c r="F20" s="42">
        <v>195</v>
      </c>
      <c r="G20" s="42">
        <v>8</v>
      </c>
      <c r="H20" s="42">
        <v>7</v>
      </c>
      <c r="I20" s="174">
        <v>9376.5</v>
      </c>
      <c r="J20" s="175">
        <v>2234</v>
      </c>
      <c r="K20" s="182">
        <f>(J20/G20)</f>
        <v>279.25</v>
      </c>
      <c r="L20" s="183">
        <f>I20/J20</f>
        <v>4.197179946284691</v>
      </c>
      <c r="M20" s="174">
        <f>1011017+512350.5+217314+64545+38656.5+8087+9376.5</f>
        <v>1861346.5</v>
      </c>
      <c r="N20" s="175">
        <f>136878+68007+31396+9807+8372+1564+2234</f>
        <v>258258</v>
      </c>
      <c r="O20" s="109">
        <f>M20/N20</f>
        <v>7.207314003825632</v>
      </c>
      <c r="P20" s="137"/>
    </row>
    <row r="21" spans="1:16" ht="15">
      <c r="A21" s="68">
        <v>18</v>
      </c>
      <c r="B21" s="50" t="s">
        <v>23</v>
      </c>
      <c r="C21" s="41">
        <v>39759</v>
      </c>
      <c r="D21" s="46" t="s">
        <v>77</v>
      </c>
      <c r="E21" s="45" t="s">
        <v>86</v>
      </c>
      <c r="F21" s="42">
        <v>93</v>
      </c>
      <c r="G21" s="42">
        <v>4</v>
      </c>
      <c r="H21" s="42">
        <v>9</v>
      </c>
      <c r="I21" s="174">
        <v>5279</v>
      </c>
      <c r="J21" s="175">
        <v>685</v>
      </c>
      <c r="K21" s="182">
        <f>(J21/G21)</f>
        <v>171.25</v>
      </c>
      <c r="L21" s="183">
        <f>I21/J21</f>
        <v>7.706569343065693</v>
      </c>
      <c r="M21" s="174">
        <f>224223+136351+27895+24212+1274+3482+7147+2804+5279</f>
        <v>432667</v>
      </c>
      <c r="N21" s="175">
        <f>27969+18593+4268+4646+311+857+1472+745+685</f>
        <v>59546</v>
      </c>
      <c r="O21" s="109">
        <f>M21/N21</f>
        <v>7.26609679911329</v>
      </c>
      <c r="P21" s="137">
        <v>1</v>
      </c>
    </row>
    <row r="22" spans="1:16" ht="15">
      <c r="A22" s="68">
        <v>19</v>
      </c>
      <c r="B22" s="54" t="s">
        <v>92</v>
      </c>
      <c r="C22" s="40">
        <v>39801</v>
      </c>
      <c r="D22" s="46" t="s">
        <v>42</v>
      </c>
      <c r="E22" s="46" t="s">
        <v>33</v>
      </c>
      <c r="F22" s="51">
        <v>19</v>
      </c>
      <c r="G22" s="51">
        <v>9</v>
      </c>
      <c r="H22" s="51">
        <v>3</v>
      </c>
      <c r="I22" s="174">
        <v>4887</v>
      </c>
      <c r="J22" s="175">
        <v>751</v>
      </c>
      <c r="K22" s="176">
        <f>+J22/G22</f>
        <v>83.44444444444444</v>
      </c>
      <c r="L22" s="177">
        <f>+I22/J22</f>
        <v>6.507323568575233</v>
      </c>
      <c r="M22" s="174">
        <v>136638</v>
      </c>
      <c r="N22" s="175">
        <v>12656</v>
      </c>
      <c r="O22" s="108">
        <f>+M22/N22</f>
        <v>10.796302149178256</v>
      </c>
      <c r="P22" s="137"/>
    </row>
    <row r="23" spans="1:16" ht="15">
      <c r="A23" s="68">
        <v>20</v>
      </c>
      <c r="B23" s="50" t="s">
        <v>1</v>
      </c>
      <c r="C23" s="41">
        <v>39780</v>
      </c>
      <c r="D23" s="46" t="s">
        <v>77</v>
      </c>
      <c r="E23" s="45" t="s">
        <v>34</v>
      </c>
      <c r="F23" s="42">
        <v>61</v>
      </c>
      <c r="G23" s="42">
        <v>8</v>
      </c>
      <c r="H23" s="42">
        <v>6</v>
      </c>
      <c r="I23" s="174">
        <v>4772</v>
      </c>
      <c r="J23" s="175">
        <v>944</v>
      </c>
      <c r="K23" s="182">
        <f>(J23/G23)</f>
        <v>118</v>
      </c>
      <c r="L23" s="183">
        <f>I23/J23</f>
        <v>5.055084745762712</v>
      </c>
      <c r="M23" s="174">
        <f>499000.5+313125.5+89561.5+27980+2002.5+4772</f>
        <v>936442</v>
      </c>
      <c r="N23" s="175">
        <f>48458+27725+9315+4737+330+944</f>
        <v>91509</v>
      </c>
      <c r="O23" s="109">
        <f>M23/N23</f>
        <v>10.233332240544646</v>
      </c>
      <c r="P23" s="137"/>
    </row>
    <row r="24" spans="1:16" ht="15">
      <c r="A24" s="68">
        <v>21</v>
      </c>
      <c r="B24" s="49" t="s">
        <v>12</v>
      </c>
      <c r="C24" s="40">
        <v>39745</v>
      </c>
      <c r="D24" s="43" t="s">
        <v>79</v>
      </c>
      <c r="E24" s="43" t="s">
        <v>2</v>
      </c>
      <c r="F24" s="55">
        <v>104</v>
      </c>
      <c r="G24" s="55">
        <v>6</v>
      </c>
      <c r="H24" s="55">
        <v>11</v>
      </c>
      <c r="I24" s="181">
        <v>4346</v>
      </c>
      <c r="J24" s="182">
        <v>1003</v>
      </c>
      <c r="K24" s="176">
        <f>IF(I24&lt;&gt;0,J24/G24,"")</f>
        <v>167.16666666666666</v>
      </c>
      <c r="L24" s="177">
        <f>IF(I24&lt;&gt;0,I24/J24,"")</f>
        <v>4.333000997008973</v>
      </c>
      <c r="M24" s="181">
        <f>821522+622841.5+494230+434015.5+185757.5+145248.5+16130+16159+2033+6489+4346</f>
        <v>2748772</v>
      </c>
      <c r="N24" s="179">
        <f>99216+78381+65128+58419+30420+24530+3077+3918+431+1704+1003</f>
        <v>366227</v>
      </c>
      <c r="O24" s="108">
        <f>IF(M24&lt;&gt;0,M24/N24,"")</f>
        <v>7.505650866812114</v>
      </c>
      <c r="P24" s="137">
        <v>1</v>
      </c>
    </row>
    <row r="25" spans="1:16" ht="15">
      <c r="A25" s="68">
        <v>22</v>
      </c>
      <c r="B25" s="49" t="s">
        <v>11</v>
      </c>
      <c r="C25" s="40">
        <v>39750</v>
      </c>
      <c r="D25" s="44" t="s">
        <v>73</v>
      </c>
      <c r="E25" s="43" t="s">
        <v>101</v>
      </c>
      <c r="F25" s="55">
        <v>198</v>
      </c>
      <c r="G25" s="55">
        <v>6</v>
      </c>
      <c r="H25" s="55">
        <v>11</v>
      </c>
      <c r="I25" s="174">
        <v>2375</v>
      </c>
      <c r="J25" s="175">
        <v>495</v>
      </c>
      <c r="K25" s="182">
        <f>J25/G25</f>
        <v>82.5</v>
      </c>
      <c r="L25" s="183">
        <f>I25/J25</f>
        <v>4.797979797979798</v>
      </c>
      <c r="M25" s="174">
        <f>4975832+1882135+1034271+412191+151618-1635+10999+12408+14293+6423+2375</f>
        <v>8500910</v>
      </c>
      <c r="N25" s="175">
        <f>642956+245951+129523+51207+21082-161+1623+2391+2711+1404+495</f>
        <v>1099182</v>
      </c>
      <c r="O25" s="109">
        <f>+M25/N25</f>
        <v>7.733851172963167</v>
      </c>
      <c r="P25" s="137">
        <v>1</v>
      </c>
    </row>
    <row r="26" spans="1:16" ht="15">
      <c r="A26" s="68">
        <v>23</v>
      </c>
      <c r="B26" s="50" t="s">
        <v>9</v>
      </c>
      <c r="C26" s="41">
        <v>39738</v>
      </c>
      <c r="D26" s="46" t="s">
        <v>77</v>
      </c>
      <c r="E26" s="45" t="s">
        <v>10</v>
      </c>
      <c r="F26" s="42">
        <v>67</v>
      </c>
      <c r="G26" s="42">
        <v>6</v>
      </c>
      <c r="H26" s="42">
        <v>12</v>
      </c>
      <c r="I26" s="174">
        <v>2137</v>
      </c>
      <c r="J26" s="175">
        <v>440</v>
      </c>
      <c r="K26" s="182">
        <f>(J26/G26)</f>
        <v>73.33333333333333</v>
      </c>
      <c r="L26" s="183">
        <f>I26/J26</f>
        <v>4.8568181818181815</v>
      </c>
      <c r="M26" s="174">
        <f>167196+176809+54428+37340+38330.5+23467+11581+5867+4382+2577+3552+2137</f>
        <v>527666.5</v>
      </c>
      <c r="N26" s="175">
        <f>19168+21164+7719+6215+6404+4964+2339+1306+907+580+859+440</f>
        <v>72065</v>
      </c>
      <c r="O26" s="109">
        <f>M26/N26</f>
        <v>7.32209116769583</v>
      </c>
      <c r="P26" s="137"/>
    </row>
    <row r="27" spans="1:16" ht="15">
      <c r="A27" s="68">
        <v>24</v>
      </c>
      <c r="B27" s="50" t="s">
        <v>114</v>
      </c>
      <c r="C27" s="41">
        <v>39752</v>
      </c>
      <c r="D27" s="46" t="s">
        <v>77</v>
      </c>
      <c r="E27" s="45" t="s">
        <v>39</v>
      </c>
      <c r="F27" s="42">
        <v>1</v>
      </c>
      <c r="G27" s="42">
        <v>1</v>
      </c>
      <c r="H27" s="42">
        <v>6</v>
      </c>
      <c r="I27" s="174">
        <v>1590</v>
      </c>
      <c r="J27" s="175">
        <v>189</v>
      </c>
      <c r="K27" s="182">
        <f>(J27/G27)</f>
        <v>189</v>
      </c>
      <c r="L27" s="183">
        <f>I27/J27</f>
        <v>8.412698412698413</v>
      </c>
      <c r="M27" s="174">
        <f>5026+4844+3356+2376+712+1590</f>
        <v>17904</v>
      </c>
      <c r="N27" s="175">
        <f>591+575+394+594+178+189</f>
        <v>2521</v>
      </c>
      <c r="O27" s="109">
        <f>M27/N27</f>
        <v>7.101943673145577</v>
      </c>
      <c r="P27" s="137"/>
    </row>
    <row r="28" spans="1:16" ht="15">
      <c r="A28" s="68">
        <v>25</v>
      </c>
      <c r="B28" s="49" t="s">
        <v>115</v>
      </c>
      <c r="C28" s="40">
        <v>39745</v>
      </c>
      <c r="D28" s="44" t="s">
        <v>73</v>
      </c>
      <c r="E28" s="43" t="s">
        <v>108</v>
      </c>
      <c r="F28" s="55">
        <v>202</v>
      </c>
      <c r="G28" s="55">
        <v>1</v>
      </c>
      <c r="H28" s="55">
        <v>10</v>
      </c>
      <c r="I28" s="174">
        <v>1192</v>
      </c>
      <c r="J28" s="175">
        <v>296</v>
      </c>
      <c r="K28" s="182">
        <f>J28/G28</f>
        <v>296</v>
      </c>
      <c r="L28" s="183">
        <f>I28/J28</f>
        <v>4.027027027027027</v>
      </c>
      <c r="M28" s="174">
        <f>2979211+551475+289248+35506+23768+5044+549+3932+1192</f>
        <v>3889925</v>
      </c>
      <c r="N28" s="175">
        <f>374252+72341+40702+5164+4326+1290+108+783+296</f>
        <v>499262</v>
      </c>
      <c r="O28" s="109">
        <f>+M28/N28</f>
        <v>7.791350032648189</v>
      </c>
      <c r="P28" s="137"/>
    </row>
    <row r="29" spans="1:16" ht="15">
      <c r="A29" s="68">
        <v>26</v>
      </c>
      <c r="B29" s="54" t="s">
        <v>14</v>
      </c>
      <c r="C29" s="40">
        <v>39745</v>
      </c>
      <c r="D29" s="46" t="s">
        <v>42</v>
      </c>
      <c r="E29" s="46" t="s">
        <v>15</v>
      </c>
      <c r="F29" s="51">
        <v>72</v>
      </c>
      <c r="G29" s="51">
        <v>3</v>
      </c>
      <c r="H29" s="51">
        <v>11</v>
      </c>
      <c r="I29" s="174">
        <v>1146</v>
      </c>
      <c r="J29" s="175">
        <v>178</v>
      </c>
      <c r="K29" s="176">
        <f>+J29/G29</f>
        <v>59.333333333333336</v>
      </c>
      <c r="L29" s="177">
        <f>+I29/J29</f>
        <v>6.438202247191011</v>
      </c>
      <c r="M29" s="174">
        <v>1284354</v>
      </c>
      <c r="N29" s="175">
        <v>145282</v>
      </c>
      <c r="O29" s="108">
        <f>+M29/N29</f>
        <v>8.840420699054253</v>
      </c>
      <c r="P29" s="137">
        <v>1</v>
      </c>
    </row>
    <row r="30" spans="1:16" ht="15">
      <c r="A30" s="68">
        <v>27</v>
      </c>
      <c r="B30" s="50" t="s">
        <v>3</v>
      </c>
      <c r="C30" s="41">
        <v>39780</v>
      </c>
      <c r="D30" s="46" t="s">
        <v>77</v>
      </c>
      <c r="E30" s="45" t="s">
        <v>104</v>
      </c>
      <c r="F30" s="42">
        <v>6</v>
      </c>
      <c r="G30" s="42">
        <v>2</v>
      </c>
      <c r="H30" s="42">
        <v>6</v>
      </c>
      <c r="I30" s="174">
        <v>997</v>
      </c>
      <c r="J30" s="175">
        <v>230</v>
      </c>
      <c r="K30" s="182">
        <f>(J30/G30)</f>
        <v>115</v>
      </c>
      <c r="L30" s="183">
        <f>I30/J30</f>
        <v>4.334782608695652</v>
      </c>
      <c r="M30" s="174">
        <f>25457+3030+1123+7370+430+997</f>
        <v>38407</v>
      </c>
      <c r="N30" s="175">
        <f>2151+404+165+1079+59+230</f>
        <v>4088</v>
      </c>
      <c r="O30" s="109">
        <f>M30/N30</f>
        <v>9.395058708414872</v>
      </c>
      <c r="P30" s="137"/>
    </row>
    <row r="31" spans="1:16" ht="15">
      <c r="A31" s="68">
        <v>28</v>
      </c>
      <c r="B31" s="50" t="s">
        <v>8</v>
      </c>
      <c r="C31" s="41">
        <v>39738</v>
      </c>
      <c r="D31" s="46" t="s">
        <v>77</v>
      </c>
      <c r="E31" s="45" t="s">
        <v>76</v>
      </c>
      <c r="F31" s="42">
        <v>65</v>
      </c>
      <c r="G31" s="42">
        <v>4</v>
      </c>
      <c r="H31" s="42">
        <v>11</v>
      </c>
      <c r="I31" s="174">
        <v>891</v>
      </c>
      <c r="J31" s="175">
        <v>149</v>
      </c>
      <c r="K31" s="182">
        <f>(J31/G31)</f>
        <v>37.25</v>
      </c>
      <c r="L31" s="183">
        <f>I31/J31</f>
        <v>5.97986577181208</v>
      </c>
      <c r="M31" s="174">
        <f>502954.7+385847+127398.5+41644+35371+15703.5+9494+704+1120.5+952+891</f>
        <v>1122080.2</v>
      </c>
      <c r="N31" s="175">
        <f>51438+39611+14487+7156+6343+2488+1591+176+567+238+149</f>
        <v>124244</v>
      </c>
      <c r="O31" s="109">
        <f>M31/N31</f>
        <v>9.03126267666849</v>
      </c>
      <c r="P31" s="137"/>
    </row>
    <row r="32" spans="1:16" ht="15">
      <c r="A32" s="68">
        <v>29</v>
      </c>
      <c r="B32" s="50" t="s">
        <v>116</v>
      </c>
      <c r="C32" s="41">
        <v>39640</v>
      </c>
      <c r="D32" s="66" t="s">
        <v>74</v>
      </c>
      <c r="E32" s="66" t="s">
        <v>117</v>
      </c>
      <c r="F32" s="42">
        <v>137</v>
      </c>
      <c r="G32" s="42">
        <v>1</v>
      </c>
      <c r="H32" s="42">
        <v>25</v>
      </c>
      <c r="I32" s="178">
        <v>805</v>
      </c>
      <c r="J32" s="179">
        <v>350</v>
      </c>
      <c r="K32" s="179">
        <f>J32/G32</f>
        <v>350</v>
      </c>
      <c r="L32" s="180">
        <f>+I32/J32</f>
        <v>2.3</v>
      </c>
      <c r="M32" s="178">
        <v>1629170</v>
      </c>
      <c r="N32" s="179">
        <v>217304</v>
      </c>
      <c r="O32" s="107">
        <f>+M32/N32</f>
        <v>7.497192872657659</v>
      </c>
      <c r="P32" s="137"/>
    </row>
    <row r="33" spans="1:16" ht="15">
      <c r="A33" s="68">
        <v>30</v>
      </c>
      <c r="B33" s="50" t="s">
        <v>13</v>
      </c>
      <c r="C33" s="41">
        <v>39745</v>
      </c>
      <c r="D33" s="66" t="s">
        <v>74</v>
      </c>
      <c r="E33" s="66" t="s">
        <v>103</v>
      </c>
      <c r="F33" s="42">
        <v>57</v>
      </c>
      <c r="G33" s="42">
        <v>1</v>
      </c>
      <c r="H33" s="42">
        <v>11</v>
      </c>
      <c r="I33" s="178">
        <v>801</v>
      </c>
      <c r="J33" s="179">
        <v>157</v>
      </c>
      <c r="K33" s="179">
        <f>J33/G33</f>
        <v>157</v>
      </c>
      <c r="L33" s="180">
        <f>+I33/J33</f>
        <v>5.101910828025478</v>
      </c>
      <c r="M33" s="178">
        <v>1167434</v>
      </c>
      <c r="N33" s="179">
        <v>125785</v>
      </c>
      <c r="O33" s="107">
        <f>+M33/N33</f>
        <v>9.281186150971896</v>
      </c>
      <c r="P33" s="137">
        <v>1</v>
      </c>
    </row>
    <row r="34" spans="1:16" ht="15">
      <c r="A34" s="68">
        <v>31</v>
      </c>
      <c r="B34" s="49" t="s">
        <v>24</v>
      </c>
      <c r="C34" s="40">
        <v>39759</v>
      </c>
      <c r="D34" s="43" t="s">
        <v>79</v>
      </c>
      <c r="E34" s="43" t="s">
        <v>102</v>
      </c>
      <c r="F34" s="55">
        <v>40</v>
      </c>
      <c r="G34" s="55">
        <v>1</v>
      </c>
      <c r="H34" s="55">
        <v>9</v>
      </c>
      <c r="I34" s="181">
        <v>556</v>
      </c>
      <c r="J34" s="182">
        <v>77</v>
      </c>
      <c r="K34" s="176">
        <f>IF(I34&lt;&gt;0,J34/G34,"")</f>
        <v>77</v>
      </c>
      <c r="L34" s="177">
        <f>IF(I34&lt;&gt;0,I34/J34,"")</f>
        <v>7.220779220779221</v>
      </c>
      <c r="M34" s="181">
        <f>84918+52341+11404+7823+3207+2014+937+2034+556</f>
        <v>165234</v>
      </c>
      <c r="N34" s="179">
        <f>10694+7043+2046+1560+538+345+174+389+77</f>
        <v>22866</v>
      </c>
      <c r="O34" s="108">
        <f>IF(M34&lt;&gt;0,M34/N34,"")</f>
        <v>7.226187352400944</v>
      </c>
      <c r="P34" s="137">
        <v>1</v>
      </c>
    </row>
    <row r="35" spans="1:16" ht="15">
      <c r="A35" s="68">
        <v>32</v>
      </c>
      <c r="B35" s="54" t="s">
        <v>118</v>
      </c>
      <c r="C35" s="40">
        <v>39633</v>
      </c>
      <c r="D35" s="46" t="s">
        <v>42</v>
      </c>
      <c r="E35" s="46" t="s">
        <v>33</v>
      </c>
      <c r="F35" s="51">
        <v>28</v>
      </c>
      <c r="G35" s="51">
        <v>1</v>
      </c>
      <c r="H35" s="51">
        <v>27</v>
      </c>
      <c r="I35" s="174">
        <v>475</v>
      </c>
      <c r="J35" s="175">
        <v>95</v>
      </c>
      <c r="K35" s="176">
        <f>+J35/G35</f>
        <v>95</v>
      </c>
      <c r="L35" s="177">
        <f>+I35/J35</f>
        <v>5</v>
      </c>
      <c r="M35" s="174">
        <v>315463</v>
      </c>
      <c r="N35" s="175">
        <v>42108</v>
      </c>
      <c r="O35" s="108">
        <f aca="true" t="shared" si="0" ref="O35:O40">+M35/N35</f>
        <v>7.491759285646433</v>
      </c>
      <c r="P35" s="137"/>
    </row>
    <row r="36" spans="1:16" ht="15">
      <c r="A36" s="68">
        <v>33</v>
      </c>
      <c r="B36" s="50" t="s">
        <v>119</v>
      </c>
      <c r="C36" s="41">
        <v>39633</v>
      </c>
      <c r="D36" s="66" t="s">
        <v>74</v>
      </c>
      <c r="E36" s="45" t="s">
        <v>70</v>
      </c>
      <c r="F36" s="42">
        <v>123</v>
      </c>
      <c r="G36" s="42">
        <v>1</v>
      </c>
      <c r="H36" s="42">
        <v>24</v>
      </c>
      <c r="I36" s="178">
        <v>441</v>
      </c>
      <c r="J36" s="179">
        <v>350</v>
      </c>
      <c r="K36" s="179">
        <f>J36/G36</f>
        <v>350</v>
      </c>
      <c r="L36" s="180">
        <f>+I36/J36</f>
        <v>1.26</v>
      </c>
      <c r="M36" s="178">
        <v>1541323</v>
      </c>
      <c r="N36" s="179">
        <v>212942</v>
      </c>
      <c r="O36" s="107">
        <f t="shared" si="0"/>
        <v>7.238229189168882</v>
      </c>
      <c r="P36" s="137"/>
    </row>
    <row r="37" spans="1:16" ht="15">
      <c r="A37" s="68">
        <v>34</v>
      </c>
      <c r="B37" s="49" t="s">
        <v>120</v>
      </c>
      <c r="C37" s="40">
        <v>39738</v>
      </c>
      <c r="D37" s="44" t="s">
        <v>73</v>
      </c>
      <c r="E37" s="43" t="s">
        <v>65</v>
      </c>
      <c r="F37" s="55">
        <v>52</v>
      </c>
      <c r="G37" s="55">
        <v>1</v>
      </c>
      <c r="H37" s="55">
        <v>11</v>
      </c>
      <c r="I37" s="174">
        <v>392</v>
      </c>
      <c r="J37" s="175">
        <v>67</v>
      </c>
      <c r="K37" s="182">
        <f>J37/G37</f>
        <v>67</v>
      </c>
      <c r="L37" s="183">
        <f>I37/J37</f>
        <v>5.850746268656716</v>
      </c>
      <c r="M37" s="174">
        <f>406562+322843+70349+13845+3121+7380+8038+2297+3564+114+392</f>
        <v>838505</v>
      </c>
      <c r="N37" s="175">
        <f>38224+30194+7191+2669+501+1117+1379+703+1188+19+67</f>
        <v>83252</v>
      </c>
      <c r="O37" s="109">
        <f t="shared" si="0"/>
        <v>10.071890164800845</v>
      </c>
      <c r="P37" s="137"/>
    </row>
    <row r="38" spans="1:16" ht="15">
      <c r="A38" s="68">
        <v>35</v>
      </c>
      <c r="B38" s="50" t="s">
        <v>5</v>
      </c>
      <c r="C38" s="41">
        <v>39710</v>
      </c>
      <c r="D38" s="45" t="s">
        <v>50</v>
      </c>
      <c r="E38" s="45" t="s">
        <v>50</v>
      </c>
      <c r="F38" s="42">
        <v>66</v>
      </c>
      <c r="G38" s="42">
        <v>4</v>
      </c>
      <c r="H38" s="42">
        <v>16</v>
      </c>
      <c r="I38" s="178">
        <v>351.5</v>
      </c>
      <c r="J38" s="179">
        <v>65</v>
      </c>
      <c r="K38" s="176">
        <f>+J38/G38</f>
        <v>16.25</v>
      </c>
      <c r="L38" s="177">
        <f>+I38/J38</f>
        <v>5.407692307692308</v>
      </c>
      <c r="M38" s="178">
        <f>152576+127511+68854.5+21974+10111.5+7103+7290+0.5+1014+3149+989+3524+0.5+3768+138+2528+257+351.5</f>
        <v>411139.5</v>
      </c>
      <c r="N38" s="179">
        <f>50018+825+47+65</f>
        <v>50955</v>
      </c>
      <c r="O38" s="108">
        <f t="shared" si="0"/>
        <v>8.068678245510744</v>
      </c>
      <c r="P38" s="137"/>
    </row>
    <row r="39" spans="1:16" ht="15">
      <c r="A39" s="68">
        <v>36</v>
      </c>
      <c r="B39" s="54" t="s">
        <v>7</v>
      </c>
      <c r="C39" s="40">
        <v>39731</v>
      </c>
      <c r="D39" s="46" t="s">
        <v>42</v>
      </c>
      <c r="E39" s="46" t="s">
        <v>33</v>
      </c>
      <c r="F39" s="51">
        <v>20</v>
      </c>
      <c r="G39" s="51">
        <v>1</v>
      </c>
      <c r="H39" s="51">
        <v>13</v>
      </c>
      <c r="I39" s="174">
        <v>305</v>
      </c>
      <c r="J39" s="175">
        <v>61</v>
      </c>
      <c r="K39" s="176">
        <f>+J39/G39</f>
        <v>61</v>
      </c>
      <c r="L39" s="177">
        <f>+I39/J39</f>
        <v>5</v>
      </c>
      <c r="M39" s="174">
        <v>397120</v>
      </c>
      <c r="N39" s="175">
        <v>35350</v>
      </c>
      <c r="O39" s="108">
        <f t="shared" si="0"/>
        <v>11.233946251768034</v>
      </c>
      <c r="P39" s="137"/>
    </row>
    <row r="40" spans="1:16" ht="15">
      <c r="A40" s="68">
        <v>37</v>
      </c>
      <c r="B40" s="49" t="s">
        <v>18</v>
      </c>
      <c r="C40" s="40">
        <v>39689</v>
      </c>
      <c r="D40" s="44" t="s">
        <v>73</v>
      </c>
      <c r="E40" s="43" t="s">
        <v>19</v>
      </c>
      <c r="F40" s="55">
        <v>100</v>
      </c>
      <c r="G40" s="55">
        <v>1</v>
      </c>
      <c r="H40" s="55">
        <v>9</v>
      </c>
      <c r="I40" s="174">
        <v>276</v>
      </c>
      <c r="J40" s="175">
        <v>55</v>
      </c>
      <c r="K40" s="182">
        <f>J40/G40</f>
        <v>55</v>
      </c>
      <c r="L40" s="183">
        <f>I40/J40</f>
        <v>5.0181818181818185</v>
      </c>
      <c r="M40" s="174">
        <f>17818+1364876+864151+384239+240974+16635+2871+5064-50+5187+276</f>
        <v>2902041</v>
      </c>
      <c r="N40" s="175">
        <f>1487+139515+89937+39711+26370+2302+499+787-9+1471+55</f>
        <v>302125</v>
      </c>
      <c r="O40" s="109">
        <f t="shared" si="0"/>
        <v>9.605431526685974</v>
      </c>
      <c r="P40" s="137"/>
    </row>
    <row r="41" spans="1:16" ht="15">
      <c r="A41" s="68">
        <v>38</v>
      </c>
      <c r="B41" s="50" t="s">
        <v>16</v>
      </c>
      <c r="C41" s="41">
        <v>39745</v>
      </c>
      <c r="D41" s="46" t="s">
        <v>77</v>
      </c>
      <c r="E41" s="45" t="s">
        <v>49</v>
      </c>
      <c r="F41" s="42">
        <v>7</v>
      </c>
      <c r="G41" s="42">
        <v>1</v>
      </c>
      <c r="H41" s="42">
        <v>10</v>
      </c>
      <c r="I41" s="174">
        <v>128</v>
      </c>
      <c r="J41" s="175">
        <v>22</v>
      </c>
      <c r="K41" s="182">
        <f>(J41/G41)</f>
        <v>22</v>
      </c>
      <c r="L41" s="183">
        <f>I41/J41</f>
        <v>5.818181818181818</v>
      </c>
      <c r="M41" s="174">
        <f>31758.5+8225.5+1958+2180+395+7254.5+494+2046+429+128</f>
        <v>54868.5</v>
      </c>
      <c r="N41" s="175">
        <f>2732+851+288+247+46+761+52+333+72+22</f>
        <v>5404</v>
      </c>
      <c r="O41" s="109">
        <f>M41/N41</f>
        <v>10.153312361213915</v>
      </c>
      <c r="P41" s="137"/>
    </row>
    <row r="42" spans="1:16" ht="15">
      <c r="A42" s="68">
        <v>39</v>
      </c>
      <c r="B42" s="54" t="s">
        <v>84</v>
      </c>
      <c r="C42" s="40">
        <v>39780</v>
      </c>
      <c r="D42" s="141" t="s">
        <v>35</v>
      </c>
      <c r="E42" s="141" t="s">
        <v>4</v>
      </c>
      <c r="F42" s="55">
        <v>3</v>
      </c>
      <c r="G42" s="55">
        <v>1</v>
      </c>
      <c r="H42" s="55">
        <v>6</v>
      </c>
      <c r="I42" s="184">
        <v>81</v>
      </c>
      <c r="J42" s="185">
        <v>13</v>
      </c>
      <c r="K42" s="185"/>
      <c r="L42" s="261">
        <f>IF(I42&lt;&gt;0,I42/J42,"")</f>
        <v>6.230769230769231</v>
      </c>
      <c r="M42" s="184">
        <v>42285.5</v>
      </c>
      <c r="N42" s="185">
        <v>3919</v>
      </c>
      <c r="O42" s="108">
        <f>IF(M42&lt;&gt;0,M42/N42,"")</f>
        <v>10.78986986476142</v>
      </c>
      <c r="P42" s="137"/>
    </row>
    <row r="43" spans="1:16" ht="15">
      <c r="A43" s="68">
        <v>40</v>
      </c>
      <c r="B43" s="50" t="s">
        <v>36</v>
      </c>
      <c r="C43" s="41">
        <v>39703</v>
      </c>
      <c r="D43" s="46" t="s">
        <v>77</v>
      </c>
      <c r="E43" s="45" t="s">
        <v>37</v>
      </c>
      <c r="F43" s="42">
        <v>6</v>
      </c>
      <c r="G43" s="42">
        <v>1</v>
      </c>
      <c r="H43" s="42">
        <v>14</v>
      </c>
      <c r="I43" s="174">
        <v>73</v>
      </c>
      <c r="J43" s="175">
        <v>11</v>
      </c>
      <c r="K43" s="182">
        <f>(J43/G43)</f>
        <v>11</v>
      </c>
      <c r="L43" s="183">
        <f>I43/J43</f>
        <v>6.636363636363637</v>
      </c>
      <c r="M43" s="174">
        <f>18453+18044+4959+3105.5+2221+2795+1156+907+1188+3416+108+86+53+73</f>
        <v>56564.5</v>
      </c>
      <c r="N43" s="175">
        <f>1896+1808+596+485+314+510+270+216+297+854+33+15+9+11</f>
        <v>7314</v>
      </c>
      <c r="O43" s="109">
        <f>M43/N43</f>
        <v>7.733729833196609</v>
      </c>
      <c r="P43" s="137">
        <v>1</v>
      </c>
    </row>
    <row r="44" spans="1:16" ht="15.75" thickBot="1">
      <c r="A44" s="68">
        <v>41</v>
      </c>
      <c r="B44" s="93" t="s">
        <v>17</v>
      </c>
      <c r="C44" s="136">
        <v>39752</v>
      </c>
      <c r="D44" s="262" t="s">
        <v>77</v>
      </c>
      <c r="E44" s="122" t="s">
        <v>55</v>
      </c>
      <c r="F44" s="94">
        <v>27</v>
      </c>
      <c r="G44" s="94">
        <v>1</v>
      </c>
      <c r="H44" s="94">
        <v>10</v>
      </c>
      <c r="I44" s="263">
        <v>67</v>
      </c>
      <c r="J44" s="264">
        <v>10</v>
      </c>
      <c r="K44" s="265">
        <f>(J44/G44)</f>
        <v>10</v>
      </c>
      <c r="L44" s="266">
        <f>I44/J44</f>
        <v>6.7</v>
      </c>
      <c r="M44" s="263">
        <f>122635.5+51150+18262+4454+16388.5+1375+1246+204+334+67</f>
        <v>216116</v>
      </c>
      <c r="N44" s="264">
        <f>11002+4826+2043+624+2156+227+195+32+110+10</f>
        <v>21225</v>
      </c>
      <c r="O44" s="144">
        <f>M44/N44</f>
        <v>10.182143698468787</v>
      </c>
      <c r="P44" s="137"/>
    </row>
    <row r="45" spans="1:15" ht="12.75">
      <c r="A45" s="90"/>
      <c r="B45" s="91"/>
      <c r="C45" s="92"/>
      <c r="D45" s="92"/>
      <c r="E45" s="92"/>
      <c r="F45" s="99"/>
      <c r="G45" s="100"/>
      <c r="H45" s="101"/>
      <c r="I45" s="162">
        <f>SUM(I4:I44)</f>
        <v>6084822</v>
      </c>
      <c r="J45" s="151">
        <f>SUM(J4:J44)</f>
        <v>735477</v>
      </c>
      <c r="K45" s="153"/>
      <c r="L45" s="159"/>
      <c r="M45" s="146"/>
      <c r="N45" s="153"/>
      <c r="O45" s="159"/>
    </row>
    <row r="46" spans="1:7" ht="12.75">
      <c r="A46" s="33"/>
      <c r="B46" s="31"/>
      <c r="C46" s="24"/>
      <c r="D46" s="24"/>
      <c r="E46" s="24"/>
      <c r="F46" s="102"/>
      <c r="G46" s="103"/>
    </row>
    <row r="47" spans="1:15" ht="13.5">
      <c r="A47" s="33"/>
      <c r="B47" s="31"/>
      <c r="C47" s="87"/>
      <c r="D47" s="88"/>
      <c r="E47" s="88"/>
      <c r="F47" s="24"/>
      <c r="G47" s="24"/>
      <c r="K47" s="326" t="s">
        <v>30</v>
      </c>
      <c r="L47" s="313"/>
      <c r="M47" s="313"/>
      <c r="N47" s="313"/>
      <c r="O47" s="313"/>
    </row>
    <row r="48" spans="1:15" ht="12.75">
      <c r="A48" s="33"/>
      <c r="B48" s="31"/>
      <c r="C48" s="88"/>
      <c r="D48" s="88"/>
      <c r="E48" s="88"/>
      <c r="F48" s="24"/>
      <c r="G48" s="24"/>
      <c r="K48" s="313"/>
      <c r="L48" s="313"/>
      <c r="M48" s="313"/>
      <c r="N48" s="313"/>
      <c r="O48" s="313"/>
    </row>
    <row r="49" spans="1:15" ht="12.75">
      <c r="A49" s="33"/>
      <c r="B49" s="31"/>
      <c r="C49" s="88"/>
      <c r="D49" s="88"/>
      <c r="E49" s="88"/>
      <c r="F49" s="24"/>
      <c r="G49" s="24"/>
      <c r="K49" s="313"/>
      <c r="L49" s="313"/>
      <c r="M49" s="313"/>
      <c r="N49" s="313"/>
      <c r="O49" s="313"/>
    </row>
    <row r="50" spans="1:15" ht="12.75">
      <c r="A50" s="33"/>
      <c r="B50" s="31"/>
      <c r="C50" s="88"/>
      <c r="D50" s="88"/>
      <c r="E50" s="88"/>
      <c r="F50" s="24"/>
      <c r="G50" s="24"/>
      <c r="K50" s="313"/>
      <c r="L50" s="313"/>
      <c r="M50" s="313"/>
      <c r="N50" s="313"/>
      <c r="O50" s="313"/>
    </row>
    <row r="51" spans="1:15" ht="12.75">
      <c r="A51" s="33"/>
      <c r="B51" s="31"/>
      <c r="C51" s="88"/>
      <c r="D51" s="88"/>
      <c r="E51" s="88"/>
      <c r="F51" s="24"/>
      <c r="G51" s="24"/>
      <c r="K51" s="313"/>
      <c r="L51" s="313"/>
      <c r="M51" s="313"/>
      <c r="N51" s="313"/>
      <c r="O51" s="313"/>
    </row>
    <row r="52" spans="1:15" ht="12.75">
      <c r="A52" s="33"/>
      <c r="B52" s="31"/>
      <c r="C52" s="88"/>
      <c r="D52" s="88"/>
      <c r="E52" s="88"/>
      <c r="F52" s="24"/>
      <c r="G52" s="24"/>
      <c r="K52" s="313"/>
      <c r="L52" s="313"/>
      <c r="M52" s="313"/>
      <c r="N52" s="313"/>
      <c r="O52" s="313"/>
    </row>
    <row r="53" spans="1:15" ht="12.75">
      <c r="A53" s="33"/>
      <c r="B53" s="31"/>
      <c r="C53" s="24"/>
      <c r="D53" s="88"/>
      <c r="E53" s="88"/>
      <c r="F53" s="102"/>
      <c r="G53" s="103"/>
      <c r="K53" s="155"/>
      <c r="L53" s="157"/>
      <c r="M53" s="149"/>
      <c r="N53" s="156"/>
      <c r="O53" s="157"/>
    </row>
    <row r="54" spans="1:15" ht="13.5">
      <c r="A54" s="33"/>
      <c r="B54" s="31"/>
      <c r="C54" s="89"/>
      <c r="D54" s="88"/>
      <c r="E54" s="88"/>
      <c r="F54" s="24"/>
      <c r="G54" s="24"/>
      <c r="K54" s="311" t="s">
        <v>38</v>
      </c>
      <c r="L54" s="312"/>
      <c r="M54" s="312"/>
      <c r="N54" s="313"/>
      <c r="O54" s="312"/>
    </row>
    <row r="55" spans="1:15" ht="12.75">
      <c r="A55" s="33"/>
      <c r="B55" s="31"/>
      <c r="C55" s="88"/>
      <c r="D55" s="88"/>
      <c r="E55" s="88"/>
      <c r="F55" s="24"/>
      <c r="G55" s="24"/>
      <c r="K55" s="312"/>
      <c r="L55" s="312"/>
      <c r="M55" s="312"/>
      <c r="N55" s="313"/>
      <c r="O55" s="312"/>
    </row>
    <row r="56" spans="1:15" ht="12.75">
      <c r="A56" s="33"/>
      <c r="B56" s="31"/>
      <c r="C56" s="88"/>
      <c r="D56" s="88"/>
      <c r="E56" s="88"/>
      <c r="F56" s="24"/>
      <c r="G56" s="24"/>
      <c r="K56" s="312"/>
      <c r="L56" s="312"/>
      <c r="M56" s="312"/>
      <c r="N56" s="313"/>
      <c r="O56" s="312"/>
    </row>
    <row r="57" spans="1:15" ht="12.75">
      <c r="A57" s="33"/>
      <c r="B57" s="31"/>
      <c r="C57" s="88"/>
      <c r="D57" s="88"/>
      <c r="E57" s="88"/>
      <c r="F57" s="24"/>
      <c r="G57" s="24"/>
      <c r="K57" s="312"/>
      <c r="L57" s="312"/>
      <c r="M57" s="312"/>
      <c r="N57" s="313"/>
      <c r="O57" s="312"/>
    </row>
    <row r="58" spans="1:15" ht="12.75">
      <c r="A58" s="33"/>
      <c r="B58" s="31"/>
      <c r="C58" s="88"/>
      <c r="D58" s="88"/>
      <c r="E58" s="88"/>
      <c r="F58" s="24"/>
      <c r="G58" s="24"/>
      <c r="K58" s="312"/>
      <c r="L58" s="312"/>
      <c r="M58" s="312"/>
      <c r="N58" s="313"/>
      <c r="O58" s="312"/>
    </row>
    <row r="59" spans="1:15" ht="12.75">
      <c r="A59" s="33"/>
      <c r="B59" s="31"/>
      <c r="C59" s="88"/>
      <c r="D59" s="88"/>
      <c r="E59" s="88"/>
      <c r="F59" s="24"/>
      <c r="G59" s="24"/>
      <c r="K59" s="312"/>
      <c r="L59" s="312"/>
      <c r="M59" s="312"/>
      <c r="N59" s="313"/>
      <c r="O59" s="312"/>
    </row>
    <row r="60" spans="1:15" ht="12.75">
      <c r="A60" s="33"/>
      <c r="B60" s="31"/>
      <c r="C60" s="31"/>
      <c r="D60" s="31"/>
      <c r="E60" s="31"/>
      <c r="F60" s="24"/>
      <c r="G60" s="24"/>
      <c r="K60" s="314"/>
      <c r="L60" s="314"/>
      <c r="M60" s="314"/>
      <c r="N60" s="315"/>
      <c r="O60" s="314"/>
    </row>
    <row r="61" spans="1:7" ht="12.75">
      <c r="A61" s="33"/>
      <c r="B61" s="31"/>
      <c r="C61" s="24"/>
      <c r="D61" s="24"/>
      <c r="E61" s="24"/>
      <c r="F61" s="102"/>
      <c r="G61" s="103"/>
    </row>
    <row r="62" spans="1:7" ht="12.75">
      <c r="A62" s="33"/>
      <c r="B62" s="31"/>
      <c r="C62" s="24"/>
      <c r="D62" s="24"/>
      <c r="E62" s="24"/>
      <c r="F62" s="102"/>
      <c r="G62" s="103"/>
    </row>
  </sheetData>
  <mergeCells count="12">
    <mergeCell ref="E2:E3"/>
    <mergeCell ref="F2:F3"/>
    <mergeCell ref="A1:O1"/>
    <mergeCell ref="K47:O52"/>
    <mergeCell ref="B2:B3"/>
    <mergeCell ref="C2:C3"/>
    <mergeCell ref="D2:D3"/>
    <mergeCell ref="K54:O60"/>
    <mergeCell ref="G2:G3"/>
    <mergeCell ref="H2:H3"/>
    <mergeCell ref="I2:L2"/>
    <mergeCell ref="M2:O2"/>
  </mergeCells>
  <printOptions/>
  <pageMargins left="0.75" right="0.75" top="1" bottom="1" header="0.5" footer="0.5"/>
  <pageSetup orientation="portrait" paperSize="9"/>
  <ignoredErrors>
    <ignoredError sqref="Q15:Q33 Q34 L15:L33 K22 L10:L14 Q35:Q44 Q10:Q14 O34 O15:O33 M34:N36 L34:L41 L43:L44 O42" formula="1"/>
    <ignoredError sqref="M6:N33" unlockedFormula="1"/>
    <ignoredError sqref="M37:N44 L42" formula="1" unlockedFormula="1"/>
  </ignoredErrors>
</worksheet>
</file>

<file path=xl/worksheets/sheet4.xml><?xml version="1.0" encoding="utf-8"?>
<worksheet xmlns="http://schemas.openxmlformats.org/spreadsheetml/2006/main" xmlns:r="http://schemas.openxmlformats.org/officeDocument/2006/relationships">
  <dimension ref="A1:S63"/>
  <sheetViews>
    <sheetView workbookViewId="0" topLeftCell="A1">
      <selection activeCell="A1" sqref="A1"/>
    </sheetView>
  </sheetViews>
  <sheetFormatPr defaultColWidth="9.140625" defaultRowHeight="12.75"/>
  <cols>
    <col min="1" max="1" width="3.421875" style="216" bestFit="1" customWidth="1"/>
    <col min="2" max="2" width="6.28125" style="217" bestFit="1" customWidth="1"/>
    <col min="3" max="3" width="11.7109375" style="216" bestFit="1" customWidth="1"/>
    <col min="4" max="4" width="6.28125" style="242" bestFit="1" customWidth="1"/>
    <col min="5" max="5" width="16.00390625" style="243" bestFit="1" customWidth="1"/>
    <col min="6" max="6" width="11.7109375" style="242" bestFit="1" customWidth="1"/>
    <col min="7" max="7" width="2.28125" style="216" bestFit="1" customWidth="1"/>
    <col min="8" max="8" width="16.00390625" style="224" bestFit="1" customWidth="1"/>
    <col min="9" max="9" width="11.7109375" style="225" customWidth="1"/>
    <col min="10" max="10" width="7.7109375" style="234" bestFit="1" customWidth="1"/>
    <col min="11" max="11" width="3.421875" style="253" bestFit="1" customWidth="1"/>
    <col min="12" max="12" width="16.00390625" style="243" bestFit="1" customWidth="1"/>
    <col min="13" max="13" width="11.7109375" style="242" customWidth="1"/>
    <col min="14" max="14" width="7.7109375" style="258" bestFit="1" customWidth="1"/>
    <col min="15" max="15" width="9.140625" style="127" customWidth="1"/>
    <col min="16" max="16" width="10.421875" style="127" bestFit="1" customWidth="1"/>
    <col min="17" max="16384" width="9.140625" style="127" customWidth="1"/>
  </cols>
  <sheetData>
    <row r="1" spans="1:14" ht="15.75" thickBot="1">
      <c r="A1" s="206">
        <v>1</v>
      </c>
      <c r="B1" s="207" t="s">
        <v>51</v>
      </c>
      <c r="C1" s="208" t="s">
        <v>31</v>
      </c>
      <c r="D1" s="235">
        <v>45</v>
      </c>
      <c r="E1" s="236">
        <v>6658013.5</v>
      </c>
      <c r="F1" s="237">
        <v>793660</v>
      </c>
      <c r="G1" s="209">
        <v>4</v>
      </c>
      <c r="H1" s="218">
        <v>573191.5</v>
      </c>
      <c r="I1" s="219">
        <v>58183</v>
      </c>
      <c r="J1" s="220">
        <f>SUM(I1/F1)</f>
        <v>0.07330972960713655</v>
      </c>
      <c r="K1" s="235">
        <v>17</v>
      </c>
      <c r="L1" s="236">
        <v>4239918.5</v>
      </c>
      <c r="M1" s="238">
        <v>539295</v>
      </c>
      <c r="N1" s="251">
        <f>SUM(M1/F1)</f>
        <v>0.679503817755714</v>
      </c>
    </row>
    <row r="2" spans="1:14" ht="15.75" thickBot="1">
      <c r="A2" s="206"/>
      <c r="B2" s="207"/>
      <c r="C2" s="208"/>
      <c r="D2" s="238"/>
      <c r="E2" s="236"/>
      <c r="F2" s="237"/>
      <c r="G2" s="209"/>
      <c r="H2" s="218"/>
      <c r="I2" s="219"/>
      <c r="J2" s="220"/>
      <c r="K2" s="235"/>
      <c r="L2" s="236"/>
      <c r="M2" s="238"/>
      <c r="N2" s="251"/>
    </row>
    <row r="3" spans="1:14" ht="15.75" thickBot="1">
      <c r="A3" s="206"/>
      <c r="B3" s="207"/>
      <c r="C3" s="208"/>
      <c r="D3" s="238"/>
      <c r="E3" s="236"/>
      <c r="F3" s="237"/>
      <c r="G3" s="209"/>
      <c r="H3" s="218"/>
      <c r="I3" s="219"/>
      <c r="J3" s="220"/>
      <c r="K3" s="235"/>
      <c r="L3" s="236"/>
      <c r="M3" s="238"/>
      <c r="N3" s="251"/>
    </row>
    <row r="4" spans="1:14" ht="15.75" thickBot="1">
      <c r="A4" s="206"/>
      <c r="B4" s="207"/>
      <c r="C4" s="208"/>
      <c r="D4" s="238"/>
      <c r="E4" s="236"/>
      <c r="F4" s="237"/>
      <c r="G4" s="209"/>
      <c r="H4" s="218"/>
      <c r="I4" s="219"/>
      <c r="J4" s="220"/>
      <c r="K4" s="235"/>
      <c r="L4" s="236"/>
      <c r="M4" s="238"/>
      <c r="N4" s="251"/>
    </row>
    <row r="5" spans="1:14" ht="15.75" thickBot="1">
      <c r="A5" s="206"/>
      <c r="B5" s="207"/>
      <c r="C5" s="208"/>
      <c r="D5" s="238"/>
      <c r="E5" s="236"/>
      <c r="F5" s="237"/>
      <c r="G5" s="209"/>
      <c r="H5" s="218"/>
      <c r="I5" s="219"/>
      <c r="J5" s="220"/>
      <c r="K5" s="235"/>
      <c r="L5" s="236"/>
      <c r="M5" s="238"/>
      <c r="N5" s="251"/>
    </row>
    <row r="6" spans="1:14" ht="15.75" thickBot="1">
      <c r="A6" s="206"/>
      <c r="B6" s="207"/>
      <c r="C6" s="208"/>
      <c r="D6" s="238"/>
      <c r="E6" s="236"/>
      <c r="F6" s="237"/>
      <c r="G6" s="209"/>
      <c r="H6" s="218"/>
      <c r="I6" s="219"/>
      <c r="J6" s="220"/>
      <c r="K6" s="235"/>
      <c r="L6" s="236"/>
      <c r="M6" s="238"/>
      <c r="N6" s="251"/>
    </row>
    <row r="7" spans="1:14" ht="15.75" thickBot="1">
      <c r="A7" s="206"/>
      <c r="B7" s="207"/>
      <c r="C7" s="208"/>
      <c r="D7" s="238"/>
      <c r="E7" s="236"/>
      <c r="F7" s="237"/>
      <c r="G7" s="209"/>
      <c r="H7" s="218"/>
      <c r="I7" s="219"/>
      <c r="J7" s="220"/>
      <c r="K7" s="235"/>
      <c r="L7" s="236"/>
      <c r="M7" s="238"/>
      <c r="N7" s="251"/>
    </row>
    <row r="8" spans="1:14" ht="15.75" thickBot="1">
      <c r="A8" s="206"/>
      <c r="B8" s="207"/>
      <c r="C8" s="208"/>
      <c r="D8" s="238"/>
      <c r="E8" s="236"/>
      <c r="F8" s="237"/>
      <c r="G8" s="209"/>
      <c r="H8" s="218"/>
      <c r="I8" s="219"/>
      <c r="J8" s="220"/>
      <c r="K8" s="235"/>
      <c r="L8" s="236"/>
      <c r="M8" s="238"/>
      <c r="N8" s="251"/>
    </row>
    <row r="9" spans="1:14" ht="15.75" thickBot="1">
      <c r="A9" s="206"/>
      <c r="B9" s="207"/>
      <c r="C9" s="208"/>
      <c r="D9" s="238"/>
      <c r="E9" s="236"/>
      <c r="F9" s="237"/>
      <c r="G9" s="209"/>
      <c r="H9" s="218"/>
      <c r="I9" s="219"/>
      <c r="J9" s="220"/>
      <c r="K9" s="235"/>
      <c r="L9" s="236"/>
      <c r="M9" s="238"/>
      <c r="N9" s="251"/>
    </row>
    <row r="10" spans="1:14" ht="15.75" thickBot="1">
      <c r="A10" s="206"/>
      <c r="B10" s="207"/>
      <c r="C10" s="208"/>
      <c r="D10" s="238"/>
      <c r="E10" s="236"/>
      <c r="F10" s="237"/>
      <c r="G10" s="209"/>
      <c r="H10" s="218"/>
      <c r="I10" s="219"/>
      <c r="J10" s="220"/>
      <c r="K10" s="235"/>
      <c r="L10" s="236"/>
      <c r="M10" s="238"/>
      <c r="N10" s="251"/>
    </row>
    <row r="11" spans="1:14" ht="15.75" thickBot="1">
      <c r="A11" s="206"/>
      <c r="B11" s="207"/>
      <c r="C11" s="208"/>
      <c r="D11" s="238"/>
      <c r="E11" s="236"/>
      <c r="F11" s="237"/>
      <c r="G11" s="209"/>
      <c r="H11" s="218"/>
      <c r="I11" s="219"/>
      <c r="J11" s="220"/>
      <c r="K11" s="235"/>
      <c r="L11" s="236"/>
      <c r="M11" s="238"/>
      <c r="N11" s="251"/>
    </row>
    <row r="12" spans="1:14" ht="15.75" thickBot="1">
      <c r="A12" s="206"/>
      <c r="B12" s="207"/>
      <c r="C12" s="208"/>
      <c r="D12" s="238"/>
      <c r="E12" s="236"/>
      <c r="F12" s="237"/>
      <c r="G12" s="209"/>
      <c r="H12" s="218"/>
      <c r="I12" s="219"/>
      <c r="J12" s="220"/>
      <c r="K12" s="235"/>
      <c r="L12" s="236"/>
      <c r="M12" s="238"/>
      <c r="N12" s="251"/>
    </row>
    <row r="13" spans="1:14" ht="15.75" thickBot="1">
      <c r="A13" s="206"/>
      <c r="B13" s="207"/>
      <c r="C13" s="208"/>
      <c r="D13" s="238"/>
      <c r="E13" s="236"/>
      <c r="F13" s="237"/>
      <c r="G13" s="209"/>
      <c r="H13" s="218"/>
      <c r="I13" s="219"/>
      <c r="J13" s="220"/>
      <c r="K13" s="235"/>
      <c r="L13" s="236"/>
      <c r="M13" s="238"/>
      <c r="N13" s="251"/>
    </row>
    <row r="14" spans="1:14" ht="15.75" thickBot="1">
      <c r="A14" s="206"/>
      <c r="B14" s="207"/>
      <c r="C14" s="208"/>
      <c r="D14" s="238"/>
      <c r="E14" s="236"/>
      <c r="F14" s="237"/>
      <c r="G14" s="209"/>
      <c r="H14" s="218"/>
      <c r="I14" s="219"/>
      <c r="J14" s="220"/>
      <c r="K14" s="235"/>
      <c r="L14" s="236"/>
      <c r="M14" s="238"/>
      <c r="N14" s="251"/>
    </row>
    <row r="15" spans="1:14" ht="15.75" thickBot="1">
      <c r="A15" s="209"/>
      <c r="B15" s="207"/>
      <c r="C15" s="208"/>
      <c r="D15" s="238"/>
      <c r="E15" s="236"/>
      <c r="F15" s="237"/>
      <c r="G15" s="209"/>
      <c r="H15" s="218"/>
      <c r="I15" s="219"/>
      <c r="J15" s="220"/>
      <c r="K15" s="235"/>
      <c r="L15" s="236"/>
      <c r="M15" s="238"/>
      <c r="N15" s="251"/>
    </row>
    <row r="16" spans="1:14" ht="15.75" thickBot="1">
      <c r="A16" s="209"/>
      <c r="B16" s="207"/>
      <c r="C16" s="208"/>
      <c r="D16" s="238"/>
      <c r="E16" s="236"/>
      <c r="F16" s="237"/>
      <c r="G16" s="209"/>
      <c r="H16" s="218"/>
      <c r="I16" s="219"/>
      <c r="J16" s="220"/>
      <c r="K16" s="235"/>
      <c r="L16" s="236"/>
      <c r="M16" s="238"/>
      <c r="N16" s="251"/>
    </row>
    <row r="17" spans="1:14" ht="15.75" thickBot="1">
      <c r="A17" s="209"/>
      <c r="B17" s="207"/>
      <c r="C17" s="208"/>
      <c r="D17" s="238"/>
      <c r="E17" s="236"/>
      <c r="F17" s="237"/>
      <c r="G17" s="209"/>
      <c r="H17" s="218"/>
      <c r="I17" s="219"/>
      <c r="J17" s="220"/>
      <c r="K17" s="235"/>
      <c r="L17" s="236"/>
      <c r="M17" s="238"/>
      <c r="N17" s="251"/>
    </row>
    <row r="18" spans="1:14" ht="15.75" thickBot="1">
      <c r="A18" s="209"/>
      <c r="B18" s="207"/>
      <c r="C18" s="208"/>
      <c r="D18" s="238"/>
      <c r="E18" s="236"/>
      <c r="F18" s="237"/>
      <c r="G18" s="209"/>
      <c r="H18" s="218"/>
      <c r="I18" s="219"/>
      <c r="J18" s="220"/>
      <c r="K18" s="235"/>
      <c r="L18" s="236"/>
      <c r="M18" s="238"/>
      <c r="N18" s="251"/>
    </row>
    <row r="19" spans="1:19" ht="15.75" thickBot="1">
      <c r="A19" s="209"/>
      <c r="B19" s="207"/>
      <c r="C19" s="208"/>
      <c r="D19" s="238"/>
      <c r="E19" s="236"/>
      <c r="F19" s="237"/>
      <c r="G19" s="209"/>
      <c r="H19" s="218"/>
      <c r="I19" s="219"/>
      <c r="J19" s="220"/>
      <c r="K19" s="235"/>
      <c r="L19" s="236"/>
      <c r="M19" s="238"/>
      <c r="N19" s="251"/>
      <c r="R19" s="132"/>
      <c r="S19" s="133"/>
    </row>
    <row r="20" spans="1:16" ht="15.75" thickBot="1">
      <c r="A20" s="209"/>
      <c r="B20" s="207"/>
      <c r="C20" s="208"/>
      <c r="D20" s="238"/>
      <c r="E20" s="236"/>
      <c r="F20" s="237"/>
      <c r="G20" s="209"/>
      <c r="H20" s="218"/>
      <c r="I20" s="219"/>
      <c r="J20" s="220"/>
      <c r="K20" s="235"/>
      <c r="L20" s="236"/>
      <c r="M20" s="238"/>
      <c r="N20" s="251"/>
      <c r="P20" s="132"/>
    </row>
    <row r="21" spans="1:14" ht="15.75" thickBot="1">
      <c r="A21" s="209"/>
      <c r="B21" s="207"/>
      <c r="C21" s="208"/>
      <c r="D21" s="238"/>
      <c r="E21" s="236"/>
      <c r="F21" s="237"/>
      <c r="G21" s="209"/>
      <c r="H21" s="218"/>
      <c r="I21" s="219"/>
      <c r="J21" s="220"/>
      <c r="K21" s="235"/>
      <c r="L21" s="236"/>
      <c r="M21" s="238"/>
      <c r="N21" s="251"/>
    </row>
    <row r="22" spans="1:14" ht="15.75" thickBot="1">
      <c r="A22" s="209"/>
      <c r="B22" s="207"/>
      <c r="C22" s="208"/>
      <c r="D22" s="238"/>
      <c r="E22" s="236"/>
      <c r="F22" s="237"/>
      <c r="G22" s="209"/>
      <c r="H22" s="218"/>
      <c r="I22" s="219"/>
      <c r="J22" s="220"/>
      <c r="K22" s="235"/>
      <c r="L22" s="236"/>
      <c r="M22" s="238"/>
      <c r="N22" s="251"/>
    </row>
    <row r="23" spans="1:14" ht="15.75" thickBot="1">
      <c r="A23" s="209"/>
      <c r="B23" s="207"/>
      <c r="C23" s="208"/>
      <c r="D23" s="238"/>
      <c r="E23" s="236"/>
      <c r="F23" s="237"/>
      <c r="G23" s="209"/>
      <c r="H23" s="218"/>
      <c r="I23" s="219"/>
      <c r="J23" s="220"/>
      <c r="K23" s="235"/>
      <c r="L23" s="236"/>
      <c r="M23" s="238"/>
      <c r="N23" s="251"/>
    </row>
    <row r="24" spans="1:14" ht="15.75" thickBot="1">
      <c r="A24" s="209"/>
      <c r="B24" s="207"/>
      <c r="C24" s="208"/>
      <c r="D24" s="238"/>
      <c r="E24" s="236"/>
      <c r="F24" s="237"/>
      <c r="G24" s="209"/>
      <c r="H24" s="218"/>
      <c r="I24" s="219"/>
      <c r="J24" s="220"/>
      <c r="K24" s="235"/>
      <c r="L24" s="236"/>
      <c r="M24" s="238"/>
      <c r="N24" s="251"/>
    </row>
    <row r="25" spans="1:14" ht="15.75" thickBot="1">
      <c r="A25" s="209"/>
      <c r="B25" s="207"/>
      <c r="C25" s="208"/>
      <c r="D25" s="238"/>
      <c r="E25" s="236"/>
      <c r="F25" s="237"/>
      <c r="G25" s="209"/>
      <c r="H25" s="218"/>
      <c r="I25" s="219"/>
      <c r="J25" s="220"/>
      <c r="K25" s="235"/>
      <c r="L25" s="236"/>
      <c r="M25" s="238"/>
      <c r="N25" s="251"/>
    </row>
    <row r="26" spans="1:14" ht="15.75" thickBot="1">
      <c r="A26" s="209"/>
      <c r="B26" s="207"/>
      <c r="C26" s="208"/>
      <c r="D26" s="238"/>
      <c r="E26" s="236"/>
      <c r="F26" s="237"/>
      <c r="G26" s="209"/>
      <c r="H26" s="218"/>
      <c r="I26" s="219"/>
      <c r="J26" s="220"/>
      <c r="K26" s="235"/>
      <c r="L26" s="236"/>
      <c r="M26" s="238"/>
      <c r="N26" s="251"/>
    </row>
    <row r="27" spans="1:14" ht="15.75" thickBot="1">
      <c r="A27" s="209"/>
      <c r="B27" s="207"/>
      <c r="C27" s="208"/>
      <c r="D27" s="238"/>
      <c r="E27" s="236"/>
      <c r="F27" s="237"/>
      <c r="G27" s="209"/>
      <c r="H27" s="218"/>
      <c r="I27" s="219"/>
      <c r="J27" s="220"/>
      <c r="K27" s="235"/>
      <c r="L27" s="236"/>
      <c r="M27" s="238"/>
      <c r="N27" s="251"/>
    </row>
    <row r="28" spans="1:14" ht="15.75" thickBot="1">
      <c r="A28" s="209"/>
      <c r="B28" s="207"/>
      <c r="C28" s="208"/>
      <c r="D28" s="238"/>
      <c r="E28" s="236"/>
      <c r="F28" s="237"/>
      <c r="G28" s="209"/>
      <c r="H28" s="218"/>
      <c r="I28" s="219"/>
      <c r="J28" s="220"/>
      <c r="K28" s="235"/>
      <c r="L28" s="236"/>
      <c r="M28" s="238"/>
      <c r="N28" s="251"/>
    </row>
    <row r="29" spans="1:14" ht="15.75" thickBot="1">
      <c r="A29" s="209"/>
      <c r="B29" s="207"/>
      <c r="C29" s="208"/>
      <c r="D29" s="238"/>
      <c r="E29" s="236"/>
      <c r="F29" s="237"/>
      <c r="G29" s="209"/>
      <c r="H29" s="218"/>
      <c r="I29" s="219"/>
      <c r="J29" s="220"/>
      <c r="K29" s="235"/>
      <c r="L29" s="236"/>
      <c r="M29" s="238"/>
      <c r="N29" s="251"/>
    </row>
    <row r="30" spans="1:14" ht="15.75" thickBot="1">
      <c r="A30" s="209"/>
      <c r="B30" s="207"/>
      <c r="C30" s="208"/>
      <c r="D30" s="238"/>
      <c r="E30" s="236"/>
      <c r="F30" s="237"/>
      <c r="G30" s="209"/>
      <c r="H30" s="218"/>
      <c r="I30" s="219"/>
      <c r="J30" s="220"/>
      <c r="K30" s="235"/>
      <c r="L30" s="236"/>
      <c r="M30" s="238"/>
      <c r="N30" s="251"/>
    </row>
    <row r="31" spans="1:14" ht="15.75" thickBot="1">
      <c r="A31" s="209"/>
      <c r="B31" s="207"/>
      <c r="C31" s="208"/>
      <c r="D31" s="238"/>
      <c r="E31" s="236"/>
      <c r="F31" s="237"/>
      <c r="G31" s="209"/>
      <c r="H31" s="218"/>
      <c r="I31" s="219"/>
      <c r="J31" s="220"/>
      <c r="K31" s="235"/>
      <c r="L31" s="236"/>
      <c r="M31" s="238"/>
      <c r="N31" s="251"/>
    </row>
    <row r="32" spans="1:14" ht="15.75" thickBot="1">
      <c r="A32" s="209"/>
      <c r="B32" s="207"/>
      <c r="C32" s="208"/>
      <c r="D32" s="238"/>
      <c r="E32" s="236"/>
      <c r="F32" s="237"/>
      <c r="G32" s="209"/>
      <c r="H32" s="218"/>
      <c r="I32" s="219"/>
      <c r="J32" s="220"/>
      <c r="K32" s="235"/>
      <c r="L32" s="236"/>
      <c r="M32" s="238"/>
      <c r="N32" s="251"/>
    </row>
    <row r="33" spans="1:14" ht="15.75" thickBot="1">
      <c r="A33" s="209"/>
      <c r="B33" s="207"/>
      <c r="C33" s="208"/>
      <c r="D33" s="238"/>
      <c r="E33" s="236"/>
      <c r="F33" s="237"/>
      <c r="G33" s="209"/>
      <c r="H33" s="218"/>
      <c r="I33" s="219"/>
      <c r="J33" s="220"/>
      <c r="K33" s="235"/>
      <c r="L33" s="236"/>
      <c r="M33" s="238"/>
      <c r="N33" s="251"/>
    </row>
    <row r="34" spans="1:14" ht="15.75" thickBot="1">
      <c r="A34" s="209"/>
      <c r="B34" s="207"/>
      <c r="C34" s="208"/>
      <c r="D34" s="238"/>
      <c r="E34" s="236"/>
      <c r="F34" s="237"/>
      <c r="G34" s="209"/>
      <c r="H34" s="218"/>
      <c r="I34" s="219"/>
      <c r="J34" s="220"/>
      <c r="K34" s="235"/>
      <c r="L34" s="236"/>
      <c r="M34" s="238"/>
      <c r="N34" s="251"/>
    </row>
    <row r="35" spans="1:14" ht="15.75" thickBot="1">
      <c r="A35" s="209"/>
      <c r="B35" s="207"/>
      <c r="C35" s="208"/>
      <c r="D35" s="238"/>
      <c r="E35" s="236"/>
      <c r="F35" s="237"/>
      <c r="G35" s="209"/>
      <c r="H35" s="218"/>
      <c r="I35" s="219"/>
      <c r="J35" s="220"/>
      <c r="K35" s="235"/>
      <c r="L35" s="236"/>
      <c r="M35" s="238"/>
      <c r="N35" s="251"/>
    </row>
    <row r="36" spans="1:14" ht="15.75" thickBot="1">
      <c r="A36" s="209"/>
      <c r="B36" s="207"/>
      <c r="C36" s="208"/>
      <c r="D36" s="238"/>
      <c r="E36" s="236"/>
      <c r="F36" s="237"/>
      <c r="G36" s="209"/>
      <c r="H36" s="218"/>
      <c r="I36" s="219"/>
      <c r="J36" s="220"/>
      <c r="K36" s="235"/>
      <c r="L36" s="236"/>
      <c r="M36" s="238"/>
      <c r="N36" s="251"/>
    </row>
    <row r="37" spans="1:14" ht="15.75" thickBot="1">
      <c r="A37" s="209"/>
      <c r="B37" s="207"/>
      <c r="C37" s="208"/>
      <c r="D37" s="238"/>
      <c r="E37" s="236"/>
      <c r="F37" s="237"/>
      <c r="G37" s="209"/>
      <c r="H37" s="218"/>
      <c r="I37" s="219"/>
      <c r="J37" s="220"/>
      <c r="K37" s="235"/>
      <c r="L37" s="236"/>
      <c r="M37" s="238"/>
      <c r="N37" s="251"/>
    </row>
    <row r="38" spans="1:14" ht="15.75" thickBot="1">
      <c r="A38" s="209"/>
      <c r="B38" s="207"/>
      <c r="C38" s="208"/>
      <c r="D38" s="238"/>
      <c r="E38" s="236"/>
      <c r="F38" s="237"/>
      <c r="G38" s="209"/>
      <c r="H38" s="218"/>
      <c r="I38" s="219"/>
      <c r="J38" s="220"/>
      <c r="K38" s="235"/>
      <c r="L38" s="236"/>
      <c r="M38" s="238"/>
      <c r="N38" s="251"/>
    </row>
    <row r="39" spans="1:14" ht="15.75" thickBot="1">
      <c r="A39" s="209"/>
      <c r="B39" s="207"/>
      <c r="C39" s="208"/>
      <c r="D39" s="238"/>
      <c r="E39" s="236"/>
      <c r="F39" s="237"/>
      <c r="G39" s="209"/>
      <c r="H39" s="218"/>
      <c r="I39" s="219"/>
      <c r="J39" s="220"/>
      <c r="K39" s="235"/>
      <c r="L39" s="236"/>
      <c r="M39" s="238"/>
      <c r="N39" s="251"/>
    </row>
    <row r="40" spans="1:14" ht="15.75" thickBot="1">
      <c r="A40" s="209"/>
      <c r="B40" s="207"/>
      <c r="C40" s="208"/>
      <c r="D40" s="238"/>
      <c r="E40" s="236"/>
      <c r="F40" s="237"/>
      <c r="G40" s="209"/>
      <c r="H40" s="218"/>
      <c r="I40" s="219"/>
      <c r="J40" s="220"/>
      <c r="K40" s="235"/>
      <c r="L40" s="236"/>
      <c r="M40" s="238"/>
      <c r="N40" s="251"/>
    </row>
    <row r="41" spans="1:14" ht="15.75" thickBot="1">
      <c r="A41" s="209"/>
      <c r="B41" s="207"/>
      <c r="C41" s="208"/>
      <c r="D41" s="238"/>
      <c r="E41" s="236"/>
      <c r="F41" s="237"/>
      <c r="G41" s="209"/>
      <c r="H41" s="218"/>
      <c r="I41" s="219"/>
      <c r="J41" s="220"/>
      <c r="K41" s="235"/>
      <c r="L41" s="236"/>
      <c r="M41" s="238"/>
      <c r="N41" s="251"/>
    </row>
    <row r="42" spans="1:14" ht="15.75" thickBot="1">
      <c r="A42" s="209"/>
      <c r="B42" s="207"/>
      <c r="C42" s="208"/>
      <c r="D42" s="238"/>
      <c r="E42" s="236"/>
      <c r="F42" s="237"/>
      <c r="G42" s="209"/>
      <c r="H42" s="218"/>
      <c r="I42" s="219"/>
      <c r="J42" s="220"/>
      <c r="K42" s="235"/>
      <c r="L42" s="236"/>
      <c r="M42" s="238"/>
      <c r="N42" s="251"/>
    </row>
    <row r="43" spans="1:14" ht="15.75" thickBot="1">
      <c r="A43" s="209"/>
      <c r="B43" s="207"/>
      <c r="C43" s="208"/>
      <c r="D43" s="238"/>
      <c r="E43" s="236"/>
      <c r="F43" s="237"/>
      <c r="G43" s="209"/>
      <c r="H43" s="218"/>
      <c r="I43" s="219"/>
      <c r="J43" s="220"/>
      <c r="K43" s="235"/>
      <c r="L43" s="236"/>
      <c r="M43" s="238"/>
      <c r="N43" s="251"/>
    </row>
    <row r="44" spans="1:14" ht="15.75" thickBot="1">
      <c r="A44" s="209"/>
      <c r="B44" s="207"/>
      <c r="C44" s="208"/>
      <c r="D44" s="238"/>
      <c r="E44" s="236"/>
      <c r="F44" s="237"/>
      <c r="G44" s="209"/>
      <c r="H44" s="218"/>
      <c r="I44" s="219"/>
      <c r="J44" s="220"/>
      <c r="K44" s="235"/>
      <c r="L44" s="236"/>
      <c r="M44" s="238"/>
      <c r="N44" s="251"/>
    </row>
    <row r="45" spans="1:14" ht="15.75" thickBot="1">
      <c r="A45" s="209"/>
      <c r="B45" s="207"/>
      <c r="C45" s="208"/>
      <c r="D45" s="238"/>
      <c r="E45" s="236"/>
      <c r="F45" s="237"/>
      <c r="G45" s="209"/>
      <c r="H45" s="218"/>
      <c r="I45" s="219"/>
      <c r="J45" s="220"/>
      <c r="K45" s="235"/>
      <c r="L45" s="236"/>
      <c r="M45" s="238"/>
      <c r="N45" s="251"/>
    </row>
    <row r="46" spans="1:14" ht="15.75" thickBot="1">
      <c r="A46" s="209"/>
      <c r="B46" s="207"/>
      <c r="C46" s="208"/>
      <c r="D46" s="238"/>
      <c r="E46" s="236"/>
      <c r="F46" s="237"/>
      <c r="G46" s="209"/>
      <c r="H46" s="218"/>
      <c r="I46" s="219"/>
      <c r="J46" s="220"/>
      <c r="K46" s="235"/>
      <c r="L46" s="236"/>
      <c r="M46" s="238"/>
      <c r="N46" s="251"/>
    </row>
    <row r="47" spans="1:14" ht="15.75" thickBot="1">
      <c r="A47" s="209"/>
      <c r="B47" s="207"/>
      <c r="C47" s="208"/>
      <c r="D47" s="238"/>
      <c r="E47" s="236"/>
      <c r="F47" s="237"/>
      <c r="G47" s="209"/>
      <c r="H47" s="218"/>
      <c r="I47" s="219"/>
      <c r="J47" s="220"/>
      <c r="K47" s="235"/>
      <c r="L47" s="236"/>
      <c r="M47" s="238"/>
      <c r="N47" s="251"/>
    </row>
    <row r="48" spans="1:14" ht="15.75" thickBot="1">
      <c r="A48" s="209"/>
      <c r="B48" s="207"/>
      <c r="C48" s="208"/>
      <c r="D48" s="238"/>
      <c r="E48" s="236"/>
      <c r="F48" s="237"/>
      <c r="G48" s="209"/>
      <c r="H48" s="218"/>
      <c r="I48" s="219"/>
      <c r="J48" s="220"/>
      <c r="K48" s="235"/>
      <c r="L48" s="236"/>
      <c r="M48" s="238"/>
      <c r="N48" s="251"/>
    </row>
    <row r="49" spans="1:14" ht="15.75" thickBot="1">
      <c r="A49" s="209"/>
      <c r="B49" s="207"/>
      <c r="C49" s="208"/>
      <c r="D49" s="238"/>
      <c r="E49" s="236"/>
      <c r="F49" s="237"/>
      <c r="G49" s="209"/>
      <c r="H49" s="218"/>
      <c r="I49" s="219"/>
      <c r="J49" s="220"/>
      <c r="K49" s="235"/>
      <c r="L49" s="236"/>
      <c r="M49" s="238"/>
      <c r="N49" s="251"/>
    </row>
    <row r="50" spans="1:14" ht="15.75" thickBot="1">
      <c r="A50" s="209"/>
      <c r="B50" s="207"/>
      <c r="C50" s="208"/>
      <c r="D50" s="238"/>
      <c r="E50" s="236"/>
      <c r="F50" s="237"/>
      <c r="G50" s="209"/>
      <c r="H50" s="218"/>
      <c r="I50" s="219"/>
      <c r="J50" s="220"/>
      <c r="K50" s="235"/>
      <c r="L50" s="236"/>
      <c r="M50" s="238"/>
      <c r="N50" s="251"/>
    </row>
    <row r="51" spans="1:14" ht="15.75" thickBot="1">
      <c r="A51" s="209"/>
      <c r="B51" s="207"/>
      <c r="C51" s="208"/>
      <c r="D51" s="238"/>
      <c r="E51" s="236"/>
      <c r="F51" s="237"/>
      <c r="G51" s="209"/>
      <c r="H51" s="218"/>
      <c r="I51" s="219"/>
      <c r="J51" s="220"/>
      <c r="K51" s="235"/>
      <c r="L51" s="236"/>
      <c r="M51" s="238"/>
      <c r="N51" s="251"/>
    </row>
    <row r="52" spans="1:14" ht="15.75" thickBot="1">
      <c r="A52" s="209"/>
      <c r="B52" s="207"/>
      <c r="C52" s="208"/>
      <c r="D52" s="238"/>
      <c r="E52" s="236"/>
      <c r="F52" s="237"/>
      <c r="G52" s="209"/>
      <c r="H52" s="218"/>
      <c r="I52" s="219"/>
      <c r="J52" s="220"/>
      <c r="K52" s="235"/>
      <c r="L52" s="236"/>
      <c r="M52" s="238"/>
      <c r="N52" s="251"/>
    </row>
    <row r="53" spans="1:14" ht="15">
      <c r="A53" s="210"/>
      <c r="B53" s="211"/>
      <c r="C53" s="212"/>
      <c r="D53" s="239"/>
      <c r="E53" s="240"/>
      <c r="F53" s="241"/>
      <c r="G53" s="210"/>
      <c r="H53" s="221"/>
      <c r="I53" s="222"/>
      <c r="J53" s="223"/>
      <c r="K53" s="247"/>
      <c r="L53" s="240"/>
      <c r="M53" s="239"/>
      <c r="N53" s="252"/>
    </row>
    <row r="54" spans="1:14" ht="15">
      <c r="A54" s="210"/>
      <c r="B54" s="211"/>
      <c r="C54" s="212"/>
      <c r="F54" s="241"/>
      <c r="J54" s="223"/>
      <c r="N54" s="252"/>
    </row>
    <row r="55" spans="1:14" ht="15">
      <c r="A55" s="210"/>
      <c r="B55" s="211"/>
      <c r="C55" s="212"/>
      <c r="F55" s="241"/>
      <c r="J55" s="223"/>
      <c r="N55" s="252"/>
    </row>
    <row r="56" spans="1:14" ht="15">
      <c r="A56" s="210"/>
      <c r="B56" s="211"/>
      <c r="C56" s="212"/>
      <c r="F56" s="241"/>
      <c r="J56" s="223"/>
      <c r="N56" s="252"/>
    </row>
    <row r="57" spans="1:14" ht="15">
      <c r="A57" s="331">
        <v>2009</v>
      </c>
      <c r="B57" s="332"/>
      <c r="C57" s="333"/>
      <c r="D57" s="244">
        <f>SUM(D1:D56)</f>
        <v>45</v>
      </c>
      <c r="E57" s="245">
        <f>SUM(E1:E56)</f>
        <v>6658013.5</v>
      </c>
      <c r="F57" s="246">
        <f>SUM(F1:F56)</f>
        <v>793660</v>
      </c>
      <c r="G57" s="226"/>
      <c r="H57" s="227">
        <f>SUM(H1:H56)</f>
        <v>573191.5</v>
      </c>
      <c r="I57" s="228">
        <f>SUM(I1:I56)</f>
        <v>58183</v>
      </c>
      <c r="J57" s="229"/>
      <c r="K57" s="254"/>
      <c r="L57" s="245">
        <f>SUM(L1:L56)</f>
        <v>4239918.5</v>
      </c>
      <c r="M57" s="244">
        <f>SUM(M1:M56)</f>
        <v>539295</v>
      </c>
      <c r="N57" s="255">
        <f>SUM(M57/F57)</f>
        <v>0.679503817755714</v>
      </c>
    </row>
    <row r="58" spans="1:14" s="128" customFormat="1" ht="15">
      <c r="A58" s="334"/>
      <c r="B58" s="335"/>
      <c r="C58" s="336"/>
      <c r="D58" s="247"/>
      <c r="E58" s="240"/>
      <c r="F58" s="241"/>
      <c r="G58" s="210"/>
      <c r="H58" s="221"/>
      <c r="I58" s="222"/>
      <c r="J58" s="223"/>
      <c r="K58" s="247"/>
      <c r="L58" s="240"/>
      <c r="M58" s="239"/>
      <c r="N58" s="252"/>
    </row>
    <row r="59" spans="1:14" ht="15">
      <c r="A59" s="210"/>
      <c r="B59" s="211"/>
      <c r="C59" s="212"/>
      <c r="D59" s="239"/>
      <c r="E59" s="240"/>
      <c r="F59" s="241"/>
      <c r="G59" s="230"/>
      <c r="H59" s="221"/>
      <c r="I59" s="222"/>
      <c r="J59" s="223"/>
      <c r="K59" s="247"/>
      <c r="L59" s="240"/>
      <c r="M59" s="239"/>
      <c r="N59" s="252"/>
    </row>
    <row r="60" spans="1:14" ht="15.75" thickBot="1">
      <c r="A60" s="213"/>
      <c r="B60" s="214"/>
      <c r="C60" s="215"/>
      <c r="D60" s="248"/>
      <c r="E60" s="249"/>
      <c r="F60" s="250"/>
      <c r="G60" s="213"/>
      <c r="H60" s="231"/>
      <c r="I60" s="232"/>
      <c r="J60" s="233"/>
      <c r="K60" s="256"/>
      <c r="L60" s="249"/>
      <c r="M60" s="248"/>
      <c r="N60" s="257"/>
    </row>
    <row r="63" ht="15">
      <c r="L63" s="242"/>
    </row>
  </sheetData>
  <mergeCells count="2">
    <mergeCell ref="A57:C57"/>
    <mergeCell ref="A58:C58"/>
  </mergeCells>
  <printOptions/>
  <pageMargins left="0.75" right="0.75" top="1" bottom="1" header="0.5" footer="0.5"/>
  <pageSetup orientation="portrait" paperSize="9"/>
  <ignoredErrors>
    <ignoredError sqref="D57:N57"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2009-01-10T17:59:16Z</dcterms:modified>
  <cp:category/>
  <cp:version/>
  <cp:contentType/>
  <cp:contentStatus/>
</cp:coreProperties>
</file>