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960" windowWidth="15480" windowHeight="11640" tabRatio="832" activeTab="0"/>
  </bookViews>
  <sheets>
    <sheet name="23-29 Jan' '09 (WK 04)" sheetId="1" r:id="rId1"/>
    <sheet name="02-29 Jan'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'02-29 Jan' '09 (Annual)'!$A$5:$J$8</definedName>
    <definedName name="_xlnm.Print_Area" localSheetId="0">'23-29 Jan' '09 (WK 04)'!$A$1:$O$78</definedName>
  </definedNames>
  <calcPr fullCalcOnLoad="1"/>
</workbook>
</file>

<file path=xl/sharedStrings.xml><?xml version="1.0" encoding="utf-8"?>
<sst xmlns="http://schemas.openxmlformats.org/spreadsheetml/2006/main" count="720" uniqueCount="174">
  <si>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</si>
  <si>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</si>
  <si>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</si>
  <si>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</si>
  <si>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</si>
  <si>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</si>
  <si>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</si>
  <si>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</si>
  <si>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</si>
  <si>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</si>
  <si>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</si>
  <si>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</si>
  <si>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</si>
  <si>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</si>
  <si>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</si>
  <si>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</si>
  <si>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</si>
  <si>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</si>
  <si>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</si>
  <si>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</si>
  <si>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</si>
  <si>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</si>
  <si>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</si>
  <si>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</si>
  <si>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</si>
  <si>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</si>
  <si>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</si>
  <si>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</si>
  <si>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</si>
  <si>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</si>
  <si>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</si>
  <si>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</si>
  <si>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</si>
  <si>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</si>
  <si>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</si>
  <si>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</si>
  <si>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</si>
  <si>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</si>
  <si>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NO MAN'S LAND: THE RISE OF REEKER</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</si>
  <si>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</si>
  <si>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</si>
  <si>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</si>
  <si>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</si>
  <si>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</si>
  <si>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</si>
  <si>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</si>
  <si>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</si>
  <si>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</si>
  <si>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</si>
  <si>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</si>
  <si>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</si>
  <si>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</si>
  <si>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</si>
  <si>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</si>
  <si>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</si>
  <si>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</si>
  <si>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</si>
  <si>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</si>
  <si>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</si>
  <si>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</si>
  <si>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</si>
  <si>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</si>
  <si>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</si>
  <si>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</si>
  <si>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</si>
  <si>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</si>
  <si>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</si>
  <si>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</si>
  <si>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</si>
  <si>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</si>
  <si>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</si>
  <si>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</si>
  <si>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</si>
  <si>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</si>
  <si>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</si>
  <si>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</si>
  <si>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</si>
  <si>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</si>
  <si>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</si>
  <si>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</si>
  <si>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</si>
  <si>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</si>
  <si>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</si>
  <si>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</si>
  <si>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</si>
  <si>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</si>
  <si>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</si>
  <si>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</si>
  <si>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</si>
  <si>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</si>
  <si>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UNBORN</t>
  </si>
  <si>
    <t>SPACE CHIMPS</t>
  </si>
  <si>
    <t>FILMPOP</t>
  </si>
  <si>
    <t>SIMPLE PLAN, A</t>
  </si>
  <si>
    <t>UMUT SANAT</t>
  </si>
  <si>
    <t>MUTUAL FILMS</t>
  </si>
  <si>
    <t>POSTA</t>
  </si>
  <si>
    <t>WALL-E</t>
  </si>
  <si>
    <t>DISNEY</t>
  </si>
  <si>
    <t>BANGKOK DANGEROUS</t>
  </si>
  <si>
    <t>SHADOWS</t>
  </si>
  <si>
    <r>
      <t xml:space="preserve">2008 Türkiye Annual Box Office Report  </t>
    </r>
    <r>
      <rPr>
        <sz val="16"/>
        <rFont val="Impact"/>
        <family val="0"/>
      </rPr>
      <t>02-22 January 2009</t>
    </r>
  </si>
  <si>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</si>
  <si>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</si>
  <si>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</si>
  <si>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</si>
  <si>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</si>
  <si>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</si>
  <si>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</si>
  <si>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</si>
  <si>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</si>
  <si>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</si>
  <si>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</si>
  <si>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</si>
  <si>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</si>
  <si>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</si>
  <si>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</si>
  <si>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</si>
  <si>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</si>
  <si>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</si>
  <si>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</si>
  <si>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</si>
  <si>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</si>
  <si>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</si>
  <si>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</si>
  <si>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</si>
  <si>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</si>
  <si>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</si>
  <si>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</si>
  <si>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</si>
  <si>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</si>
  <si>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</si>
  <si>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</si>
  <si>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</si>
  <si>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</si>
  <si>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</si>
  <si>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</si>
  <si>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</si>
  <si>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</si>
  <si>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</si>
  <si>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</si>
  <si>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</si>
  <si>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</si>
  <si>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</si>
  <si>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</si>
  <si>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</si>
  <si>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</si>
  <si>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</si>
  <si>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</si>
  <si>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</si>
  <si>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</si>
  <si>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</si>
  <si>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</si>
  <si>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r>
      <t>2008 Türkiye Ex Years Releases Annual Box Office Report</t>
    </r>
    <r>
      <rPr>
        <b/>
        <sz val="26"/>
        <rFont val="Impact"/>
        <family val="2"/>
      </rPr>
      <t xml:space="preserve">  </t>
    </r>
    <r>
      <rPr>
        <b/>
        <sz val="16"/>
        <rFont val="Impact"/>
        <family val="2"/>
      </rPr>
      <t>02-29 January 2009</t>
    </r>
  </si>
  <si>
    <t>23-29</t>
  </si>
  <si>
    <t>GÜZ SANCISI</t>
  </si>
  <si>
    <t>C YAPIM</t>
  </si>
  <si>
    <t>USTA-MEDYAVIZYON</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</si>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</sst>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3">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hair"/>
      <right>
        <color indexed="63"/>
      </right>
      <top style="hair"/>
      <bottom style="thin"/>
    </border>
    <border>
      <left style="medium"/>
      <right>
        <color indexed="63"/>
      </right>
      <top style="hair"/>
      <bottom style="thin"/>
    </border>
    <border>
      <left>
        <color indexed="63"/>
      </left>
      <right style="hair"/>
      <top style="hair"/>
      <bottom style="hair"/>
    </border>
    <border>
      <left>
        <color indexed="63"/>
      </left>
      <right>
        <color indexed="63"/>
      </right>
      <top>
        <color indexed="63"/>
      </top>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31">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59"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4" fontId="33" fillId="0" borderId="0" xfId="0" applyNumberFormat="1" applyFont="1" applyFill="1" applyBorder="1" applyAlignment="1">
      <alignment horizontal="center" vertical="center"/>
    </xf>
    <xf numFmtId="4" fontId="26" fillId="0" borderId="0" xfId="0" applyNumberFormat="1" applyFont="1" applyFill="1" applyBorder="1" applyAlignment="1">
      <alignment vertical="center"/>
    </xf>
    <xf numFmtId="0" fontId="26" fillId="0" borderId="0" xfId="0" applyFont="1" applyFill="1" applyBorder="1" applyAlignment="1">
      <alignment/>
    </xf>
    <xf numFmtId="0" fontId="28" fillId="0" borderId="0" xfId="0" applyFont="1" applyFill="1" applyAlignment="1">
      <alignment/>
    </xf>
    <xf numFmtId="0" fontId="40" fillId="0" borderId="0" xfId="0" applyFont="1" applyFill="1" applyAlignment="1">
      <alignment/>
    </xf>
    <xf numFmtId="0" fontId="28" fillId="0" borderId="22" xfId="0" applyFont="1" applyBorder="1" applyAlignment="1" applyProtection="1">
      <alignment vertical="center"/>
      <protection locked="0"/>
    </xf>
    <xf numFmtId="4" fontId="28" fillId="0" borderId="0" xfId="0" applyNumberFormat="1" applyFont="1" applyFill="1" applyAlignment="1">
      <alignment/>
    </xf>
    <xf numFmtId="3" fontId="28" fillId="0" borderId="0" xfId="0" applyNumberFormat="1" applyFont="1" applyFill="1" applyAlignment="1">
      <alignment/>
    </xf>
    <xf numFmtId="0" fontId="19" fillId="0" borderId="23" xfId="0" applyFont="1" applyFill="1" applyBorder="1" applyAlignment="1" applyProtection="1">
      <alignment horizontal="right" vertical="center"/>
      <protection/>
    </xf>
    <xf numFmtId="0" fontId="13" fillId="0" borderId="24" xfId="0" applyFont="1" applyFill="1" applyBorder="1" applyAlignment="1" applyProtection="1">
      <alignment horizontal="right" vertical="center"/>
      <protection locked="0"/>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4" fontId="35"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4" fontId="0" fillId="0" borderId="0" xfId="0" applyNumberFormat="1" applyFont="1" applyAlignment="1">
      <alignment/>
    </xf>
    <xf numFmtId="4" fontId="35" fillId="0" borderId="16"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5" fillId="0" borderId="16" xfId="0" applyNumberFormat="1" applyFont="1" applyFill="1" applyBorder="1" applyAlignment="1" applyProtection="1">
      <alignment horizontal="center" wrapText="1"/>
      <protection/>
    </xf>
    <xf numFmtId="3" fontId="30" fillId="33" borderId="0" xfId="0" applyNumberFormat="1" applyFont="1" applyFill="1" applyAlignment="1">
      <alignment/>
    </xf>
    <xf numFmtId="3" fontId="9" fillId="0" borderId="0" xfId="0" applyNumberFormat="1" applyFont="1" applyAlignment="1">
      <alignment/>
    </xf>
    <xf numFmtId="3" fontId="26"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16" xfId="0" applyNumberFormat="1" applyFont="1" applyFill="1" applyBorder="1" applyAlignment="1" applyProtection="1">
      <alignment horizontal="center" wrapText="1"/>
      <protection/>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4" fontId="30" fillId="33" borderId="0" xfId="0" applyNumberFormat="1" applyFont="1" applyFill="1" applyAlignment="1">
      <alignment/>
    </xf>
    <xf numFmtId="4" fontId="9" fillId="0" borderId="0" xfId="0" applyNumberFormat="1" applyFont="1" applyAlignment="1">
      <alignment/>
    </xf>
    <xf numFmtId="4" fontId="42" fillId="0" borderId="0" xfId="0" applyNumberFormat="1" applyFont="1" applyFill="1" applyBorder="1" applyAlignment="1">
      <alignment vertical="center"/>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84" fontId="11" fillId="0" borderId="11" xfId="0" applyNumberFormat="1" applyFont="1" applyFill="1" applyBorder="1" applyAlignment="1" applyProtection="1">
      <alignment horizontal="center" vertical="center"/>
      <protection locked="0"/>
    </xf>
    <xf numFmtId="0" fontId="19" fillId="0" borderId="25" xfId="0" applyFont="1" applyFill="1" applyBorder="1" applyAlignment="1">
      <alignment horizontal="right" vertical="center"/>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193" fontId="11" fillId="0" borderId="13" xfId="59" applyNumberFormat="1" applyFont="1" applyFill="1" applyBorder="1" applyAlignment="1" applyProtection="1">
      <alignment vertical="center"/>
      <protection/>
    </xf>
    <xf numFmtId="192" fontId="11" fillId="0" borderId="13" xfId="59" applyNumberFormat="1" applyFont="1" applyFill="1" applyBorder="1" applyAlignment="1" applyProtection="1">
      <alignment vertical="center"/>
      <protection/>
    </xf>
    <xf numFmtId="200" fontId="11" fillId="0" borderId="13" xfId="0" applyNumberFormat="1" applyFont="1" applyFill="1" applyBorder="1" applyAlignment="1">
      <alignment vertical="center"/>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200" fontId="11" fillId="0" borderId="13" xfId="42" applyNumberFormat="1" applyFont="1" applyFill="1" applyBorder="1" applyAlignment="1" applyProtection="1">
      <alignment vertical="center"/>
      <protection/>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200" fontId="11" fillId="0" borderId="13" xfId="0" applyNumberFormat="1" applyFont="1" applyFill="1" applyBorder="1" applyAlignment="1" applyProtection="1">
      <alignment vertical="center"/>
      <protection locked="0"/>
    </xf>
    <xf numFmtId="193" fontId="11" fillId="0" borderId="13" xfId="0" applyNumberFormat="1" applyFont="1" applyFill="1" applyBorder="1" applyAlignment="1" applyProtection="1">
      <alignment vertical="center"/>
      <protection locked="0"/>
    </xf>
    <xf numFmtId="0" fontId="11" fillId="0" borderId="26" xfId="0" applyNumberFormat="1" applyFont="1" applyFill="1" applyBorder="1" applyAlignment="1" applyProtection="1">
      <alignment horizontal="left" vertical="center"/>
      <protection locked="0"/>
    </xf>
    <xf numFmtId="184" fontId="11" fillId="0" borderId="27" xfId="0" applyNumberFormat="1" applyFont="1" applyFill="1" applyBorder="1" applyAlignment="1" applyProtection="1">
      <alignment horizontal="center" vertical="center"/>
      <protection locked="0"/>
    </xf>
    <xf numFmtId="0" fontId="11" fillId="0" borderId="27" xfId="0" applyNumberFormat="1" applyFont="1" applyFill="1" applyBorder="1" applyAlignment="1" applyProtection="1">
      <alignment horizontal="left" vertical="center"/>
      <protection locked="0"/>
    </xf>
    <xf numFmtId="0" fontId="11" fillId="0" borderId="27" xfId="0" applyNumberFormat="1" applyFont="1" applyFill="1" applyBorder="1" applyAlignment="1" applyProtection="1">
      <alignment horizontal="center" vertical="center"/>
      <protection locked="0"/>
    </xf>
    <xf numFmtId="200" fontId="11" fillId="0" borderId="27" xfId="42" applyNumberFormat="1" applyFont="1" applyFill="1" applyBorder="1" applyAlignment="1" applyProtection="1">
      <alignment vertical="center"/>
      <protection locked="0"/>
    </xf>
    <xf numFmtId="193" fontId="11" fillId="0" borderId="27" xfId="42" applyNumberFormat="1" applyFont="1" applyFill="1" applyBorder="1" applyAlignment="1" applyProtection="1">
      <alignment vertical="center"/>
      <protection locked="0"/>
    </xf>
    <xf numFmtId="193" fontId="11" fillId="0" borderId="27" xfId="59" applyNumberFormat="1" applyFont="1" applyFill="1" applyBorder="1" applyAlignment="1" applyProtection="1">
      <alignment vertical="center"/>
      <protection/>
    </xf>
    <xf numFmtId="192" fontId="11" fillId="0" borderId="27" xfId="59" applyNumberFormat="1" applyFont="1" applyFill="1" applyBorder="1" applyAlignment="1" applyProtection="1">
      <alignment vertical="center"/>
      <protection/>
    </xf>
    <xf numFmtId="192" fontId="11" fillId="0" borderId="28" xfId="59" applyNumberFormat="1" applyFont="1" applyFill="1" applyBorder="1" applyAlignment="1" applyProtection="1">
      <alignment vertical="center"/>
      <protection/>
    </xf>
    <xf numFmtId="0" fontId="28" fillId="34" borderId="29" xfId="0" applyFont="1" applyFill="1" applyBorder="1" applyAlignment="1">
      <alignment horizontal="right"/>
    </xf>
    <xf numFmtId="49" fontId="28" fillId="34" borderId="30" xfId="0" applyNumberFormat="1" applyFont="1" applyFill="1" applyBorder="1" applyAlignment="1">
      <alignment horizontal="right"/>
    </xf>
    <xf numFmtId="0" fontId="28" fillId="34" borderId="31" xfId="0" applyFont="1" applyFill="1" applyBorder="1" applyAlignment="1">
      <alignment horizontal="right"/>
    </xf>
    <xf numFmtId="0" fontId="28" fillId="34" borderId="30"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32" xfId="0" applyFont="1" applyFill="1" applyBorder="1" applyAlignment="1">
      <alignment horizontal="right"/>
    </xf>
    <xf numFmtId="0" fontId="28" fillId="34" borderId="33" xfId="0" applyFont="1" applyFill="1" applyBorder="1" applyAlignment="1">
      <alignment horizontal="right"/>
    </xf>
    <xf numFmtId="49" fontId="28" fillId="34" borderId="33" xfId="0" applyNumberFormat="1" applyFont="1" applyFill="1" applyBorder="1" applyAlignment="1">
      <alignment horizontal="right"/>
    </xf>
    <xf numFmtId="0" fontId="28" fillId="34" borderId="34"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30" xfId="0" applyNumberFormat="1" applyFont="1" applyFill="1" applyBorder="1" applyAlignment="1">
      <alignment horizontal="right"/>
    </xf>
    <xf numFmtId="3" fontId="28" fillId="34" borderId="30" xfId="0" applyNumberFormat="1" applyFont="1" applyFill="1" applyBorder="1" applyAlignment="1">
      <alignment horizontal="right"/>
    </xf>
    <xf numFmtId="10" fontId="28" fillId="34" borderId="31"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32"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32" xfId="0" applyNumberFormat="1" applyFont="1" applyFill="1" applyBorder="1" applyAlignment="1">
      <alignment horizontal="right"/>
    </xf>
    <xf numFmtId="4" fontId="28" fillId="34" borderId="33" xfId="0" applyNumberFormat="1" applyFont="1" applyFill="1" applyBorder="1" applyAlignment="1">
      <alignment horizontal="right"/>
    </xf>
    <xf numFmtId="3" fontId="28" fillId="34" borderId="33" xfId="0" applyNumberFormat="1" applyFont="1" applyFill="1" applyBorder="1" applyAlignment="1">
      <alignment horizontal="right"/>
    </xf>
    <xf numFmtId="10" fontId="28" fillId="34" borderId="34" xfId="0" applyNumberFormat="1" applyFont="1" applyFill="1" applyBorder="1" applyAlignment="1">
      <alignment horizontal="right"/>
    </xf>
    <xf numFmtId="10" fontId="28" fillId="34" borderId="0" xfId="0" applyNumberFormat="1" applyFont="1" applyFill="1" applyAlignment="1">
      <alignment horizontal="right"/>
    </xf>
    <xf numFmtId="0" fontId="28" fillId="35" borderId="30" xfId="0" applyFont="1" applyFill="1" applyBorder="1" applyAlignment="1">
      <alignment horizontal="right"/>
    </xf>
    <xf numFmtId="4" fontId="28" fillId="35" borderId="30" xfId="0" applyNumberFormat="1" applyFont="1" applyFill="1" applyBorder="1" applyAlignment="1">
      <alignment horizontal="right"/>
    </xf>
    <xf numFmtId="3" fontId="28" fillId="35" borderId="31" xfId="0" applyNumberFormat="1" applyFont="1" applyFill="1" applyBorder="1" applyAlignment="1">
      <alignment horizontal="right"/>
    </xf>
    <xf numFmtId="3" fontId="28" fillId="35" borderId="30"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32"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32" xfId="0" applyNumberFormat="1" applyFont="1" applyFill="1" applyBorder="1" applyAlignment="1">
      <alignment horizontal="right"/>
    </xf>
    <xf numFmtId="0" fontId="28" fillId="35" borderId="0" xfId="0" applyFont="1" applyFill="1" applyBorder="1" applyAlignment="1">
      <alignment horizontal="right"/>
    </xf>
    <xf numFmtId="3" fontId="28" fillId="35" borderId="33" xfId="0" applyNumberFormat="1" applyFont="1" applyFill="1" applyBorder="1" applyAlignment="1">
      <alignment horizontal="right"/>
    </xf>
    <xf numFmtId="4" fontId="28" fillId="35" borderId="33" xfId="0" applyNumberFormat="1" applyFont="1" applyFill="1" applyBorder="1" applyAlignment="1">
      <alignment horizontal="right"/>
    </xf>
    <xf numFmtId="3" fontId="28" fillId="35" borderId="34"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59" applyNumberFormat="1" applyFont="1" applyFill="1" applyBorder="1" applyAlignment="1" applyProtection="1">
      <alignment horizontal="right" vertical="center"/>
      <protection/>
    </xf>
    <xf numFmtId="192" fontId="51" fillId="0" borderId="13" xfId="59"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200"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59" applyNumberFormat="1" applyFont="1" applyFill="1" applyBorder="1" applyAlignment="1" applyProtection="1">
      <alignment horizontal="right" vertical="center"/>
      <protection/>
    </xf>
    <xf numFmtId="0" fontId="51" fillId="0" borderId="35" xfId="0" applyNumberFormat="1" applyFont="1" applyFill="1" applyBorder="1" applyAlignment="1">
      <alignment horizontal="left" vertical="center"/>
    </xf>
    <xf numFmtId="184" fontId="51" fillId="0" borderId="36" xfId="0" applyNumberFormat="1" applyFont="1" applyFill="1" applyBorder="1" applyAlignment="1">
      <alignment horizontal="center" vertical="center"/>
    </xf>
    <xf numFmtId="0" fontId="51" fillId="0" borderId="36" xfId="0" applyNumberFormat="1" applyFont="1" applyFill="1" applyBorder="1" applyAlignment="1" applyProtection="1">
      <alignment vertical="center"/>
      <protection locked="0"/>
    </xf>
    <xf numFmtId="0" fontId="51" fillId="0" borderId="36" xfId="0" applyNumberFormat="1" applyFont="1" applyFill="1" applyBorder="1" applyAlignment="1">
      <alignment vertical="center"/>
    </xf>
    <xf numFmtId="0" fontId="51" fillId="0" borderId="36" xfId="0" applyNumberFormat="1" applyFont="1" applyFill="1" applyBorder="1" applyAlignment="1">
      <alignment horizontal="center" vertical="center"/>
    </xf>
    <xf numFmtId="193" fontId="51" fillId="0" borderId="36" xfId="42" applyNumberFormat="1" applyFont="1" applyFill="1" applyBorder="1" applyAlignment="1" applyProtection="1">
      <alignment horizontal="right" vertical="center"/>
      <protection/>
    </xf>
    <xf numFmtId="192" fontId="51" fillId="0" borderId="36" xfId="42" applyNumberFormat="1" applyFont="1" applyFill="1" applyBorder="1" applyAlignment="1" applyProtection="1">
      <alignment horizontal="right" vertical="center"/>
      <protection/>
    </xf>
    <xf numFmtId="200" fontId="51" fillId="0" borderId="36" xfId="42" applyNumberFormat="1" applyFont="1" applyFill="1" applyBorder="1" applyAlignment="1" applyProtection="1">
      <alignment horizontal="right" vertical="center"/>
      <protection locked="0"/>
    </xf>
    <xf numFmtId="193" fontId="51" fillId="0" borderId="36" xfId="42" applyNumberFormat="1" applyFont="1" applyFill="1" applyBorder="1" applyAlignment="1" applyProtection="1">
      <alignment horizontal="right" vertical="center"/>
      <protection locked="0"/>
    </xf>
    <xf numFmtId="192" fontId="51" fillId="0" borderId="37" xfId="42" applyNumberFormat="1" applyFont="1" applyFill="1" applyBorder="1" applyAlignment="1" applyProtection="1">
      <alignment horizontal="right" vertical="center"/>
      <protection/>
    </xf>
    <xf numFmtId="0" fontId="13" fillId="0" borderId="24" xfId="0" applyNumberFormat="1" applyFont="1" applyFill="1" applyBorder="1" applyAlignment="1" applyProtection="1">
      <alignment horizontal="right" vertical="center"/>
      <protection locked="0"/>
    </xf>
    <xf numFmtId="0" fontId="11" fillId="0" borderId="38"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3" xfId="0" applyFont="1" applyFill="1" applyBorder="1" applyAlignment="1">
      <alignment horizontal="center"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200" fontId="11" fillId="0" borderId="13" xfId="0" applyNumberFormat="1" applyFont="1" applyFill="1" applyBorder="1" applyAlignment="1">
      <alignmen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0" fontId="11" fillId="0" borderId="15" xfId="0" applyFont="1" applyFill="1" applyBorder="1" applyAlignment="1">
      <alignment horizontal="left" vertical="center" wrapText="1"/>
    </xf>
    <xf numFmtId="192" fontId="11" fillId="0" borderId="21" xfId="0" applyNumberFormat="1" applyFont="1" applyFill="1" applyBorder="1" applyAlignment="1">
      <alignment vertical="center" wrapText="1"/>
    </xf>
    <xf numFmtId="193" fontId="11" fillId="0" borderId="11" xfId="0" applyNumberFormat="1" applyFont="1" applyFill="1" applyBorder="1" applyAlignment="1">
      <alignment vertical="center"/>
    </xf>
    <xf numFmtId="0" fontId="11" fillId="0" borderId="39" xfId="0" applyNumberFormat="1" applyFont="1" applyFill="1" applyBorder="1" applyAlignment="1" applyProtection="1">
      <alignment horizontal="left" vertical="center"/>
      <protection locked="0"/>
    </xf>
    <xf numFmtId="184" fontId="11" fillId="0" borderId="40" xfId="0" applyNumberFormat="1" applyFont="1" applyFill="1" applyBorder="1" applyAlignment="1" applyProtection="1">
      <alignment horizontal="center" vertical="center"/>
      <protection locked="0"/>
    </xf>
    <xf numFmtId="0" fontId="11" fillId="0" borderId="40" xfId="0" applyNumberFormat="1" applyFont="1" applyFill="1" applyBorder="1" applyAlignment="1" applyProtection="1">
      <alignment horizontal="left" vertical="center"/>
      <protection locked="0"/>
    </xf>
    <xf numFmtId="0" fontId="11" fillId="0" borderId="40" xfId="0" applyNumberFormat="1" applyFont="1" applyFill="1" applyBorder="1" applyAlignment="1" applyProtection="1">
      <alignment horizontal="center" vertical="center"/>
      <protection locked="0"/>
    </xf>
    <xf numFmtId="193" fontId="11" fillId="0" borderId="40" xfId="42" applyNumberFormat="1" applyFont="1" applyFill="1" applyBorder="1" applyAlignment="1" applyProtection="1">
      <alignment vertical="center"/>
      <protection/>
    </xf>
    <xf numFmtId="192" fontId="11" fillId="0" borderId="40" xfId="42" applyNumberFormat="1" applyFont="1" applyFill="1" applyBorder="1" applyAlignment="1" applyProtection="1">
      <alignment vertical="center"/>
      <protection/>
    </xf>
    <xf numFmtId="200" fontId="11" fillId="0" borderId="40" xfId="42" applyNumberFormat="1" applyFont="1" applyFill="1" applyBorder="1" applyAlignment="1" applyProtection="1">
      <alignment vertical="center"/>
      <protection locked="0"/>
    </xf>
    <xf numFmtId="193" fontId="11" fillId="0" borderId="40" xfId="42" applyNumberFormat="1" applyFont="1" applyFill="1" applyBorder="1" applyAlignment="1" applyProtection="1">
      <alignment vertical="center"/>
      <protection locked="0"/>
    </xf>
    <xf numFmtId="192" fontId="11" fillId="0" borderId="41" xfId="42" applyNumberFormat="1" applyFont="1" applyFill="1" applyBorder="1" applyAlignment="1" applyProtection="1">
      <alignment vertical="center"/>
      <protection/>
    </xf>
    <xf numFmtId="0" fontId="13" fillId="0" borderId="24" xfId="0" applyFont="1" applyFill="1" applyBorder="1" applyAlignment="1" applyProtection="1">
      <alignment vertical="center"/>
      <protection locked="0"/>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200" fontId="11" fillId="0" borderId="11" xfId="0" applyNumberFormat="1" applyFont="1" applyFill="1" applyBorder="1" applyAlignment="1">
      <alignmen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184" fontId="11" fillId="0" borderId="36" xfId="0" applyNumberFormat="1" applyFont="1" applyFill="1" applyBorder="1" applyAlignment="1" applyProtection="1">
      <alignment horizontal="center" vertical="center"/>
      <protection locked="0"/>
    </xf>
    <xf numFmtId="192" fontId="11" fillId="0" borderId="37" xfId="59" applyNumberFormat="1" applyFont="1" applyFill="1" applyBorder="1" applyAlignment="1" applyProtection="1">
      <alignment vertical="center"/>
      <protection/>
    </xf>
    <xf numFmtId="192" fontId="11" fillId="0" borderId="12" xfId="42" applyNumberFormat="1" applyFont="1" applyFill="1" applyBorder="1" applyAlignment="1" applyProtection="1">
      <alignment vertical="center"/>
      <protection/>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200" fontId="11" fillId="0" borderId="13"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59"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pplyProtection="1">
      <alignment horizontal="right" vertical="center"/>
      <protection locked="0"/>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0" fontId="11" fillId="0" borderId="26" xfId="0" applyNumberFormat="1" applyFont="1" applyFill="1" applyBorder="1" applyAlignment="1">
      <alignment horizontal="left" vertical="center"/>
    </xf>
    <xf numFmtId="184" fontId="11" fillId="0" borderId="27" xfId="0" applyNumberFormat="1" applyFont="1" applyFill="1" applyBorder="1" applyAlignment="1">
      <alignment horizontal="center" vertical="center"/>
    </xf>
    <xf numFmtId="0" fontId="11" fillId="0" borderId="27" xfId="0" applyNumberFormat="1" applyFont="1" applyFill="1" applyBorder="1" applyAlignment="1">
      <alignment horizontal="left" vertical="center"/>
    </xf>
    <xf numFmtId="0" fontId="11" fillId="0" borderId="27" xfId="0" applyNumberFormat="1" applyFont="1" applyFill="1" applyBorder="1" applyAlignment="1">
      <alignment horizontal="center" vertical="center"/>
    </xf>
    <xf numFmtId="200" fontId="28" fillId="0" borderId="27" xfId="0" applyNumberFormat="1" applyFont="1" applyFill="1" applyBorder="1" applyAlignment="1">
      <alignment horizontal="right" vertical="center"/>
    </xf>
    <xf numFmtId="193" fontId="28" fillId="0" borderId="27" xfId="0" applyNumberFormat="1" applyFont="1" applyFill="1" applyBorder="1" applyAlignment="1">
      <alignment horizontal="right" vertical="center"/>
    </xf>
    <xf numFmtId="193" fontId="11" fillId="0" borderId="27" xfId="0" applyNumberFormat="1" applyFont="1" applyFill="1" applyBorder="1" applyAlignment="1" applyProtection="1">
      <alignment horizontal="right" vertical="center"/>
      <protection/>
    </xf>
    <xf numFmtId="192" fontId="11" fillId="0" borderId="27" xfId="0" applyNumberFormat="1" applyFont="1" applyFill="1" applyBorder="1" applyAlignment="1" applyProtection="1">
      <alignment vertical="center"/>
      <protection/>
    </xf>
    <xf numFmtId="200" fontId="11" fillId="0" borderId="27" xfId="0" applyNumberFormat="1" applyFont="1" applyFill="1" applyBorder="1" applyAlignment="1">
      <alignment horizontal="right" vertical="center"/>
    </xf>
    <xf numFmtId="193" fontId="11" fillId="0" borderId="27" xfId="0" applyNumberFormat="1" applyFont="1" applyFill="1" applyBorder="1" applyAlignment="1">
      <alignment horizontal="right" vertical="center"/>
    </xf>
    <xf numFmtId="192" fontId="11" fillId="0" borderId="28" xfId="0" applyNumberFormat="1" applyFont="1" applyFill="1" applyBorder="1" applyAlignment="1" applyProtection="1">
      <alignmen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0" fontId="11" fillId="0" borderId="15" xfId="0" applyNumberFormat="1" applyFont="1" applyFill="1" applyBorder="1" applyAlignment="1">
      <alignment horizontal="left" vertical="center"/>
    </xf>
    <xf numFmtId="0" fontId="11" fillId="0" borderId="35" xfId="0" applyNumberFormat="1" applyFont="1" applyFill="1" applyBorder="1" applyAlignment="1" applyProtection="1">
      <alignment horizontal="left" vertical="center"/>
      <protection locked="0"/>
    </xf>
    <xf numFmtId="0" fontId="11" fillId="0" borderId="36" xfId="0" applyNumberFormat="1" applyFont="1" applyFill="1" applyBorder="1" applyAlignment="1" applyProtection="1">
      <alignment horizontal="left" vertical="center"/>
      <protection locked="0"/>
    </xf>
    <xf numFmtId="0" fontId="11" fillId="0" borderId="36" xfId="0" applyNumberFormat="1" applyFont="1" applyFill="1" applyBorder="1" applyAlignment="1" applyProtection="1">
      <alignment horizontal="center" vertical="center"/>
      <protection locked="0"/>
    </xf>
    <xf numFmtId="200" fontId="28" fillId="0" borderId="36" xfId="42" applyNumberFormat="1" applyFont="1" applyFill="1" applyBorder="1" applyAlignment="1" applyProtection="1">
      <alignment horizontal="right" vertical="center"/>
      <protection locked="0"/>
    </xf>
    <xf numFmtId="193" fontId="28" fillId="0" borderId="36" xfId="42" applyNumberFormat="1" applyFont="1" applyFill="1" applyBorder="1" applyAlignment="1" applyProtection="1">
      <alignment horizontal="right" vertical="center"/>
      <protection locked="0"/>
    </xf>
    <xf numFmtId="193" fontId="11" fillId="0" borderId="36" xfId="59" applyNumberFormat="1" applyFont="1" applyFill="1" applyBorder="1" applyAlignment="1" applyProtection="1">
      <alignment horizontal="right" vertical="center"/>
      <protection/>
    </xf>
    <xf numFmtId="192" fontId="11" fillId="0" borderId="36" xfId="59" applyNumberFormat="1" applyFont="1" applyFill="1" applyBorder="1" applyAlignment="1" applyProtection="1">
      <alignment vertical="center"/>
      <protection/>
    </xf>
    <xf numFmtId="200" fontId="11" fillId="0" borderId="36" xfId="42" applyNumberFormat="1" applyFont="1" applyFill="1" applyBorder="1" applyAlignment="1" applyProtection="1">
      <alignment horizontal="right" vertical="center"/>
      <protection locked="0"/>
    </xf>
    <xf numFmtId="193" fontId="11" fillId="0" borderId="36" xfId="42" applyNumberFormat="1" applyFont="1" applyFill="1" applyBorder="1" applyAlignment="1" applyProtection="1">
      <alignment horizontal="right" vertical="center"/>
      <protection locked="0"/>
    </xf>
    <xf numFmtId="0" fontId="13" fillId="0" borderId="24" xfId="0" applyNumberFormat="1" applyFont="1" applyFill="1" applyBorder="1" applyAlignment="1" applyProtection="1">
      <alignment vertical="center"/>
      <protection locked="0"/>
    </xf>
    <xf numFmtId="0" fontId="11" fillId="0" borderId="38" xfId="0" applyNumberFormat="1" applyFont="1" applyFill="1" applyBorder="1" applyAlignment="1" applyProtection="1">
      <alignment horizontal="left" vertical="center"/>
      <protection locked="0"/>
    </xf>
    <xf numFmtId="0" fontId="11" fillId="0" borderId="11" xfId="0" applyNumberFormat="1" applyFont="1" applyFill="1" applyBorder="1" applyAlignment="1" applyProtection="1">
      <alignment horizontal="left" vertical="center"/>
      <protection locked="0"/>
    </xf>
    <xf numFmtId="0" fontId="11" fillId="0" borderId="11" xfId="0" applyNumberFormat="1" applyFont="1" applyFill="1" applyBorder="1" applyAlignment="1" applyProtection="1">
      <alignment horizontal="center" vertical="center"/>
      <protection locked="0"/>
    </xf>
    <xf numFmtId="200" fontId="28" fillId="0" borderId="11" xfId="42" applyNumberFormat="1" applyFont="1" applyFill="1" applyBorder="1" applyAlignment="1" applyProtection="1">
      <alignment horizontal="right" vertical="center"/>
      <protection locked="0"/>
    </xf>
    <xf numFmtId="193" fontId="28" fillId="0" borderId="11" xfId="42" applyNumberFormat="1" applyFont="1" applyFill="1" applyBorder="1" applyAlignment="1" applyProtection="1">
      <alignment horizontal="right" vertical="center"/>
      <protection locked="0"/>
    </xf>
    <xf numFmtId="193" fontId="11" fillId="0" borderId="11" xfId="42" applyNumberFormat="1" applyFont="1" applyFill="1" applyBorder="1" applyAlignment="1" applyProtection="1">
      <alignment horizontal="right" vertical="center"/>
      <protection/>
    </xf>
    <xf numFmtId="192" fontId="11" fillId="0" borderId="11" xfId="42" applyNumberFormat="1" applyFont="1" applyFill="1" applyBorder="1" applyAlignment="1" applyProtection="1">
      <alignment vertical="center"/>
      <protection/>
    </xf>
    <xf numFmtId="200" fontId="11" fillId="0" borderId="11" xfId="42" applyNumberFormat="1" applyFont="1" applyFill="1" applyBorder="1" applyAlignment="1" applyProtection="1">
      <alignment horizontal="right" vertical="center"/>
      <protection locked="0"/>
    </xf>
    <xf numFmtId="193" fontId="11" fillId="0" borderId="11" xfId="42" applyNumberFormat="1" applyFont="1" applyFill="1" applyBorder="1" applyAlignment="1" applyProtection="1">
      <alignment horizontal="right" vertical="center"/>
      <protection locked="0"/>
    </xf>
    <xf numFmtId="0" fontId="11" fillId="0" borderId="39" xfId="0" applyNumberFormat="1" applyFont="1" applyFill="1" applyBorder="1" applyAlignment="1">
      <alignment horizontal="left" vertical="center"/>
    </xf>
    <xf numFmtId="184" fontId="11" fillId="0" borderId="40" xfId="0" applyNumberFormat="1" applyFont="1" applyFill="1" applyBorder="1" applyAlignment="1">
      <alignment horizontal="center" vertical="center"/>
    </xf>
    <xf numFmtId="0" fontId="11" fillId="0" borderId="40" xfId="0" applyNumberFormat="1" applyFont="1" applyFill="1" applyBorder="1" applyAlignment="1">
      <alignment horizontal="left" vertical="center"/>
    </xf>
    <xf numFmtId="0" fontId="11" fillId="0" borderId="40" xfId="0" applyNumberFormat="1" applyFont="1" applyFill="1" applyBorder="1" applyAlignment="1">
      <alignment horizontal="center" vertical="center"/>
    </xf>
    <xf numFmtId="200" fontId="28" fillId="0" borderId="40" xfId="0" applyNumberFormat="1" applyFont="1" applyFill="1" applyBorder="1" applyAlignment="1">
      <alignment horizontal="right" vertical="center"/>
    </xf>
    <xf numFmtId="193" fontId="28" fillId="0" borderId="40" xfId="0" applyNumberFormat="1" applyFont="1" applyFill="1" applyBorder="1" applyAlignment="1">
      <alignment horizontal="right" vertical="center"/>
    </xf>
    <xf numFmtId="193" fontId="11" fillId="0" borderId="40" xfId="0" applyNumberFormat="1" applyFont="1" applyFill="1" applyBorder="1" applyAlignment="1" applyProtection="1">
      <alignment horizontal="right" vertical="center"/>
      <protection/>
    </xf>
    <xf numFmtId="192" fontId="11" fillId="0" borderId="40" xfId="0" applyNumberFormat="1" applyFont="1" applyFill="1" applyBorder="1" applyAlignment="1" applyProtection="1">
      <alignment vertical="center"/>
      <protection/>
    </xf>
    <xf numFmtId="200" fontId="11" fillId="0" borderId="40" xfId="0" applyNumberFormat="1" applyFont="1" applyFill="1" applyBorder="1" applyAlignment="1">
      <alignment horizontal="right" vertical="center"/>
    </xf>
    <xf numFmtId="193" fontId="11" fillId="0" borderId="40" xfId="0" applyNumberFormat="1" applyFont="1" applyFill="1" applyBorder="1" applyAlignment="1">
      <alignment horizontal="right" vertical="center"/>
    </xf>
    <xf numFmtId="192" fontId="11" fillId="0" borderId="41" xfId="0" applyNumberFormat="1" applyFont="1" applyFill="1" applyBorder="1" applyAlignment="1" applyProtection="1">
      <alignment vertical="center"/>
      <protection/>
    </xf>
    <xf numFmtId="0" fontId="51" fillId="0" borderId="15" xfId="0" applyNumberFormat="1" applyFont="1" applyFill="1" applyBorder="1" applyAlignment="1">
      <alignment horizontal="left" vertical="center"/>
    </xf>
    <xf numFmtId="193" fontId="11" fillId="0" borderId="13" xfId="42" applyNumberFormat="1" applyFont="1" applyFill="1" applyBorder="1" applyAlignment="1" applyProtection="1">
      <alignment vertical="center"/>
      <protection locked="0"/>
    </xf>
    <xf numFmtId="200" fontId="28" fillId="0" borderId="27" xfId="42" applyNumberFormat="1" applyFont="1" applyFill="1" applyBorder="1" applyAlignment="1" applyProtection="1">
      <alignment horizontal="right" vertical="center"/>
      <protection/>
    </xf>
    <xf numFmtId="200" fontId="28" fillId="0" borderId="36" xfId="42" applyNumberFormat="1" applyFont="1" applyFill="1" applyBorder="1" applyAlignment="1" applyProtection="1">
      <alignment horizontal="right" vertical="center"/>
      <protection/>
    </xf>
    <xf numFmtId="193" fontId="28" fillId="0" borderId="36" xfId="0" applyNumberFormat="1" applyFont="1" applyFill="1" applyBorder="1" applyAlignment="1">
      <alignment horizontal="right" vertical="center"/>
    </xf>
    <xf numFmtId="0" fontId="11" fillId="0" borderId="38" xfId="0" applyNumberFormat="1" applyFont="1" applyFill="1" applyBorder="1" applyAlignment="1">
      <alignment horizontal="left" vertical="center"/>
    </xf>
    <xf numFmtId="0" fontId="11" fillId="0" borderId="11" xfId="0" applyNumberFormat="1" applyFont="1" applyFill="1" applyBorder="1" applyAlignment="1">
      <alignment horizontal="left" vertical="center"/>
    </xf>
    <xf numFmtId="0" fontId="11" fillId="0" borderId="11" xfId="0" applyNumberFormat="1" applyFont="1" applyFill="1" applyBorder="1" applyAlignment="1">
      <alignment horizontal="center" vertical="center"/>
    </xf>
    <xf numFmtId="200" fontId="28" fillId="0" borderId="11" xfId="0" applyNumberFormat="1" applyFont="1" applyFill="1" applyBorder="1" applyAlignment="1">
      <alignment horizontal="right" vertical="center"/>
    </xf>
    <xf numFmtId="193" fontId="28" fillId="0" borderId="11" xfId="0" applyNumberFormat="1" applyFont="1" applyFill="1" applyBorder="1" applyAlignment="1">
      <alignment horizontal="right" vertical="center"/>
    </xf>
    <xf numFmtId="192" fontId="11" fillId="0" borderId="12" xfId="0" applyNumberFormat="1" applyFont="1" applyFill="1" applyBorder="1" applyAlignment="1" applyProtection="1">
      <alignment vertical="center"/>
      <protection/>
    </xf>
    <xf numFmtId="200" fontId="28" fillId="0" borderId="40" xfId="42" applyNumberFormat="1" applyFont="1" applyFill="1" applyBorder="1" applyAlignment="1" applyProtection="1">
      <alignment horizontal="right" vertical="center"/>
      <protection locked="0"/>
    </xf>
    <xf numFmtId="193" fontId="28" fillId="0" borderId="40" xfId="42" applyNumberFormat="1" applyFont="1" applyFill="1" applyBorder="1" applyAlignment="1" applyProtection="1">
      <alignment horizontal="right" vertical="center"/>
      <protection locked="0"/>
    </xf>
    <xf numFmtId="200" fontId="22" fillId="0" borderId="42" xfId="0" applyNumberFormat="1" applyFont="1" applyFill="1" applyBorder="1" applyAlignment="1" applyProtection="1">
      <alignment horizontal="center" vertical="center" wrapText="1"/>
      <protection/>
    </xf>
    <xf numFmtId="193" fontId="22" fillId="0" borderId="42" xfId="0" applyNumberFormat="1" applyFont="1" applyFill="1" applyBorder="1" applyAlignment="1" applyProtection="1">
      <alignment horizontal="center" vertical="center" wrapText="1"/>
      <protection/>
    </xf>
    <xf numFmtId="0" fontId="45" fillId="33" borderId="33" xfId="0" applyFont="1" applyFill="1" applyBorder="1" applyAlignment="1" applyProtection="1">
      <alignment horizontal="center" vertical="center"/>
      <protection/>
    </xf>
    <xf numFmtId="0" fontId="46" fillId="0" borderId="33" xfId="0" applyFont="1" applyBorder="1" applyAlignment="1">
      <alignment/>
    </xf>
    <xf numFmtId="181" fontId="22" fillId="0" borderId="43" xfId="0" applyNumberFormat="1" applyFont="1" applyFill="1" applyBorder="1" applyAlignment="1" applyProtection="1">
      <alignment horizontal="center" vertical="center" wrapText="1"/>
      <protection/>
    </xf>
    <xf numFmtId="0" fontId="0" fillId="0" borderId="44" xfId="0" applyBorder="1" applyAlignment="1">
      <alignment/>
    </xf>
    <xf numFmtId="0" fontId="0" fillId="0" borderId="45" xfId="0" applyBorder="1" applyAlignment="1">
      <alignment/>
    </xf>
    <xf numFmtId="0" fontId="22" fillId="0" borderId="46" xfId="0" applyNumberFormat="1" applyFont="1" applyFill="1" applyBorder="1" applyAlignment="1" applyProtection="1">
      <alignment horizontal="center" vertical="center" wrapText="1"/>
      <protection/>
    </xf>
    <xf numFmtId="0" fontId="0" fillId="0" borderId="47" xfId="0" applyBorder="1" applyAlignment="1">
      <alignment/>
    </xf>
    <xf numFmtId="171" fontId="22" fillId="0" borderId="46" xfId="42" applyFont="1" applyFill="1" applyBorder="1" applyAlignment="1" applyProtection="1">
      <alignment horizontal="center" vertical="center" wrapText="1"/>
      <protection/>
    </xf>
    <xf numFmtId="0" fontId="22" fillId="0" borderId="46" xfId="0"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4" fontId="22" fillId="0" borderId="44" xfId="0" applyNumberFormat="1" applyFont="1" applyFill="1" applyBorder="1" applyAlignment="1" applyProtection="1">
      <alignment horizontal="center" vertical="center" wrapText="1"/>
      <protection/>
    </xf>
    <xf numFmtId="4" fontId="22" fillId="0" borderId="48" xfId="0" applyNumberFormat="1" applyFont="1" applyFill="1" applyBorder="1" applyAlignment="1" applyProtection="1">
      <alignment horizontal="center" vertical="center" wrapText="1"/>
      <protection/>
    </xf>
    <xf numFmtId="184" fontId="22" fillId="0" borderId="46"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9" xfId="0" applyFont="1" applyFill="1" applyBorder="1" applyAlignment="1">
      <alignment horizontal="right" vertical="center"/>
    </xf>
    <xf numFmtId="0" fontId="0" fillId="0" borderId="50"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33" xfId="0"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2" fillId="0" borderId="52" xfId="0" applyNumberFormat="1" applyFont="1" applyFill="1" applyBorder="1" applyAlignment="1">
      <alignment horizontal="center" vertical="center" wrapText="1"/>
    </xf>
    <xf numFmtId="0" fontId="22" fillId="0" borderId="46" xfId="0" applyNumberFormat="1" applyFont="1" applyFill="1" applyBorder="1" applyAlignment="1">
      <alignment horizontal="center" vertical="center" wrapText="1"/>
    </xf>
    <xf numFmtId="0" fontId="22" fillId="0" borderId="53" xfId="0" applyNumberFormat="1" applyFont="1" applyFill="1" applyBorder="1" applyAlignment="1">
      <alignment horizontal="center" vertical="center" wrapText="1"/>
    </xf>
    <xf numFmtId="0" fontId="22" fillId="0" borderId="53" xfId="0" applyNumberFormat="1" applyFont="1" applyFill="1" applyBorder="1" applyAlignment="1" applyProtection="1">
      <alignment horizontal="center" vertical="center" wrapText="1"/>
      <protection/>
    </xf>
    <xf numFmtId="0" fontId="22" fillId="0" borderId="43" xfId="0" applyNumberFormat="1" applyFont="1" applyFill="1" applyBorder="1" applyAlignment="1" applyProtection="1">
      <alignment horizontal="center" vertical="center" wrapText="1"/>
      <protection/>
    </xf>
    <xf numFmtId="0" fontId="22" fillId="0" borderId="48" xfId="0" applyNumberFormat="1" applyFont="1" applyFill="1" applyBorder="1" applyAlignment="1" applyProtection="1">
      <alignment horizontal="center" vertical="center" wrapText="1"/>
      <protection/>
    </xf>
    <xf numFmtId="192" fontId="22" fillId="0" borderId="54" xfId="0" applyNumberFormat="1" applyFont="1" applyFill="1" applyBorder="1" applyAlignment="1" applyProtection="1">
      <alignment horizontal="center" vertical="center" wrapText="1"/>
      <protection/>
    </xf>
    <xf numFmtId="192" fontId="22" fillId="0" borderId="55"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6"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6" xfId="0" applyNumberFormat="1" applyFont="1" applyFill="1" applyBorder="1" applyAlignment="1" applyProtection="1">
      <alignment horizontal="center" vertical="center" wrapText="1"/>
      <protection/>
    </xf>
    <xf numFmtId="0" fontId="9" fillId="0" borderId="47" xfId="0" applyFont="1" applyBorder="1" applyAlignment="1">
      <alignment horizontal="center" vertical="center" wrapText="1"/>
    </xf>
    <xf numFmtId="2" fontId="35" fillId="0" borderId="56" xfId="0" applyNumberFormat="1" applyFont="1" applyFill="1" applyBorder="1" applyAlignment="1" applyProtection="1">
      <alignment horizontal="center" vertical="center" wrapText="1"/>
      <protection/>
    </xf>
    <xf numFmtId="2" fontId="35" fillId="0" borderId="57" xfId="0" applyNumberFormat="1" applyFont="1" applyFill="1" applyBorder="1" applyAlignment="1" applyProtection="1">
      <alignment horizontal="center" vertical="center" wrapText="1"/>
      <protection/>
    </xf>
    <xf numFmtId="0" fontId="35" fillId="0" borderId="56" xfId="0" applyFont="1" applyFill="1" applyBorder="1" applyAlignment="1" applyProtection="1">
      <alignment horizontal="center" vertical="center" wrapText="1"/>
      <protection/>
    </xf>
    <xf numFmtId="2" fontId="49" fillId="34" borderId="33" xfId="0" applyNumberFormat="1" applyFont="1" applyFill="1" applyBorder="1" applyAlignment="1">
      <alignment horizontal="center" vertical="center" wrapText="1"/>
    </xf>
    <xf numFmtId="2" fontId="41" fillId="34" borderId="33" xfId="0" applyNumberFormat="1" applyFont="1" applyFill="1" applyBorder="1" applyAlignment="1">
      <alignment vertical="center" wrapText="1"/>
    </xf>
    <xf numFmtId="2" fontId="9" fillId="34" borderId="33"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8" xfId="42" applyFont="1" applyFill="1" applyBorder="1" applyAlignment="1" applyProtection="1">
      <alignment horizontal="center" vertical="center" wrapText="1"/>
      <protection/>
    </xf>
    <xf numFmtId="0" fontId="9" fillId="0" borderId="59" xfId="0" applyFont="1" applyBorder="1" applyAlignment="1">
      <alignment horizontal="center" vertical="center"/>
    </xf>
    <xf numFmtId="184" fontId="35" fillId="0" borderId="56"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32"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32"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430655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9</xdr:col>
      <xdr:colOff>295275</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391775" y="333375"/>
          <a:ext cx="3838575"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04
</a:t>
          </a:r>
          <a:r>
            <a:rPr lang="en-US" cap="none" sz="2000" b="0" i="0" u="none" baseline="0">
              <a:solidFill>
                <a:srgbClr val="000000"/>
              </a:solidFill>
              <a:latin typeface="Impact"/>
              <a:ea typeface="Impact"/>
              <a:cs typeface="Impact"/>
            </a:rPr>
            <a:t>23-29 JANUARY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200775"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94"/>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5.28125" style="26" bestFit="1" customWidth="1"/>
    <col min="2" max="2" width="51.8515625" style="4" customWidth="1"/>
    <col min="3" max="3" width="9.7109375" style="12" customWidth="1"/>
    <col min="4" max="4" width="16.00390625" style="15" customWidth="1"/>
    <col min="5" max="5" width="24.421875" style="15" bestFit="1" customWidth="1"/>
    <col min="6" max="6" width="7.140625" style="6" bestFit="1" customWidth="1"/>
    <col min="7" max="7" width="8.7109375" style="6" customWidth="1"/>
    <col min="8" max="8" width="10.7109375" style="6" customWidth="1"/>
    <col min="9" max="9" width="17.57421875" style="70" bestFit="1" customWidth="1"/>
    <col min="10" max="10" width="12.421875" style="116" bestFit="1" customWidth="1"/>
    <col min="11" max="11" width="8.7109375" style="116" customWidth="1"/>
    <col min="12" max="12" width="7.421875" style="22" customWidth="1"/>
    <col min="13" max="13" width="15.8515625" style="74" bestFit="1" customWidth="1"/>
    <col min="14" max="14" width="11.57421875" style="79" bestFit="1" customWidth="1"/>
    <col min="15" max="15" width="7.421875" style="22" customWidth="1"/>
    <col min="16" max="16" width="3.00390625" style="133"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133"/>
    </row>
    <row r="2" spans="1:16" s="9" customFormat="1" ht="27.75" thickBot="1">
      <c r="A2" s="375" t="s">
        <v>128</v>
      </c>
      <c r="B2" s="376"/>
      <c r="C2" s="376"/>
      <c r="D2" s="376"/>
      <c r="E2" s="376"/>
      <c r="F2" s="376"/>
      <c r="G2" s="376"/>
      <c r="H2" s="376"/>
      <c r="I2" s="376"/>
      <c r="J2" s="376"/>
      <c r="K2" s="376"/>
      <c r="L2" s="376"/>
      <c r="M2" s="376"/>
      <c r="N2" s="376"/>
      <c r="O2" s="376"/>
      <c r="P2" s="133"/>
    </row>
    <row r="3" spans="1:16" s="91" customFormat="1" ht="16.5">
      <c r="A3" s="28"/>
      <c r="B3" s="382" t="s">
        <v>3</v>
      </c>
      <c r="C3" s="387" t="s">
        <v>116</v>
      </c>
      <c r="D3" s="383" t="s">
        <v>132</v>
      </c>
      <c r="E3" s="383" t="s">
        <v>131</v>
      </c>
      <c r="F3" s="380" t="s">
        <v>117</v>
      </c>
      <c r="G3" s="380" t="s">
        <v>124</v>
      </c>
      <c r="H3" s="380" t="s">
        <v>126</v>
      </c>
      <c r="I3" s="384" t="s">
        <v>118</v>
      </c>
      <c r="J3" s="385"/>
      <c r="K3" s="385"/>
      <c r="L3" s="386"/>
      <c r="M3" s="377" t="s">
        <v>119</v>
      </c>
      <c r="N3" s="378"/>
      <c r="O3" s="379"/>
      <c r="P3" s="134"/>
    </row>
    <row r="4" spans="1:16" s="91" customFormat="1" ht="43.5" thickBot="1">
      <c r="A4" s="84"/>
      <c r="B4" s="381"/>
      <c r="C4" s="381"/>
      <c r="D4" s="381"/>
      <c r="E4" s="381"/>
      <c r="F4" s="381"/>
      <c r="G4" s="381"/>
      <c r="H4" s="381"/>
      <c r="I4" s="118" t="s">
        <v>120</v>
      </c>
      <c r="J4" s="92" t="s">
        <v>121</v>
      </c>
      <c r="K4" s="92" t="s">
        <v>104</v>
      </c>
      <c r="L4" s="51" t="s">
        <v>122</v>
      </c>
      <c r="M4" s="118" t="s">
        <v>120</v>
      </c>
      <c r="N4" s="92" t="s">
        <v>121</v>
      </c>
      <c r="O4" s="52" t="s">
        <v>123</v>
      </c>
      <c r="P4" s="134"/>
    </row>
    <row r="5" spans="1:16" s="3" customFormat="1" ht="15">
      <c r="A5" s="63">
        <v>1</v>
      </c>
      <c r="B5" s="316" t="s">
        <v>155</v>
      </c>
      <c r="C5" s="317">
        <v>39836</v>
      </c>
      <c r="D5" s="318" t="s">
        <v>135</v>
      </c>
      <c r="E5" s="318" t="s">
        <v>156</v>
      </c>
      <c r="F5" s="319">
        <v>180</v>
      </c>
      <c r="G5" s="319">
        <v>180</v>
      </c>
      <c r="H5" s="319">
        <v>1</v>
      </c>
      <c r="I5" s="320">
        <v>1758644.5</v>
      </c>
      <c r="J5" s="321">
        <v>205635</v>
      </c>
      <c r="K5" s="322">
        <f>J5/G5</f>
        <v>1142.4166666666667</v>
      </c>
      <c r="L5" s="323">
        <f>I5/J5</f>
        <v>8.552262503951175</v>
      </c>
      <c r="M5" s="324">
        <f>1758644.5</f>
        <v>1758644.5</v>
      </c>
      <c r="N5" s="325">
        <f>205635</f>
        <v>205635</v>
      </c>
      <c r="O5" s="326">
        <f>M5/N5</f>
        <v>8.552262503951175</v>
      </c>
      <c r="P5" s="339">
        <v>1</v>
      </c>
    </row>
    <row r="6" spans="1:16" s="3" customFormat="1" ht="15">
      <c r="A6" s="63">
        <v>2</v>
      </c>
      <c r="B6" s="53" t="s">
        <v>5</v>
      </c>
      <c r="C6" s="39">
        <v>39829</v>
      </c>
      <c r="D6" s="132" t="s">
        <v>139</v>
      </c>
      <c r="E6" s="132" t="s">
        <v>157</v>
      </c>
      <c r="F6" s="50">
        <v>169</v>
      </c>
      <c r="G6" s="50">
        <v>169</v>
      </c>
      <c r="H6" s="50">
        <v>2</v>
      </c>
      <c r="I6" s="300">
        <v>1038619.5</v>
      </c>
      <c r="J6" s="301">
        <v>137741</v>
      </c>
      <c r="K6" s="302">
        <f>IF(I6&lt;&gt;0,J6/G6,"")</f>
        <v>815.0355029585799</v>
      </c>
      <c r="L6" s="163">
        <f>IF(I6&lt;&gt;0,I6/J6,"")</f>
        <v>7.540380133729245</v>
      </c>
      <c r="M6" s="303">
        <v>2336469</v>
      </c>
      <c r="N6" s="299">
        <v>315004</v>
      </c>
      <c r="O6" s="104">
        <f>IF(M6&lt;&gt;0,M6/N6,"")</f>
        <v>7.417267717235337</v>
      </c>
      <c r="P6" s="339">
        <v>1</v>
      </c>
    </row>
    <row r="7" spans="1:16" s="3" customFormat="1" ht="15">
      <c r="A7" s="124">
        <v>3</v>
      </c>
      <c r="B7" s="349" t="s">
        <v>158</v>
      </c>
      <c r="C7" s="350">
        <v>39836</v>
      </c>
      <c r="D7" s="351" t="s">
        <v>134</v>
      </c>
      <c r="E7" s="351" t="s">
        <v>44</v>
      </c>
      <c r="F7" s="352">
        <v>108</v>
      </c>
      <c r="G7" s="352">
        <v>109</v>
      </c>
      <c r="H7" s="352">
        <v>1</v>
      </c>
      <c r="I7" s="353">
        <v>923740</v>
      </c>
      <c r="J7" s="354">
        <v>107498</v>
      </c>
      <c r="K7" s="355">
        <f>J7/G7</f>
        <v>986.2201834862385</v>
      </c>
      <c r="L7" s="356">
        <f>I7/J7</f>
        <v>8.593090104001934</v>
      </c>
      <c r="M7" s="357">
        <v>923740</v>
      </c>
      <c r="N7" s="358">
        <v>107498</v>
      </c>
      <c r="O7" s="359">
        <f>M7/N7</f>
        <v>8.593090104001934</v>
      </c>
      <c r="P7" s="339"/>
    </row>
    <row r="8" spans="1:16" s="3" customFormat="1" ht="15">
      <c r="A8" s="64">
        <v>4</v>
      </c>
      <c r="B8" s="340" t="s">
        <v>6</v>
      </c>
      <c r="C8" s="158">
        <v>39829</v>
      </c>
      <c r="D8" s="341" t="s">
        <v>133</v>
      </c>
      <c r="E8" s="341" t="s">
        <v>125</v>
      </c>
      <c r="F8" s="342">
        <v>91</v>
      </c>
      <c r="G8" s="342">
        <v>90</v>
      </c>
      <c r="H8" s="342">
        <v>2</v>
      </c>
      <c r="I8" s="343">
        <f>899041+1833</f>
        <v>900874</v>
      </c>
      <c r="J8" s="344">
        <f>93782-9</f>
        <v>93773</v>
      </c>
      <c r="K8" s="345">
        <f>J8/G8</f>
        <v>1041.9222222222222</v>
      </c>
      <c r="L8" s="346">
        <f>I8/J8</f>
        <v>9.606965757734102</v>
      </c>
      <c r="M8" s="347">
        <f>1185400+899041+1833</f>
        <v>2086274</v>
      </c>
      <c r="N8" s="348">
        <f>128777+93782-9</f>
        <v>222550</v>
      </c>
      <c r="O8" s="291">
        <f>+M8/N8</f>
        <v>9.374405751516512</v>
      </c>
      <c r="P8" s="339"/>
    </row>
    <row r="9" spans="1:16" s="7" customFormat="1" ht="15">
      <c r="A9" s="63">
        <v>5</v>
      </c>
      <c r="B9" s="327" t="s">
        <v>7</v>
      </c>
      <c r="C9" s="39">
        <v>39829</v>
      </c>
      <c r="D9" s="132" t="s">
        <v>137</v>
      </c>
      <c r="E9" s="292" t="s">
        <v>35</v>
      </c>
      <c r="F9" s="293">
        <v>80</v>
      </c>
      <c r="G9" s="293">
        <v>80</v>
      </c>
      <c r="H9" s="293">
        <v>2</v>
      </c>
      <c r="I9" s="304">
        <v>672566</v>
      </c>
      <c r="J9" s="305">
        <v>71043</v>
      </c>
      <c r="K9" s="306">
        <f>(J9/G9)</f>
        <v>888.0375</v>
      </c>
      <c r="L9" s="169">
        <f>I9/J9</f>
        <v>9.46702701180975</v>
      </c>
      <c r="M9" s="307">
        <f>783409.5+672566</f>
        <v>1455975.5</v>
      </c>
      <c r="N9" s="308">
        <f>86363+71043</f>
        <v>157406</v>
      </c>
      <c r="O9" s="105">
        <f>M9/N9</f>
        <v>9.249809410060607</v>
      </c>
      <c r="P9" s="339"/>
    </row>
    <row r="10" spans="1:16" s="7" customFormat="1" ht="15">
      <c r="A10" s="63">
        <v>6</v>
      </c>
      <c r="B10" s="53" t="s">
        <v>159</v>
      </c>
      <c r="C10" s="39">
        <v>39836</v>
      </c>
      <c r="D10" s="132" t="s">
        <v>139</v>
      </c>
      <c r="E10" s="132" t="s">
        <v>160</v>
      </c>
      <c r="F10" s="50">
        <v>86</v>
      </c>
      <c r="G10" s="50">
        <v>86</v>
      </c>
      <c r="H10" s="50">
        <v>1</v>
      </c>
      <c r="I10" s="300">
        <v>635620.5</v>
      </c>
      <c r="J10" s="301">
        <v>69058</v>
      </c>
      <c r="K10" s="302">
        <f>IF(I10&lt;&gt;0,J10/G10,"")</f>
        <v>803</v>
      </c>
      <c r="L10" s="163">
        <f>IF(I10&lt;&gt;0,I10/J10,"")</f>
        <v>9.20415447884387</v>
      </c>
      <c r="M10" s="303">
        <v>635620.5</v>
      </c>
      <c r="N10" s="299">
        <v>69058</v>
      </c>
      <c r="O10" s="104">
        <f>IF(M10&lt;&gt;0,M10/N10,"")</f>
        <v>9.20415447884387</v>
      </c>
      <c r="P10" s="339"/>
    </row>
    <row r="11" spans="1:16" s="7" customFormat="1" ht="15">
      <c r="A11" s="63">
        <v>7</v>
      </c>
      <c r="B11" s="53" t="s">
        <v>65</v>
      </c>
      <c r="C11" s="39">
        <v>39759</v>
      </c>
      <c r="D11" s="132" t="s">
        <v>66</v>
      </c>
      <c r="E11" s="132" t="s">
        <v>67</v>
      </c>
      <c r="F11" s="50">
        <v>141</v>
      </c>
      <c r="G11" s="50">
        <v>141</v>
      </c>
      <c r="H11" s="50">
        <v>12</v>
      </c>
      <c r="I11" s="304">
        <v>603833</v>
      </c>
      <c r="J11" s="305">
        <v>87195</v>
      </c>
      <c r="K11" s="306">
        <f>J11/G11</f>
        <v>618.4042553191489</v>
      </c>
      <c r="L11" s="169">
        <f>I11/J11</f>
        <v>6.925087447674752</v>
      </c>
      <c r="M11" s="307">
        <v>22640352</v>
      </c>
      <c r="N11" s="308">
        <v>2667669</v>
      </c>
      <c r="O11" s="105">
        <f>+M11/N11</f>
        <v>8.486941970686768</v>
      </c>
      <c r="P11" s="339">
        <v>1</v>
      </c>
    </row>
    <row r="12" spans="1:16" s="7" customFormat="1" ht="15">
      <c r="A12" s="63">
        <v>8</v>
      </c>
      <c r="B12" s="327" t="s">
        <v>8</v>
      </c>
      <c r="C12" s="40">
        <v>39829</v>
      </c>
      <c r="D12" s="292" t="s">
        <v>134</v>
      </c>
      <c r="E12" s="292" t="s">
        <v>9</v>
      </c>
      <c r="F12" s="293">
        <v>177</v>
      </c>
      <c r="G12" s="293">
        <v>178</v>
      </c>
      <c r="H12" s="293">
        <v>2</v>
      </c>
      <c r="I12" s="294">
        <v>579030</v>
      </c>
      <c r="J12" s="295">
        <v>75298</v>
      </c>
      <c r="K12" s="306">
        <f>J12/G12</f>
        <v>423.02247191011236</v>
      </c>
      <c r="L12" s="169">
        <f>I12/J12</f>
        <v>7.689845679832134</v>
      </c>
      <c r="M12" s="298">
        <v>1353112</v>
      </c>
      <c r="N12" s="299">
        <v>180518</v>
      </c>
      <c r="O12" s="105">
        <f>+M12/N12</f>
        <v>7.495717878549508</v>
      </c>
      <c r="P12" s="339">
        <v>1</v>
      </c>
    </row>
    <row r="13" spans="1:16" s="7" customFormat="1" ht="15">
      <c r="A13" s="63">
        <v>9</v>
      </c>
      <c r="B13" s="53" t="s">
        <v>87</v>
      </c>
      <c r="C13" s="39">
        <v>39822</v>
      </c>
      <c r="D13" s="132" t="s">
        <v>139</v>
      </c>
      <c r="E13" s="132" t="s">
        <v>88</v>
      </c>
      <c r="F13" s="50">
        <v>175</v>
      </c>
      <c r="G13" s="50">
        <v>168</v>
      </c>
      <c r="H13" s="50">
        <v>3</v>
      </c>
      <c r="I13" s="300">
        <v>491645</v>
      </c>
      <c r="J13" s="301">
        <v>66554</v>
      </c>
      <c r="K13" s="302">
        <f>IF(I13&lt;&gt;0,J13/G13,"")</f>
        <v>396.1547619047619</v>
      </c>
      <c r="L13" s="163">
        <f>IF(I13&lt;&gt;0,I13/J13,"")</f>
        <v>7.387159299215674</v>
      </c>
      <c r="M13" s="303">
        <v>3067090.5</v>
      </c>
      <c r="N13" s="299">
        <v>403391</v>
      </c>
      <c r="O13" s="104">
        <f>IF(M13&lt;&gt;0,M13/N13,"")</f>
        <v>7.60326953253791</v>
      </c>
      <c r="P13" s="339">
        <v>1</v>
      </c>
    </row>
    <row r="14" spans="1:16" s="7" customFormat="1" ht="15">
      <c r="A14" s="63">
        <v>10</v>
      </c>
      <c r="B14" s="327" t="s">
        <v>10</v>
      </c>
      <c r="C14" s="40">
        <v>39829</v>
      </c>
      <c r="D14" s="132" t="s">
        <v>137</v>
      </c>
      <c r="E14" s="292" t="s">
        <v>11</v>
      </c>
      <c r="F14" s="293">
        <v>65</v>
      </c>
      <c r="G14" s="293">
        <v>65</v>
      </c>
      <c r="H14" s="293">
        <v>2</v>
      </c>
      <c r="I14" s="304">
        <v>244842</v>
      </c>
      <c r="J14" s="305">
        <v>28966</v>
      </c>
      <c r="K14" s="306">
        <f>(J14/G14)</f>
        <v>445.6307692307692</v>
      </c>
      <c r="L14" s="169">
        <f>I14/J14</f>
        <v>8.45273769246703</v>
      </c>
      <c r="M14" s="307">
        <f>237023+244842</f>
        <v>481865</v>
      </c>
      <c r="N14" s="308">
        <f>25678+28966</f>
        <v>54644</v>
      </c>
      <c r="O14" s="105">
        <f>M14/N14</f>
        <v>8.818260010248151</v>
      </c>
      <c r="P14" s="339"/>
    </row>
    <row r="15" spans="1:16" s="7" customFormat="1" ht="15">
      <c r="A15" s="63">
        <v>11</v>
      </c>
      <c r="B15" s="327" t="s">
        <v>89</v>
      </c>
      <c r="C15" s="40">
        <v>39822</v>
      </c>
      <c r="D15" s="132" t="s">
        <v>137</v>
      </c>
      <c r="E15" s="292" t="s">
        <v>1</v>
      </c>
      <c r="F15" s="293">
        <v>37</v>
      </c>
      <c r="G15" s="293">
        <v>37</v>
      </c>
      <c r="H15" s="293">
        <v>3</v>
      </c>
      <c r="I15" s="304">
        <v>197166</v>
      </c>
      <c r="J15" s="305">
        <v>18194</v>
      </c>
      <c r="K15" s="306">
        <f>(J15/G15)</f>
        <v>491.72972972972974</v>
      </c>
      <c r="L15" s="169">
        <f>I15/J15</f>
        <v>10.836869297570628</v>
      </c>
      <c r="M15" s="307">
        <f>659650+421734+197166</f>
        <v>1278550</v>
      </c>
      <c r="N15" s="308">
        <f>60096+38612+18194</f>
        <v>116902</v>
      </c>
      <c r="O15" s="105">
        <f>M15/N15</f>
        <v>10.936938632358729</v>
      </c>
      <c r="P15" s="339"/>
    </row>
    <row r="16" spans="1:16" s="7" customFormat="1" ht="15">
      <c r="A16" s="63">
        <v>12</v>
      </c>
      <c r="B16" s="327" t="s">
        <v>90</v>
      </c>
      <c r="C16" s="40">
        <v>39822</v>
      </c>
      <c r="D16" s="292" t="s">
        <v>134</v>
      </c>
      <c r="E16" s="292" t="s">
        <v>44</v>
      </c>
      <c r="F16" s="293">
        <v>55</v>
      </c>
      <c r="G16" s="293">
        <v>55</v>
      </c>
      <c r="H16" s="293">
        <v>3</v>
      </c>
      <c r="I16" s="294">
        <v>185700</v>
      </c>
      <c r="J16" s="295">
        <v>20931</v>
      </c>
      <c r="K16" s="302">
        <f>+J16/G16</f>
        <v>380.56363636363636</v>
      </c>
      <c r="L16" s="163">
        <f>+I16/J16</f>
        <v>8.872008026372367</v>
      </c>
      <c r="M16" s="298">
        <v>1146232</v>
      </c>
      <c r="N16" s="299">
        <v>125079</v>
      </c>
      <c r="O16" s="104">
        <f>+M16/N16</f>
        <v>9.164064311355224</v>
      </c>
      <c r="P16" s="339"/>
    </row>
    <row r="17" spans="1:16" s="7" customFormat="1" ht="15">
      <c r="A17" s="63">
        <v>13</v>
      </c>
      <c r="B17" s="327" t="s">
        <v>25</v>
      </c>
      <c r="C17" s="40">
        <v>39808</v>
      </c>
      <c r="D17" s="292" t="s">
        <v>134</v>
      </c>
      <c r="E17" s="292" t="s">
        <v>114</v>
      </c>
      <c r="F17" s="293">
        <v>112</v>
      </c>
      <c r="G17" s="293">
        <v>49</v>
      </c>
      <c r="H17" s="293">
        <v>5</v>
      </c>
      <c r="I17" s="294">
        <v>120787</v>
      </c>
      <c r="J17" s="295">
        <v>12258</v>
      </c>
      <c r="K17" s="302">
        <f>+J17/G17</f>
        <v>250.16326530612244</v>
      </c>
      <c r="L17" s="163">
        <f>+I17/J17</f>
        <v>9.853728177516723</v>
      </c>
      <c r="M17" s="298">
        <v>1894077</v>
      </c>
      <c r="N17" s="299">
        <v>192963</v>
      </c>
      <c r="O17" s="103">
        <f>+M17/N17</f>
        <v>9.815752242657918</v>
      </c>
      <c r="P17" s="339"/>
    </row>
    <row r="18" spans="1:16" s="7" customFormat="1" ht="15">
      <c r="A18" s="63">
        <v>14</v>
      </c>
      <c r="B18" s="327" t="s">
        <v>12</v>
      </c>
      <c r="C18" s="40">
        <v>39829</v>
      </c>
      <c r="D18" s="292" t="s">
        <v>135</v>
      </c>
      <c r="E18" s="292" t="s">
        <v>13</v>
      </c>
      <c r="F18" s="293">
        <v>27</v>
      </c>
      <c r="G18" s="293">
        <v>27</v>
      </c>
      <c r="H18" s="293">
        <v>2</v>
      </c>
      <c r="I18" s="294">
        <v>104505</v>
      </c>
      <c r="J18" s="295">
        <v>9310</v>
      </c>
      <c r="K18" s="306">
        <f>J18/G18</f>
        <v>344.81481481481484</v>
      </c>
      <c r="L18" s="169">
        <f>I18/J18</f>
        <v>11.225026852846401</v>
      </c>
      <c r="M18" s="298">
        <f>186683.5+104505</f>
        <v>291188.5</v>
      </c>
      <c r="N18" s="299">
        <f>17611+9310</f>
        <v>26921</v>
      </c>
      <c r="O18" s="105">
        <f>+M18/N18</f>
        <v>10.816407265703354</v>
      </c>
      <c r="P18" s="339"/>
    </row>
    <row r="19" spans="1:16" s="7" customFormat="1" ht="15">
      <c r="A19" s="63">
        <v>15</v>
      </c>
      <c r="B19" s="53" t="s">
        <v>161</v>
      </c>
      <c r="C19" s="39">
        <v>39836</v>
      </c>
      <c r="D19" s="132" t="s">
        <v>4</v>
      </c>
      <c r="E19" s="132" t="s">
        <v>78</v>
      </c>
      <c r="F19" s="50">
        <v>30</v>
      </c>
      <c r="G19" s="50">
        <v>30</v>
      </c>
      <c r="H19" s="50">
        <v>1</v>
      </c>
      <c r="I19" s="304">
        <v>80412</v>
      </c>
      <c r="J19" s="305">
        <v>7594</v>
      </c>
      <c r="K19" s="302">
        <f>+J19/G19</f>
        <v>253.13333333333333</v>
      </c>
      <c r="L19" s="163">
        <f>+I19/J19</f>
        <v>10.588885962602054</v>
      </c>
      <c r="M19" s="307">
        <v>80412</v>
      </c>
      <c r="N19" s="308">
        <v>7594</v>
      </c>
      <c r="O19" s="104">
        <f>+M19/N19</f>
        <v>10.588885962602054</v>
      </c>
      <c r="P19" s="339"/>
    </row>
    <row r="20" spans="1:16" s="7" customFormat="1" ht="15">
      <c r="A20" s="63">
        <v>16</v>
      </c>
      <c r="B20" s="327" t="s">
        <v>142</v>
      </c>
      <c r="C20" s="40">
        <v>39787</v>
      </c>
      <c r="D20" s="292" t="s">
        <v>135</v>
      </c>
      <c r="E20" s="292" t="s">
        <v>143</v>
      </c>
      <c r="F20" s="293">
        <v>25</v>
      </c>
      <c r="G20" s="293">
        <v>25</v>
      </c>
      <c r="H20" s="293">
        <v>8</v>
      </c>
      <c r="I20" s="294">
        <v>60712.5</v>
      </c>
      <c r="J20" s="295">
        <v>11735</v>
      </c>
      <c r="K20" s="302">
        <f>+J20/G20</f>
        <v>469.4</v>
      </c>
      <c r="L20" s="163">
        <f>+I20/J20</f>
        <v>5.173625905411163</v>
      </c>
      <c r="M20" s="298">
        <f>9280968+4694050.5+1992628+1117778+528440.5+225948.5+100229.5+60712.5</f>
        <v>18000755.5</v>
      </c>
      <c r="N20" s="299">
        <f>1147876+614752+261380+141495+73035+33259+17736+11735</f>
        <v>2301268</v>
      </c>
      <c r="O20" s="104">
        <f>+M20/N20</f>
        <v>7.822103075348026</v>
      </c>
      <c r="P20" s="339">
        <v>1</v>
      </c>
    </row>
    <row r="21" spans="1:16" s="7" customFormat="1" ht="15">
      <c r="A21" s="63">
        <v>17</v>
      </c>
      <c r="B21" s="327" t="s">
        <v>162</v>
      </c>
      <c r="C21" s="40">
        <v>39836</v>
      </c>
      <c r="D21" s="132" t="s">
        <v>137</v>
      </c>
      <c r="E21" s="292" t="s">
        <v>163</v>
      </c>
      <c r="F21" s="293">
        <v>13</v>
      </c>
      <c r="G21" s="293">
        <v>13</v>
      </c>
      <c r="H21" s="293">
        <v>1</v>
      </c>
      <c r="I21" s="304">
        <v>57133.5</v>
      </c>
      <c r="J21" s="305">
        <v>5405</v>
      </c>
      <c r="K21" s="306">
        <f>(J21/G21)</f>
        <v>415.7692307692308</v>
      </c>
      <c r="L21" s="169">
        <f>I21/J21</f>
        <v>10.570490286771507</v>
      </c>
      <c r="M21" s="307">
        <f>57133.5</f>
        <v>57133.5</v>
      </c>
      <c r="N21" s="308">
        <f>5405</f>
        <v>5405</v>
      </c>
      <c r="O21" s="105">
        <f>M21/N21</f>
        <v>10.570490286771507</v>
      </c>
      <c r="P21" s="339">
        <v>1</v>
      </c>
    </row>
    <row r="22" spans="1:16" s="7" customFormat="1" ht="15">
      <c r="A22" s="63">
        <v>18</v>
      </c>
      <c r="B22" s="327" t="s">
        <v>150</v>
      </c>
      <c r="C22" s="40">
        <v>39801</v>
      </c>
      <c r="D22" s="132" t="s">
        <v>137</v>
      </c>
      <c r="E22" s="292" t="s">
        <v>151</v>
      </c>
      <c r="F22" s="293">
        <v>42</v>
      </c>
      <c r="G22" s="293">
        <v>35</v>
      </c>
      <c r="H22" s="293">
        <v>6</v>
      </c>
      <c r="I22" s="304">
        <v>49984</v>
      </c>
      <c r="J22" s="305">
        <v>7567</v>
      </c>
      <c r="K22" s="306">
        <f>(J22/G22)</f>
        <v>216.2</v>
      </c>
      <c r="L22" s="169">
        <f>I22/J22</f>
        <v>6.605523985727501</v>
      </c>
      <c r="M22" s="307">
        <f>295344+204961.5+145464.5+116108.5+111972.5+49984</f>
        <v>923835</v>
      </c>
      <c r="N22" s="308">
        <f>36142+24747+19417+15404+14719+7567</f>
        <v>117996</v>
      </c>
      <c r="O22" s="105">
        <f>M22/N22</f>
        <v>7.82937557205329</v>
      </c>
      <c r="P22" s="339">
        <v>1</v>
      </c>
    </row>
    <row r="23" spans="1:16" s="7" customFormat="1" ht="15">
      <c r="A23" s="63">
        <v>19</v>
      </c>
      <c r="B23" s="327" t="s">
        <v>26</v>
      </c>
      <c r="C23" s="40">
        <v>39808</v>
      </c>
      <c r="D23" s="132" t="s">
        <v>137</v>
      </c>
      <c r="E23" s="292" t="s">
        <v>136</v>
      </c>
      <c r="F23" s="293">
        <v>75</v>
      </c>
      <c r="G23" s="293">
        <v>29</v>
      </c>
      <c r="H23" s="293">
        <v>5</v>
      </c>
      <c r="I23" s="304">
        <v>34373.5</v>
      </c>
      <c r="J23" s="305">
        <v>4655</v>
      </c>
      <c r="K23" s="306">
        <f>(J23/G23)</f>
        <v>160.51724137931035</v>
      </c>
      <c r="L23" s="169">
        <f>I23/J23</f>
        <v>7.38421052631579</v>
      </c>
      <c r="M23" s="307">
        <f>681566+578530+317284.5+141025.5+34373.5</f>
        <v>1752779.5</v>
      </c>
      <c r="N23" s="308">
        <f>64102+57106+32401+16644+4655</f>
        <v>174908</v>
      </c>
      <c r="O23" s="105">
        <f>M23/N23</f>
        <v>10.021151119445651</v>
      </c>
      <c r="P23" s="339"/>
    </row>
    <row r="24" spans="1:16" s="7" customFormat="1" ht="15">
      <c r="A24" s="63">
        <v>20</v>
      </c>
      <c r="B24" s="53" t="s">
        <v>91</v>
      </c>
      <c r="C24" s="39">
        <v>39822</v>
      </c>
      <c r="D24" s="132" t="s">
        <v>133</v>
      </c>
      <c r="E24" s="132" t="s">
        <v>92</v>
      </c>
      <c r="F24" s="50">
        <v>59</v>
      </c>
      <c r="G24" s="50">
        <v>23</v>
      </c>
      <c r="H24" s="50">
        <v>3</v>
      </c>
      <c r="I24" s="304">
        <v>16774</v>
      </c>
      <c r="J24" s="305">
        <v>2888</v>
      </c>
      <c r="K24" s="306">
        <f>J24/G24</f>
        <v>125.56521739130434</v>
      </c>
      <c r="L24" s="169">
        <f>I24/J24</f>
        <v>5.808171745152355</v>
      </c>
      <c r="M24" s="307">
        <f>104780+59149-180+16774</f>
        <v>180523</v>
      </c>
      <c r="N24" s="308">
        <f>11200+7168-39+2888</f>
        <v>21217</v>
      </c>
      <c r="O24" s="105">
        <f>+M24/N24</f>
        <v>8.508413064995052</v>
      </c>
      <c r="P24" s="339"/>
    </row>
    <row r="25" spans="1:16" s="7" customFormat="1" ht="15">
      <c r="A25" s="63">
        <v>21</v>
      </c>
      <c r="B25" s="329" t="s">
        <v>45</v>
      </c>
      <c r="C25" s="40">
        <v>39780</v>
      </c>
      <c r="D25" s="292" t="s">
        <v>134</v>
      </c>
      <c r="E25" s="292" t="s">
        <v>130</v>
      </c>
      <c r="F25" s="293">
        <v>121</v>
      </c>
      <c r="G25" s="293">
        <v>16</v>
      </c>
      <c r="H25" s="293">
        <v>9</v>
      </c>
      <c r="I25" s="294">
        <v>16294</v>
      </c>
      <c r="J25" s="295">
        <v>3898</v>
      </c>
      <c r="K25" s="299">
        <f>J25/G25</f>
        <v>243.625</v>
      </c>
      <c r="L25" s="166">
        <f>+I25/J25</f>
        <v>4.1800923550538736</v>
      </c>
      <c r="M25" s="298">
        <v>3429888</v>
      </c>
      <c r="N25" s="299">
        <v>400341</v>
      </c>
      <c r="O25" s="103">
        <f>+M25/N25</f>
        <v>8.567416277623327</v>
      </c>
      <c r="P25" s="339"/>
    </row>
    <row r="26" spans="1:16" s="7" customFormat="1" ht="15">
      <c r="A26" s="63">
        <v>22</v>
      </c>
      <c r="B26" s="53" t="s">
        <v>23</v>
      </c>
      <c r="C26" s="39">
        <v>39808</v>
      </c>
      <c r="D26" s="132" t="s">
        <v>139</v>
      </c>
      <c r="E26" s="132" t="s">
        <v>24</v>
      </c>
      <c r="F26" s="50">
        <v>198</v>
      </c>
      <c r="G26" s="50">
        <v>30</v>
      </c>
      <c r="H26" s="50">
        <v>5</v>
      </c>
      <c r="I26" s="300">
        <v>15178.5</v>
      </c>
      <c r="J26" s="301">
        <v>3086</v>
      </c>
      <c r="K26" s="302">
        <f>IF(I26&lt;&gt;0,J26/G26,"")</f>
        <v>102.86666666666666</v>
      </c>
      <c r="L26" s="163">
        <f>IF(I26&lt;&gt;0,I26/J26,"")</f>
        <v>4.91850291639663</v>
      </c>
      <c r="M26" s="303">
        <f>909072+532572.5+214521.5+64908+15178.5</f>
        <v>1736252.5</v>
      </c>
      <c r="N26" s="299">
        <f>112486+67146+29772+10700+3086</f>
        <v>223190</v>
      </c>
      <c r="O26" s="104">
        <f>IF(M26&lt;&gt;0,M26/N26,"")</f>
        <v>7.779257583225055</v>
      </c>
      <c r="P26" s="339">
        <v>1</v>
      </c>
    </row>
    <row r="27" spans="1:16" s="7" customFormat="1" ht="15">
      <c r="A27" s="63">
        <v>23</v>
      </c>
      <c r="B27" s="329" t="s">
        <v>14</v>
      </c>
      <c r="C27" s="40">
        <v>39808</v>
      </c>
      <c r="D27" s="292" t="s">
        <v>134</v>
      </c>
      <c r="E27" s="292" t="s">
        <v>127</v>
      </c>
      <c r="F27" s="293">
        <v>34</v>
      </c>
      <c r="G27" s="293">
        <v>14</v>
      </c>
      <c r="H27" s="293">
        <v>5</v>
      </c>
      <c r="I27" s="294">
        <v>12836</v>
      </c>
      <c r="J27" s="295">
        <v>2314</v>
      </c>
      <c r="K27" s="299">
        <f>J27/G27</f>
        <v>165.28571428571428</v>
      </c>
      <c r="L27" s="166">
        <f>+I27/J27</f>
        <v>5.547104580812446</v>
      </c>
      <c r="M27" s="298">
        <v>778569</v>
      </c>
      <c r="N27" s="299">
        <v>85797</v>
      </c>
      <c r="O27" s="103">
        <f>+M27/N27</f>
        <v>9.074548061121018</v>
      </c>
      <c r="P27" s="339"/>
    </row>
    <row r="28" spans="1:16" s="7" customFormat="1" ht="15">
      <c r="A28" s="63">
        <v>24</v>
      </c>
      <c r="B28" s="329" t="s">
        <v>164</v>
      </c>
      <c r="C28" s="40">
        <v>39787</v>
      </c>
      <c r="D28" s="292" t="s">
        <v>134</v>
      </c>
      <c r="E28" s="292" t="s">
        <v>141</v>
      </c>
      <c r="F28" s="293">
        <v>406</v>
      </c>
      <c r="G28" s="293">
        <v>10</v>
      </c>
      <c r="H28" s="293">
        <v>8</v>
      </c>
      <c r="I28" s="294">
        <v>9717</v>
      </c>
      <c r="J28" s="295">
        <v>1459</v>
      </c>
      <c r="K28" s="299">
        <f>J28/G28</f>
        <v>145.9</v>
      </c>
      <c r="L28" s="166">
        <f>+I28/J28</f>
        <v>6.660041124057574</v>
      </c>
      <c r="M28" s="298">
        <v>30385549</v>
      </c>
      <c r="N28" s="299">
        <v>3699205</v>
      </c>
      <c r="O28" s="103">
        <f>+M28/N28</f>
        <v>8.214075456753546</v>
      </c>
      <c r="P28" s="339">
        <v>1</v>
      </c>
    </row>
    <row r="29" spans="1:16" s="7" customFormat="1" ht="15">
      <c r="A29" s="63">
        <v>25</v>
      </c>
      <c r="B29" s="329" t="s">
        <v>54</v>
      </c>
      <c r="C29" s="40">
        <v>39738</v>
      </c>
      <c r="D29" s="132" t="s">
        <v>137</v>
      </c>
      <c r="E29" s="292" t="s">
        <v>55</v>
      </c>
      <c r="F29" s="293">
        <v>67</v>
      </c>
      <c r="G29" s="293">
        <v>11</v>
      </c>
      <c r="H29" s="293">
        <v>15</v>
      </c>
      <c r="I29" s="304">
        <v>9422</v>
      </c>
      <c r="J29" s="305">
        <v>2170</v>
      </c>
      <c r="K29" s="306">
        <f>(J29/G29)</f>
        <v>197.27272727272728</v>
      </c>
      <c r="L29" s="169">
        <f>I29/J29</f>
        <v>4.341935483870968</v>
      </c>
      <c r="M29" s="307">
        <f>167196+176809+54428+37340+38330.5+23467+11581+5867+4382+2577+3552+2137+545+4006+9422</f>
        <v>541639.5</v>
      </c>
      <c r="N29" s="308">
        <f>19168+21164+7719+6215+6404+4964+2339+1306+907+580+859+440+127+905+2170</f>
        <v>75267</v>
      </c>
      <c r="O29" s="105">
        <f>M29/N29</f>
        <v>7.1962413806847625</v>
      </c>
      <c r="P29" s="339"/>
    </row>
    <row r="30" spans="1:16" s="7" customFormat="1" ht="15">
      <c r="A30" s="63">
        <v>26</v>
      </c>
      <c r="B30" s="53" t="s">
        <v>147</v>
      </c>
      <c r="C30" s="39">
        <v>39801</v>
      </c>
      <c r="D30" s="132" t="s">
        <v>133</v>
      </c>
      <c r="E30" s="132" t="s">
        <v>125</v>
      </c>
      <c r="F30" s="50">
        <v>69</v>
      </c>
      <c r="G30" s="50">
        <v>12</v>
      </c>
      <c r="H30" s="50">
        <v>6</v>
      </c>
      <c r="I30" s="304">
        <v>9385</v>
      </c>
      <c r="J30" s="305">
        <v>2124</v>
      </c>
      <c r="K30" s="306">
        <f>J30/G30</f>
        <v>177</v>
      </c>
      <c r="L30" s="169">
        <f>I30/J30</f>
        <v>4.4185499058380415</v>
      </c>
      <c r="M30" s="307">
        <f>820286+588484+413907+112495+41441-111+9385</f>
        <v>1985887</v>
      </c>
      <c r="N30" s="308">
        <f>83839+57678+42374+12212+5722-11+2124</f>
        <v>203938</v>
      </c>
      <c r="O30" s="105">
        <f>+M30/N30</f>
        <v>9.737699693043965</v>
      </c>
      <c r="P30" s="339"/>
    </row>
    <row r="31" spans="1:16" s="7" customFormat="1" ht="15">
      <c r="A31" s="63">
        <v>27</v>
      </c>
      <c r="B31" s="329" t="s">
        <v>38</v>
      </c>
      <c r="C31" s="40">
        <v>39815</v>
      </c>
      <c r="D31" s="292" t="s">
        <v>135</v>
      </c>
      <c r="E31" s="292" t="s">
        <v>110</v>
      </c>
      <c r="F31" s="293">
        <v>17</v>
      </c>
      <c r="G31" s="293">
        <v>17</v>
      </c>
      <c r="H31" s="293">
        <v>4</v>
      </c>
      <c r="I31" s="294">
        <v>8085</v>
      </c>
      <c r="J31" s="295">
        <v>1475</v>
      </c>
      <c r="K31" s="302">
        <f>+J31/G31</f>
        <v>86.76470588235294</v>
      </c>
      <c r="L31" s="163">
        <f>+I31/J31</f>
        <v>5.48135593220339</v>
      </c>
      <c r="M31" s="298">
        <f>73862+20664+15776+8085</f>
        <v>118387</v>
      </c>
      <c r="N31" s="299">
        <f>7639+2334+2407+1475</f>
        <v>13855</v>
      </c>
      <c r="O31" s="104">
        <f>+M31/N31</f>
        <v>8.544713099963912</v>
      </c>
      <c r="P31" s="339"/>
    </row>
    <row r="32" spans="1:16" s="7" customFormat="1" ht="15">
      <c r="A32" s="63">
        <v>28</v>
      </c>
      <c r="B32" s="329" t="s">
        <v>73</v>
      </c>
      <c r="C32" s="40">
        <v>39773</v>
      </c>
      <c r="D32" s="292" t="s">
        <v>134</v>
      </c>
      <c r="E32" s="292" t="s">
        <v>165</v>
      </c>
      <c r="F32" s="293">
        <v>204</v>
      </c>
      <c r="G32" s="293">
        <v>7</v>
      </c>
      <c r="H32" s="293">
        <v>10</v>
      </c>
      <c r="I32" s="294">
        <v>5694</v>
      </c>
      <c r="J32" s="295">
        <v>1248</v>
      </c>
      <c r="K32" s="299">
        <f>J32/G32</f>
        <v>178.28571428571428</v>
      </c>
      <c r="L32" s="166">
        <f>+I32/J32</f>
        <v>4.5625</v>
      </c>
      <c r="M32" s="298">
        <v>11427196</v>
      </c>
      <c r="N32" s="299">
        <v>1412742</v>
      </c>
      <c r="O32" s="103">
        <f>+M32/N32</f>
        <v>8.088664455364107</v>
      </c>
      <c r="P32" s="339">
        <v>1</v>
      </c>
    </row>
    <row r="33" spans="1:16" s="7" customFormat="1" ht="15">
      <c r="A33" s="63">
        <v>29</v>
      </c>
      <c r="B33" s="53" t="s">
        <v>34</v>
      </c>
      <c r="C33" s="39">
        <v>39815</v>
      </c>
      <c r="D33" s="132" t="s">
        <v>133</v>
      </c>
      <c r="E33" s="132" t="s">
        <v>35</v>
      </c>
      <c r="F33" s="50">
        <v>62</v>
      </c>
      <c r="G33" s="50">
        <v>7</v>
      </c>
      <c r="H33" s="50">
        <v>4</v>
      </c>
      <c r="I33" s="304">
        <f>5352+42</f>
        <v>5394</v>
      </c>
      <c r="J33" s="305">
        <f>1194-16</f>
        <v>1178</v>
      </c>
      <c r="K33" s="306">
        <f>J33/G33</f>
        <v>168.28571428571428</v>
      </c>
      <c r="L33" s="169">
        <f>I33/J33</f>
        <v>4.578947368421052</v>
      </c>
      <c r="M33" s="307">
        <f>364878+189780+24392+5352+42</f>
        <v>584444</v>
      </c>
      <c r="N33" s="308">
        <f>36690+19609+2909+1194-16</f>
        <v>60386</v>
      </c>
      <c r="O33" s="105">
        <f>+M33/N33</f>
        <v>9.67846851919319</v>
      </c>
      <c r="P33" s="339"/>
    </row>
    <row r="34" spans="1:16" s="7" customFormat="1" ht="15">
      <c r="A34" s="63">
        <v>30</v>
      </c>
      <c r="B34" s="53" t="s">
        <v>148</v>
      </c>
      <c r="C34" s="39">
        <v>39801</v>
      </c>
      <c r="D34" s="132" t="s">
        <v>139</v>
      </c>
      <c r="E34" s="132" t="s">
        <v>149</v>
      </c>
      <c r="F34" s="50">
        <v>84</v>
      </c>
      <c r="G34" s="50">
        <v>10</v>
      </c>
      <c r="H34" s="50">
        <v>6</v>
      </c>
      <c r="I34" s="300">
        <v>5392.5</v>
      </c>
      <c r="J34" s="301">
        <v>1094</v>
      </c>
      <c r="K34" s="302">
        <f>IF(I34&lt;&gt;0,J34/G34,"")</f>
        <v>109.4</v>
      </c>
      <c r="L34" s="163">
        <f>IF(I34&lt;&gt;0,I34/J34,"")</f>
        <v>4.9291590493601465</v>
      </c>
      <c r="M34" s="303">
        <f>369313.5+145108.5+43813+31258+11772.5+5392.5</f>
        <v>606658</v>
      </c>
      <c r="N34" s="299">
        <f>41017+16460+6346+5364+2357+1094</f>
        <v>72638</v>
      </c>
      <c r="O34" s="104">
        <f>IF(M34&lt;&gt;0,M34/N34,"")</f>
        <v>8.351799333682095</v>
      </c>
      <c r="P34" s="339">
        <v>1</v>
      </c>
    </row>
    <row r="35" spans="1:16" s="7" customFormat="1" ht="15">
      <c r="A35" s="63">
        <v>31</v>
      </c>
      <c r="B35" s="327" t="s">
        <v>71</v>
      </c>
      <c r="C35" s="40">
        <v>39766</v>
      </c>
      <c r="D35" s="292" t="s">
        <v>135</v>
      </c>
      <c r="E35" s="292" t="s">
        <v>72</v>
      </c>
      <c r="F35" s="293">
        <v>5</v>
      </c>
      <c r="G35" s="293">
        <v>5</v>
      </c>
      <c r="H35" s="293">
        <v>11</v>
      </c>
      <c r="I35" s="294">
        <v>4467</v>
      </c>
      <c r="J35" s="295">
        <v>800</v>
      </c>
      <c r="K35" s="296">
        <f>J35/G35</f>
        <v>160</v>
      </c>
      <c r="L35" s="297">
        <f aca="true" t="shared" si="0" ref="L35:L41">I35/J35</f>
        <v>5.58375</v>
      </c>
      <c r="M35" s="298">
        <f>191668+16358.5+8305+0.5+19699.5+16705.5+7289+4467</f>
        <v>264493</v>
      </c>
      <c r="N35" s="299">
        <f>10324+8249+7871+7121+4755+3362+1751+2958+2636+1185+800</f>
        <v>51012</v>
      </c>
      <c r="O35" s="328">
        <f>M35/N35</f>
        <v>5.184917274366816</v>
      </c>
      <c r="P35" s="339">
        <v>1</v>
      </c>
    </row>
    <row r="36" spans="1:16" s="7" customFormat="1" ht="15">
      <c r="A36" s="63">
        <v>32</v>
      </c>
      <c r="B36" s="327" t="s">
        <v>145</v>
      </c>
      <c r="C36" s="40">
        <v>39794</v>
      </c>
      <c r="D36" s="132" t="s">
        <v>137</v>
      </c>
      <c r="E36" s="292" t="s">
        <v>136</v>
      </c>
      <c r="F36" s="293">
        <v>100</v>
      </c>
      <c r="G36" s="293">
        <v>9</v>
      </c>
      <c r="H36" s="293">
        <v>7</v>
      </c>
      <c r="I36" s="304">
        <v>4129</v>
      </c>
      <c r="J36" s="305">
        <v>539</v>
      </c>
      <c r="K36" s="306">
        <f>(J36/G36)</f>
        <v>59.888888888888886</v>
      </c>
      <c r="L36" s="169">
        <f t="shared" si="0"/>
        <v>7.6604823747680895</v>
      </c>
      <c r="M36" s="307">
        <f>1276778.5+626123+380324+112679.5+54533+36086+4129</f>
        <v>2490653</v>
      </c>
      <c r="N36" s="308">
        <f>133555+68793+41581+14968+8873+6454+539</f>
        <v>274763</v>
      </c>
      <c r="O36" s="105">
        <f>M36/N36</f>
        <v>9.064732150981028</v>
      </c>
      <c r="P36" s="339"/>
    </row>
    <row r="37" spans="1:16" s="7" customFormat="1" ht="15">
      <c r="A37" s="63">
        <v>33</v>
      </c>
      <c r="B37" s="53" t="s">
        <v>63</v>
      </c>
      <c r="C37" s="39">
        <v>39689</v>
      </c>
      <c r="D37" s="132" t="s">
        <v>133</v>
      </c>
      <c r="E37" s="132" t="s">
        <v>64</v>
      </c>
      <c r="F37" s="50">
        <v>100</v>
      </c>
      <c r="G37" s="50">
        <v>4</v>
      </c>
      <c r="H37" s="50">
        <v>12</v>
      </c>
      <c r="I37" s="304">
        <v>3423</v>
      </c>
      <c r="J37" s="305">
        <v>1037</v>
      </c>
      <c r="K37" s="306">
        <f>J37/G37</f>
        <v>259.25</v>
      </c>
      <c r="L37" s="169">
        <f t="shared" si="0"/>
        <v>3.3008678881388622</v>
      </c>
      <c r="M37" s="307">
        <f>17818+1364876+864151+384239+240974+16635+2871+5064-50+5187+276+2654+1278+3423</f>
        <v>2909396</v>
      </c>
      <c r="N37" s="308">
        <f>1487+139515+89937+39711+26370+2302+499+787-9+1471+55+1243+206+1037</f>
        <v>304611</v>
      </c>
      <c r="O37" s="105">
        <f>+M37/N37</f>
        <v>9.551184953924842</v>
      </c>
      <c r="P37" s="339"/>
    </row>
    <row r="38" spans="1:16" s="7" customFormat="1" ht="15">
      <c r="A38" s="63">
        <v>34</v>
      </c>
      <c r="B38" s="327" t="s">
        <v>70</v>
      </c>
      <c r="C38" s="40">
        <v>39766</v>
      </c>
      <c r="D38" s="132" t="s">
        <v>137</v>
      </c>
      <c r="E38" s="292" t="s">
        <v>51</v>
      </c>
      <c r="F38" s="293">
        <v>20</v>
      </c>
      <c r="G38" s="293">
        <v>4</v>
      </c>
      <c r="H38" s="293">
        <v>11</v>
      </c>
      <c r="I38" s="304">
        <v>2775</v>
      </c>
      <c r="J38" s="305">
        <v>544</v>
      </c>
      <c r="K38" s="306">
        <f>(J38/G38)</f>
        <v>136</v>
      </c>
      <c r="L38" s="169">
        <f t="shared" si="0"/>
        <v>5.101102941176471</v>
      </c>
      <c r="M38" s="307">
        <f>109364.5+38539+31287+12101+5368+8640.5+12331+9410+9143+5719+2775</f>
        <v>244678</v>
      </c>
      <c r="N38" s="308">
        <f>11866+4674+4443+2133+1061+1670+2334+1542+1728+1224+544</f>
        <v>33219</v>
      </c>
      <c r="O38" s="105">
        <f>M38/N38</f>
        <v>7.365604021794756</v>
      </c>
      <c r="P38" s="339"/>
    </row>
    <row r="39" spans="1:16" s="7" customFormat="1" ht="15">
      <c r="A39" s="63">
        <v>35</v>
      </c>
      <c r="B39" s="327" t="s">
        <v>166</v>
      </c>
      <c r="C39" s="40">
        <v>39717</v>
      </c>
      <c r="D39" s="292" t="s">
        <v>135</v>
      </c>
      <c r="E39" s="292" t="s">
        <v>9</v>
      </c>
      <c r="F39" s="293">
        <v>1</v>
      </c>
      <c r="G39" s="293">
        <v>1</v>
      </c>
      <c r="H39" s="293">
        <v>12</v>
      </c>
      <c r="I39" s="294">
        <v>2408.5</v>
      </c>
      <c r="J39" s="295">
        <v>602</v>
      </c>
      <c r="K39" s="306">
        <f>J39/G39</f>
        <v>602</v>
      </c>
      <c r="L39" s="169">
        <f t="shared" si="0"/>
        <v>4.000830564784053</v>
      </c>
      <c r="M39" s="298">
        <f>2923050.5+2408+0.5</f>
        <v>2925459</v>
      </c>
      <c r="N39" s="299">
        <f>394197+602</f>
        <v>394799</v>
      </c>
      <c r="O39" s="105">
        <f>+M39/N39</f>
        <v>7.409995972634176</v>
      </c>
      <c r="P39" s="339">
        <v>1</v>
      </c>
    </row>
    <row r="40" spans="1:16" s="7" customFormat="1" ht="15">
      <c r="A40" s="63">
        <v>36</v>
      </c>
      <c r="B40" s="327" t="s">
        <v>68</v>
      </c>
      <c r="C40" s="40">
        <v>39759</v>
      </c>
      <c r="D40" s="132" t="s">
        <v>137</v>
      </c>
      <c r="E40" s="292" t="s">
        <v>146</v>
      </c>
      <c r="F40" s="293">
        <v>93</v>
      </c>
      <c r="G40" s="293">
        <v>2</v>
      </c>
      <c r="H40" s="293">
        <v>12</v>
      </c>
      <c r="I40" s="304">
        <v>2196</v>
      </c>
      <c r="J40" s="305">
        <v>549</v>
      </c>
      <c r="K40" s="306">
        <f>(J40/G40)</f>
        <v>274.5</v>
      </c>
      <c r="L40" s="169">
        <f t="shared" si="0"/>
        <v>4</v>
      </c>
      <c r="M40" s="307">
        <f>224223+136351+27895+24212+1274+3482+7147+2804+5279+2025+2635+2196</f>
        <v>439523</v>
      </c>
      <c r="N40" s="308">
        <f>27969+18593+4268+4646+311+857+1472+745+1285+386+636+549</f>
        <v>61717</v>
      </c>
      <c r="O40" s="105">
        <f>M40/N40</f>
        <v>7.121587245005428</v>
      </c>
      <c r="P40" s="339">
        <v>1</v>
      </c>
    </row>
    <row r="41" spans="1:16" s="7" customFormat="1" ht="15">
      <c r="A41" s="63">
        <v>37</v>
      </c>
      <c r="B41" s="327" t="s">
        <v>167</v>
      </c>
      <c r="C41" s="40">
        <v>39766</v>
      </c>
      <c r="D41" s="292" t="s">
        <v>168</v>
      </c>
      <c r="E41" s="292" t="s">
        <v>169</v>
      </c>
      <c r="F41" s="293">
        <v>50</v>
      </c>
      <c r="G41" s="293">
        <v>3</v>
      </c>
      <c r="H41" s="293">
        <v>11</v>
      </c>
      <c r="I41" s="309">
        <v>1724</v>
      </c>
      <c r="J41" s="310">
        <v>419</v>
      </c>
      <c r="K41" s="296">
        <f>J41/G41</f>
        <v>139.66666666666666</v>
      </c>
      <c r="L41" s="297">
        <f t="shared" si="0"/>
        <v>4.114558472553699</v>
      </c>
      <c r="M41" s="311">
        <v>217051</v>
      </c>
      <c r="N41" s="296">
        <v>31055</v>
      </c>
      <c r="O41" s="328">
        <f>M41/N41</f>
        <v>6.989244888101755</v>
      </c>
      <c r="P41" s="339">
        <v>1</v>
      </c>
    </row>
    <row r="42" spans="1:16" s="7" customFormat="1" ht="15">
      <c r="A42" s="63">
        <v>38</v>
      </c>
      <c r="B42" s="327" t="s">
        <v>28</v>
      </c>
      <c r="C42" s="40">
        <v>39808</v>
      </c>
      <c r="D42" s="292" t="s">
        <v>135</v>
      </c>
      <c r="E42" s="292" t="s">
        <v>29</v>
      </c>
      <c r="F42" s="293">
        <v>3</v>
      </c>
      <c r="G42" s="293">
        <v>3</v>
      </c>
      <c r="H42" s="293">
        <v>5</v>
      </c>
      <c r="I42" s="294">
        <v>1707</v>
      </c>
      <c r="J42" s="295">
        <v>346</v>
      </c>
      <c r="K42" s="302">
        <f>+J42/G42</f>
        <v>115.33333333333333</v>
      </c>
      <c r="L42" s="163">
        <f>+I42/J42</f>
        <v>4.933526011560693</v>
      </c>
      <c r="M42" s="298">
        <f>173290.5+101994+52183.5+11344+1707</f>
        <v>340519</v>
      </c>
      <c r="N42" s="299">
        <f>23989+15166+8100+1911+346</f>
        <v>49512</v>
      </c>
      <c r="O42" s="104">
        <f>+M42/N42</f>
        <v>6.877504443367265</v>
      </c>
      <c r="P42" s="339">
        <v>1</v>
      </c>
    </row>
    <row r="43" spans="1:16" s="7" customFormat="1" ht="15">
      <c r="A43" s="63">
        <v>39</v>
      </c>
      <c r="B43" s="53" t="s">
        <v>144</v>
      </c>
      <c r="C43" s="39">
        <v>39780</v>
      </c>
      <c r="D43" s="132" t="s">
        <v>80</v>
      </c>
      <c r="E43" s="132" t="s">
        <v>49</v>
      </c>
      <c r="F43" s="50">
        <v>3</v>
      </c>
      <c r="G43" s="50">
        <v>3</v>
      </c>
      <c r="H43" s="50">
        <v>7</v>
      </c>
      <c r="I43" s="312">
        <v>1556</v>
      </c>
      <c r="J43" s="313">
        <v>247</v>
      </c>
      <c r="K43" s="302">
        <f>IF(I43&lt;&gt;0,J43/G43,"")</f>
        <v>82.33333333333333</v>
      </c>
      <c r="L43" s="225">
        <f>IF(I43&lt;&gt;0,I43/J43,"")</f>
        <v>6.299595141700405</v>
      </c>
      <c r="M43" s="314">
        <v>46731.5</v>
      </c>
      <c r="N43" s="315">
        <v>4603</v>
      </c>
      <c r="O43" s="104">
        <f>IF(M43&lt;&gt;0,M43/N43,"")</f>
        <v>10.152400608298935</v>
      </c>
      <c r="P43" s="339"/>
    </row>
    <row r="44" spans="1:16" s="7" customFormat="1" ht="15">
      <c r="A44" s="63">
        <v>40</v>
      </c>
      <c r="B44" s="327" t="s">
        <v>46</v>
      </c>
      <c r="C44" s="40">
        <v>39780</v>
      </c>
      <c r="D44" s="132" t="s">
        <v>137</v>
      </c>
      <c r="E44" s="292" t="s">
        <v>79</v>
      </c>
      <c r="F44" s="293">
        <v>61</v>
      </c>
      <c r="G44" s="293">
        <v>2</v>
      </c>
      <c r="H44" s="293">
        <v>9</v>
      </c>
      <c r="I44" s="304">
        <v>1387</v>
      </c>
      <c r="J44" s="305">
        <v>175</v>
      </c>
      <c r="K44" s="306">
        <f>(J44/G44)</f>
        <v>87.5</v>
      </c>
      <c r="L44" s="169">
        <f>I44/J44</f>
        <v>7.925714285714286</v>
      </c>
      <c r="M44" s="307">
        <f>499000.5+313125.5+89561.5+27980+2002.5+4772+1387+1470+1387</f>
        <v>940686</v>
      </c>
      <c r="N44" s="308">
        <f>48458+27725+9315+4737+330+944+309+224+175</f>
        <v>92217</v>
      </c>
      <c r="O44" s="105">
        <f>M44/N44</f>
        <v>10.20078727349621</v>
      </c>
      <c r="P44" s="339"/>
    </row>
    <row r="45" spans="1:16" s="7" customFormat="1" ht="15">
      <c r="A45" s="63">
        <v>41</v>
      </c>
      <c r="B45" s="53" t="s">
        <v>57</v>
      </c>
      <c r="C45" s="39">
        <v>39745</v>
      </c>
      <c r="D45" s="132" t="s">
        <v>139</v>
      </c>
      <c r="E45" s="132" t="s">
        <v>47</v>
      </c>
      <c r="F45" s="50">
        <v>104</v>
      </c>
      <c r="G45" s="50">
        <v>3</v>
      </c>
      <c r="H45" s="50">
        <v>14</v>
      </c>
      <c r="I45" s="300">
        <v>1323</v>
      </c>
      <c r="J45" s="301">
        <v>195</v>
      </c>
      <c r="K45" s="302">
        <f>IF(I45&lt;&gt;0,J45/G45,"")</f>
        <v>65</v>
      </c>
      <c r="L45" s="163">
        <f>IF(I45&lt;&gt;0,I45/J45,"")</f>
        <v>6.7846153846153845</v>
      </c>
      <c r="M45" s="303">
        <f>821522+622841.5+494230+434015.5+185757.5+145248.5+16130+16159+2033+6489+4346+3565+2540+1323</f>
        <v>2756200</v>
      </c>
      <c r="N45" s="299">
        <f>99216+78381+65128+58419+30420+24530+3077+3918+431+1704+1003+785+507+195</f>
        <v>367714</v>
      </c>
      <c r="O45" s="104">
        <f>IF(M45&lt;&gt;0,M45/N45,"")</f>
        <v>7.495499219502113</v>
      </c>
      <c r="P45" s="339">
        <v>1</v>
      </c>
    </row>
    <row r="46" spans="1:16" s="7" customFormat="1" ht="15">
      <c r="A46" s="63">
        <v>42</v>
      </c>
      <c r="B46" s="327" t="s">
        <v>58</v>
      </c>
      <c r="C46" s="40">
        <v>39745</v>
      </c>
      <c r="D46" s="292" t="s">
        <v>134</v>
      </c>
      <c r="E46" s="292" t="s">
        <v>170</v>
      </c>
      <c r="F46" s="293">
        <v>57</v>
      </c>
      <c r="G46" s="293">
        <v>3</v>
      </c>
      <c r="H46" s="293">
        <v>14</v>
      </c>
      <c r="I46" s="294">
        <v>1302</v>
      </c>
      <c r="J46" s="295">
        <v>805</v>
      </c>
      <c r="K46" s="299">
        <f>J46/G46</f>
        <v>268.3333333333333</v>
      </c>
      <c r="L46" s="166">
        <f>+I46/J46</f>
        <v>1.617391304347826</v>
      </c>
      <c r="M46" s="298">
        <v>1170552</v>
      </c>
      <c r="N46" s="299">
        <v>126937</v>
      </c>
      <c r="O46" s="103">
        <f>+M46/N46</f>
        <v>9.221519336363707</v>
      </c>
      <c r="P46" s="339">
        <v>1</v>
      </c>
    </row>
    <row r="47" spans="1:16" s="7" customFormat="1" ht="15">
      <c r="A47" s="63">
        <v>43</v>
      </c>
      <c r="B47" s="53" t="s">
        <v>39</v>
      </c>
      <c r="C47" s="39">
        <v>39815</v>
      </c>
      <c r="D47" s="132" t="s">
        <v>139</v>
      </c>
      <c r="E47" s="132" t="s">
        <v>40</v>
      </c>
      <c r="F47" s="50">
        <v>16</v>
      </c>
      <c r="G47" s="50">
        <v>2</v>
      </c>
      <c r="H47" s="50">
        <v>4</v>
      </c>
      <c r="I47" s="300">
        <v>1230</v>
      </c>
      <c r="J47" s="301">
        <v>270</v>
      </c>
      <c r="K47" s="302">
        <f>IF(I47&lt;&gt;0,J47/G47,"")</f>
        <v>135</v>
      </c>
      <c r="L47" s="163">
        <f>IF(I47&lt;&gt;0,I47/J47,"")</f>
        <v>4.555555555555555</v>
      </c>
      <c r="M47" s="303">
        <f>39086+7302+6989+1230</f>
        <v>54607</v>
      </c>
      <c r="N47" s="299">
        <f>3939+844+929+270</f>
        <v>5982</v>
      </c>
      <c r="O47" s="104">
        <f>IF(M47&lt;&gt;0,M47/N47,"")</f>
        <v>9.12855232363758</v>
      </c>
      <c r="P47" s="339">
        <v>1</v>
      </c>
    </row>
    <row r="48" spans="1:16" s="7" customFormat="1" ht="15">
      <c r="A48" s="63">
        <v>44</v>
      </c>
      <c r="B48" s="53" t="s">
        <v>42</v>
      </c>
      <c r="C48" s="39">
        <v>39745</v>
      </c>
      <c r="D48" s="132" t="s">
        <v>133</v>
      </c>
      <c r="E48" s="132" t="s">
        <v>35</v>
      </c>
      <c r="F48" s="50">
        <v>202</v>
      </c>
      <c r="G48" s="50">
        <v>1</v>
      </c>
      <c r="H48" s="50">
        <v>13</v>
      </c>
      <c r="I48" s="304">
        <v>1224</v>
      </c>
      <c r="J48" s="305">
        <v>296</v>
      </c>
      <c r="K48" s="306">
        <f>J48/G48</f>
        <v>296</v>
      </c>
      <c r="L48" s="169">
        <f>I48/J48</f>
        <v>4.135135135135135</v>
      </c>
      <c r="M48" s="307">
        <f>2979211+551475+289248+35506+23768+5044+549+3932+1192+2189+1334+1224</f>
        <v>3894672</v>
      </c>
      <c r="N48" s="308">
        <f>374252+72341+40702+5164+4326+1290+108+783+296+433+265+296</f>
        <v>500256</v>
      </c>
      <c r="O48" s="105">
        <f>+M48/N48</f>
        <v>7.78535789675686</v>
      </c>
      <c r="P48" s="339"/>
    </row>
    <row r="49" spans="1:16" s="7" customFormat="1" ht="15">
      <c r="A49" s="63">
        <v>45</v>
      </c>
      <c r="B49" s="327" t="s">
        <v>48</v>
      </c>
      <c r="C49" s="40">
        <v>39780</v>
      </c>
      <c r="D49" s="132" t="s">
        <v>137</v>
      </c>
      <c r="E49" s="292" t="s">
        <v>33</v>
      </c>
      <c r="F49" s="293">
        <v>6</v>
      </c>
      <c r="G49" s="293">
        <v>2</v>
      </c>
      <c r="H49" s="293">
        <v>8</v>
      </c>
      <c r="I49" s="304">
        <v>886</v>
      </c>
      <c r="J49" s="305">
        <v>213</v>
      </c>
      <c r="K49" s="306">
        <f>(J49/G49)</f>
        <v>106.5</v>
      </c>
      <c r="L49" s="169">
        <f>I49/J49</f>
        <v>4.15962441314554</v>
      </c>
      <c r="M49" s="307">
        <f>25457+3030+1123+7370+430+997+6202+886</f>
        <v>45495</v>
      </c>
      <c r="N49" s="308">
        <f>2151+404+165+1079+59+230+1523+213</f>
        <v>5824</v>
      </c>
      <c r="O49" s="105">
        <f>M49/N49</f>
        <v>7.811641483516484</v>
      </c>
      <c r="P49" s="339"/>
    </row>
    <row r="50" spans="1:16" s="7" customFormat="1" ht="15">
      <c r="A50" s="63">
        <v>46</v>
      </c>
      <c r="B50" s="327" t="s">
        <v>74</v>
      </c>
      <c r="C50" s="40">
        <v>39772</v>
      </c>
      <c r="D50" s="132" t="s">
        <v>137</v>
      </c>
      <c r="E50" s="292" t="s">
        <v>108</v>
      </c>
      <c r="F50" s="293">
        <v>195</v>
      </c>
      <c r="G50" s="293">
        <v>2</v>
      </c>
      <c r="H50" s="293">
        <v>10</v>
      </c>
      <c r="I50" s="304">
        <v>882</v>
      </c>
      <c r="J50" s="305">
        <v>202</v>
      </c>
      <c r="K50" s="306">
        <f>(J50/G50)</f>
        <v>101</v>
      </c>
      <c r="L50" s="169">
        <f>I50/J50</f>
        <v>4.366336633663367</v>
      </c>
      <c r="M50" s="307">
        <f>1011017+512350.5+217314+64545+38656.5+8087+9376.5+5786+2876+882</f>
        <v>1870890.5</v>
      </c>
      <c r="N50" s="308">
        <f>136878+68007+31396+9807+8372+1564+2234+1216+601+202</f>
        <v>260277</v>
      </c>
      <c r="O50" s="105">
        <f>M50/N50</f>
        <v>7.188074628184588</v>
      </c>
      <c r="P50" s="339">
        <v>1</v>
      </c>
    </row>
    <row r="51" spans="1:16" s="7" customFormat="1" ht="15">
      <c r="A51" s="63">
        <v>47</v>
      </c>
      <c r="B51" s="327" t="s">
        <v>36</v>
      </c>
      <c r="C51" s="40">
        <v>39815</v>
      </c>
      <c r="D51" s="132" t="s">
        <v>137</v>
      </c>
      <c r="E51" s="292" t="s">
        <v>37</v>
      </c>
      <c r="F51" s="293">
        <v>37</v>
      </c>
      <c r="G51" s="293">
        <v>2</v>
      </c>
      <c r="H51" s="293">
        <v>4</v>
      </c>
      <c r="I51" s="304">
        <v>849</v>
      </c>
      <c r="J51" s="305">
        <v>157</v>
      </c>
      <c r="K51" s="306">
        <f>(J51/G51)</f>
        <v>78.5</v>
      </c>
      <c r="L51" s="169">
        <f>I51/J51</f>
        <v>5.407643312101911</v>
      </c>
      <c r="M51" s="307">
        <f>95365.5+19593.5+3155+849</f>
        <v>118963</v>
      </c>
      <c r="N51" s="308">
        <f>9915+2232+541+157</f>
        <v>12845</v>
      </c>
      <c r="O51" s="105">
        <f>M51/N51</f>
        <v>9.26142467886337</v>
      </c>
      <c r="P51" s="339"/>
    </row>
    <row r="52" spans="1:16" s="7" customFormat="1" ht="15">
      <c r="A52" s="63">
        <v>48</v>
      </c>
      <c r="B52" s="327" t="s">
        <v>171</v>
      </c>
      <c r="C52" s="40">
        <v>39766</v>
      </c>
      <c r="D52" s="292" t="s">
        <v>168</v>
      </c>
      <c r="E52" s="292" t="s">
        <v>172</v>
      </c>
      <c r="F52" s="293">
        <v>17</v>
      </c>
      <c r="G52" s="293">
        <v>1</v>
      </c>
      <c r="H52" s="293">
        <v>11</v>
      </c>
      <c r="I52" s="309">
        <v>260</v>
      </c>
      <c r="J52" s="310">
        <v>57</v>
      </c>
      <c r="K52" s="296">
        <f>J52/G52</f>
        <v>57</v>
      </c>
      <c r="L52" s="297">
        <f>I52/J52</f>
        <v>4.56140350877193</v>
      </c>
      <c r="M52" s="311">
        <v>72802</v>
      </c>
      <c r="N52" s="296">
        <v>9877</v>
      </c>
      <c r="O52" s="328">
        <f>M52/N52</f>
        <v>7.370861597651109</v>
      </c>
      <c r="P52" s="339">
        <v>1</v>
      </c>
    </row>
    <row r="53" spans="1:16" s="7" customFormat="1" ht="15">
      <c r="A53" s="63">
        <v>49</v>
      </c>
      <c r="B53" s="53" t="s">
        <v>69</v>
      </c>
      <c r="C53" s="39">
        <v>39759</v>
      </c>
      <c r="D53" s="132" t="s">
        <v>139</v>
      </c>
      <c r="E53" s="132" t="s">
        <v>31</v>
      </c>
      <c r="F53" s="50">
        <v>40</v>
      </c>
      <c r="G53" s="50">
        <v>1</v>
      </c>
      <c r="H53" s="50">
        <v>12</v>
      </c>
      <c r="I53" s="300">
        <v>228</v>
      </c>
      <c r="J53" s="301">
        <v>39</v>
      </c>
      <c r="K53" s="302">
        <f>IF(I53&lt;&gt;0,J53/G53,"")</f>
        <v>39</v>
      </c>
      <c r="L53" s="163">
        <f>IF(I53&lt;&gt;0,I53/J53,"")</f>
        <v>5.846153846153846</v>
      </c>
      <c r="M53" s="303">
        <f>84918+52341+11404+7823+3207+2014+937+2034+556+1450+3725+228</f>
        <v>170637</v>
      </c>
      <c r="N53" s="299">
        <f>10694+7043+2046+1560+538+345+174+389+77+318+659+39</f>
        <v>23882</v>
      </c>
      <c r="O53" s="104">
        <f>IF(M53&lt;&gt;0,M53/N53,"")</f>
        <v>7.145004605979398</v>
      </c>
      <c r="P53" s="339">
        <v>1</v>
      </c>
    </row>
    <row r="54" spans="1:16" s="7" customFormat="1" ht="15">
      <c r="A54" s="63">
        <v>50</v>
      </c>
      <c r="B54" s="327" t="s">
        <v>173</v>
      </c>
      <c r="C54" s="40">
        <v>39472</v>
      </c>
      <c r="D54" s="292" t="s">
        <v>110</v>
      </c>
      <c r="E54" s="292" t="s">
        <v>110</v>
      </c>
      <c r="F54" s="293">
        <v>1</v>
      </c>
      <c r="G54" s="293">
        <v>1</v>
      </c>
      <c r="H54" s="293">
        <v>29</v>
      </c>
      <c r="I54" s="294">
        <v>183.5</v>
      </c>
      <c r="J54" s="295">
        <v>68</v>
      </c>
      <c r="K54" s="302">
        <f>+J54/G54</f>
        <v>68</v>
      </c>
      <c r="L54" s="163">
        <f>+I54/J54</f>
        <v>2.698529411764706</v>
      </c>
      <c r="M54" s="298">
        <f>395290.5+262822+75939+23709.5+4083+1327+9321+1445+1267+2173+4575+201+1748+3343+728+28+948+1329+163+182+173+15521.5+171+40+110+75+183.5</f>
        <v>806896</v>
      </c>
      <c r="N54" s="299">
        <f>47426+32442+9866+4010+887+225+2185+263+226+460+1077+33+367+887+230+4+139+355+32+35+32+3859+49+8+22+15+68</f>
        <v>105202</v>
      </c>
      <c r="O54" s="104">
        <f>+M54/N54</f>
        <v>7.669968251554153</v>
      </c>
      <c r="P54" s="339"/>
    </row>
    <row r="55" spans="1:16" s="7" customFormat="1" ht="15">
      <c r="A55" s="63">
        <v>51</v>
      </c>
      <c r="B55" s="327" t="s">
        <v>100</v>
      </c>
      <c r="C55" s="40">
        <v>39724</v>
      </c>
      <c r="D55" s="132" t="s">
        <v>137</v>
      </c>
      <c r="E55" s="292" t="s">
        <v>109</v>
      </c>
      <c r="F55" s="293">
        <v>2</v>
      </c>
      <c r="G55" s="293">
        <v>1</v>
      </c>
      <c r="H55" s="293">
        <v>12</v>
      </c>
      <c r="I55" s="304">
        <v>64</v>
      </c>
      <c r="J55" s="305">
        <v>10</v>
      </c>
      <c r="K55" s="306">
        <f>(J55/G55)</f>
        <v>10</v>
      </c>
      <c r="L55" s="169">
        <f>I55/J55</f>
        <v>6.4</v>
      </c>
      <c r="M55" s="307">
        <f>10160+3974+2322+148+808+1106+1364.5+963+712+38+67+64</f>
        <v>21726.5</v>
      </c>
      <c r="N55" s="308">
        <f>966+422+271+18+130+124+165+258+178+6+10+10</f>
        <v>2558</v>
      </c>
      <c r="O55" s="105">
        <f>M55/N55</f>
        <v>8.493549648162627</v>
      </c>
      <c r="P55" s="339"/>
    </row>
    <row r="56" spans="1:16" s="7" customFormat="1" ht="15">
      <c r="A56" s="63">
        <v>52</v>
      </c>
      <c r="B56" s="327" t="s">
        <v>53</v>
      </c>
      <c r="C56" s="40">
        <v>39738</v>
      </c>
      <c r="D56" s="132" t="s">
        <v>137</v>
      </c>
      <c r="E56" s="292" t="s">
        <v>136</v>
      </c>
      <c r="F56" s="293">
        <v>65</v>
      </c>
      <c r="G56" s="293">
        <v>1</v>
      </c>
      <c r="H56" s="293">
        <v>14</v>
      </c>
      <c r="I56" s="304">
        <v>55</v>
      </c>
      <c r="J56" s="305">
        <v>9</v>
      </c>
      <c r="K56" s="306">
        <f>(J56/G56)</f>
        <v>9</v>
      </c>
      <c r="L56" s="169">
        <f>I56/J56</f>
        <v>6.111111111111111</v>
      </c>
      <c r="M56" s="307">
        <f>502954.7+385847+127398.5+41644+35371+15703.5+9494+704+1120.5+952+891+302+72+55</f>
        <v>1122509.2</v>
      </c>
      <c r="N56" s="308">
        <f>51438+39611+14487+7156+6343+2488+1591+176+567+238+149+50+12+9</f>
        <v>124315</v>
      </c>
      <c r="O56" s="105">
        <f>M56/N56</f>
        <v>9.029555564493423</v>
      </c>
      <c r="P56" s="339"/>
    </row>
    <row r="57" spans="1:16" s="7" customFormat="1" ht="15.75" thickBot="1">
      <c r="A57" s="63">
        <v>53</v>
      </c>
      <c r="B57" s="330" t="s">
        <v>152</v>
      </c>
      <c r="C57" s="289">
        <v>39801</v>
      </c>
      <c r="D57" s="331" t="s">
        <v>4</v>
      </c>
      <c r="E57" s="331" t="s">
        <v>78</v>
      </c>
      <c r="F57" s="332">
        <v>19</v>
      </c>
      <c r="G57" s="332">
        <v>1</v>
      </c>
      <c r="H57" s="332">
        <v>6</v>
      </c>
      <c r="I57" s="333">
        <v>40</v>
      </c>
      <c r="J57" s="334">
        <v>6</v>
      </c>
      <c r="K57" s="335">
        <f>+J57/G57</f>
        <v>6</v>
      </c>
      <c r="L57" s="336">
        <f>+I57/J57</f>
        <v>6.666666666666667</v>
      </c>
      <c r="M57" s="337">
        <v>137893</v>
      </c>
      <c r="N57" s="338">
        <v>12890</v>
      </c>
      <c r="O57" s="290">
        <f>+M57/N57</f>
        <v>10.697672614429791</v>
      </c>
      <c r="P57" s="339"/>
    </row>
    <row r="58" spans="1:16" s="38" customFormat="1" ht="15">
      <c r="A58" s="391" t="s">
        <v>140</v>
      </c>
      <c r="B58" s="392"/>
      <c r="C58" s="34"/>
      <c r="D58" s="109"/>
      <c r="E58" s="109"/>
      <c r="F58" s="35"/>
      <c r="G58" s="36"/>
      <c r="H58" s="35"/>
      <c r="I58" s="68">
        <f>SUM(I5:I57)</f>
        <v>8888659</v>
      </c>
      <c r="J58" s="113">
        <f>SUM(J5:J57)</f>
        <v>1070929</v>
      </c>
      <c r="K58" s="113"/>
      <c r="L58" s="61"/>
      <c r="M58" s="73"/>
      <c r="N58" s="78"/>
      <c r="O58" s="37"/>
      <c r="P58" s="133"/>
    </row>
    <row r="59" spans="1:16" s="7" customFormat="1" ht="13.5">
      <c r="A59" s="26"/>
      <c r="C59" s="11"/>
      <c r="D59" s="14"/>
      <c r="E59" s="14"/>
      <c r="F59" s="8"/>
      <c r="G59" s="8"/>
      <c r="H59" s="8"/>
      <c r="I59" s="69"/>
      <c r="J59" s="114"/>
      <c r="K59" s="114"/>
      <c r="L59" s="21"/>
      <c r="M59" s="75"/>
      <c r="N59" s="80"/>
      <c r="O59" s="21"/>
      <c r="P59" s="133"/>
    </row>
    <row r="60" spans="1:16" s="7" customFormat="1" ht="13.5">
      <c r="A60" s="26"/>
      <c r="B60"/>
      <c r="C60" s="83"/>
      <c r="D60" s="110"/>
      <c r="E60" s="110"/>
      <c r="F60" s="62"/>
      <c r="G60" s="16"/>
      <c r="H60" s="8"/>
      <c r="I60" s="69"/>
      <c r="J60" s="114"/>
      <c r="K60" s="393" t="s">
        <v>138</v>
      </c>
      <c r="L60" s="389"/>
      <c r="M60" s="389"/>
      <c r="N60" s="389"/>
      <c r="O60" s="389"/>
      <c r="P60" s="133"/>
    </row>
    <row r="61" spans="1:16" s="7" customFormat="1" ht="13.5">
      <c r="A61" s="26"/>
      <c r="B61"/>
      <c r="C61" s="83"/>
      <c r="D61" s="110"/>
      <c r="E61" s="110"/>
      <c r="F61" s="62"/>
      <c r="G61" s="8"/>
      <c r="H61" s="17"/>
      <c r="I61" s="69"/>
      <c r="J61" s="114"/>
      <c r="K61" s="389"/>
      <c r="L61" s="389"/>
      <c r="M61" s="389"/>
      <c r="N61" s="389"/>
      <c r="O61" s="389"/>
      <c r="P61" s="133"/>
    </row>
    <row r="62" spans="1:16" s="7" customFormat="1" ht="13.5">
      <c r="A62" s="26"/>
      <c r="B62"/>
      <c r="C62" s="83"/>
      <c r="D62" s="110"/>
      <c r="E62" s="110"/>
      <c r="F62" s="62"/>
      <c r="G62" s="8"/>
      <c r="H62" s="17"/>
      <c r="I62" s="69"/>
      <c r="J62" s="114"/>
      <c r="K62" s="389"/>
      <c r="L62" s="389"/>
      <c r="M62" s="389"/>
      <c r="N62" s="389"/>
      <c r="O62" s="389"/>
      <c r="P62" s="133"/>
    </row>
    <row r="63" spans="1:16" s="7" customFormat="1" ht="13.5">
      <c r="A63" s="26"/>
      <c r="B63"/>
      <c r="C63" s="83"/>
      <c r="D63" s="110"/>
      <c r="E63" s="110"/>
      <c r="F63" s="62"/>
      <c r="G63" s="8"/>
      <c r="H63" s="17"/>
      <c r="I63" s="69"/>
      <c r="J63" s="114"/>
      <c r="K63" s="394"/>
      <c r="L63" s="394"/>
      <c r="M63" s="394"/>
      <c r="N63" s="394"/>
      <c r="O63" s="394"/>
      <c r="P63" s="133"/>
    </row>
    <row r="64" spans="1:16" s="7" customFormat="1" ht="13.5">
      <c r="A64" s="26"/>
      <c r="B64"/>
      <c r="C64" s="83"/>
      <c r="D64" s="110"/>
      <c r="E64" s="110"/>
      <c r="F64" s="62"/>
      <c r="G64" s="8"/>
      <c r="H64" s="388" t="s">
        <v>103</v>
      </c>
      <c r="I64" s="389"/>
      <c r="J64" s="389"/>
      <c r="K64" s="389"/>
      <c r="L64" s="389"/>
      <c r="M64" s="389"/>
      <c r="N64" s="389"/>
      <c r="O64" s="389"/>
      <c r="P64" s="133"/>
    </row>
    <row r="65" spans="1:16" s="19" customFormat="1" ht="15">
      <c r="A65" s="26"/>
      <c r="B65"/>
      <c r="C65" s="83"/>
      <c r="D65" s="110"/>
      <c r="E65" s="110"/>
      <c r="F65" s="62"/>
      <c r="G65" s="23"/>
      <c r="H65" s="389"/>
      <c r="I65" s="389"/>
      <c r="J65" s="389"/>
      <c r="K65" s="389"/>
      <c r="L65" s="389"/>
      <c r="M65" s="389"/>
      <c r="N65" s="389"/>
      <c r="O65" s="389"/>
      <c r="P65" s="133"/>
    </row>
    <row r="66" spans="1:16" s="19" customFormat="1" ht="15">
      <c r="A66" s="26"/>
      <c r="B66"/>
      <c r="C66" s="83"/>
      <c r="D66" s="110"/>
      <c r="E66" s="110"/>
      <c r="F66" s="62"/>
      <c r="G66" s="18"/>
      <c r="H66" s="389"/>
      <c r="I66" s="389"/>
      <c r="J66" s="389"/>
      <c r="K66" s="389"/>
      <c r="L66" s="389"/>
      <c r="M66" s="389"/>
      <c r="N66" s="389"/>
      <c r="O66" s="389"/>
      <c r="P66" s="133"/>
    </row>
    <row r="67" spans="1:16" s="19" customFormat="1" ht="15">
      <c r="A67" s="26"/>
      <c r="B67"/>
      <c r="C67" s="83"/>
      <c r="D67" s="110"/>
      <c r="E67" s="110"/>
      <c r="F67" s="62"/>
      <c r="G67" s="18"/>
      <c r="H67" s="389"/>
      <c r="I67" s="389"/>
      <c r="J67" s="389"/>
      <c r="K67" s="389"/>
      <c r="L67" s="389"/>
      <c r="M67" s="389"/>
      <c r="N67" s="389"/>
      <c r="O67" s="389"/>
      <c r="P67" s="133"/>
    </row>
    <row r="68" spans="1:16" s="19" customFormat="1" ht="15">
      <c r="A68" s="26"/>
      <c r="B68"/>
      <c r="C68" s="83"/>
      <c r="D68" s="110"/>
      <c r="E68" s="110"/>
      <c r="F68" s="62"/>
      <c r="G68" s="18"/>
      <c r="H68" s="389"/>
      <c r="I68" s="389"/>
      <c r="J68" s="389"/>
      <c r="K68" s="389"/>
      <c r="L68" s="389"/>
      <c r="M68" s="389"/>
      <c r="N68" s="389"/>
      <c r="O68" s="389"/>
      <c r="P68" s="133"/>
    </row>
    <row r="69" spans="1:16" s="19" customFormat="1" ht="15">
      <c r="A69" s="26"/>
      <c r="B69"/>
      <c r="C69" s="83"/>
      <c r="D69" s="110"/>
      <c r="E69" s="110"/>
      <c r="F69" s="62"/>
      <c r="G69" s="18"/>
      <c r="H69" s="389"/>
      <c r="I69" s="389"/>
      <c r="J69" s="389"/>
      <c r="K69" s="389"/>
      <c r="L69" s="389"/>
      <c r="M69" s="389"/>
      <c r="N69" s="389"/>
      <c r="O69" s="389"/>
      <c r="P69" s="133"/>
    </row>
    <row r="70" spans="1:16" s="19" customFormat="1" ht="15">
      <c r="A70" s="26"/>
      <c r="B70"/>
      <c r="C70" s="83"/>
      <c r="D70" s="110"/>
      <c r="E70" s="110"/>
      <c r="F70" s="62"/>
      <c r="G70" s="18"/>
      <c r="H70" s="390" t="s">
        <v>0</v>
      </c>
      <c r="I70" s="389"/>
      <c r="J70" s="389"/>
      <c r="K70" s="389"/>
      <c r="L70" s="389"/>
      <c r="M70" s="389"/>
      <c r="N70" s="389"/>
      <c r="O70" s="389"/>
      <c r="P70" s="133"/>
    </row>
    <row r="71" spans="1:16" s="19" customFormat="1" ht="15">
      <c r="A71" s="26"/>
      <c r="B71"/>
      <c r="C71" s="83"/>
      <c r="D71" s="110"/>
      <c r="E71" s="110"/>
      <c r="F71" s="62"/>
      <c r="G71" s="18"/>
      <c r="H71" s="389"/>
      <c r="I71" s="389"/>
      <c r="J71" s="389"/>
      <c r="K71" s="389"/>
      <c r="L71" s="389"/>
      <c r="M71" s="389"/>
      <c r="N71" s="389"/>
      <c r="O71" s="389"/>
      <c r="P71" s="133"/>
    </row>
    <row r="72" spans="1:16" s="19" customFormat="1" ht="15">
      <c r="A72" s="26"/>
      <c r="B72"/>
      <c r="C72" s="83"/>
      <c r="D72" s="110"/>
      <c r="E72" s="110"/>
      <c r="F72" s="62"/>
      <c r="G72" s="18"/>
      <c r="H72" s="389"/>
      <c r="I72" s="389"/>
      <c r="J72" s="389"/>
      <c r="K72" s="389"/>
      <c r="L72" s="389"/>
      <c r="M72" s="389"/>
      <c r="N72" s="389"/>
      <c r="O72" s="389"/>
      <c r="P72" s="133"/>
    </row>
    <row r="73" spans="1:16" s="19" customFormat="1" ht="15">
      <c r="A73" s="26"/>
      <c r="B73"/>
      <c r="C73" s="83"/>
      <c r="D73" s="110"/>
      <c r="E73" s="110"/>
      <c r="F73" s="62"/>
      <c r="G73" s="18"/>
      <c r="H73" s="389"/>
      <c r="I73" s="389"/>
      <c r="J73" s="389"/>
      <c r="K73" s="389"/>
      <c r="L73" s="389"/>
      <c r="M73" s="389"/>
      <c r="N73" s="389"/>
      <c r="O73" s="389"/>
      <c r="P73" s="133"/>
    </row>
    <row r="74" spans="1:16" s="19" customFormat="1" ht="15">
      <c r="A74" s="26"/>
      <c r="B74"/>
      <c r="C74" s="83"/>
      <c r="D74" s="110"/>
      <c r="E74" s="110"/>
      <c r="F74" s="62"/>
      <c r="G74" s="18"/>
      <c r="H74" s="389"/>
      <c r="I74" s="389"/>
      <c r="J74" s="389"/>
      <c r="K74" s="389"/>
      <c r="L74" s="389"/>
      <c r="M74" s="389"/>
      <c r="N74" s="389"/>
      <c r="O74" s="389"/>
      <c r="P74" s="133"/>
    </row>
    <row r="75" spans="1:16" s="19" customFormat="1" ht="15">
      <c r="A75" s="26"/>
      <c r="B75" s="27"/>
      <c r="C75" s="46"/>
      <c r="D75" s="111"/>
      <c r="E75" s="111"/>
      <c r="F75" s="59"/>
      <c r="G75" s="18"/>
      <c r="H75" s="389"/>
      <c r="I75" s="389"/>
      <c r="J75" s="389"/>
      <c r="K75" s="389"/>
      <c r="L75" s="389"/>
      <c r="M75" s="389"/>
      <c r="N75" s="389"/>
      <c r="O75" s="389"/>
      <c r="P75" s="133"/>
    </row>
    <row r="76" spans="1:16" s="19" customFormat="1" ht="15">
      <c r="A76" s="26"/>
      <c r="B76" s="27"/>
      <c r="C76" s="46"/>
      <c r="D76" s="111"/>
      <c r="E76" s="111"/>
      <c r="F76" s="59"/>
      <c r="G76" s="18"/>
      <c r="H76" s="389"/>
      <c r="I76" s="389"/>
      <c r="J76" s="389"/>
      <c r="K76" s="389"/>
      <c r="L76" s="389"/>
      <c r="M76" s="389"/>
      <c r="N76" s="389"/>
      <c r="O76" s="389"/>
      <c r="P76" s="133"/>
    </row>
    <row r="77" spans="1:16" s="19" customFormat="1" ht="15">
      <c r="A77" s="26"/>
      <c r="B77" s="27"/>
      <c r="C77" s="46"/>
      <c r="D77" s="111"/>
      <c r="E77" s="111"/>
      <c r="F77" s="59"/>
      <c r="G77" s="18"/>
      <c r="H77" s="59"/>
      <c r="I77" s="71"/>
      <c r="J77" s="115"/>
      <c r="K77" s="115"/>
      <c r="L77" s="60"/>
      <c r="M77" s="117"/>
      <c r="N77" s="81"/>
      <c r="O77" s="60"/>
      <c r="P77" s="133"/>
    </row>
    <row r="78" spans="1:16" s="19" customFormat="1" ht="15">
      <c r="A78" s="26"/>
      <c r="B78" s="27"/>
      <c r="C78" s="46"/>
      <c r="D78" s="111"/>
      <c r="E78" s="111"/>
      <c r="F78" s="59"/>
      <c r="G78" s="18"/>
      <c r="H78" s="59"/>
      <c r="I78" s="71"/>
      <c r="J78" s="115"/>
      <c r="K78" s="115"/>
      <c r="L78" s="60"/>
      <c r="M78" s="117"/>
      <c r="N78" s="81"/>
      <c r="O78" s="60"/>
      <c r="P78" s="133"/>
    </row>
    <row r="79" spans="2:6" ht="18">
      <c r="B79" s="27"/>
      <c r="C79" s="46"/>
      <c r="D79" s="111"/>
      <c r="E79" s="111"/>
      <c r="F79" s="59"/>
    </row>
    <row r="80" spans="2:6" ht="18">
      <c r="B80" s="27"/>
      <c r="C80" s="46"/>
      <c r="D80" s="111"/>
      <c r="E80" s="111"/>
      <c r="F80" s="59"/>
    </row>
    <row r="81" spans="2:15" ht="18">
      <c r="B81" s="27"/>
      <c r="C81" s="46"/>
      <c r="D81" s="111"/>
      <c r="E81" s="111"/>
      <c r="F81" s="59"/>
      <c r="G81" s="59"/>
      <c r="H81" s="59"/>
      <c r="I81" s="71"/>
      <c r="J81" s="115"/>
      <c r="K81" s="115"/>
      <c r="L81" s="60"/>
      <c r="M81" s="76"/>
      <c r="N81" s="82"/>
      <c r="O81" s="60"/>
    </row>
    <row r="82" spans="2:15" ht="18">
      <c r="B82" s="27"/>
      <c r="C82" s="46"/>
      <c r="D82" s="111"/>
      <c r="E82" s="111"/>
      <c r="F82" s="59"/>
      <c r="G82" s="59"/>
      <c r="H82" s="59"/>
      <c r="I82" s="71"/>
      <c r="J82" s="115"/>
      <c r="K82" s="115"/>
      <c r="L82" s="60"/>
      <c r="M82" s="76"/>
      <c r="N82" s="82"/>
      <c r="O82" s="60"/>
    </row>
    <row r="83" spans="2:15" ht="18">
      <c r="B83" s="27"/>
      <c r="C83" s="46"/>
      <c r="D83" s="111"/>
      <c r="E83" s="111"/>
      <c r="F83" s="59"/>
      <c r="G83" s="59"/>
      <c r="H83" s="59"/>
      <c r="I83" s="71"/>
      <c r="J83" s="115"/>
      <c r="K83" s="115"/>
      <c r="L83" s="60"/>
      <c r="M83" s="76"/>
      <c r="N83" s="82"/>
      <c r="O83" s="60"/>
    </row>
    <row r="84" spans="2:15" ht="18">
      <c r="B84" s="27"/>
      <c r="C84" s="46"/>
      <c r="D84" s="111"/>
      <c r="E84" s="111"/>
      <c r="F84" s="59"/>
      <c r="G84" s="59"/>
      <c r="H84" s="59"/>
      <c r="I84" s="71"/>
      <c r="J84" s="115"/>
      <c r="K84" s="115"/>
      <c r="L84" s="60"/>
      <c r="M84" s="76"/>
      <c r="N84" s="82"/>
      <c r="O84" s="60"/>
    </row>
    <row r="85" spans="2:15" ht="18">
      <c r="B85" s="27"/>
      <c r="C85" s="46"/>
      <c r="D85" s="111"/>
      <c r="E85" s="111"/>
      <c r="F85" s="59"/>
      <c r="G85" s="59"/>
      <c r="H85" s="59"/>
      <c r="I85" s="71"/>
      <c r="J85" s="115"/>
      <c r="K85" s="115"/>
      <c r="L85" s="60"/>
      <c r="M85" s="76"/>
      <c r="N85" s="82"/>
      <c r="O85" s="60"/>
    </row>
    <row r="86" spans="2:15" ht="18">
      <c r="B86" s="27"/>
      <c r="C86" s="46"/>
      <c r="D86" s="111"/>
      <c r="E86" s="111"/>
      <c r="F86" s="59"/>
      <c r="G86" s="59"/>
      <c r="H86" s="59"/>
      <c r="I86" s="71"/>
      <c r="J86" s="115"/>
      <c r="K86" s="115"/>
      <c r="L86" s="60"/>
      <c r="M86" s="76"/>
      <c r="N86" s="82"/>
      <c r="O86" s="60"/>
    </row>
    <row r="87" spans="2:15" ht="18">
      <c r="B87" s="27"/>
      <c r="C87" s="46"/>
      <c r="D87" s="111"/>
      <c r="E87" s="111"/>
      <c r="F87" s="59"/>
      <c r="G87" s="59"/>
      <c r="H87" s="59"/>
      <c r="I87" s="71"/>
      <c r="J87" s="115"/>
      <c r="K87" s="115"/>
      <c r="L87" s="60"/>
      <c r="M87" s="76"/>
      <c r="N87" s="82"/>
      <c r="O87" s="60"/>
    </row>
    <row r="88" spans="2:15" ht="18">
      <c r="B88" s="27"/>
      <c r="C88" s="46"/>
      <c r="D88" s="111"/>
      <c r="E88" s="111"/>
      <c r="F88" s="59"/>
      <c r="G88" s="59"/>
      <c r="H88" s="59"/>
      <c r="I88" s="71"/>
      <c r="J88" s="115"/>
      <c r="K88" s="115"/>
      <c r="L88" s="60"/>
      <c r="M88" s="76"/>
      <c r="N88" s="82"/>
      <c r="O88" s="60"/>
    </row>
    <row r="89" spans="7:15" ht="18">
      <c r="G89" s="59"/>
      <c r="H89" s="59"/>
      <c r="I89" s="71"/>
      <c r="J89" s="115"/>
      <c r="K89" s="115"/>
      <c r="L89" s="60"/>
      <c r="M89" s="76"/>
      <c r="N89" s="82"/>
      <c r="O89" s="60"/>
    </row>
    <row r="90" spans="7:15" ht="18">
      <c r="G90" s="59"/>
      <c r="H90" s="59"/>
      <c r="I90" s="71"/>
      <c r="J90" s="115"/>
      <c r="K90" s="115"/>
      <c r="L90" s="60"/>
      <c r="M90" s="76"/>
      <c r="N90" s="82"/>
      <c r="O90" s="60"/>
    </row>
    <row r="91" spans="7:15" ht="18">
      <c r="G91" s="59"/>
      <c r="H91" s="59"/>
      <c r="I91" s="71"/>
      <c r="J91" s="115"/>
      <c r="K91" s="115"/>
      <c r="L91" s="60"/>
      <c r="M91" s="76"/>
      <c r="N91" s="82"/>
      <c r="O91" s="60"/>
    </row>
    <row r="92" spans="7:15" ht="18">
      <c r="G92" s="59"/>
      <c r="H92" s="59"/>
      <c r="I92" s="71"/>
      <c r="J92" s="115"/>
      <c r="K92" s="115"/>
      <c r="L92" s="60"/>
      <c r="M92" s="76"/>
      <c r="N92" s="82"/>
      <c r="O92" s="60"/>
    </row>
    <row r="93" spans="7:15" ht="18">
      <c r="G93" s="59"/>
      <c r="H93" s="59"/>
      <c r="I93" s="71"/>
      <c r="J93" s="115"/>
      <c r="K93" s="115"/>
      <c r="L93" s="60"/>
      <c r="M93" s="76"/>
      <c r="N93" s="82"/>
      <c r="O93" s="60"/>
    </row>
    <row r="94" spans="7:15" ht="18">
      <c r="G94" s="59"/>
      <c r="H94" s="59"/>
      <c r="I94" s="71"/>
      <c r="J94" s="115"/>
      <c r="K94" s="115"/>
      <c r="L94" s="60"/>
      <c r="M94" s="76"/>
      <c r="N94" s="82"/>
      <c r="O94" s="60"/>
    </row>
  </sheetData>
  <sheetProtection insertRows="0" deleteRows="0" sort="0"/>
  <mergeCells count="15">
    <mergeCell ref="H64:O69"/>
    <mergeCell ref="H70:O76"/>
    <mergeCell ref="A58:B58"/>
    <mergeCell ref="K60:O62"/>
    <mergeCell ref="K63:O63"/>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Q13:Q15 Q12 Q16:Q18 Q7 Q8:Q11 K38:K46 K6:K7 O6:O47 M6:N7 L6:L42" formula="1"/>
    <ignoredError sqref="L47:L57 M47:N57 I8:J8" unlockedFormula="1"/>
    <ignoredError sqref="K8:K37 M8:N42 L43:L46 M43:N46" formula="1" unlockedFormula="1"/>
  </ignoredErrors>
  <drawing r:id="rId1"/>
</worksheet>
</file>

<file path=xl/worksheets/sheet2.xml><?xml version="1.0" encoding="utf-8"?>
<worksheet xmlns="http://schemas.openxmlformats.org/spreadsheetml/2006/main" xmlns:r="http://schemas.openxmlformats.org/officeDocument/2006/relationships">
  <dimension ref="A1:N23"/>
  <sheetViews>
    <sheetView zoomScalePageLayoutView="0" workbookViewId="0" topLeftCell="A1">
      <selection activeCell="B39" sqref="B39"/>
    </sheetView>
  </sheetViews>
  <sheetFormatPr defaultColWidth="17.421875" defaultRowHeight="12.75"/>
  <cols>
    <col min="1" max="1" width="4.140625" style="32" bestFit="1" customWidth="1"/>
    <col min="2" max="2" width="49.421875" style="30" bestFit="1" customWidth="1"/>
    <col min="3" max="3" width="15.421875" style="24" bestFit="1" customWidth="1"/>
    <col min="4" max="4" width="14.8515625" style="24" customWidth="1"/>
    <col min="5" max="5" width="22.421875" style="24" customWidth="1"/>
    <col min="6" max="6" width="6.421875" style="24" bestFit="1" customWidth="1"/>
    <col min="7" max="7" width="10.140625" style="24" customWidth="1"/>
    <col min="8" max="8" width="16.421875" style="130" bestFit="1" customWidth="1"/>
    <col min="9" max="9" width="11.8515625" style="131" bestFit="1" customWidth="1"/>
    <col min="10" max="10" width="8.421875" style="31" customWidth="1"/>
    <col min="11" max="11" width="3.140625" style="120"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57" customFormat="1" ht="81.75" customHeight="1" thickBot="1">
      <c r="A1" s="395" t="s">
        <v>101</v>
      </c>
      <c r="B1" s="395"/>
      <c r="C1" s="395"/>
      <c r="D1" s="395"/>
      <c r="E1" s="395"/>
      <c r="F1" s="395"/>
      <c r="G1" s="395"/>
      <c r="H1" s="395"/>
      <c r="I1" s="395"/>
      <c r="J1" s="395"/>
      <c r="K1" s="154"/>
      <c r="L1" s="155"/>
      <c r="M1" s="156"/>
      <c r="N1" s="155"/>
    </row>
    <row r="2" ht="13.5" thickBot="1"/>
    <row r="3" spans="1:14" s="29" customFormat="1" ht="14.25">
      <c r="A3" s="33"/>
      <c r="B3" s="396" t="s">
        <v>3</v>
      </c>
      <c r="C3" s="398" t="s">
        <v>105</v>
      </c>
      <c r="D3" s="398" t="s">
        <v>113</v>
      </c>
      <c r="E3" s="398" t="s">
        <v>112</v>
      </c>
      <c r="F3" s="380" t="s">
        <v>117</v>
      </c>
      <c r="G3" s="380" t="s">
        <v>106</v>
      </c>
      <c r="H3" s="401" t="s">
        <v>119</v>
      </c>
      <c r="I3" s="402"/>
      <c r="J3" s="403" t="s">
        <v>107</v>
      </c>
      <c r="K3" s="119"/>
      <c r="L3" s="55"/>
      <c r="M3" s="57"/>
      <c r="N3" s="55"/>
    </row>
    <row r="4" spans="1:14" s="29" customFormat="1" ht="33" customHeight="1" thickBot="1">
      <c r="A4" s="47"/>
      <c r="B4" s="397"/>
      <c r="C4" s="399"/>
      <c r="D4" s="399"/>
      <c r="E4" s="399"/>
      <c r="F4" s="400"/>
      <c r="G4" s="400"/>
      <c r="H4" s="373" t="s">
        <v>77</v>
      </c>
      <c r="I4" s="374" t="s">
        <v>2</v>
      </c>
      <c r="J4" s="404"/>
      <c r="K4" s="119"/>
      <c r="L4" s="55"/>
      <c r="M4" s="57"/>
      <c r="N4" s="55"/>
    </row>
    <row r="5" spans="1:14" s="29" customFormat="1" ht="15">
      <c r="A5" s="106">
        <v>1</v>
      </c>
      <c r="B5" s="172" t="s">
        <v>87</v>
      </c>
      <c r="C5" s="173">
        <v>39822</v>
      </c>
      <c r="D5" s="174" t="s">
        <v>139</v>
      </c>
      <c r="E5" s="174" t="s">
        <v>88</v>
      </c>
      <c r="F5" s="175">
        <v>175</v>
      </c>
      <c r="G5" s="175">
        <v>3</v>
      </c>
      <c r="H5" s="362">
        <v>3067090.5</v>
      </c>
      <c r="I5" s="321">
        <v>403391</v>
      </c>
      <c r="J5" s="180">
        <f>IF(H5&lt;&gt;0,H5/I5,"")</f>
        <v>7.60326953253791</v>
      </c>
      <c r="K5" s="339">
        <v>1</v>
      </c>
      <c r="L5" s="107"/>
      <c r="M5" s="108"/>
      <c r="N5" s="107"/>
    </row>
    <row r="6" spans="1:14" s="29" customFormat="1" ht="15">
      <c r="A6" s="106">
        <v>2</v>
      </c>
      <c r="B6" s="53" t="s">
        <v>5</v>
      </c>
      <c r="C6" s="39">
        <v>39829</v>
      </c>
      <c r="D6" s="132" t="s">
        <v>139</v>
      </c>
      <c r="E6" s="132" t="s">
        <v>157</v>
      </c>
      <c r="F6" s="50">
        <v>169</v>
      </c>
      <c r="G6" s="50">
        <v>2</v>
      </c>
      <c r="H6" s="300">
        <v>2336469</v>
      </c>
      <c r="I6" s="295">
        <v>315004</v>
      </c>
      <c r="J6" s="104">
        <f>IF(H6&lt;&gt;0,H6/I6,"")</f>
        <v>7.417267717235337</v>
      </c>
      <c r="K6" s="339">
        <v>1</v>
      </c>
      <c r="L6" s="107"/>
      <c r="M6" s="108"/>
      <c r="N6" s="107"/>
    </row>
    <row r="7" spans="1:14" s="29" customFormat="1" ht="15">
      <c r="A7" s="159">
        <v>3</v>
      </c>
      <c r="B7" s="274" t="s">
        <v>6</v>
      </c>
      <c r="C7" s="275">
        <v>39829</v>
      </c>
      <c r="D7" s="276" t="s">
        <v>133</v>
      </c>
      <c r="E7" s="276" t="s">
        <v>125</v>
      </c>
      <c r="F7" s="277">
        <v>91</v>
      </c>
      <c r="G7" s="277">
        <v>2</v>
      </c>
      <c r="H7" s="371">
        <f>1185400+899041+1833</f>
        <v>2086274</v>
      </c>
      <c r="I7" s="372">
        <f>128777+93782-9</f>
        <v>222550</v>
      </c>
      <c r="J7" s="282">
        <f>+H7/I7</f>
        <v>9.374405751516512</v>
      </c>
      <c r="K7" s="339"/>
      <c r="L7" s="107"/>
      <c r="M7" s="108"/>
      <c r="N7" s="107"/>
    </row>
    <row r="8" spans="1:14" s="29" customFormat="1" ht="15">
      <c r="A8" s="106">
        <v>4</v>
      </c>
      <c r="B8" s="365" t="s">
        <v>155</v>
      </c>
      <c r="C8" s="284">
        <v>39836</v>
      </c>
      <c r="D8" s="366" t="s">
        <v>135</v>
      </c>
      <c r="E8" s="366" t="s">
        <v>156</v>
      </c>
      <c r="F8" s="367">
        <v>180</v>
      </c>
      <c r="G8" s="367">
        <v>1</v>
      </c>
      <c r="H8" s="368">
        <f>1758644.5</f>
        <v>1758644.5</v>
      </c>
      <c r="I8" s="369">
        <f>205635</f>
        <v>205635</v>
      </c>
      <c r="J8" s="370">
        <f>H8/I8</f>
        <v>8.552262503951175</v>
      </c>
      <c r="K8" s="339">
        <v>1</v>
      </c>
      <c r="L8" s="107"/>
      <c r="M8" s="108"/>
      <c r="N8" s="107"/>
    </row>
    <row r="9" spans="1:14" s="29" customFormat="1" ht="15">
      <c r="A9" s="106">
        <v>5</v>
      </c>
      <c r="B9" s="327" t="s">
        <v>7</v>
      </c>
      <c r="C9" s="39">
        <v>39829</v>
      </c>
      <c r="D9" s="132" t="s">
        <v>137</v>
      </c>
      <c r="E9" s="292" t="s">
        <v>35</v>
      </c>
      <c r="F9" s="293">
        <v>80</v>
      </c>
      <c r="G9" s="293">
        <v>2</v>
      </c>
      <c r="H9" s="304">
        <f>783409.5+672566</f>
        <v>1455975.5</v>
      </c>
      <c r="I9" s="305">
        <f>86363+71043</f>
        <v>157406</v>
      </c>
      <c r="J9" s="105">
        <f>H9/I9</f>
        <v>9.249809410060607</v>
      </c>
      <c r="K9" s="339"/>
      <c r="L9" s="107"/>
      <c r="M9" s="108"/>
      <c r="N9" s="107"/>
    </row>
    <row r="10" spans="1:14" s="29" customFormat="1" ht="15">
      <c r="A10" s="106">
        <v>6</v>
      </c>
      <c r="B10" s="327" t="s">
        <v>8</v>
      </c>
      <c r="C10" s="40">
        <v>39829</v>
      </c>
      <c r="D10" s="292" t="s">
        <v>134</v>
      </c>
      <c r="E10" s="292" t="s">
        <v>9</v>
      </c>
      <c r="F10" s="293">
        <v>177</v>
      </c>
      <c r="G10" s="293">
        <v>2</v>
      </c>
      <c r="H10" s="294">
        <v>1353112</v>
      </c>
      <c r="I10" s="295">
        <v>180518</v>
      </c>
      <c r="J10" s="105">
        <f>+H10/I10</f>
        <v>7.495717878549508</v>
      </c>
      <c r="K10" s="339">
        <v>1</v>
      </c>
      <c r="L10" s="107"/>
      <c r="M10" s="108"/>
      <c r="N10" s="107"/>
    </row>
    <row r="11" spans="1:14" s="29" customFormat="1" ht="15">
      <c r="A11" s="106">
        <v>7</v>
      </c>
      <c r="B11" s="327" t="s">
        <v>89</v>
      </c>
      <c r="C11" s="40">
        <v>39822</v>
      </c>
      <c r="D11" s="132" t="s">
        <v>137</v>
      </c>
      <c r="E11" s="292" t="s">
        <v>1</v>
      </c>
      <c r="F11" s="293">
        <v>37</v>
      </c>
      <c r="G11" s="293">
        <v>3</v>
      </c>
      <c r="H11" s="304">
        <f>659650+421734+197166</f>
        <v>1278550</v>
      </c>
      <c r="I11" s="305">
        <f>60096+38612+18194</f>
        <v>116902</v>
      </c>
      <c r="J11" s="105">
        <f>H11/I11</f>
        <v>10.936938632358729</v>
      </c>
      <c r="K11" s="339"/>
      <c r="L11" s="107"/>
      <c r="M11" s="108"/>
      <c r="N11" s="107"/>
    </row>
    <row r="12" spans="1:14" s="29" customFormat="1" ht="15">
      <c r="A12" s="106">
        <v>8</v>
      </c>
      <c r="B12" s="327" t="s">
        <v>90</v>
      </c>
      <c r="C12" s="40">
        <v>39822</v>
      </c>
      <c r="D12" s="292" t="s">
        <v>134</v>
      </c>
      <c r="E12" s="292" t="s">
        <v>44</v>
      </c>
      <c r="F12" s="293">
        <v>55</v>
      </c>
      <c r="G12" s="293">
        <v>3</v>
      </c>
      <c r="H12" s="294">
        <v>1146232</v>
      </c>
      <c r="I12" s="295">
        <v>125079</v>
      </c>
      <c r="J12" s="104">
        <f>+H12/I12</f>
        <v>9.164064311355224</v>
      </c>
      <c r="K12" s="339"/>
      <c r="L12" s="107"/>
      <c r="M12" s="108"/>
      <c r="N12" s="107"/>
    </row>
    <row r="13" spans="1:14" s="29" customFormat="1" ht="15">
      <c r="A13" s="106">
        <v>9</v>
      </c>
      <c r="B13" s="327" t="s">
        <v>158</v>
      </c>
      <c r="C13" s="40">
        <v>39836</v>
      </c>
      <c r="D13" s="292" t="s">
        <v>134</v>
      </c>
      <c r="E13" s="292" t="s">
        <v>44</v>
      </c>
      <c r="F13" s="293">
        <v>108</v>
      </c>
      <c r="G13" s="293">
        <v>1</v>
      </c>
      <c r="H13" s="294">
        <v>923740</v>
      </c>
      <c r="I13" s="295">
        <v>107498</v>
      </c>
      <c r="J13" s="328">
        <f>H13/I13</f>
        <v>8.593090104001934</v>
      </c>
      <c r="K13" s="339"/>
      <c r="L13" s="107"/>
      <c r="M13" s="108"/>
      <c r="N13" s="107"/>
    </row>
    <row r="14" spans="1:14" s="29" customFormat="1" ht="15">
      <c r="A14" s="106">
        <v>10</v>
      </c>
      <c r="B14" s="53" t="s">
        <v>159</v>
      </c>
      <c r="C14" s="39">
        <v>39836</v>
      </c>
      <c r="D14" s="132" t="s">
        <v>139</v>
      </c>
      <c r="E14" s="132" t="s">
        <v>160</v>
      </c>
      <c r="F14" s="50">
        <v>86</v>
      </c>
      <c r="G14" s="50">
        <v>1</v>
      </c>
      <c r="H14" s="300">
        <v>635620.5</v>
      </c>
      <c r="I14" s="295">
        <v>69058</v>
      </c>
      <c r="J14" s="104">
        <f>IF(H14&lt;&gt;0,H14/I14,"")</f>
        <v>9.20415447884387</v>
      </c>
      <c r="K14" s="339"/>
      <c r="L14" s="107"/>
      <c r="M14" s="108"/>
      <c r="N14" s="107"/>
    </row>
    <row r="15" spans="1:14" s="29" customFormat="1" ht="15">
      <c r="A15" s="106">
        <v>11</v>
      </c>
      <c r="B15" s="53" t="s">
        <v>34</v>
      </c>
      <c r="C15" s="39">
        <v>39815</v>
      </c>
      <c r="D15" s="132" t="s">
        <v>133</v>
      </c>
      <c r="E15" s="132" t="s">
        <v>35</v>
      </c>
      <c r="F15" s="50">
        <v>62</v>
      </c>
      <c r="G15" s="50">
        <v>4</v>
      </c>
      <c r="H15" s="304">
        <f>364878+189780+24392+5352+42</f>
        <v>584444</v>
      </c>
      <c r="I15" s="305">
        <f>36690+19609+2909+1194-16</f>
        <v>60386</v>
      </c>
      <c r="J15" s="105">
        <f>+H15/I15</f>
        <v>9.67846851919319</v>
      </c>
      <c r="K15" s="339"/>
      <c r="L15" s="107"/>
      <c r="M15" s="108"/>
      <c r="N15" s="107"/>
    </row>
    <row r="16" spans="1:14" s="29" customFormat="1" ht="15">
      <c r="A16" s="106">
        <v>12</v>
      </c>
      <c r="B16" s="327" t="s">
        <v>10</v>
      </c>
      <c r="C16" s="40">
        <v>39829</v>
      </c>
      <c r="D16" s="132" t="s">
        <v>137</v>
      </c>
      <c r="E16" s="292" t="s">
        <v>11</v>
      </c>
      <c r="F16" s="293">
        <v>65</v>
      </c>
      <c r="G16" s="293">
        <v>2</v>
      </c>
      <c r="H16" s="304">
        <f>237023+244842</f>
        <v>481865</v>
      </c>
      <c r="I16" s="305">
        <f>25678+28966</f>
        <v>54644</v>
      </c>
      <c r="J16" s="105">
        <f>H16/I16</f>
        <v>8.818260010248151</v>
      </c>
      <c r="K16" s="339"/>
      <c r="L16" s="107"/>
      <c r="M16" s="108"/>
      <c r="N16" s="107"/>
    </row>
    <row r="17" spans="1:14" s="29" customFormat="1" ht="15">
      <c r="A17" s="106">
        <v>13</v>
      </c>
      <c r="B17" s="327" t="s">
        <v>12</v>
      </c>
      <c r="C17" s="40">
        <v>39829</v>
      </c>
      <c r="D17" s="292" t="s">
        <v>135</v>
      </c>
      <c r="E17" s="292" t="s">
        <v>13</v>
      </c>
      <c r="F17" s="293">
        <v>27</v>
      </c>
      <c r="G17" s="293">
        <v>2</v>
      </c>
      <c r="H17" s="294">
        <f>186683.5+104505</f>
        <v>291188.5</v>
      </c>
      <c r="I17" s="295">
        <f>17611+9310</f>
        <v>26921</v>
      </c>
      <c r="J17" s="105">
        <f>+H17/I17</f>
        <v>10.816407265703354</v>
      </c>
      <c r="K17" s="339"/>
      <c r="L17" s="107"/>
      <c r="M17" s="108"/>
      <c r="N17" s="107"/>
    </row>
    <row r="18" spans="1:14" s="29" customFormat="1" ht="15">
      <c r="A18" s="106">
        <v>14</v>
      </c>
      <c r="B18" s="53" t="s">
        <v>91</v>
      </c>
      <c r="C18" s="39">
        <v>39822</v>
      </c>
      <c r="D18" s="132" t="s">
        <v>133</v>
      </c>
      <c r="E18" s="132" t="s">
        <v>92</v>
      </c>
      <c r="F18" s="50">
        <v>59</v>
      </c>
      <c r="G18" s="50">
        <v>3</v>
      </c>
      <c r="H18" s="304">
        <f>104780+59149-180+16774</f>
        <v>180523</v>
      </c>
      <c r="I18" s="305">
        <f>11200+7168-39+2888</f>
        <v>21217</v>
      </c>
      <c r="J18" s="105">
        <f>+H18/I18</f>
        <v>8.508413064995052</v>
      </c>
      <c r="K18" s="339"/>
      <c r="L18" s="107"/>
      <c r="M18" s="108"/>
      <c r="N18" s="107"/>
    </row>
    <row r="19" spans="1:14" s="29" customFormat="1" ht="15">
      <c r="A19" s="106">
        <v>15</v>
      </c>
      <c r="B19" s="327" t="s">
        <v>36</v>
      </c>
      <c r="C19" s="40">
        <v>39815</v>
      </c>
      <c r="D19" s="132" t="s">
        <v>137</v>
      </c>
      <c r="E19" s="292" t="s">
        <v>37</v>
      </c>
      <c r="F19" s="293">
        <v>37</v>
      </c>
      <c r="G19" s="293">
        <v>4</v>
      </c>
      <c r="H19" s="304">
        <f>95365.5+19593.5+3155+849</f>
        <v>118963</v>
      </c>
      <c r="I19" s="305">
        <f>9915+2232+541+157</f>
        <v>12845</v>
      </c>
      <c r="J19" s="105">
        <f>H19/I19</f>
        <v>9.26142467886337</v>
      </c>
      <c r="K19" s="339"/>
      <c r="L19" s="107"/>
      <c r="M19" s="108"/>
      <c r="N19" s="107"/>
    </row>
    <row r="20" spans="1:14" s="29" customFormat="1" ht="15">
      <c r="A20" s="106">
        <v>16</v>
      </c>
      <c r="B20" s="327" t="s">
        <v>38</v>
      </c>
      <c r="C20" s="40">
        <v>39815</v>
      </c>
      <c r="D20" s="292" t="s">
        <v>135</v>
      </c>
      <c r="E20" s="292" t="s">
        <v>110</v>
      </c>
      <c r="F20" s="293">
        <v>17</v>
      </c>
      <c r="G20" s="293">
        <v>4</v>
      </c>
      <c r="H20" s="294">
        <f>73862+20664+15776+8085</f>
        <v>118387</v>
      </c>
      <c r="I20" s="295">
        <f>7639+2334+2407+1475</f>
        <v>13855</v>
      </c>
      <c r="J20" s="104">
        <f>+H20/I20</f>
        <v>8.544713099963912</v>
      </c>
      <c r="K20" s="339"/>
      <c r="L20" s="107"/>
      <c r="M20" s="108"/>
      <c r="N20" s="107"/>
    </row>
    <row r="21" spans="1:14" s="29" customFormat="1" ht="15">
      <c r="A21" s="106">
        <v>17</v>
      </c>
      <c r="B21" s="53" t="s">
        <v>161</v>
      </c>
      <c r="C21" s="39">
        <v>39836</v>
      </c>
      <c r="D21" s="132" t="s">
        <v>4</v>
      </c>
      <c r="E21" s="132" t="s">
        <v>78</v>
      </c>
      <c r="F21" s="50">
        <v>30</v>
      </c>
      <c r="G21" s="50">
        <v>1</v>
      </c>
      <c r="H21" s="304">
        <v>80412</v>
      </c>
      <c r="I21" s="305">
        <v>7594</v>
      </c>
      <c r="J21" s="104">
        <f>+H21/I21</f>
        <v>10.588885962602054</v>
      </c>
      <c r="K21" s="339"/>
      <c r="L21" s="107"/>
      <c r="M21" s="108"/>
      <c r="N21" s="107"/>
    </row>
    <row r="22" spans="1:14" s="29" customFormat="1" ht="15">
      <c r="A22" s="106">
        <v>18</v>
      </c>
      <c r="B22" s="327" t="s">
        <v>162</v>
      </c>
      <c r="C22" s="40">
        <v>39836</v>
      </c>
      <c r="D22" s="132" t="s">
        <v>137</v>
      </c>
      <c r="E22" s="292" t="s">
        <v>163</v>
      </c>
      <c r="F22" s="293">
        <v>13</v>
      </c>
      <c r="G22" s="293">
        <v>1</v>
      </c>
      <c r="H22" s="304">
        <f>57133.5</f>
        <v>57133.5</v>
      </c>
      <c r="I22" s="305">
        <f>5405</f>
        <v>5405</v>
      </c>
      <c r="J22" s="105">
        <f>H22/I22</f>
        <v>10.570490286771507</v>
      </c>
      <c r="K22" s="339">
        <v>1</v>
      </c>
      <c r="L22" s="107"/>
      <c r="M22" s="108"/>
      <c r="N22" s="107"/>
    </row>
    <row r="23" spans="1:11" ht="15.75" thickBot="1">
      <c r="A23" s="106">
        <v>19</v>
      </c>
      <c r="B23" s="330" t="s">
        <v>39</v>
      </c>
      <c r="C23" s="289">
        <v>39815</v>
      </c>
      <c r="D23" s="331" t="s">
        <v>139</v>
      </c>
      <c r="E23" s="331" t="s">
        <v>40</v>
      </c>
      <c r="F23" s="332">
        <v>16</v>
      </c>
      <c r="G23" s="332">
        <v>4</v>
      </c>
      <c r="H23" s="363">
        <f>39086+7302+6989+1230</f>
        <v>54607</v>
      </c>
      <c r="I23" s="364">
        <f>3939+844+929+270</f>
        <v>5982</v>
      </c>
      <c r="J23" s="290">
        <f>IF(H23&lt;&gt;0,H23/I23,"")</f>
        <v>9.12855232363758</v>
      </c>
      <c r="K23" s="339">
        <v>1</v>
      </c>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ignoredErrors>
    <ignoredError sqref="H7:I23" unlockedFormula="1"/>
    <ignoredError sqref="J10:J20" formula="1"/>
  </ignoredErrors>
</worksheet>
</file>

<file path=xl/worksheets/sheet3.xml><?xml version="1.0" encoding="utf-8"?>
<worksheet xmlns="http://schemas.openxmlformats.org/spreadsheetml/2006/main" xmlns:r="http://schemas.openxmlformats.org/officeDocument/2006/relationships">
  <dimension ref="A1:Q170"/>
  <sheetViews>
    <sheetView zoomScalePageLayoutView="0" workbookViewId="0" topLeftCell="B1">
      <selection activeCell="B2" sqref="B2:B3"/>
    </sheetView>
  </sheetViews>
  <sheetFormatPr defaultColWidth="4.00390625" defaultRowHeight="12.75"/>
  <cols>
    <col min="1" max="1" width="4.421875" style="0" bestFit="1" customWidth="1"/>
    <col min="2" max="2" width="38.140625" style="0" bestFit="1" customWidth="1"/>
    <col min="3" max="3" width="8.8515625" style="62" bestFit="1" customWidth="1"/>
    <col min="4" max="4" width="13.140625" style="0" bestFit="1" customWidth="1"/>
    <col min="5" max="5" width="20.140625" style="0" bestFit="1" customWidth="1"/>
    <col min="6" max="6" width="5.421875" style="100" bestFit="1" customWidth="1"/>
    <col min="7" max="7" width="7.7109375" style="101" bestFit="1" customWidth="1"/>
    <col min="8" max="8" width="9.421875" style="62" customWidth="1"/>
    <col min="9" max="9" width="13.7109375" style="153" bestFit="1" customWidth="1"/>
    <col min="10" max="10" width="10.00390625" style="142" bestFit="1" customWidth="1"/>
    <col min="11" max="11" width="8.7109375" style="144" customWidth="1"/>
    <col min="12" max="12" width="6.28125" style="150" bestFit="1" customWidth="1"/>
    <col min="13" max="13" width="14.28125" style="137" bestFit="1" customWidth="1"/>
    <col min="14" max="14" width="10.28125" style="144" bestFit="1" customWidth="1"/>
    <col min="15" max="15" width="6.7109375" style="150" bestFit="1" customWidth="1"/>
    <col min="16" max="16" width="3.140625" style="121" bestFit="1" customWidth="1"/>
    <col min="17" max="17" width="4.00390625" style="129" customWidth="1"/>
  </cols>
  <sheetData>
    <row r="1" spans="1:15" ht="34.5" thickBot="1">
      <c r="A1" s="417" t="s">
        <v>153</v>
      </c>
      <c r="B1" s="418"/>
      <c r="C1" s="418"/>
      <c r="D1" s="418"/>
      <c r="E1" s="418"/>
      <c r="F1" s="418"/>
      <c r="G1" s="418"/>
      <c r="H1" s="419"/>
      <c r="I1" s="419"/>
      <c r="J1" s="419"/>
      <c r="K1" s="419"/>
      <c r="L1" s="419"/>
      <c r="M1" s="419"/>
      <c r="N1" s="419"/>
      <c r="O1" s="419"/>
    </row>
    <row r="2" spans="1:17" s="91" customFormat="1" ht="14.25">
      <c r="A2" s="93"/>
      <c r="B2" s="421" t="s">
        <v>3</v>
      </c>
      <c r="C2" s="423" t="s">
        <v>116</v>
      </c>
      <c r="D2" s="416" t="s">
        <v>132</v>
      </c>
      <c r="E2" s="416" t="s">
        <v>131</v>
      </c>
      <c r="F2" s="410" t="s">
        <v>117</v>
      </c>
      <c r="G2" s="410" t="s">
        <v>124</v>
      </c>
      <c r="H2" s="412" t="s">
        <v>126</v>
      </c>
      <c r="I2" s="414" t="s">
        <v>118</v>
      </c>
      <c r="J2" s="414"/>
      <c r="K2" s="414"/>
      <c r="L2" s="414"/>
      <c r="M2" s="414" t="s">
        <v>119</v>
      </c>
      <c r="N2" s="414"/>
      <c r="O2" s="415"/>
      <c r="P2" s="102"/>
      <c r="Q2" s="102"/>
    </row>
    <row r="3" spans="1:17" s="91" customFormat="1" ht="39" thickBot="1">
      <c r="A3" s="94"/>
      <c r="B3" s="422"/>
      <c r="C3" s="424"/>
      <c r="D3" s="411"/>
      <c r="E3" s="411"/>
      <c r="F3" s="411"/>
      <c r="G3" s="411"/>
      <c r="H3" s="413"/>
      <c r="I3" s="135" t="s">
        <v>120</v>
      </c>
      <c r="J3" s="140" t="s">
        <v>121</v>
      </c>
      <c r="K3" s="140" t="s">
        <v>104</v>
      </c>
      <c r="L3" s="148" t="s">
        <v>122</v>
      </c>
      <c r="M3" s="138" t="s">
        <v>120</v>
      </c>
      <c r="N3" s="140" t="s">
        <v>121</v>
      </c>
      <c r="O3" s="151" t="s">
        <v>123</v>
      </c>
      <c r="P3" s="102"/>
      <c r="Q3" s="102"/>
    </row>
    <row r="4" spans="1:16" ht="15">
      <c r="A4" s="66">
        <v>1</v>
      </c>
      <c r="B4" s="172" t="s">
        <v>65</v>
      </c>
      <c r="C4" s="173">
        <v>39759</v>
      </c>
      <c r="D4" s="174" t="s">
        <v>66</v>
      </c>
      <c r="E4" s="174" t="s">
        <v>67</v>
      </c>
      <c r="F4" s="175">
        <v>159</v>
      </c>
      <c r="G4" s="175">
        <v>159</v>
      </c>
      <c r="H4" s="175">
        <v>9</v>
      </c>
      <c r="I4" s="176">
        <v>2001009.5</v>
      </c>
      <c r="J4" s="177">
        <v>246070</v>
      </c>
      <c r="K4" s="178">
        <f>+J4/G4</f>
        <v>1547.6100628930817</v>
      </c>
      <c r="L4" s="179">
        <f>+I4/J4</f>
        <v>8.13187101231357</v>
      </c>
      <c r="M4" s="176">
        <v>19583374</v>
      </c>
      <c r="N4" s="177">
        <v>2259210</v>
      </c>
      <c r="O4" s="180">
        <f>+M4/N4</f>
        <v>8.668239782932972</v>
      </c>
      <c r="P4" s="128">
        <v>1</v>
      </c>
    </row>
    <row r="5" spans="1:16" ht="15">
      <c r="A5" s="66">
        <v>2</v>
      </c>
      <c r="B5" s="242" t="s">
        <v>65</v>
      </c>
      <c r="C5" s="226">
        <v>39759</v>
      </c>
      <c r="D5" s="227" t="s">
        <v>66</v>
      </c>
      <c r="E5" s="227" t="s">
        <v>67</v>
      </c>
      <c r="F5" s="228">
        <v>159</v>
      </c>
      <c r="G5" s="228">
        <v>159</v>
      </c>
      <c r="H5" s="228">
        <v>10</v>
      </c>
      <c r="I5" s="235">
        <v>1362993</v>
      </c>
      <c r="J5" s="236">
        <v>175799</v>
      </c>
      <c r="K5" s="233">
        <f>J5/G5</f>
        <v>1105.6540880503144</v>
      </c>
      <c r="L5" s="234">
        <f>I5/J5</f>
        <v>7.753132839208414</v>
      </c>
      <c r="M5" s="235">
        <v>20952200</v>
      </c>
      <c r="N5" s="236">
        <v>2436833</v>
      </c>
      <c r="O5" s="243">
        <f>+M5/N5</f>
        <v>8.598127159308824</v>
      </c>
      <c r="P5" s="258">
        <v>1</v>
      </c>
    </row>
    <row r="6" spans="1:16" ht="15">
      <c r="A6" s="127">
        <v>3</v>
      </c>
      <c r="B6" s="274" t="s">
        <v>65</v>
      </c>
      <c r="C6" s="275">
        <v>39759</v>
      </c>
      <c r="D6" s="276" t="s">
        <v>66</v>
      </c>
      <c r="E6" s="276" t="s">
        <v>67</v>
      </c>
      <c r="F6" s="277">
        <v>156</v>
      </c>
      <c r="G6" s="277">
        <v>156</v>
      </c>
      <c r="H6" s="277">
        <v>11</v>
      </c>
      <c r="I6" s="280">
        <v>1069198</v>
      </c>
      <c r="J6" s="281">
        <v>142250</v>
      </c>
      <c r="K6" s="278">
        <f>J6/G6</f>
        <v>911.8589743589744</v>
      </c>
      <c r="L6" s="279">
        <f>I6/J6</f>
        <v>7.516330404217926</v>
      </c>
      <c r="M6" s="280">
        <v>22036559</v>
      </c>
      <c r="N6" s="281">
        <v>2580474</v>
      </c>
      <c r="O6" s="282">
        <f>+M6/N6</f>
        <v>8.539733010291908</v>
      </c>
      <c r="P6" s="283">
        <v>1</v>
      </c>
    </row>
    <row r="7" spans="1:16" ht="15">
      <c r="A7" s="66">
        <v>5</v>
      </c>
      <c r="B7" s="259" t="s">
        <v>22</v>
      </c>
      <c r="C7" s="284">
        <v>39787</v>
      </c>
      <c r="D7" s="285" t="s">
        <v>134</v>
      </c>
      <c r="E7" s="285" t="s">
        <v>141</v>
      </c>
      <c r="F7" s="260">
        <v>406</v>
      </c>
      <c r="G7" s="260">
        <v>284</v>
      </c>
      <c r="H7" s="260">
        <v>5</v>
      </c>
      <c r="I7" s="286">
        <v>779810</v>
      </c>
      <c r="J7" s="273">
        <v>96885</v>
      </c>
      <c r="K7" s="273">
        <f>J7/G7</f>
        <v>341.1443661971831</v>
      </c>
      <c r="L7" s="287">
        <f>+I7/J7</f>
        <v>8.048820766888579</v>
      </c>
      <c r="M7" s="286">
        <v>29377571</v>
      </c>
      <c r="N7" s="273">
        <v>3556373</v>
      </c>
      <c r="O7" s="288">
        <f>+M7/N7</f>
        <v>8.260542693356406</v>
      </c>
      <c r="P7" s="128">
        <v>1</v>
      </c>
    </row>
    <row r="8" spans="1:16" ht="15">
      <c r="A8" s="66">
        <v>6</v>
      </c>
      <c r="B8" s="53" t="s">
        <v>65</v>
      </c>
      <c r="C8" s="39">
        <v>39759</v>
      </c>
      <c r="D8" s="132" t="s">
        <v>66</v>
      </c>
      <c r="E8" s="132" t="s">
        <v>67</v>
      </c>
      <c r="F8" s="50">
        <v>141</v>
      </c>
      <c r="G8" s="50">
        <v>141</v>
      </c>
      <c r="H8" s="50">
        <v>12</v>
      </c>
      <c r="I8" s="307">
        <v>603833</v>
      </c>
      <c r="J8" s="308">
        <v>87195</v>
      </c>
      <c r="K8" s="306">
        <f>J8/G8</f>
        <v>618.4042553191489</v>
      </c>
      <c r="L8" s="169">
        <f>I8/J8</f>
        <v>6.925087447674752</v>
      </c>
      <c r="M8" s="307">
        <v>22640352</v>
      </c>
      <c r="N8" s="308">
        <v>2667669</v>
      </c>
      <c r="O8" s="105">
        <f>+M8/N8</f>
        <v>8.486941970686768</v>
      </c>
      <c r="P8" s="128"/>
    </row>
    <row r="9" spans="1:16" ht="15">
      <c r="A9" s="66">
        <v>7</v>
      </c>
      <c r="B9" s="49" t="s">
        <v>26</v>
      </c>
      <c r="C9" s="39">
        <v>39808</v>
      </c>
      <c r="D9" s="45" t="s">
        <v>137</v>
      </c>
      <c r="E9" s="44" t="s">
        <v>136</v>
      </c>
      <c r="F9" s="41">
        <v>75</v>
      </c>
      <c r="G9" s="41">
        <v>75</v>
      </c>
      <c r="H9" s="41">
        <v>2</v>
      </c>
      <c r="I9" s="160">
        <v>578530</v>
      </c>
      <c r="J9" s="161">
        <v>57106</v>
      </c>
      <c r="K9" s="168">
        <f>(J9/G9)</f>
        <v>761.4133333333333</v>
      </c>
      <c r="L9" s="169">
        <f>I9/J9</f>
        <v>10.130809372044968</v>
      </c>
      <c r="M9" s="160">
        <f>681566+578530</f>
        <v>1260096</v>
      </c>
      <c r="N9" s="161">
        <f>64102+57106</f>
        <v>121208</v>
      </c>
      <c r="O9" s="104">
        <f>IF(M9&lt;&gt;0,M9/N9,"")</f>
        <v>10.396145468945944</v>
      </c>
      <c r="P9" s="128">
        <v>1</v>
      </c>
    </row>
    <row r="10" spans="1:16" ht="15">
      <c r="A10" s="66">
        <v>8</v>
      </c>
      <c r="B10" s="48" t="s">
        <v>23</v>
      </c>
      <c r="C10" s="39">
        <v>39808</v>
      </c>
      <c r="D10" s="42" t="s">
        <v>139</v>
      </c>
      <c r="E10" s="42" t="s">
        <v>24</v>
      </c>
      <c r="F10" s="54">
        <v>198</v>
      </c>
      <c r="G10" s="54">
        <v>198</v>
      </c>
      <c r="H10" s="54">
        <v>2</v>
      </c>
      <c r="I10" s="167">
        <v>532572.5</v>
      </c>
      <c r="J10" s="168">
        <v>67146</v>
      </c>
      <c r="K10" s="162">
        <f>IF(I10&lt;&gt;0,J10/G10,"")</f>
        <v>339.1212121212121</v>
      </c>
      <c r="L10" s="163">
        <f>IF(I10&lt;&gt;0,I10/J10,"")</f>
        <v>7.9315595865725435</v>
      </c>
      <c r="M10" s="167">
        <f>909072+532572.5</f>
        <v>1441644.5</v>
      </c>
      <c r="N10" s="165">
        <f>112486+67146</f>
        <v>179632</v>
      </c>
      <c r="O10" s="104">
        <f>IF(M10&lt;&gt;0,M10/N10,"")</f>
        <v>8.025543889730114</v>
      </c>
      <c r="P10" s="128">
        <v>1</v>
      </c>
    </row>
    <row r="11" spans="1:16" ht="15">
      <c r="A11" s="66">
        <v>9</v>
      </c>
      <c r="B11" s="49" t="s">
        <v>142</v>
      </c>
      <c r="C11" s="40">
        <v>39787</v>
      </c>
      <c r="D11" s="44" t="s">
        <v>135</v>
      </c>
      <c r="E11" s="44" t="s">
        <v>143</v>
      </c>
      <c r="F11" s="41">
        <v>241</v>
      </c>
      <c r="G11" s="41">
        <v>215</v>
      </c>
      <c r="H11" s="41">
        <v>5</v>
      </c>
      <c r="I11" s="164">
        <v>528440.5</v>
      </c>
      <c r="J11" s="165">
        <v>73035</v>
      </c>
      <c r="K11" s="162">
        <f>+J11/G11</f>
        <v>339.69767441860466</v>
      </c>
      <c r="L11" s="163">
        <f>+I11/J11</f>
        <v>7.2354419114123365</v>
      </c>
      <c r="M11" s="164">
        <f>9280968+4694050.5+1992628+1117778+528440.5</f>
        <v>17613865</v>
      </c>
      <c r="N11" s="165">
        <f>1147876+614752+261380+141495+73035</f>
        <v>2238538</v>
      </c>
      <c r="O11" s="104">
        <f aca="true" t="shared" si="0" ref="O11:O16">+M11/N11</f>
        <v>7.868468169850143</v>
      </c>
      <c r="P11" s="283">
        <v>1</v>
      </c>
    </row>
    <row r="12" spans="1:16" ht="15">
      <c r="A12" s="66">
        <v>10</v>
      </c>
      <c r="B12" s="269" t="s">
        <v>22</v>
      </c>
      <c r="C12" s="262">
        <v>39787</v>
      </c>
      <c r="D12" s="65" t="s">
        <v>134</v>
      </c>
      <c r="E12" s="264" t="s">
        <v>141</v>
      </c>
      <c r="F12" s="41">
        <v>406</v>
      </c>
      <c r="G12" s="41">
        <v>67</v>
      </c>
      <c r="H12" s="41">
        <v>7</v>
      </c>
      <c r="I12" s="164">
        <v>525517</v>
      </c>
      <c r="J12" s="165">
        <v>57856</v>
      </c>
      <c r="K12" s="165">
        <f>J12/G12</f>
        <v>863.5223880597015</v>
      </c>
      <c r="L12" s="166">
        <f>+I12/J12</f>
        <v>9.083189297566372</v>
      </c>
      <c r="M12" s="164">
        <v>30377332</v>
      </c>
      <c r="N12" s="165">
        <v>3697746</v>
      </c>
      <c r="O12" s="103">
        <f t="shared" si="0"/>
        <v>8.215094276351053</v>
      </c>
      <c r="P12" s="339"/>
    </row>
    <row r="13" spans="1:16" ht="15">
      <c r="A13" s="66">
        <v>11</v>
      </c>
      <c r="B13" s="245" t="s">
        <v>22</v>
      </c>
      <c r="C13" s="239">
        <v>39787</v>
      </c>
      <c r="D13" s="237" t="s">
        <v>134</v>
      </c>
      <c r="E13" s="237" t="s">
        <v>141</v>
      </c>
      <c r="F13" s="238">
        <v>406</v>
      </c>
      <c r="G13" s="238">
        <v>268</v>
      </c>
      <c r="H13" s="238">
        <v>6</v>
      </c>
      <c r="I13" s="241">
        <v>474244</v>
      </c>
      <c r="J13" s="232">
        <v>83517</v>
      </c>
      <c r="K13" s="232">
        <f>J13/G13</f>
        <v>311.6305970149254</v>
      </c>
      <c r="L13" s="240">
        <f>+I13/J13</f>
        <v>5.678412778236766</v>
      </c>
      <c r="M13" s="241">
        <v>29851815</v>
      </c>
      <c r="N13" s="232">
        <v>3639890</v>
      </c>
      <c r="O13" s="246">
        <f t="shared" si="0"/>
        <v>8.201295918283245</v>
      </c>
      <c r="P13" s="339"/>
    </row>
    <row r="14" spans="1:16" ht="15">
      <c r="A14" s="66">
        <v>12</v>
      </c>
      <c r="B14" s="49" t="s">
        <v>25</v>
      </c>
      <c r="C14" s="40">
        <v>39808</v>
      </c>
      <c r="D14" s="65" t="s">
        <v>134</v>
      </c>
      <c r="E14" s="44" t="s">
        <v>114</v>
      </c>
      <c r="F14" s="41">
        <v>112</v>
      </c>
      <c r="G14" s="41">
        <v>111</v>
      </c>
      <c r="H14" s="41">
        <v>2</v>
      </c>
      <c r="I14" s="164">
        <v>463795</v>
      </c>
      <c r="J14" s="165">
        <v>46542</v>
      </c>
      <c r="K14" s="165">
        <f>J14/G14</f>
        <v>419.2972972972973</v>
      </c>
      <c r="L14" s="166">
        <f>+I14/J14</f>
        <v>9.965085299299558</v>
      </c>
      <c r="M14" s="164">
        <v>1284128</v>
      </c>
      <c r="N14" s="165">
        <v>127360</v>
      </c>
      <c r="O14" s="103">
        <f t="shared" si="0"/>
        <v>10.082663316582915</v>
      </c>
      <c r="P14" s="339">
        <v>1</v>
      </c>
    </row>
    <row r="15" spans="1:16" ht="15">
      <c r="A15" s="66">
        <v>13</v>
      </c>
      <c r="B15" s="48" t="s">
        <v>147</v>
      </c>
      <c r="C15" s="39">
        <v>39801</v>
      </c>
      <c r="D15" s="43" t="s">
        <v>133</v>
      </c>
      <c r="E15" s="42" t="s">
        <v>125</v>
      </c>
      <c r="F15" s="54">
        <v>69</v>
      </c>
      <c r="G15" s="54">
        <v>69</v>
      </c>
      <c r="H15" s="54">
        <v>3</v>
      </c>
      <c r="I15" s="160">
        <v>413907</v>
      </c>
      <c r="J15" s="161">
        <v>42374</v>
      </c>
      <c r="K15" s="168">
        <f>J15/G15</f>
        <v>614.1159420289855</v>
      </c>
      <c r="L15" s="169">
        <f>I15/J15</f>
        <v>9.767947326190589</v>
      </c>
      <c r="M15" s="160">
        <f>820286+588484+413907</f>
        <v>1822677</v>
      </c>
      <c r="N15" s="161">
        <f>83839+57678+42374</f>
        <v>183891</v>
      </c>
      <c r="O15" s="105">
        <f t="shared" si="0"/>
        <v>9.911724880499861</v>
      </c>
      <c r="P15" s="339"/>
    </row>
    <row r="16" spans="1:16" ht="15">
      <c r="A16" s="66">
        <v>14</v>
      </c>
      <c r="B16" s="245" t="s">
        <v>25</v>
      </c>
      <c r="C16" s="239">
        <v>39808</v>
      </c>
      <c r="D16" s="237" t="s">
        <v>134</v>
      </c>
      <c r="E16" s="237" t="s">
        <v>114</v>
      </c>
      <c r="F16" s="238">
        <v>112</v>
      </c>
      <c r="G16" s="238">
        <v>111</v>
      </c>
      <c r="H16" s="238">
        <v>3</v>
      </c>
      <c r="I16" s="241">
        <v>346957</v>
      </c>
      <c r="J16" s="232">
        <v>36487</v>
      </c>
      <c r="K16" s="232">
        <f>J16/G16</f>
        <v>328.7117117117117</v>
      </c>
      <c r="L16" s="240">
        <f>+I16/J16</f>
        <v>9.509058020664895</v>
      </c>
      <c r="M16" s="241">
        <v>1631085</v>
      </c>
      <c r="N16" s="232">
        <v>163847</v>
      </c>
      <c r="O16" s="246">
        <f t="shared" si="0"/>
        <v>9.95492746281592</v>
      </c>
      <c r="P16" s="339"/>
    </row>
    <row r="17" spans="1:16" ht="15">
      <c r="A17" s="66">
        <v>15</v>
      </c>
      <c r="B17" s="244" t="s">
        <v>26</v>
      </c>
      <c r="C17" s="239">
        <v>39808</v>
      </c>
      <c r="D17" s="227" t="s">
        <v>137</v>
      </c>
      <c r="E17" s="237" t="s">
        <v>136</v>
      </c>
      <c r="F17" s="238">
        <v>75</v>
      </c>
      <c r="G17" s="238">
        <v>76</v>
      </c>
      <c r="H17" s="238">
        <v>3</v>
      </c>
      <c r="I17" s="235">
        <v>317284.5</v>
      </c>
      <c r="J17" s="236">
        <v>32401</v>
      </c>
      <c r="K17" s="233">
        <f>(J17/G17)</f>
        <v>426.32894736842104</v>
      </c>
      <c r="L17" s="234">
        <f>I17/J17</f>
        <v>9.792429246010926</v>
      </c>
      <c r="M17" s="235">
        <f>681566+578530+317284.5</f>
        <v>1577380.5</v>
      </c>
      <c r="N17" s="236">
        <f>64102+57106+32401</f>
        <v>153609</v>
      </c>
      <c r="O17" s="243">
        <f>M17/N17</f>
        <v>10.268802609222115</v>
      </c>
      <c r="P17" s="339"/>
    </row>
    <row r="18" spans="1:16" ht="15">
      <c r="A18" s="66">
        <v>16</v>
      </c>
      <c r="B18" s="49" t="s">
        <v>27</v>
      </c>
      <c r="C18" s="40">
        <v>39808</v>
      </c>
      <c r="D18" s="65" t="s">
        <v>134</v>
      </c>
      <c r="E18" s="44" t="s">
        <v>127</v>
      </c>
      <c r="F18" s="41">
        <v>34</v>
      </c>
      <c r="G18" s="41">
        <v>34</v>
      </c>
      <c r="H18" s="41">
        <v>2</v>
      </c>
      <c r="I18" s="164">
        <v>252304</v>
      </c>
      <c r="J18" s="165">
        <v>27182</v>
      </c>
      <c r="K18" s="165">
        <f>J18/G18</f>
        <v>799.4705882352941</v>
      </c>
      <c r="L18" s="166">
        <f>+I18/J18</f>
        <v>9.282024869398867</v>
      </c>
      <c r="M18" s="164">
        <v>650913</v>
      </c>
      <c r="N18" s="165">
        <v>68745</v>
      </c>
      <c r="O18" s="103">
        <f>+M18/N18</f>
        <v>9.468514073750818</v>
      </c>
      <c r="P18" s="339">
        <v>1</v>
      </c>
    </row>
    <row r="19" spans="1:16" ht="15">
      <c r="A19" s="66">
        <v>17</v>
      </c>
      <c r="B19" s="244" t="s">
        <v>142</v>
      </c>
      <c r="C19" s="239">
        <v>39787</v>
      </c>
      <c r="D19" s="237" t="s">
        <v>135</v>
      </c>
      <c r="E19" s="237" t="s">
        <v>143</v>
      </c>
      <c r="F19" s="238">
        <v>241</v>
      </c>
      <c r="G19" s="238">
        <v>186</v>
      </c>
      <c r="H19" s="238">
        <v>6</v>
      </c>
      <c r="I19" s="241">
        <v>225948.5</v>
      </c>
      <c r="J19" s="232">
        <v>33259</v>
      </c>
      <c r="K19" s="233">
        <f>J19/G19</f>
        <v>178.81182795698925</v>
      </c>
      <c r="L19" s="234">
        <f>I19/J19</f>
        <v>6.793604738567004</v>
      </c>
      <c r="M19" s="241">
        <f>9280968+4694050.5+1992628+1117778+528440.5+225948.5</f>
        <v>17839813.5</v>
      </c>
      <c r="N19" s="232">
        <f>1147876+614752+261380+141495+73035+33259</f>
        <v>2271797</v>
      </c>
      <c r="O19" s="243">
        <f>+M19/N19</f>
        <v>7.852732220352435</v>
      </c>
      <c r="P19" s="339"/>
    </row>
    <row r="20" spans="1:16" ht="15">
      <c r="A20" s="66">
        <v>18</v>
      </c>
      <c r="B20" s="242" t="s">
        <v>23</v>
      </c>
      <c r="C20" s="226">
        <v>39808</v>
      </c>
      <c r="D20" s="227" t="s">
        <v>139</v>
      </c>
      <c r="E20" s="227" t="s">
        <v>24</v>
      </c>
      <c r="F20" s="228">
        <v>198</v>
      </c>
      <c r="G20" s="228">
        <v>183</v>
      </c>
      <c r="H20" s="228">
        <v>3</v>
      </c>
      <c r="I20" s="231">
        <v>214521.5</v>
      </c>
      <c r="J20" s="233">
        <v>29772</v>
      </c>
      <c r="K20" s="229">
        <f>IF(I20&lt;&gt;0,J20/G20,"")</f>
        <v>162.68852459016392</v>
      </c>
      <c r="L20" s="230">
        <f>IF(I20&lt;&gt;0,I20/J20,"")</f>
        <v>7.205478301760043</v>
      </c>
      <c r="M20" s="231">
        <f>909072+532572.5+214521.5</f>
        <v>1656166</v>
      </c>
      <c r="N20" s="232">
        <f>112486+67146+29772</f>
        <v>209404</v>
      </c>
      <c r="O20" s="247">
        <f>IF(M20&lt;&gt;0,M20/N20,"")</f>
        <v>7.908951118412256</v>
      </c>
      <c r="P20" s="339">
        <v>1</v>
      </c>
    </row>
    <row r="21" spans="1:16" ht="15">
      <c r="A21" s="66">
        <v>19</v>
      </c>
      <c r="B21" s="49" t="s">
        <v>150</v>
      </c>
      <c r="C21" s="40">
        <v>39801</v>
      </c>
      <c r="D21" s="45" t="s">
        <v>137</v>
      </c>
      <c r="E21" s="44" t="s">
        <v>151</v>
      </c>
      <c r="F21" s="41">
        <v>36</v>
      </c>
      <c r="G21" s="41">
        <v>38</v>
      </c>
      <c r="H21" s="41">
        <v>3</v>
      </c>
      <c r="I21" s="160">
        <v>145464.5</v>
      </c>
      <c r="J21" s="161">
        <v>19417</v>
      </c>
      <c r="K21" s="168">
        <f>(J21/G21)</f>
        <v>510.9736842105263</v>
      </c>
      <c r="L21" s="169">
        <f>I21/J21</f>
        <v>7.491605294329711</v>
      </c>
      <c r="M21" s="160">
        <f>295344+204961.5+145464.5</f>
        <v>645770</v>
      </c>
      <c r="N21" s="161">
        <f>36142+24747+19417</f>
        <v>80306</v>
      </c>
      <c r="O21" s="105">
        <f>M21/N21</f>
        <v>8.04136677209673</v>
      </c>
      <c r="P21" s="339">
        <v>1</v>
      </c>
    </row>
    <row r="22" spans="1:16" ht="15">
      <c r="A22" s="66">
        <v>20</v>
      </c>
      <c r="B22" s="271" t="s">
        <v>25</v>
      </c>
      <c r="C22" s="262">
        <v>39808</v>
      </c>
      <c r="D22" s="65" t="s">
        <v>134</v>
      </c>
      <c r="E22" s="263" t="s">
        <v>114</v>
      </c>
      <c r="F22" s="41">
        <v>112</v>
      </c>
      <c r="G22" s="41">
        <v>89</v>
      </c>
      <c r="H22" s="41">
        <v>4</v>
      </c>
      <c r="I22" s="164">
        <v>141298</v>
      </c>
      <c r="J22" s="165">
        <v>16688</v>
      </c>
      <c r="K22" s="165">
        <f>J22/G22</f>
        <v>187.5056179775281</v>
      </c>
      <c r="L22" s="166">
        <f>+I22/J22</f>
        <v>8.467042186001917</v>
      </c>
      <c r="M22" s="164">
        <v>1769493</v>
      </c>
      <c r="N22" s="165">
        <v>180421</v>
      </c>
      <c r="O22" s="103">
        <f>+M22/N22</f>
        <v>9.807577831848842</v>
      </c>
      <c r="P22" s="339">
        <v>1</v>
      </c>
    </row>
    <row r="23" spans="1:16" ht="15">
      <c r="A23" s="66">
        <v>21</v>
      </c>
      <c r="B23" s="49" t="s">
        <v>26</v>
      </c>
      <c r="C23" s="40">
        <v>39808</v>
      </c>
      <c r="D23" s="45" t="s">
        <v>137</v>
      </c>
      <c r="E23" s="44" t="s">
        <v>136</v>
      </c>
      <c r="F23" s="41">
        <v>75</v>
      </c>
      <c r="G23" s="41">
        <v>70</v>
      </c>
      <c r="H23" s="41">
        <v>4</v>
      </c>
      <c r="I23" s="160">
        <v>141025.5</v>
      </c>
      <c r="J23" s="161">
        <v>16644</v>
      </c>
      <c r="K23" s="168">
        <f>(J23/G23)</f>
        <v>237.77142857142857</v>
      </c>
      <c r="L23" s="169">
        <f>I23/J23</f>
        <v>8.47305335255948</v>
      </c>
      <c r="M23" s="160">
        <f>681566+578530+317284.5+141025.5</f>
        <v>1718406</v>
      </c>
      <c r="N23" s="161">
        <f>64102+57106+32401+16644</f>
        <v>170253</v>
      </c>
      <c r="O23" s="105">
        <f>M23/N23</f>
        <v>10.093249458159328</v>
      </c>
      <c r="P23" s="339">
        <v>1</v>
      </c>
    </row>
    <row r="24" spans="1:16" ht="15">
      <c r="A24" s="66">
        <v>22</v>
      </c>
      <c r="B24" s="327" t="s">
        <v>25</v>
      </c>
      <c r="C24" s="40">
        <v>39808</v>
      </c>
      <c r="D24" s="292" t="s">
        <v>134</v>
      </c>
      <c r="E24" s="292" t="s">
        <v>114</v>
      </c>
      <c r="F24" s="293">
        <v>112</v>
      </c>
      <c r="G24" s="293">
        <v>49</v>
      </c>
      <c r="H24" s="293">
        <v>5</v>
      </c>
      <c r="I24" s="298">
        <v>120787</v>
      </c>
      <c r="J24" s="299">
        <v>12258</v>
      </c>
      <c r="K24" s="302">
        <f>+J24/G24</f>
        <v>250.16326530612244</v>
      </c>
      <c r="L24" s="163">
        <f>+I24/J24</f>
        <v>9.853728177516723</v>
      </c>
      <c r="M24" s="298">
        <v>1894077</v>
      </c>
      <c r="N24" s="299">
        <v>192963</v>
      </c>
      <c r="O24" s="103">
        <f>+M24/N24</f>
        <v>9.815752242657918</v>
      </c>
      <c r="P24" s="339">
        <v>1</v>
      </c>
    </row>
    <row r="25" spans="1:16" ht="15">
      <c r="A25" s="66">
        <v>23</v>
      </c>
      <c r="B25" s="244" t="s">
        <v>150</v>
      </c>
      <c r="C25" s="239">
        <v>39801</v>
      </c>
      <c r="D25" s="227" t="s">
        <v>137</v>
      </c>
      <c r="E25" s="237" t="s">
        <v>151</v>
      </c>
      <c r="F25" s="238">
        <v>36</v>
      </c>
      <c r="G25" s="238">
        <v>42</v>
      </c>
      <c r="H25" s="238">
        <v>4</v>
      </c>
      <c r="I25" s="235">
        <v>116108.5</v>
      </c>
      <c r="J25" s="236">
        <v>15404</v>
      </c>
      <c r="K25" s="233">
        <f>(J25/G25)</f>
        <v>366.76190476190476</v>
      </c>
      <c r="L25" s="234">
        <f>I25/J25</f>
        <v>7.537555180472604</v>
      </c>
      <c r="M25" s="235">
        <f>295344+204961.5+145464.5+116108.5</f>
        <v>761878.5</v>
      </c>
      <c r="N25" s="236">
        <f>36142+24747+19417+15404</f>
        <v>95710</v>
      </c>
      <c r="O25" s="243">
        <f>M25/N25</f>
        <v>7.960281057360778</v>
      </c>
      <c r="P25" s="339"/>
    </row>
    <row r="26" spans="1:16" ht="15">
      <c r="A26" s="66">
        <v>24</v>
      </c>
      <c r="B26" s="49" t="s">
        <v>145</v>
      </c>
      <c r="C26" s="40">
        <v>39794</v>
      </c>
      <c r="D26" s="45" t="s">
        <v>137</v>
      </c>
      <c r="E26" s="44" t="s">
        <v>136</v>
      </c>
      <c r="F26" s="41">
        <v>100</v>
      </c>
      <c r="G26" s="41">
        <v>73</v>
      </c>
      <c r="H26" s="41">
        <v>4</v>
      </c>
      <c r="I26" s="160">
        <v>112679.5</v>
      </c>
      <c r="J26" s="361">
        <v>14968</v>
      </c>
      <c r="K26" s="168">
        <f>(J26/G26)</f>
        <v>205.04109589041096</v>
      </c>
      <c r="L26" s="169">
        <f>I26/J26</f>
        <v>7.528026456440406</v>
      </c>
      <c r="M26" s="160">
        <f>1276778.5+626123+380324+112679.5</f>
        <v>2395905</v>
      </c>
      <c r="N26" s="161">
        <f>133555+68793+41581+14968</f>
        <v>258897</v>
      </c>
      <c r="O26" s="105">
        <f>M26/N26</f>
        <v>9.254278728606357</v>
      </c>
      <c r="P26" s="339">
        <v>1</v>
      </c>
    </row>
    <row r="27" spans="1:16" ht="15">
      <c r="A27" s="66">
        <v>25</v>
      </c>
      <c r="B27" s="242" t="s">
        <v>147</v>
      </c>
      <c r="C27" s="226">
        <v>39801</v>
      </c>
      <c r="D27" s="227" t="s">
        <v>133</v>
      </c>
      <c r="E27" s="227" t="s">
        <v>125</v>
      </c>
      <c r="F27" s="228">
        <v>69</v>
      </c>
      <c r="G27" s="228">
        <v>53</v>
      </c>
      <c r="H27" s="228">
        <v>4</v>
      </c>
      <c r="I27" s="235">
        <v>112495</v>
      </c>
      <c r="J27" s="236">
        <v>12212</v>
      </c>
      <c r="K27" s="233">
        <f>J27/G27</f>
        <v>230.41509433962264</v>
      </c>
      <c r="L27" s="234">
        <f>I27/J27</f>
        <v>9.211840812315755</v>
      </c>
      <c r="M27" s="235">
        <f>820286+588484+413907+112495</f>
        <v>1935172</v>
      </c>
      <c r="N27" s="236">
        <f>83839+57678+42374+12212</f>
        <v>196103</v>
      </c>
      <c r="O27" s="243">
        <f>+M27/N27</f>
        <v>9.868140721967537</v>
      </c>
      <c r="P27" s="339">
        <v>1</v>
      </c>
    </row>
    <row r="28" spans="1:16" ht="15">
      <c r="A28" s="66">
        <v>26</v>
      </c>
      <c r="B28" s="49" t="s">
        <v>150</v>
      </c>
      <c r="C28" s="40">
        <v>39801</v>
      </c>
      <c r="D28" s="45" t="s">
        <v>137</v>
      </c>
      <c r="E28" s="44" t="s">
        <v>151</v>
      </c>
      <c r="F28" s="41">
        <v>42</v>
      </c>
      <c r="G28" s="41">
        <v>42</v>
      </c>
      <c r="H28" s="41">
        <v>5</v>
      </c>
      <c r="I28" s="160">
        <v>111972.5</v>
      </c>
      <c r="J28" s="161">
        <v>14719</v>
      </c>
      <c r="K28" s="168">
        <f>(J28/G28)</f>
        <v>350.45238095238096</v>
      </c>
      <c r="L28" s="169">
        <f>I28/J28</f>
        <v>7.607344248929954</v>
      </c>
      <c r="M28" s="160">
        <f>295344+204961.5+145464.5+116108.5+111972.5</f>
        <v>873851</v>
      </c>
      <c r="N28" s="161">
        <f>36142+24747+19417+15404+14719</f>
        <v>110429</v>
      </c>
      <c r="O28" s="105">
        <f>M28/N28</f>
        <v>7.9132383703556135</v>
      </c>
      <c r="P28" s="339">
        <v>1</v>
      </c>
    </row>
    <row r="29" spans="1:16" ht="15">
      <c r="A29" s="66">
        <v>27</v>
      </c>
      <c r="B29" s="49" t="s">
        <v>28</v>
      </c>
      <c r="C29" s="40">
        <v>39808</v>
      </c>
      <c r="D29" s="44" t="s">
        <v>135</v>
      </c>
      <c r="E29" s="44" t="s">
        <v>29</v>
      </c>
      <c r="F29" s="41">
        <v>89</v>
      </c>
      <c r="G29" s="41">
        <v>88</v>
      </c>
      <c r="H29" s="41">
        <v>2</v>
      </c>
      <c r="I29" s="164">
        <v>101994</v>
      </c>
      <c r="J29" s="165">
        <v>15166</v>
      </c>
      <c r="K29" s="162">
        <f>+J29/G29</f>
        <v>172.3409090909091</v>
      </c>
      <c r="L29" s="163">
        <f>+I29/J29</f>
        <v>6.725174732955295</v>
      </c>
      <c r="M29" s="164">
        <f>173290.5+101994</f>
        <v>275284.5</v>
      </c>
      <c r="N29" s="165">
        <f>23989+15166</f>
        <v>39155</v>
      </c>
      <c r="O29" s="104">
        <f>+M29/N29</f>
        <v>7.030634657131912</v>
      </c>
      <c r="P29" s="339">
        <v>1</v>
      </c>
    </row>
    <row r="30" spans="1:16" ht="15">
      <c r="A30" s="66">
        <v>28</v>
      </c>
      <c r="B30" s="49" t="s">
        <v>142</v>
      </c>
      <c r="C30" s="40">
        <v>39787</v>
      </c>
      <c r="D30" s="44" t="s">
        <v>135</v>
      </c>
      <c r="E30" s="44" t="s">
        <v>143</v>
      </c>
      <c r="F30" s="41">
        <v>241</v>
      </c>
      <c r="G30" s="41">
        <v>37</v>
      </c>
      <c r="H30" s="41">
        <v>7</v>
      </c>
      <c r="I30" s="164">
        <v>100229.5</v>
      </c>
      <c r="J30" s="165">
        <v>17736</v>
      </c>
      <c r="K30" s="168">
        <f>(J30/G30)</f>
        <v>479.35135135135135</v>
      </c>
      <c r="L30" s="169">
        <f>I30/J30</f>
        <v>5.651189670726207</v>
      </c>
      <c r="M30" s="164">
        <f>9280968+4694050.5+1992628+1117778+528440.5+225948.5+100229.5</f>
        <v>17940043</v>
      </c>
      <c r="N30" s="165">
        <f>1147876+614752+261380+141495+73035+33259+17736</f>
        <v>2289533</v>
      </c>
      <c r="O30" s="105">
        <f>M30/N30</f>
        <v>7.835677843472883</v>
      </c>
      <c r="P30" s="339"/>
    </row>
    <row r="31" spans="1:16" ht="15">
      <c r="A31" s="66">
        <v>29</v>
      </c>
      <c r="B31" s="360" t="s">
        <v>27</v>
      </c>
      <c r="C31" s="239">
        <v>39808</v>
      </c>
      <c r="D31" s="237" t="s">
        <v>134</v>
      </c>
      <c r="E31" s="237" t="s">
        <v>127</v>
      </c>
      <c r="F31" s="238">
        <v>34</v>
      </c>
      <c r="G31" s="238">
        <v>34</v>
      </c>
      <c r="H31" s="238">
        <v>3</v>
      </c>
      <c r="I31" s="241">
        <v>91888</v>
      </c>
      <c r="J31" s="232">
        <v>10997</v>
      </c>
      <c r="K31" s="232">
        <f>J31/G31</f>
        <v>323.44117647058823</v>
      </c>
      <c r="L31" s="240">
        <f>+I31/J31</f>
        <v>8.355733381831408</v>
      </c>
      <c r="M31" s="241">
        <v>742801</v>
      </c>
      <c r="N31" s="232">
        <v>79742</v>
      </c>
      <c r="O31" s="246">
        <f>+M31/N31</f>
        <v>9.315053547691305</v>
      </c>
      <c r="P31" s="339"/>
    </row>
    <row r="32" spans="1:16" ht="15">
      <c r="A32" s="66">
        <v>30</v>
      </c>
      <c r="B32" s="48" t="s">
        <v>23</v>
      </c>
      <c r="C32" s="39">
        <v>39808</v>
      </c>
      <c r="D32" s="42" t="s">
        <v>139</v>
      </c>
      <c r="E32" s="261" t="s">
        <v>24</v>
      </c>
      <c r="F32" s="54">
        <v>198</v>
      </c>
      <c r="G32" s="54">
        <v>117</v>
      </c>
      <c r="H32" s="54">
        <v>4</v>
      </c>
      <c r="I32" s="167">
        <v>64908</v>
      </c>
      <c r="J32" s="168">
        <v>10700</v>
      </c>
      <c r="K32" s="162">
        <f>IF(I32&lt;&gt;0,J32/G32,"")</f>
        <v>91.45299145299145</v>
      </c>
      <c r="L32" s="163">
        <f>IF(I32&lt;&gt;0,I32/J32,"")</f>
        <v>6.066168224299066</v>
      </c>
      <c r="M32" s="167">
        <f>909072+532572.5+214521.5+64908</f>
        <v>1721074</v>
      </c>
      <c r="N32" s="165">
        <f>112486+67146+29772+10700</f>
        <v>220104</v>
      </c>
      <c r="O32" s="104">
        <f>IF(M32&lt;&gt;0,M32/N32,"")</f>
        <v>7.8193672082288375</v>
      </c>
      <c r="P32" s="339"/>
    </row>
    <row r="33" spans="1:16" ht="15">
      <c r="A33" s="66">
        <v>31</v>
      </c>
      <c r="B33" s="329" t="s">
        <v>142</v>
      </c>
      <c r="C33" s="40">
        <v>39787</v>
      </c>
      <c r="D33" s="292" t="s">
        <v>135</v>
      </c>
      <c r="E33" s="292" t="s">
        <v>143</v>
      </c>
      <c r="F33" s="293">
        <v>25</v>
      </c>
      <c r="G33" s="293">
        <v>25</v>
      </c>
      <c r="H33" s="293">
        <v>8</v>
      </c>
      <c r="I33" s="298">
        <v>60712.5</v>
      </c>
      <c r="J33" s="299">
        <v>11735</v>
      </c>
      <c r="K33" s="302">
        <f>+J33/G33</f>
        <v>469.4</v>
      </c>
      <c r="L33" s="163">
        <f>+I33/J33</f>
        <v>5.173625905411163</v>
      </c>
      <c r="M33" s="298">
        <f>9280968+4694050.5+1992628+1117778+528440.5+225948.5+100229.5+60712.5</f>
        <v>18000755.5</v>
      </c>
      <c r="N33" s="299">
        <f>1147876+614752+261380+141495+73035+33259+17736+11735</f>
        <v>2301268</v>
      </c>
      <c r="O33" s="104">
        <f>+M33/N33</f>
        <v>7.822103075348026</v>
      </c>
      <c r="P33" s="339"/>
    </row>
    <row r="34" spans="1:16" ht="15">
      <c r="A34" s="66">
        <v>32</v>
      </c>
      <c r="B34" s="245" t="s">
        <v>145</v>
      </c>
      <c r="C34" s="239">
        <v>39794</v>
      </c>
      <c r="D34" s="227" t="s">
        <v>137</v>
      </c>
      <c r="E34" s="237" t="s">
        <v>136</v>
      </c>
      <c r="F34" s="238">
        <v>100</v>
      </c>
      <c r="G34" s="238">
        <v>39</v>
      </c>
      <c r="H34" s="238">
        <v>5</v>
      </c>
      <c r="I34" s="235">
        <v>54533</v>
      </c>
      <c r="J34" s="236">
        <v>8873</v>
      </c>
      <c r="K34" s="233">
        <f>(J34/G34)</f>
        <v>227.51282051282053</v>
      </c>
      <c r="L34" s="234">
        <f>I34/J34</f>
        <v>6.1459483827341375</v>
      </c>
      <c r="M34" s="235">
        <f>1276778.5+626123+380324+112679.5+54533</f>
        <v>2450438</v>
      </c>
      <c r="N34" s="236">
        <f>133555+68793+41581+14968+8873</f>
        <v>267770</v>
      </c>
      <c r="O34" s="243">
        <f>M34/N34</f>
        <v>9.151279082794936</v>
      </c>
      <c r="P34" s="339">
        <v>1</v>
      </c>
    </row>
    <row r="35" spans="1:16" ht="15">
      <c r="A35" s="66">
        <v>33</v>
      </c>
      <c r="B35" s="245" t="s">
        <v>28</v>
      </c>
      <c r="C35" s="239">
        <v>39808</v>
      </c>
      <c r="D35" s="237" t="s">
        <v>135</v>
      </c>
      <c r="E35" s="237" t="s">
        <v>29</v>
      </c>
      <c r="F35" s="238">
        <v>89</v>
      </c>
      <c r="G35" s="238">
        <v>82</v>
      </c>
      <c r="H35" s="238">
        <v>3</v>
      </c>
      <c r="I35" s="241">
        <v>52183.5</v>
      </c>
      <c r="J35" s="232">
        <v>8100</v>
      </c>
      <c r="K35" s="233">
        <f>J35/G35</f>
        <v>98.78048780487805</v>
      </c>
      <c r="L35" s="234">
        <f>I35/J35</f>
        <v>6.442407407407408</v>
      </c>
      <c r="M35" s="241">
        <f>173290.5+101994+52183.5</f>
        <v>327468</v>
      </c>
      <c r="N35" s="232">
        <f>23989+15166+8100</f>
        <v>47255</v>
      </c>
      <c r="O35" s="243">
        <f>+M35/N35</f>
        <v>6.929806369696329</v>
      </c>
      <c r="P35" s="339">
        <v>1</v>
      </c>
    </row>
    <row r="36" spans="1:16" ht="15">
      <c r="A36" s="66">
        <v>34</v>
      </c>
      <c r="B36" s="329" t="s">
        <v>150</v>
      </c>
      <c r="C36" s="40">
        <v>39801</v>
      </c>
      <c r="D36" s="132" t="s">
        <v>137</v>
      </c>
      <c r="E36" s="292" t="s">
        <v>151</v>
      </c>
      <c r="F36" s="293">
        <v>42</v>
      </c>
      <c r="G36" s="293">
        <v>35</v>
      </c>
      <c r="H36" s="293">
        <v>6</v>
      </c>
      <c r="I36" s="307">
        <v>49984</v>
      </c>
      <c r="J36" s="308">
        <v>7567</v>
      </c>
      <c r="K36" s="306">
        <f>(J36/G36)</f>
        <v>216.2</v>
      </c>
      <c r="L36" s="169">
        <f>I36/J36</f>
        <v>6.605523985727501</v>
      </c>
      <c r="M36" s="307">
        <f>295344+204961.5+145464.5+116108.5+111972.5+49984</f>
        <v>923835</v>
      </c>
      <c r="N36" s="308">
        <f>36142+24747+19417+15404+14719+7567</f>
        <v>117996</v>
      </c>
      <c r="O36" s="105">
        <f>M36/N36</f>
        <v>7.82937557205329</v>
      </c>
      <c r="P36" s="339"/>
    </row>
    <row r="37" spans="1:16" ht="15">
      <c r="A37" s="66">
        <v>35</v>
      </c>
      <c r="B37" s="48" t="s">
        <v>148</v>
      </c>
      <c r="C37" s="39">
        <v>39801</v>
      </c>
      <c r="D37" s="42" t="s">
        <v>139</v>
      </c>
      <c r="E37" s="42" t="s">
        <v>149</v>
      </c>
      <c r="F37" s="54">
        <v>84</v>
      </c>
      <c r="G37" s="54">
        <v>48</v>
      </c>
      <c r="H37" s="54">
        <v>3</v>
      </c>
      <c r="I37" s="167">
        <v>43813</v>
      </c>
      <c r="J37" s="168">
        <v>6346</v>
      </c>
      <c r="K37" s="162">
        <f>IF(I37&lt;&gt;0,J37/G37,"")</f>
        <v>132.20833333333334</v>
      </c>
      <c r="L37" s="163">
        <f>IF(I37&lt;&gt;0,I37/J37,"")</f>
        <v>6.90403403718878</v>
      </c>
      <c r="M37" s="167">
        <f>369313.5+145108.5+43813</f>
        <v>558235</v>
      </c>
      <c r="N37" s="165">
        <f>41017+16460+6346</f>
        <v>63823</v>
      </c>
      <c r="O37" s="104">
        <f>IF(M37&lt;&gt;0,M37/N37,"")</f>
        <v>8.74661172304655</v>
      </c>
      <c r="P37" s="339">
        <v>1</v>
      </c>
    </row>
    <row r="38" spans="1:16" ht="15">
      <c r="A38" s="66">
        <v>36</v>
      </c>
      <c r="B38" s="48" t="s">
        <v>147</v>
      </c>
      <c r="C38" s="39">
        <v>39801</v>
      </c>
      <c r="D38" s="43" t="s">
        <v>133</v>
      </c>
      <c r="E38" s="42" t="s">
        <v>125</v>
      </c>
      <c r="F38" s="54">
        <v>69</v>
      </c>
      <c r="G38" s="54">
        <v>26</v>
      </c>
      <c r="H38" s="54">
        <v>5</v>
      </c>
      <c r="I38" s="160">
        <f>41441-111</f>
        <v>41330</v>
      </c>
      <c r="J38" s="161">
        <f>5722-11</f>
        <v>5711</v>
      </c>
      <c r="K38" s="168">
        <f>J38/G38</f>
        <v>219.65384615384616</v>
      </c>
      <c r="L38" s="169">
        <f>I38/J38</f>
        <v>7.236911223953774</v>
      </c>
      <c r="M38" s="160">
        <f>820286+588484+413907+112495+41441-111</f>
        <v>1976502</v>
      </c>
      <c r="N38" s="161">
        <f>83839+57678+42374+12212+5722-11</f>
        <v>201814</v>
      </c>
      <c r="O38" s="105">
        <f>+M38/N38</f>
        <v>9.79368131051364</v>
      </c>
      <c r="P38" s="339"/>
    </row>
    <row r="39" spans="1:16" ht="15">
      <c r="A39" s="66">
        <v>37</v>
      </c>
      <c r="B39" s="49" t="s">
        <v>145</v>
      </c>
      <c r="C39" s="40">
        <v>39794</v>
      </c>
      <c r="D39" s="45" t="s">
        <v>137</v>
      </c>
      <c r="E39" s="44" t="s">
        <v>136</v>
      </c>
      <c r="F39" s="41">
        <v>100</v>
      </c>
      <c r="G39" s="41">
        <v>25</v>
      </c>
      <c r="H39" s="41">
        <v>6</v>
      </c>
      <c r="I39" s="160">
        <v>36086</v>
      </c>
      <c r="J39" s="161">
        <v>6454</v>
      </c>
      <c r="K39" s="168">
        <f>(J39/G39)</f>
        <v>258.16</v>
      </c>
      <c r="L39" s="169">
        <f>I39/J39</f>
        <v>5.591261233343663</v>
      </c>
      <c r="M39" s="160">
        <f>1276778.5+626123+380324+112679.5+54533+36086</f>
        <v>2486524</v>
      </c>
      <c r="N39" s="161">
        <f>133555+68793+41581+14968+8873+6454</f>
        <v>274224</v>
      </c>
      <c r="O39" s="105">
        <f>M39/N39</f>
        <v>9.06749226909388</v>
      </c>
      <c r="P39" s="339">
        <v>1</v>
      </c>
    </row>
    <row r="40" spans="1:16" ht="15">
      <c r="A40" s="66">
        <v>38</v>
      </c>
      <c r="B40" s="327" t="s">
        <v>26</v>
      </c>
      <c r="C40" s="40">
        <v>39808</v>
      </c>
      <c r="D40" s="132" t="s">
        <v>137</v>
      </c>
      <c r="E40" s="292" t="s">
        <v>136</v>
      </c>
      <c r="F40" s="293">
        <v>75</v>
      </c>
      <c r="G40" s="293">
        <v>29</v>
      </c>
      <c r="H40" s="293">
        <v>5</v>
      </c>
      <c r="I40" s="307">
        <v>34373.5</v>
      </c>
      <c r="J40" s="308">
        <v>4655</v>
      </c>
      <c r="K40" s="306">
        <f>(J40/G40)</f>
        <v>160.51724137931035</v>
      </c>
      <c r="L40" s="169">
        <f>I40/J40</f>
        <v>7.38421052631579</v>
      </c>
      <c r="M40" s="307">
        <f>681566+578530+317284.5+141025.5+34373.5</f>
        <v>1752779.5</v>
      </c>
      <c r="N40" s="308">
        <f>64102+57106+32401+16644+4655</f>
        <v>174908</v>
      </c>
      <c r="O40" s="105">
        <f>M40/N40</f>
        <v>10.021151119445651</v>
      </c>
      <c r="P40" s="339"/>
    </row>
    <row r="41" spans="1:16" ht="15">
      <c r="A41" s="66">
        <v>39</v>
      </c>
      <c r="B41" s="49" t="s">
        <v>73</v>
      </c>
      <c r="C41" s="40">
        <v>39773</v>
      </c>
      <c r="D41" s="65" t="s">
        <v>134</v>
      </c>
      <c r="E41" s="44" t="s">
        <v>129</v>
      </c>
      <c r="F41" s="41">
        <v>204</v>
      </c>
      <c r="G41" s="41">
        <v>30</v>
      </c>
      <c r="H41" s="41">
        <v>7</v>
      </c>
      <c r="I41" s="164">
        <v>33453</v>
      </c>
      <c r="J41" s="165">
        <v>5727</v>
      </c>
      <c r="K41" s="165">
        <f>J41/G41</f>
        <v>190.9</v>
      </c>
      <c r="L41" s="166">
        <f>+I41/J41</f>
        <v>5.841278156102671</v>
      </c>
      <c r="M41" s="164">
        <v>11399323</v>
      </c>
      <c r="N41" s="165">
        <v>1407230</v>
      </c>
      <c r="O41" s="103">
        <f>+M41/N41</f>
        <v>8.100540068077002</v>
      </c>
      <c r="P41" s="339"/>
    </row>
    <row r="42" spans="1:16" ht="15">
      <c r="A42" s="66">
        <v>40</v>
      </c>
      <c r="B42" s="242" t="s">
        <v>148</v>
      </c>
      <c r="C42" s="226">
        <v>39801</v>
      </c>
      <c r="D42" s="227" t="s">
        <v>139</v>
      </c>
      <c r="E42" s="227" t="s">
        <v>149</v>
      </c>
      <c r="F42" s="228">
        <v>84</v>
      </c>
      <c r="G42" s="228">
        <v>38</v>
      </c>
      <c r="H42" s="228">
        <v>4</v>
      </c>
      <c r="I42" s="231">
        <v>31258</v>
      </c>
      <c r="J42" s="233">
        <v>5364</v>
      </c>
      <c r="K42" s="229">
        <f>IF(I42&lt;&gt;0,J42/G42,"")</f>
        <v>141.1578947368421</v>
      </c>
      <c r="L42" s="230">
        <f>IF(I42&lt;&gt;0,I42/J42,"")</f>
        <v>5.827367636092468</v>
      </c>
      <c r="M42" s="231">
        <f>369313.5+145108.5+43813+31258</f>
        <v>589493</v>
      </c>
      <c r="N42" s="232">
        <f>41017+16460+6346+5364</f>
        <v>69187</v>
      </c>
      <c r="O42" s="247">
        <f>IF(M42&lt;&gt;0,M42/N42,"")</f>
        <v>8.52028560278665</v>
      </c>
      <c r="P42" s="339"/>
    </row>
    <row r="43" spans="1:16" ht="15">
      <c r="A43" s="66">
        <v>41</v>
      </c>
      <c r="B43" s="49" t="s">
        <v>45</v>
      </c>
      <c r="C43" s="40">
        <v>39780</v>
      </c>
      <c r="D43" s="65" t="s">
        <v>134</v>
      </c>
      <c r="E43" s="44" t="s">
        <v>130</v>
      </c>
      <c r="F43" s="41">
        <v>121</v>
      </c>
      <c r="G43" s="41">
        <v>34</v>
      </c>
      <c r="H43" s="41">
        <v>6</v>
      </c>
      <c r="I43" s="164">
        <v>24200</v>
      </c>
      <c r="J43" s="165">
        <v>4086</v>
      </c>
      <c r="K43" s="165">
        <f>J43/G43</f>
        <v>120.17647058823529</v>
      </c>
      <c r="L43" s="166">
        <f>+I43/J43</f>
        <v>5.922662750856584</v>
      </c>
      <c r="M43" s="164">
        <v>3379638</v>
      </c>
      <c r="N43" s="165">
        <v>389905</v>
      </c>
      <c r="O43" s="103">
        <f aca="true" t="shared" si="1" ref="O43:O48">+M43/N43</f>
        <v>8.667849860863544</v>
      </c>
      <c r="P43" s="339">
        <v>1</v>
      </c>
    </row>
    <row r="44" spans="1:16" ht="15">
      <c r="A44" s="66">
        <v>42</v>
      </c>
      <c r="B44" s="271" t="s">
        <v>14</v>
      </c>
      <c r="C44" s="262">
        <v>39808</v>
      </c>
      <c r="D44" s="65" t="s">
        <v>134</v>
      </c>
      <c r="E44" s="263" t="s">
        <v>127</v>
      </c>
      <c r="F44" s="41">
        <v>34</v>
      </c>
      <c r="G44" s="41">
        <v>20</v>
      </c>
      <c r="H44" s="41">
        <v>4</v>
      </c>
      <c r="I44" s="164">
        <v>22932</v>
      </c>
      <c r="J44" s="165">
        <v>3741</v>
      </c>
      <c r="K44" s="165">
        <f>J44/G44</f>
        <v>187.05</v>
      </c>
      <c r="L44" s="166">
        <f>+I44/J44</f>
        <v>6.129911788291901</v>
      </c>
      <c r="M44" s="164">
        <v>765733</v>
      </c>
      <c r="N44" s="165">
        <v>83483</v>
      </c>
      <c r="O44" s="103">
        <f t="shared" si="1"/>
        <v>9.172322508774242</v>
      </c>
      <c r="P44" s="339"/>
    </row>
    <row r="45" spans="1:16" ht="15">
      <c r="A45" s="66">
        <v>43</v>
      </c>
      <c r="B45" s="49" t="s">
        <v>71</v>
      </c>
      <c r="C45" s="40">
        <v>39766</v>
      </c>
      <c r="D45" s="44" t="s">
        <v>135</v>
      </c>
      <c r="E45" s="44" t="s">
        <v>72</v>
      </c>
      <c r="F45" s="41">
        <v>24</v>
      </c>
      <c r="G45" s="41">
        <v>5</v>
      </c>
      <c r="H45" s="41">
        <v>8</v>
      </c>
      <c r="I45" s="164">
        <v>19699.5</v>
      </c>
      <c r="J45" s="165">
        <v>2958</v>
      </c>
      <c r="K45" s="162">
        <f>+J45/G45</f>
        <v>591.6</v>
      </c>
      <c r="L45" s="163">
        <f>+I45/J45</f>
        <v>6.65973630831643</v>
      </c>
      <c r="M45" s="164">
        <f>191668+16358.5+8305+0.5+19699.5</f>
        <v>236031.5</v>
      </c>
      <c r="N45" s="165">
        <f>10324+8249+7871+7121+4755+3362+1751+2958</f>
        <v>46391</v>
      </c>
      <c r="O45" s="104">
        <f t="shared" si="1"/>
        <v>5.087872647711841</v>
      </c>
      <c r="P45" s="339">
        <v>1</v>
      </c>
    </row>
    <row r="46" spans="1:16" ht="15">
      <c r="A46" s="66">
        <v>44</v>
      </c>
      <c r="B46" s="245" t="s">
        <v>45</v>
      </c>
      <c r="C46" s="239">
        <v>39780</v>
      </c>
      <c r="D46" s="237" t="s">
        <v>134</v>
      </c>
      <c r="E46" s="237" t="s">
        <v>130</v>
      </c>
      <c r="F46" s="238">
        <v>121</v>
      </c>
      <c r="G46" s="238">
        <v>32</v>
      </c>
      <c r="H46" s="238">
        <v>7</v>
      </c>
      <c r="I46" s="241">
        <v>19269</v>
      </c>
      <c r="J46" s="232">
        <v>3470</v>
      </c>
      <c r="K46" s="232">
        <f>J46/G46</f>
        <v>108.4375</v>
      </c>
      <c r="L46" s="240">
        <f>+I46/J46</f>
        <v>5.553025936599424</v>
      </c>
      <c r="M46" s="241">
        <v>3399520</v>
      </c>
      <c r="N46" s="232">
        <v>393715</v>
      </c>
      <c r="O46" s="246">
        <f t="shared" si="1"/>
        <v>8.634469095665647</v>
      </c>
      <c r="P46" s="258">
        <v>1</v>
      </c>
    </row>
    <row r="47" spans="1:16" ht="15">
      <c r="A47" s="66">
        <v>45</v>
      </c>
      <c r="B47" s="244" t="s">
        <v>71</v>
      </c>
      <c r="C47" s="239">
        <v>39766</v>
      </c>
      <c r="D47" s="237" t="s">
        <v>135</v>
      </c>
      <c r="E47" s="237" t="s">
        <v>72</v>
      </c>
      <c r="F47" s="238">
        <v>24</v>
      </c>
      <c r="G47" s="238">
        <v>8</v>
      </c>
      <c r="H47" s="238">
        <v>9</v>
      </c>
      <c r="I47" s="241">
        <v>16705.5</v>
      </c>
      <c r="J47" s="232">
        <v>2636</v>
      </c>
      <c r="K47" s="233">
        <f>J47/G47</f>
        <v>329.5</v>
      </c>
      <c r="L47" s="234">
        <f>I47/J47</f>
        <v>6.337443095599393</v>
      </c>
      <c r="M47" s="241">
        <f>191668+16358.5+8305+0.5+19699.5+16705.5</f>
        <v>252737</v>
      </c>
      <c r="N47" s="232">
        <f>10324+8249+7871+7121+4755+3362+1751+2958+2636</f>
        <v>49027</v>
      </c>
      <c r="O47" s="243">
        <f t="shared" si="1"/>
        <v>5.155057417341465</v>
      </c>
      <c r="P47" s="128"/>
    </row>
    <row r="48" spans="1:16" ht="15">
      <c r="A48" s="66">
        <v>46</v>
      </c>
      <c r="B48" s="327" t="s">
        <v>45</v>
      </c>
      <c r="C48" s="40">
        <v>39780</v>
      </c>
      <c r="D48" s="292" t="s">
        <v>134</v>
      </c>
      <c r="E48" s="292" t="s">
        <v>130</v>
      </c>
      <c r="F48" s="293">
        <v>121</v>
      </c>
      <c r="G48" s="293">
        <v>16</v>
      </c>
      <c r="H48" s="293">
        <v>9</v>
      </c>
      <c r="I48" s="298">
        <v>16294</v>
      </c>
      <c r="J48" s="299">
        <v>3898</v>
      </c>
      <c r="K48" s="299">
        <f>J48/G48</f>
        <v>243.625</v>
      </c>
      <c r="L48" s="166">
        <f>+I48/J48</f>
        <v>4.1800923550538736</v>
      </c>
      <c r="M48" s="298">
        <v>3429888</v>
      </c>
      <c r="N48" s="299">
        <v>400341</v>
      </c>
      <c r="O48" s="103">
        <f t="shared" si="1"/>
        <v>8.567416277623327</v>
      </c>
      <c r="P48" s="128"/>
    </row>
    <row r="49" spans="1:16" ht="15">
      <c r="A49" s="66">
        <v>47</v>
      </c>
      <c r="B49" s="53" t="s">
        <v>23</v>
      </c>
      <c r="C49" s="39">
        <v>39808</v>
      </c>
      <c r="D49" s="132" t="s">
        <v>139</v>
      </c>
      <c r="E49" s="132" t="s">
        <v>24</v>
      </c>
      <c r="F49" s="50">
        <v>198</v>
      </c>
      <c r="G49" s="50">
        <v>30</v>
      </c>
      <c r="H49" s="50">
        <v>5</v>
      </c>
      <c r="I49" s="303">
        <v>15178.5</v>
      </c>
      <c r="J49" s="306">
        <v>3086</v>
      </c>
      <c r="K49" s="302">
        <f>IF(I49&lt;&gt;0,J49/G49,"")</f>
        <v>102.86666666666666</v>
      </c>
      <c r="L49" s="163">
        <f>IF(I49&lt;&gt;0,I49/J49,"")</f>
        <v>4.91850291639663</v>
      </c>
      <c r="M49" s="303">
        <f>909072+532572.5+214521.5+64908+15178.5</f>
        <v>1736252.5</v>
      </c>
      <c r="N49" s="299">
        <f>112486+67146+29772+10700+3086</f>
        <v>223190</v>
      </c>
      <c r="O49" s="104">
        <f>IF(M49&lt;&gt;0,M49/N49,"")</f>
        <v>7.779257583225055</v>
      </c>
      <c r="P49" s="258"/>
    </row>
    <row r="50" spans="1:16" ht="15">
      <c r="A50" s="66">
        <v>48</v>
      </c>
      <c r="B50" s="271" t="s">
        <v>45</v>
      </c>
      <c r="C50" s="262">
        <v>39780</v>
      </c>
      <c r="D50" s="65" t="s">
        <v>134</v>
      </c>
      <c r="E50" s="263" t="s">
        <v>130</v>
      </c>
      <c r="F50" s="41">
        <v>121</v>
      </c>
      <c r="G50" s="41">
        <v>23</v>
      </c>
      <c r="H50" s="41">
        <v>8</v>
      </c>
      <c r="I50" s="164">
        <v>13754</v>
      </c>
      <c r="J50" s="165">
        <v>2686</v>
      </c>
      <c r="K50" s="165">
        <f>J50/G50</f>
        <v>116.78260869565217</v>
      </c>
      <c r="L50" s="166">
        <f>+I50/J50</f>
        <v>5.1206254653760235</v>
      </c>
      <c r="M50" s="164">
        <v>3413274</v>
      </c>
      <c r="N50" s="165">
        <v>396401</v>
      </c>
      <c r="O50" s="103">
        <f>+M50/N50</f>
        <v>8.610659408023693</v>
      </c>
      <c r="P50" s="258"/>
    </row>
    <row r="51" spans="1:16" ht="15">
      <c r="A51" s="66">
        <v>49</v>
      </c>
      <c r="B51" s="327" t="s">
        <v>14</v>
      </c>
      <c r="C51" s="40">
        <v>39808</v>
      </c>
      <c r="D51" s="292" t="s">
        <v>134</v>
      </c>
      <c r="E51" s="292" t="s">
        <v>127</v>
      </c>
      <c r="F51" s="293">
        <v>34</v>
      </c>
      <c r="G51" s="293">
        <v>14</v>
      </c>
      <c r="H51" s="293">
        <v>5</v>
      </c>
      <c r="I51" s="298">
        <v>12836</v>
      </c>
      <c r="J51" s="299">
        <v>2314</v>
      </c>
      <c r="K51" s="299">
        <f>J51/G51</f>
        <v>165.28571428571428</v>
      </c>
      <c r="L51" s="166">
        <f>+I51/J51</f>
        <v>5.547104580812446</v>
      </c>
      <c r="M51" s="298">
        <v>778569</v>
      </c>
      <c r="N51" s="299">
        <v>85797</v>
      </c>
      <c r="O51" s="103">
        <f>+M51/N51</f>
        <v>9.074548061121018</v>
      </c>
      <c r="P51" s="128"/>
    </row>
    <row r="52" spans="1:16" ht="15">
      <c r="A52" s="66">
        <v>50</v>
      </c>
      <c r="B52" s="48" t="s">
        <v>148</v>
      </c>
      <c r="C52" s="39">
        <v>39801</v>
      </c>
      <c r="D52" s="42" t="s">
        <v>139</v>
      </c>
      <c r="E52" s="261" t="s">
        <v>149</v>
      </c>
      <c r="F52" s="54">
        <v>84</v>
      </c>
      <c r="G52" s="54">
        <v>19</v>
      </c>
      <c r="H52" s="54">
        <v>5</v>
      </c>
      <c r="I52" s="167">
        <v>11772.5</v>
      </c>
      <c r="J52" s="168">
        <v>2357</v>
      </c>
      <c r="K52" s="162">
        <f>IF(I52&lt;&gt;0,J52/G52,"")</f>
        <v>124.05263157894737</v>
      </c>
      <c r="L52" s="163">
        <f>IF(I52&lt;&gt;0,I52/J52,"")</f>
        <v>4.994696648281714</v>
      </c>
      <c r="M52" s="167">
        <f>369313.5+145108.5+43813+31258+11772.5</f>
        <v>601265.5</v>
      </c>
      <c r="N52" s="165">
        <f>41017+16460+6346+5364+2357</f>
        <v>71544</v>
      </c>
      <c r="O52" s="104">
        <f>IF(M52&lt;&gt;0,M52/N52,"")</f>
        <v>8.404135916359163</v>
      </c>
      <c r="P52" s="258">
        <v>1</v>
      </c>
    </row>
    <row r="53" spans="1:16" ht="15">
      <c r="A53" s="66">
        <v>51</v>
      </c>
      <c r="B53" s="49" t="s">
        <v>28</v>
      </c>
      <c r="C53" s="40">
        <v>39808</v>
      </c>
      <c r="D53" s="44" t="s">
        <v>135</v>
      </c>
      <c r="E53" s="44" t="s">
        <v>29</v>
      </c>
      <c r="F53" s="41">
        <v>89</v>
      </c>
      <c r="G53" s="41">
        <v>12</v>
      </c>
      <c r="H53" s="41">
        <v>4</v>
      </c>
      <c r="I53" s="164">
        <v>11344</v>
      </c>
      <c r="J53" s="165">
        <v>1911</v>
      </c>
      <c r="K53" s="168">
        <f>(J53/G53)</f>
        <v>159.25</v>
      </c>
      <c r="L53" s="169">
        <f>I53/J53</f>
        <v>5.936159079016222</v>
      </c>
      <c r="M53" s="164">
        <f>173290.5+101994+52183.5+11344</f>
        <v>338812</v>
      </c>
      <c r="N53" s="165">
        <f>23989+15166+8100+1911</f>
        <v>49166</v>
      </c>
      <c r="O53" s="105">
        <f>M53/N53</f>
        <v>6.891184965219868</v>
      </c>
      <c r="P53" s="258">
        <v>1</v>
      </c>
    </row>
    <row r="54" spans="1:16" ht="15">
      <c r="A54" s="66">
        <v>52</v>
      </c>
      <c r="B54" s="270" t="s">
        <v>73</v>
      </c>
      <c r="C54" s="262">
        <v>39773</v>
      </c>
      <c r="D54" s="65" t="s">
        <v>134</v>
      </c>
      <c r="E54" s="263" t="s">
        <v>129</v>
      </c>
      <c r="F54" s="41">
        <v>204</v>
      </c>
      <c r="G54" s="41">
        <v>7</v>
      </c>
      <c r="H54" s="41">
        <v>9</v>
      </c>
      <c r="I54" s="164">
        <v>11114</v>
      </c>
      <c r="J54" s="165">
        <v>2009</v>
      </c>
      <c r="K54" s="165">
        <f>J54/G54</f>
        <v>287</v>
      </c>
      <c r="L54" s="166">
        <f>+I54/J54</f>
        <v>5.532105525136884</v>
      </c>
      <c r="M54" s="164">
        <v>11421502</v>
      </c>
      <c r="N54" s="165">
        <v>1411494</v>
      </c>
      <c r="O54" s="103">
        <f>+M54/N54</f>
        <v>8.09178218256684</v>
      </c>
      <c r="P54" s="128">
        <v>1</v>
      </c>
    </row>
    <row r="55" spans="1:16" ht="15">
      <c r="A55" s="66">
        <v>53</v>
      </c>
      <c r="B55" s="360" t="s">
        <v>73</v>
      </c>
      <c r="C55" s="239">
        <v>39773</v>
      </c>
      <c r="D55" s="237" t="s">
        <v>134</v>
      </c>
      <c r="E55" s="237" t="s">
        <v>129</v>
      </c>
      <c r="F55" s="238">
        <v>204</v>
      </c>
      <c r="G55" s="238">
        <v>14</v>
      </c>
      <c r="H55" s="238">
        <v>8</v>
      </c>
      <c r="I55" s="241">
        <v>11065</v>
      </c>
      <c r="J55" s="232">
        <v>2255</v>
      </c>
      <c r="K55" s="232">
        <f>J55/G55</f>
        <v>161.07142857142858</v>
      </c>
      <c r="L55" s="240">
        <f>+I55/J55</f>
        <v>4.906873614190688</v>
      </c>
      <c r="M55" s="241">
        <v>11410388</v>
      </c>
      <c r="N55" s="232">
        <v>1409485</v>
      </c>
      <c r="O55" s="246">
        <f>+M55/N55</f>
        <v>8.095430600538494</v>
      </c>
      <c r="P55" s="283"/>
    </row>
    <row r="56" spans="1:16" ht="15">
      <c r="A56" s="66">
        <v>54</v>
      </c>
      <c r="B56" s="329" t="s">
        <v>164</v>
      </c>
      <c r="C56" s="40">
        <v>39787</v>
      </c>
      <c r="D56" s="292" t="s">
        <v>134</v>
      </c>
      <c r="E56" s="292" t="s">
        <v>141</v>
      </c>
      <c r="F56" s="293">
        <v>406</v>
      </c>
      <c r="G56" s="293">
        <v>10</v>
      </c>
      <c r="H56" s="293">
        <v>8</v>
      </c>
      <c r="I56" s="298">
        <v>9717</v>
      </c>
      <c r="J56" s="299">
        <v>1459</v>
      </c>
      <c r="K56" s="299">
        <f>J56/G56</f>
        <v>145.9</v>
      </c>
      <c r="L56" s="166">
        <f>+I56/J56</f>
        <v>6.660041124057574</v>
      </c>
      <c r="M56" s="298">
        <v>30385549</v>
      </c>
      <c r="N56" s="299">
        <v>3699205</v>
      </c>
      <c r="O56" s="103">
        <f>+M56/N56</f>
        <v>8.214075456753546</v>
      </c>
      <c r="P56" s="283"/>
    </row>
    <row r="57" spans="1:16" ht="15">
      <c r="A57" s="66">
        <v>55</v>
      </c>
      <c r="B57" s="329" t="s">
        <v>54</v>
      </c>
      <c r="C57" s="40">
        <v>39738</v>
      </c>
      <c r="D57" s="132" t="s">
        <v>137</v>
      </c>
      <c r="E57" s="292" t="s">
        <v>55</v>
      </c>
      <c r="F57" s="293">
        <v>67</v>
      </c>
      <c r="G57" s="293">
        <v>11</v>
      </c>
      <c r="H57" s="293">
        <v>15</v>
      </c>
      <c r="I57" s="307">
        <v>9422</v>
      </c>
      <c r="J57" s="308">
        <v>2170</v>
      </c>
      <c r="K57" s="306">
        <f>(J57/G57)</f>
        <v>197.27272727272728</v>
      </c>
      <c r="L57" s="169">
        <f aca="true" t="shared" si="2" ref="L57:L65">I57/J57</f>
        <v>4.341935483870968</v>
      </c>
      <c r="M57" s="307">
        <f>167196+176809+54428+37340+38330.5+23467+11581+5867+4382+2577+3552+2137+545+4006+9422</f>
        <v>541639.5</v>
      </c>
      <c r="N57" s="308">
        <f>19168+21164+7719+6215+6404+4964+2339+1306+907+580+859+440+127+905+2170</f>
        <v>75267</v>
      </c>
      <c r="O57" s="105">
        <f>M57/N57</f>
        <v>7.1962413806847625</v>
      </c>
      <c r="P57" s="258">
        <v>1</v>
      </c>
    </row>
    <row r="58" spans="1:16" ht="15">
      <c r="A58" s="66">
        <v>56</v>
      </c>
      <c r="B58" s="49" t="s">
        <v>70</v>
      </c>
      <c r="C58" s="40">
        <v>39766</v>
      </c>
      <c r="D58" s="45" t="s">
        <v>137</v>
      </c>
      <c r="E58" s="44" t="s">
        <v>51</v>
      </c>
      <c r="F58" s="41">
        <v>20</v>
      </c>
      <c r="G58" s="41">
        <v>13</v>
      </c>
      <c r="H58" s="41">
        <v>8</v>
      </c>
      <c r="I58" s="160">
        <v>9410</v>
      </c>
      <c r="J58" s="161">
        <v>1542</v>
      </c>
      <c r="K58" s="168">
        <f>(J58/G58)</f>
        <v>118.61538461538461</v>
      </c>
      <c r="L58" s="169">
        <f t="shared" si="2"/>
        <v>6.102464332036316</v>
      </c>
      <c r="M58" s="160">
        <f>109364.5+38539+31287+12101+5368+8640.5+12331+9410</f>
        <v>227041</v>
      </c>
      <c r="N58" s="161">
        <f>11866+4674+4443+2133+1061+1670+2334+1542</f>
        <v>29723</v>
      </c>
      <c r="O58" s="105">
        <f>M58/N58</f>
        <v>7.638562729199609</v>
      </c>
      <c r="P58" s="128"/>
    </row>
    <row r="59" spans="1:16" ht="15">
      <c r="A59" s="66">
        <v>57</v>
      </c>
      <c r="B59" s="53" t="s">
        <v>147</v>
      </c>
      <c r="C59" s="39">
        <v>39801</v>
      </c>
      <c r="D59" s="132" t="s">
        <v>133</v>
      </c>
      <c r="E59" s="132" t="s">
        <v>125</v>
      </c>
      <c r="F59" s="50">
        <v>69</v>
      </c>
      <c r="G59" s="50">
        <v>12</v>
      </c>
      <c r="H59" s="50">
        <v>6</v>
      </c>
      <c r="I59" s="307">
        <v>9385</v>
      </c>
      <c r="J59" s="308">
        <v>2124</v>
      </c>
      <c r="K59" s="306">
        <f>J59/G59</f>
        <v>177</v>
      </c>
      <c r="L59" s="169">
        <f t="shared" si="2"/>
        <v>4.4185499058380415</v>
      </c>
      <c r="M59" s="307">
        <f>820286+588484+413907+112495+41441-111+9385</f>
        <v>1985887</v>
      </c>
      <c r="N59" s="308">
        <f>83839+57678+42374+12212+5722-11+2124</f>
        <v>203938</v>
      </c>
      <c r="O59" s="105">
        <f>+M59/N59</f>
        <v>9.737699693043965</v>
      </c>
      <c r="P59" s="258"/>
    </row>
    <row r="60" spans="1:16" ht="15">
      <c r="A60" s="66">
        <v>58</v>
      </c>
      <c r="B60" s="49" t="s">
        <v>74</v>
      </c>
      <c r="C60" s="40">
        <v>39772</v>
      </c>
      <c r="D60" s="45" t="s">
        <v>137</v>
      </c>
      <c r="E60" s="44" t="s">
        <v>108</v>
      </c>
      <c r="F60" s="41">
        <v>195</v>
      </c>
      <c r="G60" s="41">
        <v>8</v>
      </c>
      <c r="H60" s="41">
        <v>7</v>
      </c>
      <c r="I60" s="160">
        <v>9376.5</v>
      </c>
      <c r="J60" s="161">
        <v>2234</v>
      </c>
      <c r="K60" s="168">
        <f aca="true" t="shared" si="3" ref="K60:K65">(J60/G60)</f>
        <v>279.25</v>
      </c>
      <c r="L60" s="169">
        <f t="shared" si="2"/>
        <v>4.197179946284691</v>
      </c>
      <c r="M60" s="160">
        <f>1011017+512350.5+217314+64545+38656.5+8087+9376.5</f>
        <v>1861346.5</v>
      </c>
      <c r="N60" s="161">
        <f>136878+68007+31396+9807+8372+1564+2234</f>
        <v>258258</v>
      </c>
      <c r="O60" s="105">
        <f aca="true" t="shared" si="4" ref="O60:O65">M60/N60</f>
        <v>7.207314003825632</v>
      </c>
      <c r="P60" s="283">
        <v>1</v>
      </c>
    </row>
    <row r="61" spans="1:16" ht="15">
      <c r="A61" s="66">
        <v>59</v>
      </c>
      <c r="B61" s="244" t="s">
        <v>70</v>
      </c>
      <c r="C61" s="239">
        <v>39766</v>
      </c>
      <c r="D61" s="227" t="s">
        <v>137</v>
      </c>
      <c r="E61" s="237" t="s">
        <v>51</v>
      </c>
      <c r="F61" s="238">
        <v>20</v>
      </c>
      <c r="G61" s="238">
        <v>9</v>
      </c>
      <c r="H61" s="238">
        <v>9</v>
      </c>
      <c r="I61" s="235">
        <v>9143</v>
      </c>
      <c r="J61" s="236">
        <v>1728</v>
      </c>
      <c r="K61" s="233">
        <f t="shared" si="3"/>
        <v>192</v>
      </c>
      <c r="L61" s="234">
        <f t="shared" si="2"/>
        <v>5.291087962962963</v>
      </c>
      <c r="M61" s="235">
        <f>109364.5+38539+31287+12101+5368+8640.5+12331+9410+9143</f>
        <v>236184</v>
      </c>
      <c r="N61" s="236">
        <f>11866+4674+4443+2133+1061+1670+2334+1542+1728</f>
        <v>31451</v>
      </c>
      <c r="O61" s="243">
        <f t="shared" si="4"/>
        <v>7.509586340656895</v>
      </c>
      <c r="P61" s="128">
        <v>1</v>
      </c>
    </row>
    <row r="62" spans="1:16" ht="15">
      <c r="A62" s="66">
        <v>60</v>
      </c>
      <c r="B62" s="49" t="s">
        <v>71</v>
      </c>
      <c r="C62" s="40">
        <v>39766</v>
      </c>
      <c r="D62" s="44" t="s">
        <v>135</v>
      </c>
      <c r="E62" s="44" t="s">
        <v>72</v>
      </c>
      <c r="F62" s="41">
        <v>24</v>
      </c>
      <c r="G62" s="41">
        <v>6</v>
      </c>
      <c r="H62" s="41">
        <v>10</v>
      </c>
      <c r="I62" s="164">
        <v>7289</v>
      </c>
      <c r="J62" s="165">
        <v>1185</v>
      </c>
      <c r="K62" s="168">
        <f t="shared" si="3"/>
        <v>197.5</v>
      </c>
      <c r="L62" s="169">
        <f t="shared" si="2"/>
        <v>6.151054852320675</v>
      </c>
      <c r="M62" s="164">
        <f>191668+16358.5+8305+0.5+19699.5+16705.5+7289</f>
        <v>260026</v>
      </c>
      <c r="N62" s="165">
        <f>10324+8249+7871+7121+4755+3362+1751+2958+2636+1185</f>
        <v>50212</v>
      </c>
      <c r="O62" s="105">
        <f t="shared" si="4"/>
        <v>5.178562893332272</v>
      </c>
      <c r="P62" s="283">
        <v>1</v>
      </c>
    </row>
    <row r="63" spans="1:16" ht="15">
      <c r="A63" s="66">
        <v>61</v>
      </c>
      <c r="B63" s="49" t="s">
        <v>48</v>
      </c>
      <c r="C63" s="40">
        <v>39780</v>
      </c>
      <c r="D63" s="45" t="s">
        <v>137</v>
      </c>
      <c r="E63" s="44" t="s">
        <v>33</v>
      </c>
      <c r="F63" s="41">
        <v>6</v>
      </c>
      <c r="G63" s="41">
        <v>2</v>
      </c>
      <c r="H63" s="41">
        <v>7</v>
      </c>
      <c r="I63" s="160">
        <v>6202</v>
      </c>
      <c r="J63" s="161">
        <v>1523</v>
      </c>
      <c r="K63" s="168">
        <f t="shared" si="3"/>
        <v>761.5</v>
      </c>
      <c r="L63" s="169">
        <f t="shared" si="2"/>
        <v>4.072225869993434</v>
      </c>
      <c r="M63" s="160">
        <f>25457+3030+1123+7370+430+997+6202</f>
        <v>44609</v>
      </c>
      <c r="N63" s="161">
        <f>2151+404+165+1079+59+230+1523</f>
        <v>5611</v>
      </c>
      <c r="O63" s="105">
        <f t="shared" si="4"/>
        <v>7.9502762430939224</v>
      </c>
      <c r="P63" s="258"/>
    </row>
    <row r="64" spans="1:16" ht="15">
      <c r="A64" s="66">
        <v>62</v>
      </c>
      <c r="B64" s="244" t="s">
        <v>74</v>
      </c>
      <c r="C64" s="239">
        <v>39772</v>
      </c>
      <c r="D64" s="227" t="s">
        <v>137</v>
      </c>
      <c r="E64" s="237" t="s">
        <v>108</v>
      </c>
      <c r="F64" s="238">
        <v>195</v>
      </c>
      <c r="G64" s="238">
        <v>7</v>
      </c>
      <c r="H64" s="238">
        <v>8</v>
      </c>
      <c r="I64" s="235">
        <v>5786</v>
      </c>
      <c r="J64" s="236">
        <v>1216</v>
      </c>
      <c r="K64" s="233">
        <f t="shared" si="3"/>
        <v>173.71428571428572</v>
      </c>
      <c r="L64" s="234">
        <f t="shared" si="2"/>
        <v>4.7582236842105265</v>
      </c>
      <c r="M64" s="235">
        <f>1011017+512350.5+217314+64545+38656.5+8087+9376.5+5786</f>
        <v>1867132.5</v>
      </c>
      <c r="N64" s="236">
        <f>136878+68007+31396+9807+8372+1564+2234+1216</f>
        <v>259474</v>
      </c>
      <c r="O64" s="243">
        <f t="shared" si="4"/>
        <v>7.19583657707516</v>
      </c>
      <c r="P64" s="283">
        <v>1</v>
      </c>
    </row>
    <row r="65" spans="1:16" ht="15">
      <c r="A65" s="66">
        <v>63</v>
      </c>
      <c r="B65" s="49" t="s">
        <v>70</v>
      </c>
      <c r="C65" s="40">
        <v>39766</v>
      </c>
      <c r="D65" s="45" t="s">
        <v>137</v>
      </c>
      <c r="E65" s="44" t="s">
        <v>51</v>
      </c>
      <c r="F65" s="41">
        <v>20</v>
      </c>
      <c r="G65" s="41">
        <v>5</v>
      </c>
      <c r="H65" s="41">
        <v>10</v>
      </c>
      <c r="I65" s="160">
        <v>5719</v>
      </c>
      <c r="J65" s="161">
        <v>1224</v>
      </c>
      <c r="K65" s="168">
        <f t="shared" si="3"/>
        <v>244.8</v>
      </c>
      <c r="L65" s="169">
        <f t="shared" si="2"/>
        <v>4.6723856209150325</v>
      </c>
      <c r="M65" s="160">
        <f>109364.5+38539+31287+12101+5368+8640.5+12331+9410+9143+5719</f>
        <v>241903</v>
      </c>
      <c r="N65" s="161">
        <f>11866+4674+4443+2133+1061+1670+2334+1542+1728+1224</f>
        <v>32675</v>
      </c>
      <c r="O65" s="105">
        <f t="shared" si="4"/>
        <v>7.403305279265494</v>
      </c>
      <c r="P65" s="258"/>
    </row>
    <row r="66" spans="1:16" ht="15">
      <c r="A66" s="66">
        <v>64</v>
      </c>
      <c r="B66" s="327" t="s">
        <v>73</v>
      </c>
      <c r="C66" s="40">
        <v>39773</v>
      </c>
      <c r="D66" s="292" t="s">
        <v>134</v>
      </c>
      <c r="E66" s="292" t="s">
        <v>165</v>
      </c>
      <c r="F66" s="293">
        <v>204</v>
      </c>
      <c r="G66" s="293">
        <v>7</v>
      </c>
      <c r="H66" s="293">
        <v>10</v>
      </c>
      <c r="I66" s="298">
        <v>5694</v>
      </c>
      <c r="J66" s="299">
        <v>1248</v>
      </c>
      <c r="K66" s="299">
        <f>J66/G66</f>
        <v>178.28571428571428</v>
      </c>
      <c r="L66" s="166">
        <f>+I66/J66</f>
        <v>4.5625</v>
      </c>
      <c r="M66" s="298">
        <v>11427196</v>
      </c>
      <c r="N66" s="299">
        <v>1412742</v>
      </c>
      <c r="O66" s="103">
        <f>+M66/N66</f>
        <v>8.088664455364107</v>
      </c>
      <c r="P66" s="258">
        <v>1</v>
      </c>
    </row>
    <row r="67" spans="1:16" ht="15">
      <c r="A67" s="66">
        <v>65</v>
      </c>
      <c r="B67" s="53" t="s">
        <v>148</v>
      </c>
      <c r="C67" s="39">
        <v>39801</v>
      </c>
      <c r="D67" s="132" t="s">
        <v>139</v>
      </c>
      <c r="E67" s="132" t="s">
        <v>149</v>
      </c>
      <c r="F67" s="50">
        <v>84</v>
      </c>
      <c r="G67" s="50">
        <v>10</v>
      </c>
      <c r="H67" s="50">
        <v>6</v>
      </c>
      <c r="I67" s="303">
        <v>5392.5</v>
      </c>
      <c r="J67" s="306">
        <v>1094</v>
      </c>
      <c r="K67" s="302">
        <f>IF(I67&lt;&gt;0,J67/G67,"")</f>
        <v>109.4</v>
      </c>
      <c r="L67" s="163">
        <f>IF(I67&lt;&gt;0,I67/J67,"")</f>
        <v>4.9291590493601465</v>
      </c>
      <c r="M67" s="303">
        <f>369313.5+145108.5+43813+31258+11772.5+5392.5</f>
        <v>606658</v>
      </c>
      <c r="N67" s="299">
        <f>41017+16460+6346+5364+2357+1094</f>
        <v>72638</v>
      </c>
      <c r="O67" s="104">
        <f>IF(M67&lt;&gt;0,M67/N67,"")</f>
        <v>8.351799333682095</v>
      </c>
      <c r="P67" s="128">
        <v>1</v>
      </c>
    </row>
    <row r="68" spans="1:16" ht="15">
      <c r="A68" s="66">
        <v>66</v>
      </c>
      <c r="B68" s="49" t="s">
        <v>68</v>
      </c>
      <c r="C68" s="40">
        <v>39759</v>
      </c>
      <c r="D68" s="45" t="s">
        <v>137</v>
      </c>
      <c r="E68" s="44" t="s">
        <v>146</v>
      </c>
      <c r="F68" s="41">
        <v>93</v>
      </c>
      <c r="G68" s="41">
        <v>4</v>
      </c>
      <c r="H68" s="41">
        <v>9</v>
      </c>
      <c r="I68" s="160">
        <v>5279</v>
      </c>
      <c r="J68" s="161">
        <v>685</v>
      </c>
      <c r="K68" s="168">
        <f>(J68/G68)</f>
        <v>171.25</v>
      </c>
      <c r="L68" s="169">
        <f>I68/J68</f>
        <v>7.706569343065693</v>
      </c>
      <c r="M68" s="160">
        <f>224223+136351+27895+24212+1274+3482+7147+2804+5279</f>
        <v>432667</v>
      </c>
      <c r="N68" s="161">
        <f>27969+18593+4268+4646+311+857+1472+745+685</f>
        <v>59546</v>
      </c>
      <c r="O68" s="105">
        <f>M68/N68</f>
        <v>7.26609679911329</v>
      </c>
      <c r="P68" s="283"/>
    </row>
    <row r="69" spans="1:16" ht="15">
      <c r="A69" s="66">
        <v>67</v>
      </c>
      <c r="B69" s="53" t="s">
        <v>152</v>
      </c>
      <c r="C69" s="39">
        <v>39801</v>
      </c>
      <c r="D69" s="45" t="s">
        <v>4</v>
      </c>
      <c r="E69" s="45" t="s">
        <v>78</v>
      </c>
      <c r="F69" s="50">
        <v>19</v>
      </c>
      <c r="G69" s="50">
        <v>9</v>
      </c>
      <c r="H69" s="50">
        <v>3</v>
      </c>
      <c r="I69" s="160">
        <v>4887</v>
      </c>
      <c r="J69" s="161">
        <v>751</v>
      </c>
      <c r="K69" s="162">
        <f>+J69/G69</f>
        <v>83.44444444444444</v>
      </c>
      <c r="L69" s="163">
        <f>+I69/J69</f>
        <v>6.507323568575233</v>
      </c>
      <c r="M69" s="160">
        <v>136638</v>
      </c>
      <c r="N69" s="161">
        <v>12656</v>
      </c>
      <c r="O69" s="104">
        <f>+M69/N69</f>
        <v>10.796302149178256</v>
      </c>
      <c r="P69" s="283"/>
    </row>
    <row r="70" spans="1:16" ht="15">
      <c r="A70" s="66">
        <v>68</v>
      </c>
      <c r="B70" s="49" t="s">
        <v>46</v>
      </c>
      <c r="C70" s="40">
        <v>39780</v>
      </c>
      <c r="D70" s="45" t="s">
        <v>137</v>
      </c>
      <c r="E70" s="44" t="s">
        <v>79</v>
      </c>
      <c r="F70" s="41">
        <v>61</v>
      </c>
      <c r="G70" s="41">
        <v>8</v>
      </c>
      <c r="H70" s="41">
        <v>6</v>
      </c>
      <c r="I70" s="160">
        <v>4772</v>
      </c>
      <c r="J70" s="161">
        <v>944</v>
      </c>
      <c r="K70" s="168">
        <f>(J70/G70)</f>
        <v>118</v>
      </c>
      <c r="L70" s="169">
        <f>I70/J70</f>
        <v>5.055084745762712</v>
      </c>
      <c r="M70" s="160">
        <f>499000.5+313125.5+89561.5+27980+2002.5+4772</f>
        <v>936442</v>
      </c>
      <c r="N70" s="161">
        <f>48458+27725+9315+4737+330+944</f>
        <v>91509</v>
      </c>
      <c r="O70" s="105">
        <f>M70/N70</f>
        <v>10.233332240544646</v>
      </c>
      <c r="P70" s="128">
        <v>1</v>
      </c>
    </row>
    <row r="71" spans="1:16" ht="15">
      <c r="A71" s="66">
        <v>69</v>
      </c>
      <c r="B71" s="327" t="s">
        <v>71</v>
      </c>
      <c r="C71" s="40">
        <v>39766</v>
      </c>
      <c r="D71" s="292" t="s">
        <v>135</v>
      </c>
      <c r="E71" s="292" t="s">
        <v>72</v>
      </c>
      <c r="F71" s="293">
        <v>5</v>
      </c>
      <c r="G71" s="293">
        <v>5</v>
      </c>
      <c r="H71" s="293">
        <v>11</v>
      </c>
      <c r="I71" s="298">
        <v>4467</v>
      </c>
      <c r="J71" s="299">
        <v>800</v>
      </c>
      <c r="K71" s="296">
        <f>J71/G71</f>
        <v>160</v>
      </c>
      <c r="L71" s="297">
        <f>I71/J71</f>
        <v>5.58375</v>
      </c>
      <c r="M71" s="298">
        <f>191668+16358.5+8305+0.5+19699.5+16705.5+7289+4467</f>
        <v>264493</v>
      </c>
      <c r="N71" s="299">
        <f>10324+8249+7871+7121+4755+3362+1751+2958+2636+1185+800</f>
        <v>51012</v>
      </c>
      <c r="O71" s="328">
        <f>M71/N71</f>
        <v>5.184917274366816</v>
      </c>
      <c r="P71" s="258">
        <v>1</v>
      </c>
    </row>
    <row r="72" spans="1:16" ht="15">
      <c r="A72" s="66">
        <v>70</v>
      </c>
      <c r="B72" s="48" t="s">
        <v>57</v>
      </c>
      <c r="C72" s="39">
        <v>39745</v>
      </c>
      <c r="D72" s="42" t="s">
        <v>139</v>
      </c>
      <c r="E72" s="42" t="s">
        <v>47</v>
      </c>
      <c r="F72" s="54">
        <v>104</v>
      </c>
      <c r="G72" s="54">
        <v>6</v>
      </c>
      <c r="H72" s="54">
        <v>11</v>
      </c>
      <c r="I72" s="167">
        <v>4346</v>
      </c>
      <c r="J72" s="168">
        <v>1003</v>
      </c>
      <c r="K72" s="162">
        <f>IF(I72&lt;&gt;0,J72/G72,"")</f>
        <v>167.16666666666666</v>
      </c>
      <c r="L72" s="163">
        <f>IF(I72&lt;&gt;0,I72/J72,"")</f>
        <v>4.333000997008973</v>
      </c>
      <c r="M72" s="167">
        <f>821522+622841.5+494230+434015.5+185757.5+145248.5+16130+16159+2033+6489+4346</f>
        <v>2748772</v>
      </c>
      <c r="N72" s="165">
        <f>99216+78381+65128+58419+30420+24530+3077+3918+431+1704+1003</f>
        <v>366227</v>
      </c>
      <c r="O72" s="104">
        <f>IF(M72&lt;&gt;0,M72/N72,"")</f>
        <v>7.505650866812114</v>
      </c>
      <c r="P72" s="128"/>
    </row>
    <row r="73" spans="1:16" ht="15">
      <c r="A73" s="66">
        <v>71</v>
      </c>
      <c r="B73" s="327" t="s">
        <v>145</v>
      </c>
      <c r="C73" s="40">
        <v>39794</v>
      </c>
      <c r="D73" s="132" t="s">
        <v>137</v>
      </c>
      <c r="E73" s="292" t="s">
        <v>136</v>
      </c>
      <c r="F73" s="293">
        <v>100</v>
      </c>
      <c r="G73" s="293">
        <v>9</v>
      </c>
      <c r="H73" s="293">
        <v>7</v>
      </c>
      <c r="I73" s="307">
        <v>4129</v>
      </c>
      <c r="J73" s="308">
        <v>539</v>
      </c>
      <c r="K73" s="306">
        <f>(J73/G73)</f>
        <v>59.888888888888886</v>
      </c>
      <c r="L73" s="169">
        <f>I73/J73</f>
        <v>7.6604823747680895</v>
      </c>
      <c r="M73" s="307">
        <f>1276778.5+626123+380324+112679.5+54533+36086+4129</f>
        <v>2490653</v>
      </c>
      <c r="N73" s="308">
        <f>133555+68793+41581+14968+8873+6454+539</f>
        <v>274763</v>
      </c>
      <c r="O73" s="105">
        <f>M73/N73</f>
        <v>9.064732150981028</v>
      </c>
      <c r="P73" s="283"/>
    </row>
    <row r="74" spans="1:16" ht="15">
      <c r="A74" s="66">
        <v>72</v>
      </c>
      <c r="B74" s="49" t="s">
        <v>54</v>
      </c>
      <c r="C74" s="40">
        <v>39738</v>
      </c>
      <c r="D74" s="45" t="s">
        <v>137</v>
      </c>
      <c r="E74" s="44" t="s">
        <v>55</v>
      </c>
      <c r="F74" s="41">
        <v>67</v>
      </c>
      <c r="G74" s="41">
        <v>10</v>
      </c>
      <c r="H74" s="41">
        <v>14</v>
      </c>
      <c r="I74" s="160">
        <v>4006</v>
      </c>
      <c r="J74" s="161">
        <v>905</v>
      </c>
      <c r="K74" s="168">
        <f>(J74/G74)</f>
        <v>90.5</v>
      </c>
      <c r="L74" s="169">
        <f>I74/J74</f>
        <v>4.4265193370165745</v>
      </c>
      <c r="M74" s="160">
        <f>167196+176809+54428+37340+38330.5+23467+11581+5867+4382+2577+3552+2137+545+4006</f>
        <v>532217.5</v>
      </c>
      <c r="N74" s="161">
        <f>19168+21164+7719+6215+6404+4964+2339+1306+907+580+859+440+127+905</f>
        <v>73097</v>
      </c>
      <c r="O74" s="105">
        <f>M74/N74</f>
        <v>7.280975963445832</v>
      </c>
      <c r="P74" s="128">
        <v>1</v>
      </c>
    </row>
    <row r="75" spans="1:16" ht="15">
      <c r="A75" s="66">
        <v>73</v>
      </c>
      <c r="B75" s="53" t="s">
        <v>59</v>
      </c>
      <c r="C75" s="39">
        <v>39745</v>
      </c>
      <c r="D75" s="45" t="s">
        <v>4</v>
      </c>
      <c r="E75" s="45" t="s">
        <v>60</v>
      </c>
      <c r="F75" s="50">
        <v>72</v>
      </c>
      <c r="G75" s="50">
        <v>1</v>
      </c>
      <c r="H75" s="50">
        <v>13</v>
      </c>
      <c r="I75" s="160">
        <v>3795</v>
      </c>
      <c r="J75" s="161">
        <v>578</v>
      </c>
      <c r="K75" s="162">
        <f>+J75/G75</f>
        <v>578</v>
      </c>
      <c r="L75" s="163">
        <f>+I75/J75</f>
        <v>6.5657439446366785</v>
      </c>
      <c r="M75" s="160">
        <v>1288149</v>
      </c>
      <c r="N75" s="161">
        <v>145860</v>
      </c>
      <c r="O75" s="104">
        <f>+M75/N75</f>
        <v>8.831406828465653</v>
      </c>
      <c r="P75" s="258"/>
    </row>
    <row r="76" spans="1:16" ht="15">
      <c r="A76" s="66">
        <v>74</v>
      </c>
      <c r="B76" s="48" t="s">
        <v>69</v>
      </c>
      <c r="C76" s="39">
        <v>39759</v>
      </c>
      <c r="D76" s="42" t="s">
        <v>139</v>
      </c>
      <c r="E76" s="261" t="s">
        <v>31</v>
      </c>
      <c r="F76" s="54">
        <v>40</v>
      </c>
      <c r="G76" s="54">
        <v>3</v>
      </c>
      <c r="H76" s="54">
        <v>11</v>
      </c>
      <c r="I76" s="167">
        <v>3725</v>
      </c>
      <c r="J76" s="168">
        <v>659</v>
      </c>
      <c r="K76" s="162">
        <f>IF(I76&lt;&gt;0,J76/G76,"")</f>
        <v>219.66666666666666</v>
      </c>
      <c r="L76" s="163">
        <f>IF(I76&lt;&gt;0,I76/J76,"")</f>
        <v>5.652503793626707</v>
      </c>
      <c r="M76" s="167">
        <f>84918+52341+11404+7823+3207+2014+937+2034+556+1450+3725</f>
        <v>170409</v>
      </c>
      <c r="N76" s="165">
        <f>10694+7043+2046+1560+538+345+174+389+77+318+659</f>
        <v>23843</v>
      </c>
      <c r="O76" s="104">
        <f>IF(M76&lt;&gt;0,M76/N76,"")</f>
        <v>7.147129136434174</v>
      </c>
      <c r="P76" s="258">
        <v>1</v>
      </c>
    </row>
    <row r="77" spans="1:16" ht="15">
      <c r="A77" s="66">
        <v>75</v>
      </c>
      <c r="B77" s="242" t="s">
        <v>57</v>
      </c>
      <c r="C77" s="226">
        <v>39745</v>
      </c>
      <c r="D77" s="227" t="s">
        <v>139</v>
      </c>
      <c r="E77" s="227" t="s">
        <v>47</v>
      </c>
      <c r="F77" s="228">
        <v>104</v>
      </c>
      <c r="G77" s="228">
        <v>6</v>
      </c>
      <c r="H77" s="228">
        <v>12</v>
      </c>
      <c r="I77" s="231">
        <v>3565</v>
      </c>
      <c r="J77" s="233">
        <v>785</v>
      </c>
      <c r="K77" s="229">
        <f>IF(I77&lt;&gt;0,J77/G77,"")</f>
        <v>130.83333333333334</v>
      </c>
      <c r="L77" s="230">
        <f>IF(I77&lt;&gt;0,I77/J77,"")</f>
        <v>4.54140127388535</v>
      </c>
      <c r="M77" s="231">
        <f>821522+622841.5+494230+434015.5+185757.5+145248.5+16130+16159+2033+6489+4346+3565</f>
        <v>2752337</v>
      </c>
      <c r="N77" s="232">
        <f>99216+78381+65128+58419+30420+24530+3077+3918+431+1704+1003+785</f>
        <v>367012</v>
      </c>
      <c r="O77" s="247">
        <f>IF(M77&lt;&gt;0,M77/N77,"")</f>
        <v>7.4993106492430766</v>
      </c>
      <c r="P77" s="283"/>
    </row>
    <row r="78" spans="1:16" ht="15">
      <c r="A78" s="66">
        <v>76</v>
      </c>
      <c r="B78" s="53" t="s">
        <v>63</v>
      </c>
      <c r="C78" s="39">
        <v>39689</v>
      </c>
      <c r="D78" s="132" t="s">
        <v>133</v>
      </c>
      <c r="E78" s="132" t="s">
        <v>64</v>
      </c>
      <c r="F78" s="50">
        <v>100</v>
      </c>
      <c r="G78" s="50">
        <v>4</v>
      </c>
      <c r="H78" s="50">
        <v>12</v>
      </c>
      <c r="I78" s="307">
        <v>3423</v>
      </c>
      <c r="J78" s="308">
        <v>1037</v>
      </c>
      <c r="K78" s="306">
        <f>J78/G78</f>
        <v>259.25</v>
      </c>
      <c r="L78" s="169">
        <f aca="true" t="shared" si="5" ref="L78:L84">I78/J78</f>
        <v>3.3008678881388622</v>
      </c>
      <c r="M78" s="307">
        <f>17818+1364876+864151+384239+240974+16635+2871+5064-50+5187+276+2654+1278+3423</f>
        <v>2909396</v>
      </c>
      <c r="N78" s="308">
        <f>1487+139515+89937+39711+26370+2302+499+787-9+1471+55+1243+206+1037</f>
        <v>304611</v>
      </c>
      <c r="O78" s="105">
        <f>+M78/N78</f>
        <v>9.551184953924842</v>
      </c>
      <c r="P78" s="283">
        <v>1</v>
      </c>
    </row>
    <row r="79" spans="1:16" ht="15">
      <c r="A79" s="66">
        <v>77</v>
      </c>
      <c r="B79" s="53" t="s">
        <v>144</v>
      </c>
      <c r="C79" s="39">
        <v>39780</v>
      </c>
      <c r="D79" s="132" t="s">
        <v>80</v>
      </c>
      <c r="E79" s="132" t="s">
        <v>49</v>
      </c>
      <c r="F79" s="54">
        <v>3</v>
      </c>
      <c r="G79" s="54">
        <v>3</v>
      </c>
      <c r="H79" s="54">
        <v>6</v>
      </c>
      <c r="I79" s="170">
        <v>2890</v>
      </c>
      <c r="J79" s="171">
        <v>437</v>
      </c>
      <c r="K79" s="168">
        <f>(J79/G79)</f>
        <v>145.66666666666666</v>
      </c>
      <c r="L79" s="169">
        <f t="shared" si="5"/>
        <v>6.613272311212815</v>
      </c>
      <c r="M79" s="170">
        <v>45175.5</v>
      </c>
      <c r="N79" s="171">
        <v>4356</v>
      </c>
      <c r="O79" s="105">
        <f>M79/N79</f>
        <v>10.37086776859504</v>
      </c>
      <c r="P79" s="283">
        <v>1</v>
      </c>
    </row>
    <row r="80" spans="1:16" ht="15">
      <c r="A80" s="66">
        <v>78</v>
      </c>
      <c r="B80" s="242" t="s">
        <v>56</v>
      </c>
      <c r="C80" s="226">
        <v>39750</v>
      </c>
      <c r="D80" s="227" t="s">
        <v>133</v>
      </c>
      <c r="E80" s="227" t="s">
        <v>30</v>
      </c>
      <c r="F80" s="228">
        <v>198</v>
      </c>
      <c r="G80" s="228">
        <v>2</v>
      </c>
      <c r="H80" s="228">
        <v>12</v>
      </c>
      <c r="I80" s="235">
        <v>2787</v>
      </c>
      <c r="J80" s="236">
        <v>717</v>
      </c>
      <c r="K80" s="233">
        <f>J80/G80</f>
        <v>358.5</v>
      </c>
      <c r="L80" s="234">
        <f t="shared" si="5"/>
        <v>3.8870292887029287</v>
      </c>
      <c r="M80" s="235">
        <f>4975832+1882135+1034271+412191+151618-1635+10999+12408+14293+6423+2375+2787</f>
        <v>8503697</v>
      </c>
      <c r="N80" s="236">
        <f>642956+245951+129523+51207+21082-161+1623+2391+2711+1404+495+717</f>
        <v>1099899</v>
      </c>
      <c r="O80" s="243">
        <f>+M80/N80</f>
        <v>7.731343514268128</v>
      </c>
      <c r="P80" s="283">
        <v>1</v>
      </c>
    </row>
    <row r="81" spans="1:16" ht="15">
      <c r="A81" s="66">
        <v>79</v>
      </c>
      <c r="B81" s="327" t="s">
        <v>70</v>
      </c>
      <c r="C81" s="40">
        <v>39766</v>
      </c>
      <c r="D81" s="132" t="s">
        <v>137</v>
      </c>
      <c r="E81" s="292" t="s">
        <v>51</v>
      </c>
      <c r="F81" s="293">
        <v>20</v>
      </c>
      <c r="G81" s="293">
        <v>4</v>
      </c>
      <c r="H81" s="293">
        <v>11</v>
      </c>
      <c r="I81" s="307">
        <v>2775</v>
      </c>
      <c r="J81" s="308">
        <v>544</v>
      </c>
      <c r="K81" s="306">
        <f>(J81/G81)</f>
        <v>136</v>
      </c>
      <c r="L81" s="169">
        <f t="shared" si="5"/>
        <v>5.101102941176471</v>
      </c>
      <c r="M81" s="307">
        <f>109364.5+38539+31287+12101+5368+8640.5+12331+9410+9143+5719+2775</f>
        <v>244678</v>
      </c>
      <c r="N81" s="308">
        <f>11866+4674+4443+2133+1061+1670+2334+1542+1728+1224+544</f>
        <v>33219</v>
      </c>
      <c r="O81" s="105">
        <f>M81/N81</f>
        <v>7.365604021794756</v>
      </c>
      <c r="P81" s="258">
        <v>1</v>
      </c>
    </row>
    <row r="82" spans="1:16" ht="15">
      <c r="A82" s="66">
        <v>80</v>
      </c>
      <c r="B82" s="49" t="s">
        <v>74</v>
      </c>
      <c r="C82" s="40">
        <v>39772</v>
      </c>
      <c r="D82" s="45" t="s">
        <v>137</v>
      </c>
      <c r="E82" s="44" t="s">
        <v>108</v>
      </c>
      <c r="F82" s="41">
        <v>195</v>
      </c>
      <c r="G82" s="41">
        <v>5</v>
      </c>
      <c r="H82" s="41">
        <v>9</v>
      </c>
      <c r="I82" s="160">
        <v>2692</v>
      </c>
      <c r="J82" s="161">
        <v>553</v>
      </c>
      <c r="K82" s="168">
        <f>(J82/G82)</f>
        <v>110.6</v>
      </c>
      <c r="L82" s="169">
        <f t="shared" si="5"/>
        <v>4.867992766726944</v>
      </c>
      <c r="M82" s="160">
        <f>1011017+512350.5+217314+64545+38656.5+8087+9376.5+5786+2692</f>
        <v>1869824.5</v>
      </c>
      <c r="N82" s="161">
        <f>136878+68007+31396+9807+8372+1564+2234+1216+553</f>
        <v>260027</v>
      </c>
      <c r="O82" s="105">
        <f>M82/N82</f>
        <v>7.190885946459406</v>
      </c>
      <c r="P82" s="128"/>
    </row>
    <row r="83" spans="1:16" ht="15">
      <c r="A83" s="66">
        <v>81</v>
      </c>
      <c r="B83" s="242" t="s">
        <v>63</v>
      </c>
      <c r="C83" s="226">
        <v>39689</v>
      </c>
      <c r="D83" s="227" t="s">
        <v>133</v>
      </c>
      <c r="E83" s="227" t="s">
        <v>64</v>
      </c>
      <c r="F83" s="228">
        <v>100</v>
      </c>
      <c r="G83" s="228">
        <v>2</v>
      </c>
      <c r="H83" s="228">
        <v>10</v>
      </c>
      <c r="I83" s="235">
        <v>2654</v>
      </c>
      <c r="J83" s="236">
        <v>1243</v>
      </c>
      <c r="K83" s="233">
        <f>J83/G83</f>
        <v>621.5</v>
      </c>
      <c r="L83" s="234">
        <f t="shared" si="5"/>
        <v>2.1351568785197106</v>
      </c>
      <c r="M83" s="235">
        <f>17818+1364876+864151+384239+240974+16635+2871+5064-50+5187+276+2654</f>
        <v>2904695</v>
      </c>
      <c r="N83" s="236">
        <f>1487+139515+89937+39711+26370+2302+499+787-9+1471+55+1243</f>
        <v>303368</v>
      </c>
      <c r="O83" s="243">
        <f>+M83/N83</f>
        <v>9.574823316895651</v>
      </c>
      <c r="P83" s="128"/>
    </row>
    <row r="84" spans="1:16" ht="15">
      <c r="A84" s="66">
        <v>82</v>
      </c>
      <c r="B84" s="49" t="s">
        <v>68</v>
      </c>
      <c r="C84" s="40">
        <v>39759</v>
      </c>
      <c r="D84" s="45" t="s">
        <v>137</v>
      </c>
      <c r="E84" s="44" t="s">
        <v>146</v>
      </c>
      <c r="F84" s="41">
        <v>93</v>
      </c>
      <c r="G84" s="41">
        <v>3</v>
      </c>
      <c r="H84" s="41">
        <v>11</v>
      </c>
      <c r="I84" s="160">
        <v>2635</v>
      </c>
      <c r="J84" s="161">
        <v>636</v>
      </c>
      <c r="K84" s="168">
        <f>(J84/G84)</f>
        <v>212</v>
      </c>
      <c r="L84" s="169">
        <f t="shared" si="5"/>
        <v>4.1430817610062896</v>
      </c>
      <c r="M84" s="160">
        <f>224223+136351+27895+24212+1274+3482+7147+2804+5279+2025+2635</f>
        <v>437327</v>
      </c>
      <c r="N84" s="161">
        <f>27969+18593+4268+4646+311+857+1472+745+1285+386+636</f>
        <v>61168</v>
      </c>
      <c r="O84" s="105">
        <f>M84/N84</f>
        <v>7.149604368297148</v>
      </c>
      <c r="P84" s="258"/>
    </row>
    <row r="85" spans="1:16" ht="15">
      <c r="A85" s="66">
        <v>83</v>
      </c>
      <c r="B85" s="48" t="s">
        <v>57</v>
      </c>
      <c r="C85" s="39">
        <v>39745</v>
      </c>
      <c r="D85" s="42" t="s">
        <v>139</v>
      </c>
      <c r="E85" s="261" t="s">
        <v>47</v>
      </c>
      <c r="F85" s="54">
        <v>104</v>
      </c>
      <c r="G85" s="54">
        <v>4</v>
      </c>
      <c r="H85" s="54">
        <v>13</v>
      </c>
      <c r="I85" s="167">
        <v>2540</v>
      </c>
      <c r="J85" s="168">
        <v>507</v>
      </c>
      <c r="K85" s="162">
        <f>IF(I85&lt;&gt;0,J85/G85,"")</f>
        <v>126.75</v>
      </c>
      <c r="L85" s="163">
        <f>IF(I85&lt;&gt;0,I85/J85,"")</f>
        <v>5.009861932938856</v>
      </c>
      <c r="M85" s="167">
        <f>821522+622841.5+494230+434015.5+185757.5+145248.5+16130+16159+2033+6489+4346+3565+2540</f>
        <v>2754877</v>
      </c>
      <c r="N85" s="165">
        <f>99216+78381+65128+58419+30420+24530+3077+3918+431+1704+1003+785+507</f>
        <v>367519</v>
      </c>
      <c r="O85" s="104">
        <f>IF(M85&lt;&gt;0,M85/N85,"")</f>
        <v>7.495876403668926</v>
      </c>
      <c r="P85" s="283">
        <v>1</v>
      </c>
    </row>
    <row r="86" spans="1:16" ht="15">
      <c r="A86" s="66">
        <v>84</v>
      </c>
      <c r="B86" s="327" t="s">
        <v>166</v>
      </c>
      <c r="C86" s="40">
        <v>39717</v>
      </c>
      <c r="D86" s="292" t="s">
        <v>135</v>
      </c>
      <c r="E86" s="292" t="s">
        <v>9</v>
      </c>
      <c r="F86" s="293">
        <v>1</v>
      </c>
      <c r="G86" s="293">
        <v>1</v>
      </c>
      <c r="H86" s="293">
        <v>12</v>
      </c>
      <c r="I86" s="298">
        <v>2408.5</v>
      </c>
      <c r="J86" s="299">
        <v>602</v>
      </c>
      <c r="K86" s="306">
        <f>J86/G86</f>
        <v>602</v>
      </c>
      <c r="L86" s="169">
        <f aca="true" t="shared" si="6" ref="L86:L92">I86/J86</f>
        <v>4.000830564784053</v>
      </c>
      <c r="M86" s="298">
        <f>2923050.5+2408+0.5</f>
        <v>2925459</v>
      </c>
      <c r="N86" s="299">
        <f>394197+602</f>
        <v>394799</v>
      </c>
      <c r="O86" s="105">
        <f>+M86/N86</f>
        <v>7.409995972634176</v>
      </c>
      <c r="P86" s="283"/>
    </row>
    <row r="87" spans="1:16" ht="15">
      <c r="A87" s="66">
        <v>85</v>
      </c>
      <c r="B87" s="48" t="s">
        <v>56</v>
      </c>
      <c r="C87" s="39">
        <v>39750</v>
      </c>
      <c r="D87" s="43" t="s">
        <v>133</v>
      </c>
      <c r="E87" s="42" t="s">
        <v>30</v>
      </c>
      <c r="F87" s="54">
        <v>198</v>
      </c>
      <c r="G87" s="54">
        <v>6</v>
      </c>
      <c r="H87" s="54">
        <v>11</v>
      </c>
      <c r="I87" s="160">
        <v>2375</v>
      </c>
      <c r="J87" s="161">
        <v>495</v>
      </c>
      <c r="K87" s="168">
        <f>J87/G87</f>
        <v>82.5</v>
      </c>
      <c r="L87" s="169">
        <f t="shared" si="6"/>
        <v>4.797979797979798</v>
      </c>
      <c r="M87" s="160">
        <f>4975832+1882135+1034271+412191+151618-1635+10999+12408+14293+6423+2375</f>
        <v>8500910</v>
      </c>
      <c r="N87" s="161">
        <f>642956+245951+129523+51207+21082-161+1623+2391+2711+1404+495</f>
        <v>1099182</v>
      </c>
      <c r="O87" s="105">
        <f>+M87/N87</f>
        <v>7.733851172963167</v>
      </c>
      <c r="P87" s="258">
        <v>1</v>
      </c>
    </row>
    <row r="88" spans="1:16" ht="15">
      <c r="A88" s="66">
        <v>86</v>
      </c>
      <c r="B88" s="327" t="s">
        <v>68</v>
      </c>
      <c r="C88" s="40">
        <v>39759</v>
      </c>
      <c r="D88" s="132" t="s">
        <v>137</v>
      </c>
      <c r="E88" s="292" t="s">
        <v>146</v>
      </c>
      <c r="F88" s="293">
        <v>93</v>
      </c>
      <c r="G88" s="293">
        <v>2</v>
      </c>
      <c r="H88" s="293">
        <v>12</v>
      </c>
      <c r="I88" s="307">
        <v>2196</v>
      </c>
      <c r="J88" s="308">
        <v>549</v>
      </c>
      <c r="K88" s="306">
        <f>(J88/G88)</f>
        <v>274.5</v>
      </c>
      <c r="L88" s="169">
        <f t="shared" si="6"/>
        <v>4</v>
      </c>
      <c r="M88" s="307">
        <f>224223+136351+27895+24212+1274+3482+7147+2804+5279+2025+2635+2196</f>
        <v>439523</v>
      </c>
      <c r="N88" s="308">
        <f>27969+18593+4268+4646+311+857+1472+745+1285+386+636+549</f>
        <v>61717</v>
      </c>
      <c r="O88" s="105">
        <f>M88/N88</f>
        <v>7.121587245005428</v>
      </c>
      <c r="P88" s="283"/>
    </row>
    <row r="89" spans="1:16" ht="15">
      <c r="A89" s="66">
        <v>87</v>
      </c>
      <c r="B89" s="242" t="s">
        <v>42</v>
      </c>
      <c r="C89" s="226">
        <v>39745</v>
      </c>
      <c r="D89" s="227" t="s">
        <v>133</v>
      </c>
      <c r="E89" s="227" t="s">
        <v>35</v>
      </c>
      <c r="F89" s="228">
        <v>202</v>
      </c>
      <c r="G89" s="228">
        <v>2</v>
      </c>
      <c r="H89" s="228">
        <v>11</v>
      </c>
      <c r="I89" s="235">
        <v>2189</v>
      </c>
      <c r="J89" s="236">
        <v>433</v>
      </c>
      <c r="K89" s="233">
        <f>J89/G89</f>
        <v>216.5</v>
      </c>
      <c r="L89" s="234">
        <f t="shared" si="6"/>
        <v>5.055427251732102</v>
      </c>
      <c r="M89" s="235">
        <f>2979211+551475+289248+35506+23768+5044+549+3932+1192+2189</f>
        <v>3892114</v>
      </c>
      <c r="N89" s="236">
        <f>374252+72341+40702+5164+4326+1290+108+783+296+433</f>
        <v>499695</v>
      </c>
      <c r="O89" s="243">
        <f>+M89/N89</f>
        <v>7.788979277359189</v>
      </c>
      <c r="P89" s="128">
        <v>1</v>
      </c>
    </row>
    <row r="90" spans="1:16" ht="15">
      <c r="A90" s="66">
        <v>88</v>
      </c>
      <c r="B90" s="49" t="s">
        <v>54</v>
      </c>
      <c r="C90" s="40">
        <v>39738</v>
      </c>
      <c r="D90" s="45" t="s">
        <v>137</v>
      </c>
      <c r="E90" s="44" t="s">
        <v>55</v>
      </c>
      <c r="F90" s="41">
        <v>67</v>
      </c>
      <c r="G90" s="41">
        <v>6</v>
      </c>
      <c r="H90" s="41">
        <v>12</v>
      </c>
      <c r="I90" s="160">
        <v>2137</v>
      </c>
      <c r="J90" s="161">
        <v>440</v>
      </c>
      <c r="K90" s="168">
        <f>(J90/G90)</f>
        <v>73.33333333333333</v>
      </c>
      <c r="L90" s="169">
        <f t="shared" si="6"/>
        <v>4.8568181818181815</v>
      </c>
      <c r="M90" s="160">
        <f>167196+176809+54428+37340+38330.5+23467+11581+5867+4382+2577+3552+2137</f>
        <v>527666.5</v>
      </c>
      <c r="N90" s="161">
        <f>19168+21164+7719+6215+6404+4964+2339+1306+907+580+859+440</f>
        <v>72065</v>
      </c>
      <c r="O90" s="105">
        <f>M90/N90</f>
        <v>7.32209116769583</v>
      </c>
      <c r="P90" s="128"/>
    </row>
    <row r="91" spans="1:16" ht="15">
      <c r="A91" s="66">
        <v>89</v>
      </c>
      <c r="B91" s="49" t="s">
        <v>15</v>
      </c>
      <c r="C91" s="40">
        <v>39696</v>
      </c>
      <c r="D91" s="44" t="s">
        <v>135</v>
      </c>
      <c r="E91" s="44" t="s">
        <v>16</v>
      </c>
      <c r="F91" s="41">
        <v>75</v>
      </c>
      <c r="G91" s="41">
        <v>1</v>
      </c>
      <c r="H91" s="41">
        <v>11</v>
      </c>
      <c r="I91" s="164">
        <v>2100</v>
      </c>
      <c r="J91" s="165">
        <v>350</v>
      </c>
      <c r="K91" s="168">
        <f>(J91/G91)</f>
        <v>350</v>
      </c>
      <c r="L91" s="169">
        <f t="shared" si="6"/>
        <v>6</v>
      </c>
      <c r="M91" s="164">
        <f>86230.5+60757+25197.5+7924+1147+850+226+56+3673+3630+2100</f>
        <v>191791</v>
      </c>
      <c r="N91" s="165">
        <f>10350+7537+3961+1406+201+213+26+9+924+1210+350</f>
        <v>26187</v>
      </c>
      <c r="O91" s="105">
        <f>M91/N91</f>
        <v>7.323901172337419</v>
      </c>
      <c r="P91" s="128"/>
    </row>
    <row r="92" spans="1:16" ht="15">
      <c r="A92" s="66">
        <v>90</v>
      </c>
      <c r="B92" s="244" t="s">
        <v>68</v>
      </c>
      <c r="C92" s="239">
        <v>39759</v>
      </c>
      <c r="D92" s="227" t="s">
        <v>137</v>
      </c>
      <c r="E92" s="237" t="s">
        <v>146</v>
      </c>
      <c r="F92" s="238">
        <v>93</v>
      </c>
      <c r="G92" s="238">
        <v>2</v>
      </c>
      <c r="H92" s="238">
        <v>10</v>
      </c>
      <c r="I92" s="235">
        <v>2025</v>
      </c>
      <c r="J92" s="236">
        <v>386</v>
      </c>
      <c r="K92" s="233">
        <f>(J92/G92)</f>
        <v>193</v>
      </c>
      <c r="L92" s="234">
        <f t="shared" si="6"/>
        <v>5.246113989637306</v>
      </c>
      <c r="M92" s="235">
        <f>224223+136351+27895+24212+1274+3482+7147+2804+5279+2025</f>
        <v>434692</v>
      </c>
      <c r="N92" s="236">
        <f>27969+18593+4268+4646+311+857+1472+745+1285+386</f>
        <v>60532</v>
      </c>
      <c r="O92" s="243">
        <f>M92/N92</f>
        <v>7.181193418357233</v>
      </c>
      <c r="P92" s="128">
        <v>1</v>
      </c>
    </row>
    <row r="93" spans="1:16" ht="15">
      <c r="A93" s="66">
        <v>91</v>
      </c>
      <c r="B93" s="271" t="s">
        <v>58</v>
      </c>
      <c r="C93" s="262">
        <v>39745</v>
      </c>
      <c r="D93" s="65" t="s">
        <v>134</v>
      </c>
      <c r="E93" s="264" t="s">
        <v>32</v>
      </c>
      <c r="F93" s="41">
        <v>57</v>
      </c>
      <c r="G93" s="41">
        <v>1</v>
      </c>
      <c r="H93" s="41">
        <v>13</v>
      </c>
      <c r="I93" s="164">
        <v>1816</v>
      </c>
      <c r="J93" s="165">
        <v>347</v>
      </c>
      <c r="K93" s="165">
        <f>J93/G93</f>
        <v>347</v>
      </c>
      <c r="L93" s="166">
        <f>+I93/J93</f>
        <v>5.23342939481268</v>
      </c>
      <c r="M93" s="164">
        <v>11692550</v>
      </c>
      <c r="N93" s="165">
        <v>126132</v>
      </c>
      <c r="O93" s="103">
        <f>+M93/N93</f>
        <v>92.70090064377001</v>
      </c>
      <c r="P93" s="283"/>
    </row>
    <row r="94" spans="1:16" ht="15">
      <c r="A94" s="66">
        <v>92</v>
      </c>
      <c r="B94" s="49">
        <v>120</v>
      </c>
      <c r="C94" s="40">
        <v>39493</v>
      </c>
      <c r="D94" s="44" t="s">
        <v>135</v>
      </c>
      <c r="E94" s="44" t="s">
        <v>96</v>
      </c>
      <c r="F94" s="41">
        <v>179</v>
      </c>
      <c r="G94" s="41">
        <v>1</v>
      </c>
      <c r="H94" s="41">
        <v>39</v>
      </c>
      <c r="I94" s="164">
        <v>1758</v>
      </c>
      <c r="J94" s="165">
        <v>586</v>
      </c>
      <c r="K94" s="168">
        <f>(J94/G94)</f>
        <v>586</v>
      </c>
      <c r="L94" s="169">
        <f>I94/J94</f>
        <v>3</v>
      </c>
      <c r="M94" s="164">
        <f>940515+844172.5+750489+533469+396399.5+362067.5+228159+211115.5+153941.5+48+73076.5+60280+47290.5+46690+13789+13717.5+9809+2709.5+1288.5+22597.5+10821.5+12218+7313+44774.5+111294+3629+0.5+41599.5+20470.5+5217-3719.5+10067+1376+10253+13391+15635+48+500+2820+500+666+1758</f>
        <v>5022256.5</v>
      </c>
      <c r="N94" s="165">
        <f>135921+127724+124508+97493+101422+99063+62455+57586+44490+6+19837+19877+15923+15427+4822+4847+3310+822+280+7405+3528+4050+2428+14923+37098+1709+6180+3303+3114+328+3418+4411+5191+12+100+806+100+222+586</f>
        <v>1034725</v>
      </c>
      <c r="O94" s="105">
        <f>M94/N94</f>
        <v>4.853711372586919</v>
      </c>
      <c r="P94" s="283">
        <v>1</v>
      </c>
    </row>
    <row r="95" spans="1:16" ht="15">
      <c r="A95" s="66">
        <v>93</v>
      </c>
      <c r="B95" s="269" t="s">
        <v>99</v>
      </c>
      <c r="C95" s="262">
        <v>39752</v>
      </c>
      <c r="D95" s="264" t="s">
        <v>134</v>
      </c>
      <c r="E95" s="65" t="s">
        <v>127</v>
      </c>
      <c r="F95" s="265">
        <v>45</v>
      </c>
      <c r="G95" s="265">
        <v>2</v>
      </c>
      <c r="H95" s="265">
        <v>11</v>
      </c>
      <c r="I95" s="268">
        <v>1753</v>
      </c>
      <c r="J95" s="266">
        <v>344</v>
      </c>
      <c r="K95" s="266">
        <f>J95/G95</f>
        <v>172</v>
      </c>
      <c r="L95" s="267">
        <f>+I95/J95</f>
        <v>5.09593023255814</v>
      </c>
      <c r="M95" s="268">
        <v>456099</v>
      </c>
      <c r="N95" s="266">
        <v>49688</v>
      </c>
      <c r="O95" s="272">
        <f>+M95/N95</f>
        <v>9.17925857349863</v>
      </c>
      <c r="P95" s="283">
        <v>1</v>
      </c>
    </row>
    <row r="96" spans="1:16" ht="15">
      <c r="A96" s="66">
        <v>94</v>
      </c>
      <c r="B96" s="327" t="s">
        <v>167</v>
      </c>
      <c r="C96" s="40">
        <v>39766</v>
      </c>
      <c r="D96" s="292" t="s">
        <v>168</v>
      </c>
      <c r="E96" s="292" t="s">
        <v>169</v>
      </c>
      <c r="F96" s="293">
        <v>50</v>
      </c>
      <c r="G96" s="293">
        <v>3</v>
      </c>
      <c r="H96" s="293">
        <v>11</v>
      </c>
      <c r="I96" s="311">
        <v>1724</v>
      </c>
      <c r="J96" s="296">
        <v>419</v>
      </c>
      <c r="K96" s="296">
        <f>J96/G96</f>
        <v>139.66666666666666</v>
      </c>
      <c r="L96" s="297">
        <f>I96/J96</f>
        <v>4.114558472553699</v>
      </c>
      <c r="M96" s="311">
        <v>217051</v>
      </c>
      <c r="N96" s="296">
        <v>31055</v>
      </c>
      <c r="O96" s="328">
        <f>M96/N96</f>
        <v>6.989244888101755</v>
      </c>
      <c r="P96" s="258">
        <v>1</v>
      </c>
    </row>
    <row r="97" spans="1:16" ht="15">
      <c r="A97" s="66">
        <v>95</v>
      </c>
      <c r="B97" s="327" t="s">
        <v>28</v>
      </c>
      <c r="C97" s="40">
        <v>39808</v>
      </c>
      <c r="D97" s="292" t="s">
        <v>135</v>
      </c>
      <c r="E97" s="292" t="s">
        <v>29</v>
      </c>
      <c r="F97" s="293">
        <v>3</v>
      </c>
      <c r="G97" s="293">
        <v>3</v>
      </c>
      <c r="H97" s="293">
        <v>5</v>
      </c>
      <c r="I97" s="298">
        <v>1707</v>
      </c>
      <c r="J97" s="299">
        <v>346</v>
      </c>
      <c r="K97" s="302">
        <f>+J97/G97</f>
        <v>115.33333333333333</v>
      </c>
      <c r="L97" s="163">
        <f>+I97/J97</f>
        <v>4.933526011560693</v>
      </c>
      <c r="M97" s="298">
        <f>173290.5+101994+52183.5+11344+1707</f>
        <v>340519</v>
      </c>
      <c r="N97" s="299">
        <f>23989+15166+8100+1911+346</f>
        <v>49512</v>
      </c>
      <c r="O97" s="104">
        <f>+M97/N97</f>
        <v>6.877504443367265</v>
      </c>
      <c r="P97" s="283"/>
    </row>
    <row r="98" spans="1:16" ht="15">
      <c r="A98" s="66">
        <v>96</v>
      </c>
      <c r="B98" s="49" t="s">
        <v>41</v>
      </c>
      <c r="C98" s="40">
        <v>39752</v>
      </c>
      <c r="D98" s="45" t="s">
        <v>137</v>
      </c>
      <c r="E98" s="44" t="s">
        <v>1</v>
      </c>
      <c r="F98" s="41">
        <v>1</v>
      </c>
      <c r="G98" s="41">
        <v>1</v>
      </c>
      <c r="H98" s="41">
        <v>6</v>
      </c>
      <c r="I98" s="160">
        <v>1590</v>
      </c>
      <c r="J98" s="161">
        <v>189</v>
      </c>
      <c r="K98" s="168">
        <f>(J98/G98)</f>
        <v>189</v>
      </c>
      <c r="L98" s="169">
        <f>I98/J98</f>
        <v>8.412698412698413</v>
      </c>
      <c r="M98" s="160">
        <f>5026+4844+3356+2376+712+1590</f>
        <v>17904</v>
      </c>
      <c r="N98" s="161">
        <f>591+575+394+594+178+189</f>
        <v>2521</v>
      </c>
      <c r="O98" s="105">
        <f>M98/N98</f>
        <v>7.101943673145577</v>
      </c>
      <c r="P98" s="258">
        <v>1</v>
      </c>
    </row>
    <row r="99" spans="1:16" ht="15">
      <c r="A99" s="66">
        <v>97</v>
      </c>
      <c r="B99" s="53" t="s">
        <v>144</v>
      </c>
      <c r="C99" s="39">
        <v>39780</v>
      </c>
      <c r="D99" s="132" t="s">
        <v>80</v>
      </c>
      <c r="E99" s="132" t="s">
        <v>49</v>
      </c>
      <c r="F99" s="50">
        <v>3</v>
      </c>
      <c r="G99" s="50">
        <v>3</v>
      </c>
      <c r="H99" s="50">
        <v>7</v>
      </c>
      <c r="I99" s="314">
        <v>1556</v>
      </c>
      <c r="J99" s="315">
        <v>247</v>
      </c>
      <c r="K99" s="302">
        <f>IF(I99&lt;&gt;0,J99/G99,"")</f>
        <v>82.33333333333333</v>
      </c>
      <c r="L99" s="225">
        <f>IF(I99&lt;&gt;0,I99/J99,"")</f>
        <v>6.299595141700405</v>
      </c>
      <c r="M99" s="314">
        <v>46731.5</v>
      </c>
      <c r="N99" s="315">
        <v>4603</v>
      </c>
      <c r="O99" s="104">
        <f>IF(M99&lt;&gt;0,M99/N99,"")</f>
        <v>10.152400608298935</v>
      </c>
      <c r="P99" s="283">
        <v>1</v>
      </c>
    </row>
    <row r="100" spans="1:16" ht="15">
      <c r="A100" s="66">
        <v>98</v>
      </c>
      <c r="B100" s="49" t="s">
        <v>46</v>
      </c>
      <c r="C100" s="40">
        <v>39780</v>
      </c>
      <c r="D100" s="45" t="s">
        <v>137</v>
      </c>
      <c r="E100" s="44" t="s">
        <v>79</v>
      </c>
      <c r="F100" s="41">
        <v>61</v>
      </c>
      <c r="G100" s="41">
        <v>2</v>
      </c>
      <c r="H100" s="41">
        <v>8</v>
      </c>
      <c r="I100" s="160">
        <v>1470</v>
      </c>
      <c r="J100" s="161">
        <v>224</v>
      </c>
      <c r="K100" s="168">
        <f>(J100/G100)</f>
        <v>112</v>
      </c>
      <c r="L100" s="169">
        <f>I100/J100</f>
        <v>6.5625</v>
      </c>
      <c r="M100" s="160">
        <f>499000.5+313125.5+89561.5+27980+2002.5+4772+1387+1470</f>
        <v>939299</v>
      </c>
      <c r="N100" s="161">
        <f>48458+27725+9315+4737+330+944+309+224</f>
        <v>92042</v>
      </c>
      <c r="O100" s="105">
        <f>M100/N100</f>
        <v>10.205112883248951</v>
      </c>
      <c r="P100" s="258"/>
    </row>
    <row r="101" spans="1:16" ht="15">
      <c r="A101" s="66">
        <v>99</v>
      </c>
      <c r="B101" s="242" t="s">
        <v>69</v>
      </c>
      <c r="C101" s="226">
        <v>39759</v>
      </c>
      <c r="D101" s="227" t="s">
        <v>139</v>
      </c>
      <c r="E101" s="227" t="s">
        <v>31</v>
      </c>
      <c r="F101" s="228">
        <v>40</v>
      </c>
      <c r="G101" s="228">
        <v>3</v>
      </c>
      <c r="H101" s="228">
        <v>10</v>
      </c>
      <c r="I101" s="231">
        <v>1450</v>
      </c>
      <c r="J101" s="233">
        <v>318</v>
      </c>
      <c r="K101" s="229">
        <f>IF(I101&lt;&gt;0,J101/G101,"")</f>
        <v>106</v>
      </c>
      <c r="L101" s="230">
        <f>IF(I101&lt;&gt;0,I101/J101,"")</f>
        <v>4.559748427672956</v>
      </c>
      <c r="M101" s="231">
        <f>84918+52341+11404+7823+3207+2014+937+2034+556+1450</f>
        <v>166684</v>
      </c>
      <c r="N101" s="232">
        <f>10694+7043+2046+1560+538+345+174+389+77+318</f>
        <v>23184</v>
      </c>
      <c r="O101" s="247">
        <f>IF(M101&lt;&gt;0,M101/N101,"")</f>
        <v>7.1896135265700485</v>
      </c>
      <c r="P101" s="283">
        <v>1</v>
      </c>
    </row>
    <row r="102" spans="1:16" ht="15">
      <c r="A102" s="66">
        <v>100</v>
      </c>
      <c r="B102" s="49" t="s">
        <v>17</v>
      </c>
      <c r="C102" s="40">
        <v>39717</v>
      </c>
      <c r="D102" s="45" t="s">
        <v>137</v>
      </c>
      <c r="E102" s="44" t="s">
        <v>18</v>
      </c>
      <c r="F102" s="41">
        <v>113</v>
      </c>
      <c r="G102" s="41">
        <v>1</v>
      </c>
      <c r="H102" s="41">
        <v>10</v>
      </c>
      <c r="I102" s="160">
        <v>1424</v>
      </c>
      <c r="J102" s="161">
        <v>356</v>
      </c>
      <c r="K102" s="168">
        <f>(J102/G102)</f>
        <v>356</v>
      </c>
      <c r="L102" s="169">
        <f>I102/J102</f>
        <v>4</v>
      </c>
      <c r="M102" s="160">
        <f>632132.5+337048.5+126471+47854+18242+7477+2804+4752+7760+1424</f>
        <v>1185965</v>
      </c>
      <c r="N102" s="161">
        <f>68536+38225+16179+8425+3627+1827+662+1188+1940+356</f>
        <v>140965</v>
      </c>
      <c r="O102" s="105">
        <f>M102/N102</f>
        <v>8.4131876706984</v>
      </c>
      <c r="P102" s="283">
        <v>1</v>
      </c>
    </row>
    <row r="103" spans="1:16" ht="15">
      <c r="A103" s="66">
        <v>101</v>
      </c>
      <c r="B103" s="244" t="s">
        <v>46</v>
      </c>
      <c r="C103" s="239">
        <v>39780</v>
      </c>
      <c r="D103" s="227" t="s">
        <v>137</v>
      </c>
      <c r="E103" s="237" t="s">
        <v>79</v>
      </c>
      <c r="F103" s="238">
        <v>61</v>
      </c>
      <c r="G103" s="238">
        <v>3</v>
      </c>
      <c r="H103" s="238">
        <v>7</v>
      </c>
      <c r="I103" s="235">
        <v>1387</v>
      </c>
      <c r="J103" s="236">
        <v>309</v>
      </c>
      <c r="K103" s="233">
        <f>(J103/G103)</f>
        <v>103</v>
      </c>
      <c r="L103" s="234">
        <f>I103/J103</f>
        <v>4.488673139158576</v>
      </c>
      <c r="M103" s="235">
        <f>499000.5+313125.5+89561.5+27980+2002.5+4772+1387</f>
        <v>937829</v>
      </c>
      <c r="N103" s="236">
        <f>48458+27725+9315+4737+330+944+309</f>
        <v>91818</v>
      </c>
      <c r="O103" s="243">
        <f>M103/N103</f>
        <v>10.213999433662245</v>
      </c>
      <c r="P103" s="128">
        <v>1</v>
      </c>
    </row>
    <row r="104" spans="1:16" ht="15">
      <c r="A104" s="66">
        <v>102</v>
      </c>
      <c r="B104" s="327" t="s">
        <v>46</v>
      </c>
      <c r="C104" s="40">
        <v>39780</v>
      </c>
      <c r="D104" s="132" t="s">
        <v>137</v>
      </c>
      <c r="E104" s="292" t="s">
        <v>79</v>
      </c>
      <c r="F104" s="293">
        <v>61</v>
      </c>
      <c r="G104" s="293">
        <v>2</v>
      </c>
      <c r="H104" s="293">
        <v>9</v>
      </c>
      <c r="I104" s="307">
        <v>1387</v>
      </c>
      <c r="J104" s="308">
        <v>175</v>
      </c>
      <c r="K104" s="306">
        <f>(J104/G104)</f>
        <v>87.5</v>
      </c>
      <c r="L104" s="169">
        <f>I104/J104</f>
        <v>7.925714285714286</v>
      </c>
      <c r="M104" s="307">
        <f>499000.5+313125.5+89561.5+27980+2002.5+4772+1387+1470+1387</f>
        <v>940686</v>
      </c>
      <c r="N104" s="308">
        <f>48458+27725+9315+4737+330+944+309+224+175</f>
        <v>92217</v>
      </c>
      <c r="O104" s="105">
        <f>M104/N104</f>
        <v>10.20078727349621</v>
      </c>
      <c r="P104" s="258"/>
    </row>
    <row r="105" spans="1:16" ht="15">
      <c r="A105" s="66">
        <v>103</v>
      </c>
      <c r="B105" s="48" t="s">
        <v>42</v>
      </c>
      <c r="C105" s="39">
        <v>39745</v>
      </c>
      <c r="D105" s="43" t="s">
        <v>133</v>
      </c>
      <c r="E105" s="42" t="s">
        <v>35</v>
      </c>
      <c r="F105" s="54">
        <v>202</v>
      </c>
      <c r="G105" s="54">
        <v>1</v>
      </c>
      <c r="H105" s="54">
        <v>12</v>
      </c>
      <c r="I105" s="160">
        <v>1334</v>
      </c>
      <c r="J105" s="161">
        <v>265</v>
      </c>
      <c r="K105" s="168">
        <f>J105/G105</f>
        <v>265</v>
      </c>
      <c r="L105" s="169">
        <f>I105/J105</f>
        <v>5.033962264150944</v>
      </c>
      <c r="M105" s="160">
        <f>2979211+551475+289248+35506+23768+5044+549+3932+1192+2189+1334</f>
        <v>3893448</v>
      </c>
      <c r="N105" s="161">
        <f>374252+72341+40702+5164+4326+1290+108+783+296+433+265</f>
        <v>499960</v>
      </c>
      <c r="O105" s="105">
        <f>+M105/N105</f>
        <v>7.787519001520121</v>
      </c>
      <c r="P105" s="128"/>
    </row>
    <row r="106" spans="1:16" ht="15">
      <c r="A106" s="66">
        <v>104</v>
      </c>
      <c r="B106" s="53" t="s">
        <v>57</v>
      </c>
      <c r="C106" s="39">
        <v>39745</v>
      </c>
      <c r="D106" s="132" t="s">
        <v>139</v>
      </c>
      <c r="E106" s="132" t="s">
        <v>47</v>
      </c>
      <c r="F106" s="50">
        <v>104</v>
      </c>
      <c r="G106" s="50">
        <v>3</v>
      </c>
      <c r="H106" s="50">
        <v>14</v>
      </c>
      <c r="I106" s="303">
        <v>1323</v>
      </c>
      <c r="J106" s="306">
        <v>195</v>
      </c>
      <c r="K106" s="302">
        <f>IF(I106&lt;&gt;0,J106/G106,"")</f>
        <v>65</v>
      </c>
      <c r="L106" s="163">
        <f>IF(I106&lt;&gt;0,I106/J106,"")</f>
        <v>6.7846153846153845</v>
      </c>
      <c r="M106" s="303">
        <f>821522+622841.5+494230+434015.5+185757.5+145248.5+16130+16159+2033+6489+4346+3565+2540+1323</f>
        <v>2756200</v>
      </c>
      <c r="N106" s="299">
        <f>99216+78381+65128+58419+30420+24530+3077+3918+431+1704+1003+785+507+195</f>
        <v>367714</v>
      </c>
      <c r="O106" s="104">
        <f>IF(M106&lt;&gt;0,M106/N106,"")</f>
        <v>7.495499219502113</v>
      </c>
      <c r="P106" s="283">
        <v>1</v>
      </c>
    </row>
    <row r="107" spans="1:16" ht="15">
      <c r="A107" s="66">
        <v>105</v>
      </c>
      <c r="B107" s="327" t="s">
        <v>58</v>
      </c>
      <c r="C107" s="40">
        <v>39745</v>
      </c>
      <c r="D107" s="292" t="s">
        <v>134</v>
      </c>
      <c r="E107" s="292" t="s">
        <v>170</v>
      </c>
      <c r="F107" s="293">
        <v>57</v>
      </c>
      <c r="G107" s="293">
        <v>3</v>
      </c>
      <c r="H107" s="293">
        <v>14</v>
      </c>
      <c r="I107" s="298">
        <v>1302</v>
      </c>
      <c r="J107" s="299">
        <v>805</v>
      </c>
      <c r="K107" s="299">
        <f>J107/G107</f>
        <v>268.3333333333333</v>
      </c>
      <c r="L107" s="166">
        <f>+I107/J107</f>
        <v>1.617391304347826</v>
      </c>
      <c r="M107" s="298">
        <v>1170552</v>
      </c>
      <c r="N107" s="299">
        <v>126937</v>
      </c>
      <c r="O107" s="103">
        <f>+M107/N107</f>
        <v>9.221519336363707</v>
      </c>
      <c r="P107" s="258">
        <v>1</v>
      </c>
    </row>
    <row r="108" spans="1:16" ht="15">
      <c r="A108" s="66">
        <v>106</v>
      </c>
      <c r="B108" s="48" t="s">
        <v>63</v>
      </c>
      <c r="C108" s="39">
        <v>39689</v>
      </c>
      <c r="D108" s="43" t="s">
        <v>133</v>
      </c>
      <c r="E108" s="42" t="s">
        <v>64</v>
      </c>
      <c r="F108" s="54">
        <v>100</v>
      </c>
      <c r="G108" s="54">
        <v>2</v>
      </c>
      <c r="H108" s="54">
        <v>11</v>
      </c>
      <c r="I108" s="160">
        <v>1278</v>
      </c>
      <c r="J108" s="161">
        <v>206</v>
      </c>
      <c r="K108" s="168">
        <f>J108/G108</f>
        <v>103</v>
      </c>
      <c r="L108" s="169">
        <f>I108/J108</f>
        <v>6.203883495145631</v>
      </c>
      <c r="M108" s="160">
        <f>17818+1364876+864151+384239+240974+16635+2871+5064-50+5187+276+2654+1278</f>
        <v>2905973</v>
      </c>
      <c r="N108" s="161">
        <f>1487+139515+89937+39711+26370+2302+499+787-9+1471+55+1243+206</f>
        <v>303574</v>
      </c>
      <c r="O108" s="105">
        <f>+M108/N108</f>
        <v>9.572535856166866</v>
      </c>
      <c r="P108" s="283">
        <v>1</v>
      </c>
    </row>
    <row r="109" spans="1:16" ht="15">
      <c r="A109" s="66">
        <v>107</v>
      </c>
      <c r="B109" s="53" t="s">
        <v>42</v>
      </c>
      <c r="C109" s="39">
        <v>39745</v>
      </c>
      <c r="D109" s="132" t="s">
        <v>133</v>
      </c>
      <c r="E109" s="132" t="s">
        <v>35</v>
      </c>
      <c r="F109" s="50">
        <v>202</v>
      </c>
      <c r="G109" s="50">
        <v>1</v>
      </c>
      <c r="H109" s="50">
        <v>13</v>
      </c>
      <c r="I109" s="307">
        <v>1224</v>
      </c>
      <c r="J109" s="308">
        <v>296</v>
      </c>
      <c r="K109" s="306">
        <f>J109/G109</f>
        <v>296</v>
      </c>
      <c r="L109" s="169">
        <f>I109/J109</f>
        <v>4.135135135135135</v>
      </c>
      <c r="M109" s="307">
        <f>2979211+551475+289248+35506+23768+5044+549+3932+1192+2189+1334+1224</f>
        <v>3894672</v>
      </c>
      <c r="N109" s="308">
        <f>374252+72341+40702+5164+4326+1290+108+783+296+433+265+296</f>
        <v>500256</v>
      </c>
      <c r="O109" s="105">
        <f>+M109/N109</f>
        <v>7.78535789675686</v>
      </c>
      <c r="P109" s="283">
        <v>1</v>
      </c>
    </row>
    <row r="110" spans="1:16" ht="15">
      <c r="A110" s="66">
        <v>108</v>
      </c>
      <c r="B110" s="48" t="s">
        <v>42</v>
      </c>
      <c r="C110" s="39">
        <v>39745</v>
      </c>
      <c r="D110" s="43" t="s">
        <v>133</v>
      </c>
      <c r="E110" s="42" t="s">
        <v>35</v>
      </c>
      <c r="F110" s="54">
        <v>202</v>
      </c>
      <c r="G110" s="54">
        <v>1</v>
      </c>
      <c r="H110" s="54">
        <v>10</v>
      </c>
      <c r="I110" s="160">
        <v>1192</v>
      </c>
      <c r="J110" s="161">
        <v>296</v>
      </c>
      <c r="K110" s="168">
        <f>J110/G110</f>
        <v>296</v>
      </c>
      <c r="L110" s="169">
        <f>I110/J110</f>
        <v>4.027027027027027</v>
      </c>
      <c r="M110" s="160">
        <f>2979211+551475+289248+35506+23768+5044+549+3932+1192</f>
        <v>3889925</v>
      </c>
      <c r="N110" s="161">
        <f>374252+72341+40702+5164+4326+1290+108+783+296</f>
        <v>499262</v>
      </c>
      <c r="O110" s="105">
        <f>+M110/N110</f>
        <v>7.791350032648189</v>
      </c>
      <c r="P110" s="283"/>
    </row>
    <row r="111" spans="1:16" ht="15">
      <c r="A111" s="66">
        <v>109</v>
      </c>
      <c r="B111" s="53" t="s">
        <v>59</v>
      </c>
      <c r="C111" s="39">
        <v>39745</v>
      </c>
      <c r="D111" s="45" t="s">
        <v>4</v>
      </c>
      <c r="E111" s="45" t="s">
        <v>60</v>
      </c>
      <c r="F111" s="50">
        <v>72</v>
      </c>
      <c r="G111" s="50">
        <v>3</v>
      </c>
      <c r="H111" s="50">
        <v>11</v>
      </c>
      <c r="I111" s="160">
        <v>1146</v>
      </c>
      <c r="J111" s="161">
        <v>178</v>
      </c>
      <c r="K111" s="162">
        <f>+J111/G111</f>
        <v>59.333333333333336</v>
      </c>
      <c r="L111" s="163">
        <f>+I111/J111</f>
        <v>6.438202247191011</v>
      </c>
      <c r="M111" s="160">
        <v>1284354</v>
      </c>
      <c r="N111" s="161">
        <v>145282</v>
      </c>
      <c r="O111" s="104">
        <f>+M111/N111</f>
        <v>8.840420699054253</v>
      </c>
      <c r="P111" s="128"/>
    </row>
    <row r="112" spans="1:16" ht="15">
      <c r="A112" s="66">
        <v>110</v>
      </c>
      <c r="B112" s="49" t="s">
        <v>48</v>
      </c>
      <c r="C112" s="40">
        <v>39780</v>
      </c>
      <c r="D112" s="45" t="s">
        <v>137</v>
      </c>
      <c r="E112" s="44" t="s">
        <v>33</v>
      </c>
      <c r="F112" s="41">
        <v>6</v>
      </c>
      <c r="G112" s="41">
        <v>2</v>
      </c>
      <c r="H112" s="41">
        <v>6</v>
      </c>
      <c r="I112" s="160">
        <v>997</v>
      </c>
      <c r="J112" s="161">
        <v>230</v>
      </c>
      <c r="K112" s="168">
        <f>(J112/G112)</f>
        <v>115</v>
      </c>
      <c r="L112" s="169">
        <f>I112/J112</f>
        <v>4.334782608695652</v>
      </c>
      <c r="M112" s="160">
        <f>25457+3030+1123+7370+430+997</f>
        <v>38407</v>
      </c>
      <c r="N112" s="161">
        <f>2151+404+165+1079+59+230</f>
        <v>4088</v>
      </c>
      <c r="O112" s="105">
        <f>M112/N112</f>
        <v>9.395058708414872</v>
      </c>
      <c r="P112" s="283"/>
    </row>
    <row r="113" spans="1:16" ht="15">
      <c r="A113" s="66">
        <v>111</v>
      </c>
      <c r="B113" s="49" t="s">
        <v>53</v>
      </c>
      <c r="C113" s="40">
        <v>39738</v>
      </c>
      <c r="D113" s="45" t="s">
        <v>137</v>
      </c>
      <c r="E113" s="44" t="s">
        <v>136</v>
      </c>
      <c r="F113" s="41">
        <v>65</v>
      </c>
      <c r="G113" s="41">
        <v>4</v>
      </c>
      <c r="H113" s="41">
        <v>11</v>
      </c>
      <c r="I113" s="160">
        <v>891</v>
      </c>
      <c r="J113" s="161">
        <v>149</v>
      </c>
      <c r="K113" s="168">
        <f>(J113/G113)</f>
        <v>37.25</v>
      </c>
      <c r="L113" s="169">
        <f>I113/J113</f>
        <v>5.97986577181208</v>
      </c>
      <c r="M113" s="160">
        <f>502954.7+385847+127398.5+41644+35371+15703.5+9494+704+1120.5+952+891</f>
        <v>1122080.2</v>
      </c>
      <c r="N113" s="161">
        <f>51438+39611+14487+7156+6343+2488+1591+176+567+238+149</f>
        <v>124244</v>
      </c>
      <c r="O113" s="105">
        <f>M113/N113</f>
        <v>9.03126267666849</v>
      </c>
      <c r="P113" s="258">
        <v>1</v>
      </c>
    </row>
    <row r="114" spans="1:16" ht="15">
      <c r="A114" s="66">
        <v>112</v>
      </c>
      <c r="B114" s="329" t="s">
        <v>48</v>
      </c>
      <c r="C114" s="40">
        <v>39780</v>
      </c>
      <c r="D114" s="132" t="s">
        <v>137</v>
      </c>
      <c r="E114" s="292" t="s">
        <v>33</v>
      </c>
      <c r="F114" s="293">
        <v>6</v>
      </c>
      <c r="G114" s="293">
        <v>2</v>
      </c>
      <c r="H114" s="293">
        <v>8</v>
      </c>
      <c r="I114" s="307">
        <v>886</v>
      </c>
      <c r="J114" s="308">
        <v>213</v>
      </c>
      <c r="K114" s="306">
        <f>(J114/G114)</f>
        <v>106.5</v>
      </c>
      <c r="L114" s="169">
        <f>I114/J114</f>
        <v>4.15962441314554</v>
      </c>
      <c r="M114" s="307">
        <f>25457+3030+1123+7370+430+997+6202+886</f>
        <v>45495</v>
      </c>
      <c r="N114" s="308">
        <f>2151+404+165+1079+59+230+1523+213</f>
        <v>5824</v>
      </c>
      <c r="O114" s="105">
        <f>M114/N114</f>
        <v>7.811641483516484</v>
      </c>
      <c r="P114" s="283"/>
    </row>
    <row r="115" spans="1:16" ht="15">
      <c r="A115" s="66">
        <v>113</v>
      </c>
      <c r="B115" s="329" t="s">
        <v>74</v>
      </c>
      <c r="C115" s="40">
        <v>39772</v>
      </c>
      <c r="D115" s="132" t="s">
        <v>137</v>
      </c>
      <c r="E115" s="292" t="s">
        <v>108</v>
      </c>
      <c r="F115" s="293">
        <v>195</v>
      </c>
      <c r="G115" s="293">
        <v>2</v>
      </c>
      <c r="H115" s="293">
        <v>10</v>
      </c>
      <c r="I115" s="307">
        <v>882</v>
      </c>
      <c r="J115" s="308">
        <v>202</v>
      </c>
      <c r="K115" s="306">
        <f>(J115/G115)</f>
        <v>101</v>
      </c>
      <c r="L115" s="169">
        <f>I115/J115</f>
        <v>4.366336633663367</v>
      </c>
      <c r="M115" s="307">
        <f>1011017+512350.5+217314+64545+38656.5+8087+9376.5+5786+2876+882</f>
        <v>1870890.5</v>
      </c>
      <c r="N115" s="308">
        <f>136878+68007+31396+9807+8372+1564+2234+1216+601+202</f>
        <v>260277</v>
      </c>
      <c r="O115" s="105">
        <f>M115/N115</f>
        <v>7.188074628184588</v>
      </c>
      <c r="P115" s="258"/>
    </row>
    <row r="116" spans="1:16" ht="15">
      <c r="A116" s="66">
        <v>114</v>
      </c>
      <c r="B116" s="48" t="s">
        <v>56</v>
      </c>
      <c r="C116" s="39">
        <v>39750</v>
      </c>
      <c r="D116" s="43" t="s">
        <v>133</v>
      </c>
      <c r="E116" s="42" t="s">
        <v>30</v>
      </c>
      <c r="F116" s="54">
        <v>198</v>
      </c>
      <c r="G116" s="54">
        <v>2</v>
      </c>
      <c r="H116" s="54">
        <v>13</v>
      </c>
      <c r="I116" s="160">
        <v>864</v>
      </c>
      <c r="J116" s="161">
        <v>322</v>
      </c>
      <c r="K116" s="168">
        <f aca="true" t="shared" si="7" ref="K116:K121">J116/G116</f>
        <v>161</v>
      </c>
      <c r="L116" s="169">
        <f>I116/J116</f>
        <v>2.6832298136645965</v>
      </c>
      <c r="M116" s="160">
        <f>4975832+1882135+1034271+412191+151618-1635+10999+12408+14293+6423+2375+2787+864</f>
        <v>8504561</v>
      </c>
      <c r="N116" s="161">
        <f>642956+245951+129523+51207+21082-161+1623+2391+2711+1404+495+717+322</f>
        <v>1100221</v>
      </c>
      <c r="O116" s="105">
        <f aca="true" t="shared" si="8" ref="O116:O121">+M116/N116</f>
        <v>7.729866090539992</v>
      </c>
      <c r="P116" s="283"/>
    </row>
    <row r="117" spans="1:16" ht="15">
      <c r="A117" s="66">
        <v>115</v>
      </c>
      <c r="B117" s="49" t="s">
        <v>43</v>
      </c>
      <c r="C117" s="40">
        <v>39640</v>
      </c>
      <c r="D117" s="65" t="s">
        <v>134</v>
      </c>
      <c r="E117" s="65" t="s">
        <v>44</v>
      </c>
      <c r="F117" s="41">
        <v>137</v>
      </c>
      <c r="G117" s="41">
        <v>1</v>
      </c>
      <c r="H117" s="41">
        <v>25</v>
      </c>
      <c r="I117" s="164">
        <v>805</v>
      </c>
      <c r="J117" s="165">
        <v>350</v>
      </c>
      <c r="K117" s="165">
        <f t="shared" si="7"/>
        <v>350</v>
      </c>
      <c r="L117" s="166">
        <f>+I117/J117</f>
        <v>2.3</v>
      </c>
      <c r="M117" s="164">
        <v>1629170</v>
      </c>
      <c r="N117" s="165">
        <v>217304</v>
      </c>
      <c r="O117" s="103">
        <f t="shared" si="8"/>
        <v>7.497192872657659</v>
      </c>
      <c r="P117" s="283"/>
    </row>
    <row r="118" spans="1:16" ht="15">
      <c r="A118" s="66">
        <v>116</v>
      </c>
      <c r="B118" s="49" t="s">
        <v>58</v>
      </c>
      <c r="C118" s="40">
        <v>39745</v>
      </c>
      <c r="D118" s="65" t="s">
        <v>134</v>
      </c>
      <c r="E118" s="65" t="s">
        <v>32</v>
      </c>
      <c r="F118" s="41">
        <v>57</v>
      </c>
      <c r="G118" s="41">
        <v>1</v>
      </c>
      <c r="H118" s="41">
        <v>11</v>
      </c>
      <c r="I118" s="164">
        <v>801</v>
      </c>
      <c r="J118" s="165">
        <v>157</v>
      </c>
      <c r="K118" s="165">
        <f t="shared" si="7"/>
        <v>157</v>
      </c>
      <c r="L118" s="166">
        <f>+I118/J118</f>
        <v>5.101910828025478</v>
      </c>
      <c r="M118" s="164">
        <v>1167434</v>
      </c>
      <c r="N118" s="165">
        <v>125785</v>
      </c>
      <c r="O118" s="103">
        <f t="shared" si="8"/>
        <v>9.281186150971896</v>
      </c>
      <c r="P118" s="128"/>
    </row>
    <row r="119" spans="1:16" ht="15">
      <c r="A119" s="66">
        <v>117</v>
      </c>
      <c r="B119" s="242" t="s">
        <v>93</v>
      </c>
      <c r="C119" s="226">
        <v>36413</v>
      </c>
      <c r="D119" s="227" t="s">
        <v>94</v>
      </c>
      <c r="E119" s="227" t="s">
        <v>95</v>
      </c>
      <c r="F119" s="228">
        <v>6</v>
      </c>
      <c r="G119" s="228">
        <v>1</v>
      </c>
      <c r="H119" s="228">
        <v>24</v>
      </c>
      <c r="I119" s="235">
        <v>712</v>
      </c>
      <c r="J119" s="236">
        <v>178</v>
      </c>
      <c r="K119" s="233">
        <f t="shared" si="7"/>
        <v>178</v>
      </c>
      <c r="L119" s="234">
        <f>I119/J119</f>
        <v>4</v>
      </c>
      <c r="M119" s="235">
        <v>39786.6</v>
      </c>
      <c r="N119" s="236">
        <v>21271</v>
      </c>
      <c r="O119" s="243">
        <f t="shared" si="8"/>
        <v>1.8704621315405952</v>
      </c>
      <c r="P119" s="128">
        <v>1</v>
      </c>
    </row>
    <row r="120" spans="1:16" ht="15">
      <c r="A120" s="66">
        <v>118</v>
      </c>
      <c r="B120" s="244">
        <v>120</v>
      </c>
      <c r="C120" s="239">
        <v>39493</v>
      </c>
      <c r="D120" s="237" t="s">
        <v>135</v>
      </c>
      <c r="E120" s="237" t="s">
        <v>96</v>
      </c>
      <c r="F120" s="238">
        <v>179</v>
      </c>
      <c r="G120" s="238">
        <v>1</v>
      </c>
      <c r="H120" s="238">
        <v>38</v>
      </c>
      <c r="I120" s="241">
        <v>666</v>
      </c>
      <c r="J120" s="232">
        <v>222</v>
      </c>
      <c r="K120" s="233">
        <f t="shared" si="7"/>
        <v>222</v>
      </c>
      <c r="L120" s="234">
        <f>I120/J120</f>
        <v>3</v>
      </c>
      <c r="M120" s="241">
        <f>940515+844172.5+750489+533469+396399.5+362067.5+228159+211115.5+153941.5+48+73076.5+60280+47290.5+46690+13789+13717.5+9809+2709.5+1288.5+22597.5+10821.5+12218+7313+44774.5+111294+3629+0.5+41599.5+20470.5+5217-3719.5+10067+1376+10253+13391+15635+48+500+2820+500+666</f>
        <v>5020498.5</v>
      </c>
      <c r="N120" s="232">
        <f>135921+127724+124508+97493+101422+99063+62455+57586+44490+6+19837+19877+15923+15427+4822+4847+3310+822+280+7405+3528+4050+2428+14923+37098+1709+6180+3303+3114+328+3418+4411+5191+12+100+806+100+222</f>
        <v>1034139</v>
      </c>
      <c r="O120" s="243">
        <f t="shared" si="8"/>
        <v>4.854761787341934</v>
      </c>
      <c r="P120" s="128"/>
    </row>
    <row r="121" spans="1:16" ht="15">
      <c r="A121" s="66">
        <v>119</v>
      </c>
      <c r="B121" s="242" t="s">
        <v>152</v>
      </c>
      <c r="C121" s="226">
        <v>39801</v>
      </c>
      <c r="D121" s="227" t="s">
        <v>4</v>
      </c>
      <c r="E121" s="227" t="s">
        <v>78</v>
      </c>
      <c r="F121" s="228">
        <v>19</v>
      </c>
      <c r="G121" s="228">
        <v>4</v>
      </c>
      <c r="H121" s="228">
        <v>4</v>
      </c>
      <c r="I121" s="235">
        <v>661</v>
      </c>
      <c r="J121" s="236">
        <v>120</v>
      </c>
      <c r="K121" s="233">
        <f t="shared" si="7"/>
        <v>30</v>
      </c>
      <c r="L121" s="234">
        <f>I121/J121</f>
        <v>5.508333333333334</v>
      </c>
      <c r="M121" s="235">
        <v>137299</v>
      </c>
      <c r="N121" s="236">
        <v>12776</v>
      </c>
      <c r="O121" s="243">
        <f t="shared" si="8"/>
        <v>10.746634314339387</v>
      </c>
      <c r="P121" s="128"/>
    </row>
    <row r="122" spans="1:16" ht="15">
      <c r="A122" s="66">
        <v>120</v>
      </c>
      <c r="B122" s="49" t="s">
        <v>19</v>
      </c>
      <c r="C122" s="40">
        <v>39731</v>
      </c>
      <c r="D122" s="45" t="s">
        <v>137</v>
      </c>
      <c r="E122" s="44" t="s">
        <v>35</v>
      </c>
      <c r="F122" s="41">
        <v>37</v>
      </c>
      <c r="G122" s="41">
        <v>1</v>
      </c>
      <c r="H122" s="41">
        <v>12</v>
      </c>
      <c r="I122" s="160">
        <v>594.5</v>
      </c>
      <c r="J122" s="161">
        <v>146</v>
      </c>
      <c r="K122" s="168">
        <f>(J122/G122)</f>
        <v>146</v>
      </c>
      <c r="L122" s="169">
        <f>I122/J122</f>
        <v>4.071917808219178</v>
      </c>
      <c r="M122" s="160">
        <f>129467.5+88890.1+34771+30141+12902+22737.5+2404+24305+405+301+3764.5+594.5</f>
        <v>350683.1</v>
      </c>
      <c r="N122" s="161">
        <f>14410+10160+4854+5433+2399+3960+492+3729+81+64+566+146</f>
        <v>46294</v>
      </c>
      <c r="O122" s="105">
        <f>M122/N122</f>
        <v>7.575130686482049</v>
      </c>
      <c r="P122" s="283">
        <v>1</v>
      </c>
    </row>
    <row r="123" spans="1:16" ht="15">
      <c r="A123" s="66">
        <v>121</v>
      </c>
      <c r="B123" s="244" t="s">
        <v>50</v>
      </c>
      <c r="C123" s="239">
        <v>39710</v>
      </c>
      <c r="D123" s="237" t="s">
        <v>110</v>
      </c>
      <c r="E123" s="237" t="s">
        <v>110</v>
      </c>
      <c r="F123" s="238">
        <v>66</v>
      </c>
      <c r="G123" s="238">
        <v>2</v>
      </c>
      <c r="H123" s="238">
        <v>17</v>
      </c>
      <c r="I123" s="241">
        <v>573.5</v>
      </c>
      <c r="J123" s="232">
        <v>137</v>
      </c>
      <c r="K123" s="233">
        <f>J123/G123</f>
        <v>68.5</v>
      </c>
      <c r="L123" s="234">
        <f>I123/J123</f>
        <v>4.186131386861314</v>
      </c>
      <c r="M123" s="241">
        <f>152576+127511+68854.5+21974+10111.5+7103+7290+0.5+1014+3149+989+3524+0.5+3768+138+2528+257+351.5+573.5</f>
        <v>411713</v>
      </c>
      <c r="N123" s="232">
        <f>50018+825+47+65+137</f>
        <v>51092</v>
      </c>
      <c r="O123" s="243">
        <f>+M123/N123</f>
        <v>8.058267439129414</v>
      </c>
      <c r="P123" s="128"/>
    </row>
    <row r="124" spans="1:16" ht="15">
      <c r="A124" s="66">
        <v>122</v>
      </c>
      <c r="B124" s="48" t="s">
        <v>69</v>
      </c>
      <c r="C124" s="39">
        <v>39759</v>
      </c>
      <c r="D124" s="42" t="s">
        <v>139</v>
      </c>
      <c r="E124" s="42" t="s">
        <v>31</v>
      </c>
      <c r="F124" s="54">
        <v>40</v>
      </c>
      <c r="G124" s="54">
        <v>1</v>
      </c>
      <c r="H124" s="54">
        <v>9</v>
      </c>
      <c r="I124" s="167">
        <v>556</v>
      </c>
      <c r="J124" s="168">
        <v>77</v>
      </c>
      <c r="K124" s="162">
        <f>IF(I124&lt;&gt;0,J124/G124,"")</f>
        <v>77</v>
      </c>
      <c r="L124" s="163">
        <f>IF(I124&lt;&gt;0,I124/J124,"")</f>
        <v>7.220779220779221</v>
      </c>
      <c r="M124" s="167">
        <f>84918+52341+11404+7823+3207+2014+937+2034+556</f>
        <v>165234</v>
      </c>
      <c r="N124" s="165">
        <f>10694+7043+2046+1560+538+345+174+389+77</f>
        <v>22866</v>
      </c>
      <c r="O124" s="104">
        <f>IF(M124&lt;&gt;0,M124/N124,"")</f>
        <v>7.226187352400944</v>
      </c>
      <c r="P124" s="128">
        <v>1</v>
      </c>
    </row>
    <row r="125" spans="1:16" ht="15">
      <c r="A125" s="66">
        <v>123</v>
      </c>
      <c r="B125" s="53" t="s">
        <v>152</v>
      </c>
      <c r="C125" s="39">
        <v>39801</v>
      </c>
      <c r="D125" s="45" t="s">
        <v>4</v>
      </c>
      <c r="E125" s="45" t="s">
        <v>78</v>
      </c>
      <c r="F125" s="50">
        <v>19</v>
      </c>
      <c r="G125" s="50">
        <v>2</v>
      </c>
      <c r="H125" s="50">
        <v>5</v>
      </c>
      <c r="I125" s="160">
        <v>554</v>
      </c>
      <c r="J125" s="161">
        <v>108</v>
      </c>
      <c r="K125" s="162">
        <f>+J125/G125</f>
        <v>54</v>
      </c>
      <c r="L125" s="163">
        <f>+I125/J125</f>
        <v>5.12962962962963</v>
      </c>
      <c r="M125" s="160">
        <v>137853</v>
      </c>
      <c r="N125" s="161">
        <v>12884</v>
      </c>
      <c r="O125" s="104">
        <f>+M125/N125</f>
        <v>10.699549829245576</v>
      </c>
      <c r="P125" s="258"/>
    </row>
    <row r="126" spans="1:16" ht="15">
      <c r="A126" s="66">
        <v>124</v>
      </c>
      <c r="B126" s="244" t="s">
        <v>54</v>
      </c>
      <c r="C126" s="239">
        <v>39738</v>
      </c>
      <c r="D126" s="227" t="s">
        <v>137</v>
      </c>
      <c r="E126" s="237" t="s">
        <v>55</v>
      </c>
      <c r="F126" s="238">
        <v>67</v>
      </c>
      <c r="G126" s="238">
        <v>5</v>
      </c>
      <c r="H126" s="238">
        <v>13</v>
      </c>
      <c r="I126" s="235">
        <v>545</v>
      </c>
      <c r="J126" s="236">
        <v>127</v>
      </c>
      <c r="K126" s="233">
        <f>(J126/G126)</f>
        <v>25.4</v>
      </c>
      <c r="L126" s="234">
        <f>I126/J126</f>
        <v>4.291338582677166</v>
      </c>
      <c r="M126" s="235">
        <f>167196+176809+54428+37340+38330.5+23467+11581+5867+4382+2577+3552+2137+545</f>
        <v>528211.5</v>
      </c>
      <c r="N126" s="236">
        <f>19168+21164+7719+6215+6404+4964+2339+1306+907+580+859+440+127</f>
        <v>72192</v>
      </c>
      <c r="O126" s="243">
        <f>M126/N126</f>
        <v>7.3167594747340425</v>
      </c>
      <c r="P126" s="258">
        <v>1</v>
      </c>
    </row>
    <row r="127" spans="1:16" ht="15">
      <c r="A127" s="66">
        <v>125</v>
      </c>
      <c r="B127" s="53" t="s">
        <v>83</v>
      </c>
      <c r="C127" s="39">
        <v>39633</v>
      </c>
      <c r="D127" s="45" t="s">
        <v>4</v>
      </c>
      <c r="E127" s="45" t="s">
        <v>78</v>
      </c>
      <c r="F127" s="50">
        <v>28</v>
      </c>
      <c r="G127" s="50">
        <v>1</v>
      </c>
      <c r="H127" s="50">
        <v>27</v>
      </c>
      <c r="I127" s="160">
        <v>475</v>
      </c>
      <c r="J127" s="161">
        <v>95</v>
      </c>
      <c r="K127" s="162">
        <f>+J127/G127</f>
        <v>95</v>
      </c>
      <c r="L127" s="163">
        <f>+I127/J127</f>
        <v>5</v>
      </c>
      <c r="M127" s="160">
        <v>315463</v>
      </c>
      <c r="N127" s="161">
        <v>42108</v>
      </c>
      <c r="O127" s="104">
        <f aca="true" t="shared" si="9" ref="O127:O132">+M127/N127</f>
        <v>7.491759285646433</v>
      </c>
      <c r="P127" s="258"/>
    </row>
    <row r="128" spans="1:16" ht="15">
      <c r="A128" s="66">
        <v>126</v>
      </c>
      <c r="B128" s="245" t="s">
        <v>97</v>
      </c>
      <c r="C128" s="239">
        <v>39717</v>
      </c>
      <c r="D128" s="237" t="s">
        <v>134</v>
      </c>
      <c r="E128" s="237" t="s">
        <v>98</v>
      </c>
      <c r="F128" s="238">
        <v>130</v>
      </c>
      <c r="G128" s="238">
        <v>1</v>
      </c>
      <c r="H128" s="238">
        <v>16</v>
      </c>
      <c r="I128" s="241">
        <v>441</v>
      </c>
      <c r="J128" s="232">
        <v>350</v>
      </c>
      <c r="K128" s="232">
        <f>J128/G128</f>
        <v>350</v>
      </c>
      <c r="L128" s="240">
        <f>+I128/J128</f>
        <v>1.26</v>
      </c>
      <c r="M128" s="241">
        <v>1478708</v>
      </c>
      <c r="N128" s="232">
        <v>170677</v>
      </c>
      <c r="O128" s="246">
        <f t="shared" si="9"/>
        <v>8.663780122687884</v>
      </c>
      <c r="P128" s="283"/>
    </row>
    <row r="129" spans="1:16" ht="15">
      <c r="A129" s="66">
        <v>127</v>
      </c>
      <c r="B129" s="49" t="s">
        <v>84</v>
      </c>
      <c r="C129" s="40">
        <v>39633</v>
      </c>
      <c r="D129" s="65" t="s">
        <v>134</v>
      </c>
      <c r="E129" s="44" t="s">
        <v>130</v>
      </c>
      <c r="F129" s="41">
        <v>123</v>
      </c>
      <c r="G129" s="41">
        <v>1</v>
      </c>
      <c r="H129" s="41">
        <v>24</v>
      </c>
      <c r="I129" s="164">
        <v>441</v>
      </c>
      <c r="J129" s="165">
        <v>350</v>
      </c>
      <c r="K129" s="165">
        <f>J129/G129</f>
        <v>350</v>
      </c>
      <c r="L129" s="166">
        <f>+I129/J129</f>
        <v>1.26</v>
      </c>
      <c r="M129" s="164">
        <v>1541323</v>
      </c>
      <c r="N129" s="165">
        <v>212942</v>
      </c>
      <c r="O129" s="103">
        <f t="shared" si="9"/>
        <v>7.238229189168882</v>
      </c>
      <c r="P129" s="258"/>
    </row>
    <row r="130" spans="1:16" ht="15">
      <c r="A130" s="66">
        <v>128</v>
      </c>
      <c r="B130" s="245" t="s">
        <v>99</v>
      </c>
      <c r="C130" s="239">
        <v>39752</v>
      </c>
      <c r="D130" s="237" t="s">
        <v>134</v>
      </c>
      <c r="E130" s="237" t="s">
        <v>127</v>
      </c>
      <c r="F130" s="238">
        <v>45</v>
      </c>
      <c r="G130" s="238">
        <v>1</v>
      </c>
      <c r="H130" s="238">
        <v>10</v>
      </c>
      <c r="I130" s="241">
        <v>435</v>
      </c>
      <c r="J130" s="232">
        <v>87</v>
      </c>
      <c r="K130" s="232">
        <f>J130/G130</f>
        <v>87</v>
      </c>
      <c r="L130" s="240">
        <f>+I130/J130</f>
        <v>5</v>
      </c>
      <c r="M130" s="241">
        <v>454346</v>
      </c>
      <c r="N130" s="232">
        <v>49344</v>
      </c>
      <c r="O130" s="246">
        <f t="shared" si="9"/>
        <v>9.207725356679637</v>
      </c>
      <c r="P130" s="128">
        <v>1</v>
      </c>
    </row>
    <row r="131" spans="1:16" ht="15">
      <c r="A131" s="66">
        <v>129</v>
      </c>
      <c r="B131" s="48" t="s">
        <v>85</v>
      </c>
      <c r="C131" s="39">
        <v>39738</v>
      </c>
      <c r="D131" s="43" t="s">
        <v>133</v>
      </c>
      <c r="E131" s="42" t="s">
        <v>125</v>
      </c>
      <c r="F131" s="54">
        <v>52</v>
      </c>
      <c r="G131" s="54">
        <v>1</v>
      </c>
      <c r="H131" s="54">
        <v>11</v>
      </c>
      <c r="I131" s="160">
        <v>392</v>
      </c>
      <c r="J131" s="161">
        <v>67</v>
      </c>
      <c r="K131" s="168">
        <f>J131/G131</f>
        <v>67</v>
      </c>
      <c r="L131" s="169">
        <f>I131/J131</f>
        <v>5.850746268656716</v>
      </c>
      <c r="M131" s="160">
        <f>406562+322843+70349+13845+3121+7380+8038+2297+3564+114+392</f>
        <v>838505</v>
      </c>
      <c r="N131" s="161">
        <f>38224+30194+7191+2669+501+1117+1379+703+1188+19+67</f>
        <v>83252</v>
      </c>
      <c r="O131" s="105">
        <f t="shared" si="9"/>
        <v>10.071890164800845</v>
      </c>
      <c r="P131" s="283"/>
    </row>
    <row r="132" spans="1:16" ht="15">
      <c r="A132" s="66">
        <v>130</v>
      </c>
      <c r="B132" s="49" t="s">
        <v>50</v>
      </c>
      <c r="C132" s="40">
        <v>39710</v>
      </c>
      <c r="D132" s="44" t="s">
        <v>110</v>
      </c>
      <c r="E132" s="44" t="s">
        <v>110</v>
      </c>
      <c r="F132" s="41">
        <v>66</v>
      </c>
      <c r="G132" s="41">
        <v>4</v>
      </c>
      <c r="H132" s="41">
        <v>16</v>
      </c>
      <c r="I132" s="164">
        <v>351.5</v>
      </c>
      <c r="J132" s="165">
        <v>65</v>
      </c>
      <c r="K132" s="162">
        <f>+J132/G132</f>
        <v>16.25</v>
      </c>
      <c r="L132" s="163">
        <f>+I132/J132</f>
        <v>5.407692307692308</v>
      </c>
      <c r="M132" s="164">
        <f>152576+127511+68854.5+21974+10111.5+7103+7290+0.5+1014+3149+989+3524+0.5+3768+138+2528+257+351.5</f>
        <v>411139.5</v>
      </c>
      <c r="N132" s="165">
        <f>50018+825+47+65</f>
        <v>50955</v>
      </c>
      <c r="O132" s="104">
        <f t="shared" si="9"/>
        <v>8.068678245510744</v>
      </c>
      <c r="P132" s="258"/>
    </row>
    <row r="133" spans="1:16" ht="15">
      <c r="A133" s="66">
        <v>131</v>
      </c>
      <c r="B133" s="49" t="s">
        <v>20</v>
      </c>
      <c r="C133" s="40">
        <v>39773</v>
      </c>
      <c r="D133" s="44" t="s">
        <v>135</v>
      </c>
      <c r="E133" s="44" t="s">
        <v>21</v>
      </c>
      <c r="F133" s="41">
        <v>10</v>
      </c>
      <c r="G133" s="41">
        <v>2</v>
      </c>
      <c r="H133" s="41">
        <v>5</v>
      </c>
      <c r="I133" s="164">
        <v>344</v>
      </c>
      <c r="J133" s="165">
        <v>61</v>
      </c>
      <c r="K133" s="168">
        <f>(J133/G133)</f>
        <v>30.5</v>
      </c>
      <c r="L133" s="169">
        <f>I133/J133</f>
        <v>5.639344262295082</v>
      </c>
      <c r="M133" s="164">
        <f>43532.5+13875+1400+341+344</f>
        <v>59492.5</v>
      </c>
      <c r="N133" s="165">
        <f>3969+1359+251+52+61</f>
        <v>5692</v>
      </c>
      <c r="O133" s="105">
        <f>M133/N133</f>
        <v>10.451950105411104</v>
      </c>
      <c r="P133" s="128"/>
    </row>
    <row r="134" spans="1:16" ht="15">
      <c r="A134" s="66">
        <v>132</v>
      </c>
      <c r="B134" s="53" t="s">
        <v>52</v>
      </c>
      <c r="C134" s="39">
        <v>39731</v>
      </c>
      <c r="D134" s="45" t="s">
        <v>4</v>
      </c>
      <c r="E134" s="45" t="s">
        <v>78</v>
      </c>
      <c r="F134" s="50">
        <v>20</v>
      </c>
      <c r="G134" s="50">
        <v>1</v>
      </c>
      <c r="H134" s="50">
        <v>13</v>
      </c>
      <c r="I134" s="160">
        <v>305</v>
      </c>
      <c r="J134" s="161">
        <v>61</v>
      </c>
      <c r="K134" s="162">
        <f>+J134/G134</f>
        <v>61</v>
      </c>
      <c r="L134" s="163">
        <f>+I134/J134</f>
        <v>5</v>
      </c>
      <c r="M134" s="160">
        <v>397120</v>
      </c>
      <c r="N134" s="161">
        <v>35350</v>
      </c>
      <c r="O134" s="104">
        <f>+M134/N134</f>
        <v>11.233946251768034</v>
      </c>
      <c r="P134" s="258"/>
    </row>
    <row r="135" spans="1:16" ht="15">
      <c r="A135" s="66">
        <v>133</v>
      </c>
      <c r="B135" s="244" t="s">
        <v>53</v>
      </c>
      <c r="C135" s="239">
        <v>39738</v>
      </c>
      <c r="D135" s="227" t="s">
        <v>137</v>
      </c>
      <c r="E135" s="237" t="s">
        <v>136</v>
      </c>
      <c r="F135" s="238">
        <v>65</v>
      </c>
      <c r="G135" s="238">
        <v>2</v>
      </c>
      <c r="H135" s="238">
        <v>12</v>
      </c>
      <c r="I135" s="235">
        <v>302</v>
      </c>
      <c r="J135" s="236">
        <v>50</v>
      </c>
      <c r="K135" s="233">
        <f>(J135/G135)</f>
        <v>25</v>
      </c>
      <c r="L135" s="234">
        <f>I135/J135</f>
        <v>6.04</v>
      </c>
      <c r="M135" s="235">
        <f>502954.7+385847+127398.5+41644+35371+15703.5+9494+704+1120.5+952+891+302</f>
        <v>1122382.2</v>
      </c>
      <c r="N135" s="236">
        <f>51438+39611+14487+7156+6343+2488+1591+176+567+238+149+50</f>
        <v>124294</v>
      </c>
      <c r="O135" s="243">
        <f>M135/N135</f>
        <v>9.030059375351987</v>
      </c>
      <c r="P135" s="128"/>
    </row>
    <row r="136" spans="1:16" ht="15">
      <c r="A136" s="66">
        <v>134</v>
      </c>
      <c r="B136" s="48" t="s">
        <v>63</v>
      </c>
      <c r="C136" s="39">
        <v>39689</v>
      </c>
      <c r="D136" s="43" t="s">
        <v>133</v>
      </c>
      <c r="E136" s="42" t="s">
        <v>64</v>
      </c>
      <c r="F136" s="54">
        <v>100</v>
      </c>
      <c r="G136" s="54">
        <v>1</v>
      </c>
      <c r="H136" s="54">
        <v>9</v>
      </c>
      <c r="I136" s="160">
        <v>276</v>
      </c>
      <c r="J136" s="161">
        <v>55</v>
      </c>
      <c r="K136" s="168">
        <f>J136/G136</f>
        <v>55</v>
      </c>
      <c r="L136" s="169">
        <f>I136/J136</f>
        <v>5.0181818181818185</v>
      </c>
      <c r="M136" s="160">
        <f>17818+1364876+864151+384239+240974+16635+2871+5064-50+5187+276</f>
        <v>2902041</v>
      </c>
      <c r="N136" s="161">
        <f>1487+139515+89937+39711+26370+2302+499+787-9+1471+55</f>
        <v>302125</v>
      </c>
      <c r="O136" s="105">
        <f>+M136/N136</f>
        <v>9.605431526685974</v>
      </c>
      <c r="P136" s="258"/>
    </row>
    <row r="137" spans="1:16" ht="15">
      <c r="A137" s="66">
        <v>135</v>
      </c>
      <c r="B137" s="327" t="s">
        <v>171</v>
      </c>
      <c r="C137" s="40">
        <v>39766</v>
      </c>
      <c r="D137" s="292" t="s">
        <v>168</v>
      </c>
      <c r="E137" s="292" t="s">
        <v>172</v>
      </c>
      <c r="F137" s="293">
        <v>17</v>
      </c>
      <c r="G137" s="293">
        <v>1</v>
      </c>
      <c r="H137" s="293">
        <v>11</v>
      </c>
      <c r="I137" s="311">
        <v>260</v>
      </c>
      <c r="J137" s="296">
        <v>57</v>
      </c>
      <c r="K137" s="296">
        <f>J137/G137</f>
        <v>57</v>
      </c>
      <c r="L137" s="297">
        <f>I137/J137</f>
        <v>4.56140350877193</v>
      </c>
      <c r="M137" s="311">
        <v>72802</v>
      </c>
      <c r="N137" s="296">
        <v>9877</v>
      </c>
      <c r="O137" s="328">
        <f>M137/N137</f>
        <v>7.370861597651109</v>
      </c>
      <c r="P137" s="128"/>
    </row>
    <row r="138" spans="1:16" ht="15">
      <c r="A138" s="66">
        <v>136</v>
      </c>
      <c r="B138" s="53" t="s">
        <v>69</v>
      </c>
      <c r="C138" s="39">
        <v>39759</v>
      </c>
      <c r="D138" s="132" t="s">
        <v>139</v>
      </c>
      <c r="E138" s="132" t="s">
        <v>31</v>
      </c>
      <c r="F138" s="50">
        <v>40</v>
      </c>
      <c r="G138" s="50">
        <v>1</v>
      </c>
      <c r="H138" s="50">
        <v>12</v>
      </c>
      <c r="I138" s="303">
        <v>228</v>
      </c>
      <c r="J138" s="306">
        <v>39</v>
      </c>
      <c r="K138" s="302">
        <f>IF(I138&lt;&gt;0,J138/G138,"")</f>
        <v>39</v>
      </c>
      <c r="L138" s="163">
        <f>IF(I138&lt;&gt;0,I138/J138,"")</f>
        <v>5.846153846153846</v>
      </c>
      <c r="M138" s="303">
        <f>84918+52341+11404+7823+3207+2014+937+2034+556+1450+3725+228</f>
        <v>170637</v>
      </c>
      <c r="N138" s="299">
        <f>10694+7043+2046+1560+538+345+174+389+77+318+659+39</f>
        <v>23882</v>
      </c>
      <c r="O138" s="104">
        <f>IF(M138&lt;&gt;0,M138/N138,"")</f>
        <v>7.145004605979398</v>
      </c>
      <c r="P138" s="128"/>
    </row>
    <row r="139" spans="1:16" ht="15">
      <c r="A139" s="66">
        <v>137</v>
      </c>
      <c r="B139" s="49" t="s">
        <v>50</v>
      </c>
      <c r="C139" s="40">
        <v>39710</v>
      </c>
      <c r="D139" s="44" t="s">
        <v>110</v>
      </c>
      <c r="E139" s="44" t="s">
        <v>110</v>
      </c>
      <c r="F139" s="41">
        <v>66</v>
      </c>
      <c r="G139" s="41">
        <v>1</v>
      </c>
      <c r="H139" s="41">
        <v>18</v>
      </c>
      <c r="I139" s="164">
        <v>184</v>
      </c>
      <c r="J139" s="165">
        <v>67</v>
      </c>
      <c r="K139" s="168">
        <f>(J139/G139)</f>
        <v>67</v>
      </c>
      <c r="L139" s="169">
        <f>I139/J139</f>
        <v>2.746268656716418</v>
      </c>
      <c r="M139" s="164">
        <f>152576+127511+68854.5+21974+10111.5+7103+7290+0.5+1014+3149+989+3524+0.5+3768+138+2528+257+351.5+573.5+184</f>
        <v>411897</v>
      </c>
      <c r="N139" s="165">
        <f>50018+825+47+65+137+67</f>
        <v>51159</v>
      </c>
      <c r="O139" s="105">
        <f>M139/N139</f>
        <v>8.051310619832288</v>
      </c>
      <c r="P139" s="283"/>
    </row>
    <row r="140" spans="1:16" ht="15">
      <c r="A140" s="66">
        <v>138</v>
      </c>
      <c r="B140" s="327" t="s">
        <v>173</v>
      </c>
      <c r="C140" s="40">
        <v>39472</v>
      </c>
      <c r="D140" s="292" t="s">
        <v>110</v>
      </c>
      <c r="E140" s="292" t="s">
        <v>110</v>
      </c>
      <c r="F140" s="293">
        <v>1</v>
      </c>
      <c r="G140" s="293">
        <v>1</v>
      </c>
      <c r="H140" s="293">
        <v>29</v>
      </c>
      <c r="I140" s="298">
        <v>183.5</v>
      </c>
      <c r="J140" s="299">
        <v>68</v>
      </c>
      <c r="K140" s="302">
        <f>+J140/G140</f>
        <v>68</v>
      </c>
      <c r="L140" s="163">
        <f>+I140/J140</f>
        <v>2.698529411764706</v>
      </c>
      <c r="M140" s="298">
        <f>395290.5+262822+75939+23709.5+4083+1327+9321+1445+1267+2173+4575+201+1748+3343+728+28+948+1329+163+182+173+15521.5+171+40+110+75+183.5</f>
        <v>806896</v>
      </c>
      <c r="N140" s="299">
        <f>47426+32442+9866+4010+887+225+2185+263+226+460+1077+33+367+887+230+4+139+355+32+35+32+3859+49+8+22+15+68</f>
        <v>105202</v>
      </c>
      <c r="O140" s="104">
        <f>+M140/N140</f>
        <v>7.669968251554153</v>
      </c>
      <c r="P140" s="128"/>
    </row>
    <row r="141" spans="1:16" ht="15">
      <c r="A141" s="66">
        <v>139</v>
      </c>
      <c r="B141" s="244" t="s">
        <v>61</v>
      </c>
      <c r="C141" s="239">
        <v>39745</v>
      </c>
      <c r="D141" s="227" t="s">
        <v>137</v>
      </c>
      <c r="E141" s="237" t="s">
        <v>109</v>
      </c>
      <c r="F141" s="238">
        <v>7</v>
      </c>
      <c r="G141" s="238">
        <v>1</v>
      </c>
      <c r="H141" s="238">
        <v>11</v>
      </c>
      <c r="I141" s="235">
        <v>135</v>
      </c>
      <c r="J141" s="236">
        <v>23</v>
      </c>
      <c r="K141" s="233">
        <f>(J141/G141)</f>
        <v>23</v>
      </c>
      <c r="L141" s="234">
        <f>I141/J141</f>
        <v>5.869565217391305</v>
      </c>
      <c r="M141" s="235">
        <f>31758.5+8225.5+1958+2180+395+7254.5+494+2046+429+128+135</f>
        <v>55003.5</v>
      </c>
      <c r="N141" s="236">
        <f>2732+851+288+247+46+761+52+333+72+22+23</f>
        <v>5427</v>
      </c>
      <c r="O141" s="243">
        <f>M141/N141</f>
        <v>10.135157545605306</v>
      </c>
      <c r="P141" s="258"/>
    </row>
    <row r="142" spans="1:16" ht="15">
      <c r="A142" s="66">
        <v>140</v>
      </c>
      <c r="B142" s="49" t="s">
        <v>61</v>
      </c>
      <c r="C142" s="40">
        <v>39745</v>
      </c>
      <c r="D142" s="45" t="s">
        <v>137</v>
      </c>
      <c r="E142" s="44" t="s">
        <v>109</v>
      </c>
      <c r="F142" s="41">
        <v>7</v>
      </c>
      <c r="G142" s="41">
        <v>1</v>
      </c>
      <c r="H142" s="41">
        <v>10</v>
      </c>
      <c r="I142" s="160">
        <v>128</v>
      </c>
      <c r="J142" s="161">
        <v>22</v>
      </c>
      <c r="K142" s="168">
        <f>(J142/G142)</f>
        <v>22</v>
      </c>
      <c r="L142" s="169">
        <f>I142/J142</f>
        <v>5.818181818181818</v>
      </c>
      <c r="M142" s="160">
        <f>31758.5+8225.5+1958+2180+395+7254.5+494+2046+429+128</f>
        <v>54868.5</v>
      </c>
      <c r="N142" s="161">
        <f>2732+851+288+247+46+761+52+333+72+22</f>
        <v>5404</v>
      </c>
      <c r="O142" s="105">
        <f>M142/N142</f>
        <v>10.153312361213915</v>
      </c>
      <c r="P142" s="128"/>
    </row>
    <row r="143" spans="1:16" ht="15">
      <c r="A143" s="66">
        <v>141</v>
      </c>
      <c r="B143" s="53" t="s">
        <v>144</v>
      </c>
      <c r="C143" s="39">
        <v>39780</v>
      </c>
      <c r="D143" s="132" t="s">
        <v>80</v>
      </c>
      <c r="E143" s="132" t="s">
        <v>49</v>
      </c>
      <c r="F143" s="54">
        <v>3</v>
      </c>
      <c r="G143" s="54">
        <v>1</v>
      </c>
      <c r="H143" s="54">
        <v>6</v>
      </c>
      <c r="I143" s="170">
        <v>81</v>
      </c>
      <c r="J143" s="171">
        <v>13</v>
      </c>
      <c r="K143" s="171"/>
      <c r="L143" s="225">
        <f>IF(I143&lt;&gt;0,I143/J143,"")</f>
        <v>6.230769230769231</v>
      </c>
      <c r="M143" s="170">
        <v>42285.5</v>
      </c>
      <c r="N143" s="171">
        <v>3919</v>
      </c>
      <c r="O143" s="104">
        <f>IF(M143&lt;&gt;0,M143/N143,"")</f>
        <v>10.78986986476142</v>
      </c>
      <c r="P143" s="283"/>
    </row>
    <row r="144" spans="1:16" ht="15">
      <c r="A144" s="66">
        <v>142</v>
      </c>
      <c r="B144" s="49" t="s">
        <v>81</v>
      </c>
      <c r="C144" s="40">
        <v>39703</v>
      </c>
      <c r="D144" s="45" t="s">
        <v>137</v>
      </c>
      <c r="E144" s="44" t="s">
        <v>82</v>
      </c>
      <c r="F144" s="41">
        <v>6</v>
      </c>
      <c r="G144" s="41">
        <v>1</v>
      </c>
      <c r="H144" s="41">
        <v>14</v>
      </c>
      <c r="I144" s="160">
        <v>73</v>
      </c>
      <c r="J144" s="161">
        <v>11</v>
      </c>
      <c r="K144" s="168">
        <f aca="true" t="shared" si="10" ref="K144:K149">(J144/G144)</f>
        <v>11</v>
      </c>
      <c r="L144" s="169">
        <f aca="true" t="shared" si="11" ref="L144:L149">I144/J144</f>
        <v>6.636363636363637</v>
      </c>
      <c r="M144" s="160">
        <f>18453+18044+4959+3105.5+2221+2795+1156+907+1188+3416+108+86+53+73</f>
        <v>56564.5</v>
      </c>
      <c r="N144" s="161">
        <f>1896+1808+596+485+314+510+270+216+297+854+33+15+9+11</f>
        <v>7314</v>
      </c>
      <c r="O144" s="105">
        <f aca="true" t="shared" si="12" ref="O144:O149">M144/N144</f>
        <v>7.733729833196609</v>
      </c>
      <c r="P144" s="258"/>
    </row>
    <row r="145" spans="1:16" ht="15">
      <c r="A145" s="66">
        <v>143</v>
      </c>
      <c r="B145" s="49" t="s">
        <v>53</v>
      </c>
      <c r="C145" s="40">
        <v>39738</v>
      </c>
      <c r="D145" s="45" t="s">
        <v>137</v>
      </c>
      <c r="E145" s="44" t="s">
        <v>136</v>
      </c>
      <c r="F145" s="41">
        <v>65</v>
      </c>
      <c r="G145" s="41">
        <v>1</v>
      </c>
      <c r="H145" s="41">
        <v>13</v>
      </c>
      <c r="I145" s="160">
        <v>72</v>
      </c>
      <c r="J145" s="161">
        <v>12</v>
      </c>
      <c r="K145" s="168">
        <f t="shared" si="10"/>
        <v>12</v>
      </c>
      <c r="L145" s="169">
        <f t="shared" si="11"/>
        <v>6</v>
      </c>
      <c r="M145" s="160">
        <f>502954.7+385847+127398.5+41644+35371+15703.5+9494+704+1120.5+952+891+302+72</f>
        <v>1122454.2</v>
      </c>
      <c r="N145" s="161">
        <f>51438+39611+14487+7156+6343+2488+1591+176+567+238+149+50+12</f>
        <v>124306</v>
      </c>
      <c r="O145" s="105">
        <f t="shared" si="12"/>
        <v>9.029766865638022</v>
      </c>
      <c r="P145" s="128"/>
    </row>
    <row r="146" spans="1:16" ht="15">
      <c r="A146" s="66">
        <v>144</v>
      </c>
      <c r="B146" s="49" t="s">
        <v>100</v>
      </c>
      <c r="C146" s="40">
        <v>39724</v>
      </c>
      <c r="D146" s="45" t="s">
        <v>137</v>
      </c>
      <c r="E146" s="44" t="s">
        <v>109</v>
      </c>
      <c r="F146" s="41">
        <v>2</v>
      </c>
      <c r="G146" s="41">
        <v>1</v>
      </c>
      <c r="H146" s="41">
        <v>11</v>
      </c>
      <c r="I146" s="160">
        <v>67</v>
      </c>
      <c r="J146" s="161">
        <v>10</v>
      </c>
      <c r="K146" s="168">
        <f t="shared" si="10"/>
        <v>10</v>
      </c>
      <c r="L146" s="169">
        <f t="shared" si="11"/>
        <v>6.7</v>
      </c>
      <c r="M146" s="160">
        <f>10160+3974+2322+148+808+1106+1364.5+963+712+38+67</f>
        <v>21662.5</v>
      </c>
      <c r="N146" s="161">
        <f>966+422+271+18+130+124+165+258+178+6+10</f>
        <v>2548</v>
      </c>
      <c r="O146" s="105">
        <f t="shared" si="12"/>
        <v>8.501766091051806</v>
      </c>
      <c r="P146" s="128"/>
    </row>
    <row r="147" spans="1:16" ht="15">
      <c r="A147" s="66">
        <v>145</v>
      </c>
      <c r="B147" s="49" t="s">
        <v>62</v>
      </c>
      <c r="C147" s="40">
        <v>39752</v>
      </c>
      <c r="D147" s="45" t="s">
        <v>137</v>
      </c>
      <c r="E147" s="44" t="s">
        <v>115</v>
      </c>
      <c r="F147" s="41">
        <v>27</v>
      </c>
      <c r="G147" s="41">
        <v>1</v>
      </c>
      <c r="H147" s="41">
        <v>10</v>
      </c>
      <c r="I147" s="160">
        <v>67</v>
      </c>
      <c r="J147" s="161">
        <v>10</v>
      </c>
      <c r="K147" s="168">
        <f t="shared" si="10"/>
        <v>10</v>
      </c>
      <c r="L147" s="169">
        <f t="shared" si="11"/>
        <v>6.7</v>
      </c>
      <c r="M147" s="160">
        <f>122635.5+51150+18262+4454+16388.5+1375+1246+204+334+67</f>
        <v>216116</v>
      </c>
      <c r="N147" s="161">
        <f>11002+4826+2043+624+2156+227+195+32+110+10</f>
        <v>21225</v>
      </c>
      <c r="O147" s="105">
        <f t="shared" si="12"/>
        <v>10.182143698468787</v>
      </c>
      <c r="P147" s="128">
        <v>1</v>
      </c>
    </row>
    <row r="148" spans="1:16" ht="15">
      <c r="A148" s="66">
        <v>146</v>
      </c>
      <c r="B148" s="327" t="s">
        <v>100</v>
      </c>
      <c r="C148" s="40">
        <v>39724</v>
      </c>
      <c r="D148" s="132" t="s">
        <v>137</v>
      </c>
      <c r="E148" s="292" t="s">
        <v>109</v>
      </c>
      <c r="F148" s="293">
        <v>2</v>
      </c>
      <c r="G148" s="293">
        <v>1</v>
      </c>
      <c r="H148" s="293">
        <v>12</v>
      </c>
      <c r="I148" s="307">
        <v>64</v>
      </c>
      <c r="J148" s="308">
        <v>10</v>
      </c>
      <c r="K148" s="306">
        <f t="shared" si="10"/>
        <v>10</v>
      </c>
      <c r="L148" s="169">
        <f t="shared" si="11"/>
        <v>6.4</v>
      </c>
      <c r="M148" s="307">
        <f>10160+3974+2322+148+808+1106+1364.5+963+712+38+67+64</f>
        <v>21726.5</v>
      </c>
      <c r="N148" s="308">
        <f>966+422+271+18+130+124+165+258+178+6+10+10</f>
        <v>2558</v>
      </c>
      <c r="O148" s="105">
        <f t="shared" si="12"/>
        <v>8.493549648162627</v>
      </c>
      <c r="P148" s="283"/>
    </row>
    <row r="149" spans="1:16" ht="15">
      <c r="A149" s="66">
        <v>147</v>
      </c>
      <c r="B149" s="327" t="s">
        <v>53</v>
      </c>
      <c r="C149" s="40">
        <v>39738</v>
      </c>
      <c r="D149" s="132" t="s">
        <v>137</v>
      </c>
      <c r="E149" s="292" t="s">
        <v>136</v>
      </c>
      <c r="F149" s="293">
        <v>65</v>
      </c>
      <c r="G149" s="293">
        <v>1</v>
      </c>
      <c r="H149" s="293">
        <v>14</v>
      </c>
      <c r="I149" s="307">
        <v>55</v>
      </c>
      <c r="J149" s="308">
        <v>9</v>
      </c>
      <c r="K149" s="306">
        <f t="shared" si="10"/>
        <v>9</v>
      </c>
      <c r="L149" s="169">
        <f t="shared" si="11"/>
        <v>6.111111111111111</v>
      </c>
      <c r="M149" s="307">
        <f>502954.7+385847+127398.5+41644+35371+15703.5+9494+704+1120.5+952+891+302+72+55</f>
        <v>1122509.2</v>
      </c>
      <c r="N149" s="308">
        <f>51438+39611+14487+7156+6343+2488+1591+176+567+238+149+50+12+9</f>
        <v>124315</v>
      </c>
      <c r="O149" s="105">
        <f t="shared" si="12"/>
        <v>9.029555564493423</v>
      </c>
      <c r="P149" s="283"/>
    </row>
    <row r="150" spans="1:16" ht="15">
      <c r="A150" s="66">
        <v>148</v>
      </c>
      <c r="B150" s="53" t="s">
        <v>152</v>
      </c>
      <c r="C150" s="39">
        <v>39801</v>
      </c>
      <c r="D150" s="132" t="s">
        <v>4</v>
      </c>
      <c r="E150" s="132" t="s">
        <v>78</v>
      </c>
      <c r="F150" s="50">
        <v>19</v>
      </c>
      <c r="G150" s="50">
        <v>1</v>
      </c>
      <c r="H150" s="50">
        <v>6</v>
      </c>
      <c r="I150" s="307">
        <v>40</v>
      </c>
      <c r="J150" s="308">
        <v>6</v>
      </c>
      <c r="K150" s="302">
        <f>+J150/G150</f>
        <v>6</v>
      </c>
      <c r="L150" s="163">
        <f>+I150/J150</f>
        <v>6.666666666666667</v>
      </c>
      <c r="M150" s="307">
        <v>137893</v>
      </c>
      <c r="N150" s="308">
        <v>12890</v>
      </c>
      <c r="O150" s="104">
        <f>+M150/N150</f>
        <v>10.697672614429791</v>
      </c>
      <c r="P150" s="128"/>
    </row>
    <row r="151" spans="1:16" ht="15">
      <c r="A151" s="66">
        <v>149</v>
      </c>
      <c r="B151" s="244" t="s">
        <v>100</v>
      </c>
      <c r="C151" s="239">
        <v>39724</v>
      </c>
      <c r="D151" s="227" t="s">
        <v>137</v>
      </c>
      <c r="E151" s="237" t="s">
        <v>109</v>
      </c>
      <c r="F151" s="238">
        <v>2</v>
      </c>
      <c r="G151" s="238">
        <v>1</v>
      </c>
      <c r="H151" s="238">
        <v>10</v>
      </c>
      <c r="I151" s="235">
        <v>38</v>
      </c>
      <c r="J151" s="236">
        <v>6</v>
      </c>
      <c r="K151" s="233">
        <f>(J151/G151)</f>
        <v>6</v>
      </c>
      <c r="L151" s="234">
        <f>I151/J151</f>
        <v>6.333333333333333</v>
      </c>
      <c r="M151" s="235">
        <f>10160+3974+2322+148+808+1106+1364.5+963+712+38</f>
        <v>21595.5</v>
      </c>
      <c r="N151" s="236">
        <f>966+422+271+18+130+124+165+258+178+6</f>
        <v>2538</v>
      </c>
      <c r="O151" s="243">
        <f>M151/N151</f>
        <v>8.50886524822695</v>
      </c>
      <c r="P151" s="258"/>
    </row>
    <row r="152" spans="1:16" ht="15.75" thickBot="1">
      <c r="A152" s="66">
        <v>150</v>
      </c>
      <c r="B152" s="248" t="s">
        <v>62</v>
      </c>
      <c r="C152" s="249">
        <v>39752</v>
      </c>
      <c r="D152" s="250" t="s">
        <v>137</v>
      </c>
      <c r="E152" s="251" t="s">
        <v>115</v>
      </c>
      <c r="F152" s="252">
        <v>27</v>
      </c>
      <c r="G152" s="252">
        <v>1</v>
      </c>
      <c r="H152" s="252">
        <v>11</v>
      </c>
      <c r="I152" s="255">
        <v>36</v>
      </c>
      <c r="J152" s="256">
        <v>6</v>
      </c>
      <c r="K152" s="253">
        <f>(J152/G152)</f>
        <v>6</v>
      </c>
      <c r="L152" s="254">
        <f>I152/J152</f>
        <v>6</v>
      </c>
      <c r="M152" s="255">
        <f>122635.5+51150+18262+4454+16388.5+1375+1246+204+334+67+36</f>
        <v>216152</v>
      </c>
      <c r="N152" s="256">
        <f>11002+4826+2043+624+2156+227+195+32+110+10+6</f>
        <v>21231</v>
      </c>
      <c r="O152" s="257">
        <f>M152/N152</f>
        <v>10.180961801139842</v>
      </c>
      <c r="P152" s="258"/>
    </row>
    <row r="153" spans="1:15" ht="12.75">
      <c r="A153" s="88"/>
      <c r="B153" s="89"/>
      <c r="C153" s="90"/>
      <c r="D153" s="90"/>
      <c r="E153" s="90"/>
      <c r="F153" s="95"/>
      <c r="G153" s="96"/>
      <c r="H153" s="97"/>
      <c r="I153" s="152">
        <f>SUM(I4:I152)</f>
        <v>12913222</v>
      </c>
      <c r="J153" s="141">
        <f>SUM(J4:J152)</f>
        <v>1665498</v>
      </c>
      <c r="K153" s="143"/>
      <c r="L153" s="149"/>
      <c r="M153" s="136"/>
      <c r="N153" s="143"/>
      <c r="O153" s="149"/>
    </row>
    <row r="154" spans="1:7" ht="12.75">
      <c r="A154" s="32"/>
      <c r="B154" s="30"/>
      <c r="C154" s="24"/>
      <c r="D154" s="24"/>
      <c r="E154" s="24"/>
      <c r="F154" s="98"/>
      <c r="G154" s="99"/>
    </row>
    <row r="155" spans="1:15" ht="13.5">
      <c r="A155" s="32"/>
      <c r="B155" s="30"/>
      <c r="C155" s="85"/>
      <c r="D155" s="86"/>
      <c r="E155" s="86"/>
      <c r="F155" s="24"/>
      <c r="G155" s="24"/>
      <c r="K155" s="420" t="s">
        <v>75</v>
      </c>
      <c r="L155" s="407"/>
      <c r="M155" s="407"/>
      <c r="N155" s="407"/>
      <c r="O155" s="407"/>
    </row>
    <row r="156" spans="1:15" ht="12.75">
      <c r="A156" s="32"/>
      <c r="B156" s="30"/>
      <c r="C156" s="86"/>
      <c r="D156" s="86"/>
      <c r="E156" s="86"/>
      <c r="F156" s="24"/>
      <c r="G156" s="24"/>
      <c r="K156" s="407"/>
      <c r="L156" s="407"/>
      <c r="M156" s="407"/>
      <c r="N156" s="407"/>
      <c r="O156" s="407"/>
    </row>
    <row r="157" spans="1:15" ht="12.75">
      <c r="A157" s="32"/>
      <c r="B157" s="30"/>
      <c r="C157" s="86"/>
      <c r="D157" s="86"/>
      <c r="E157" s="86"/>
      <c r="F157" s="24"/>
      <c r="G157" s="24"/>
      <c r="K157" s="407"/>
      <c r="L157" s="407"/>
      <c r="M157" s="407"/>
      <c r="N157" s="407"/>
      <c r="O157" s="407"/>
    </row>
    <row r="158" spans="1:15" ht="12.75">
      <c r="A158" s="32"/>
      <c r="B158" s="30"/>
      <c r="C158" s="86"/>
      <c r="D158" s="86"/>
      <c r="E158" s="86"/>
      <c r="F158" s="24"/>
      <c r="G158" s="24"/>
      <c r="K158" s="407"/>
      <c r="L158" s="407"/>
      <c r="M158" s="407"/>
      <c r="N158" s="407"/>
      <c r="O158" s="407"/>
    </row>
    <row r="159" spans="1:15" ht="12.75">
      <c r="A159" s="32"/>
      <c r="B159" s="30"/>
      <c r="C159" s="86"/>
      <c r="D159" s="86"/>
      <c r="E159" s="86"/>
      <c r="F159" s="24"/>
      <c r="G159" s="24"/>
      <c r="K159" s="407"/>
      <c r="L159" s="407"/>
      <c r="M159" s="407"/>
      <c r="N159" s="407"/>
      <c r="O159" s="407"/>
    </row>
    <row r="160" spans="1:15" ht="12.75">
      <c r="A160" s="32"/>
      <c r="B160" s="30"/>
      <c r="C160" s="86"/>
      <c r="D160" s="86"/>
      <c r="E160" s="86"/>
      <c r="F160" s="24"/>
      <c r="G160" s="24"/>
      <c r="K160" s="407"/>
      <c r="L160" s="407"/>
      <c r="M160" s="407"/>
      <c r="N160" s="407"/>
      <c r="O160" s="407"/>
    </row>
    <row r="161" spans="1:15" ht="12.75">
      <c r="A161" s="32"/>
      <c r="B161" s="30"/>
      <c r="C161" s="24"/>
      <c r="D161" s="86"/>
      <c r="E161" s="86"/>
      <c r="F161" s="98"/>
      <c r="G161" s="99"/>
      <c r="K161" s="145"/>
      <c r="L161" s="147"/>
      <c r="M161" s="139"/>
      <c r="N161" s="146"/>
      <c r="O161" s="147"/>
    </row>
    <row r="162" spans="1:15" ht="13.5">
      <c r="A162" s="32"/>
      <c r="B162" s="30"/>
      <c r="C162" s="87"/>
      <c r="D162" s="86"/>
      <c r="E162" s="86"/>
      <c r="F162" s="24"/>
      <c r="G162" s="24"/>
      <c r="K162" s="405" t="s">
        <v>0</v>
      </c>
      <c r="L162" s="406"/>
      <c r="M162" s="406"/>
      <c r="N162" s="407"/>
      <c r="O162" s="406"/>
    </row>
    <row r="163" spans="1:15" ht="12.75">
      <c r="A163" s="32"/>
      <c r="B163" s="30"/>
      <c r="C163" s="86"/>
      <c r="D163" s="86"/>
      <c r="E163" s="86"/>
      <c r="F163" s="24"/>
      <c r="G163" s="24"/>
      <c r="K163" s="406"/>
      <c r="L163" s="406"/>
      <c r="M163" s="406"/>
      <c r="N163" s="407"/>
      <c r="O163" s="406"/>
    </row>
    <row r="164" spans="1:15" ht="12.75">
      <c r="A164" s="32"/>
      <c r="B164" s="30"/>
      <c r="C164" s="86"/>
      <c r="D164" s="86"/>
      <c r="E164" s="86"/>
      <c r="F164" s="24"/>
      <c r="G164" s="24"/>
      <c r="K164" s="406"/>
      <c r="L164" s="406"/>
      <c r="M164" s="406"/>
      <c r="N164" s="407"/>
      <c r="O164" s="406"/>
    </row>
    <row r="165" spans="1:15" ht="12.75">
      <c r="A165" s="32"/>
      <c r="B165" s="30"/>
      <c r="C165" s="86"/>
      <c r="D165" s="86"/>
      <c r="E165" s="86"/>
      <c r="F165" s="24"/>
      <c r="G165" s="24"/>
      <c r="K165" s="406"/>
      <c r="L165" s="406"/>
      <c r="M165" s="406"/>
      <c r="N165" s="407"/>
      <c r="O165" s="406"/>
    </row>
    <row r="166" spans="1:15" ht="12.75">
      <c r="A166" s="32"/>
      <c r="B166" s="30"/>
      <c r="C166" s="86"/>
      <c r="D166" s="86"/>
      <c r="E166" s="86"/>
      <c r="F166" s="24"/>
      <c r="G166" s="24"/>
      <c r="K166" s="406"/>
      <c r="L166" s="406"/>
      <c r="M166" s="406"/>
      <c r="N166" s="407"/>
      <c r="O166" s="406"/>
    </row>
    <row r="167" spans="1:15" ht="12.75">
      <c r="A167" s="32"/>
      <c r="B167" s="30"/>
      <c r="C167" s="86"/>
      <c r="D167" s="86"/>
      <c r="E167" s="86"/>
      <c r="F167" s="24"/>
      <c r="G167" s="24"/>
      <c r="K167" s="406"/>
      <c r="L167" s="406"/>
      <c r="M167" s="406"/>
      <c r="N167" s="407"/>
      <c r="O167" s="406"/>
    </row>
    <row r="168" spans="1:15" ht="12.75">
      <c r="A168" s="32"/>
      <c r="B168" s="30"/>
      <c r="C168" s="30"/>
      <c r="D168" s="30"/>
      <c r="E168" s="30"/>
      <c r="F168" s="24"/>
      <c r="G168" s="24"/>
      <c r="K168" s="408"/>
      <c r="L168" s="408"/>
      <c r="M168" s="408"/>
      <c r="N168" s="409"/>
      <c r="O168" s="408"/>
    </row>
    <row r="169" spans="1:7" ht="12.75">
      <c r="A169" s="32"/>
      <c r="B169" s="30"/>
      <c r="C169" s="24"/>
      <c r="D169" s="24"/>
      <c r="E169" s="24"/>
      <c r="F169" s="98"/>
      <c r="G169" s="99"/>
    </row>
    <row r="170" spans="1:7" ht="12.75">
      <c r="A170" s="32"/>
      <c r="B170" s="30"/>
      <c r="C170" s="24"/>
      <c r="D170" s="24"/>
      <c r="E170" s="24"/>
      <c r="F170" s="98"/>
      <c r="G170" s="99"/>
    </row>
  </sheetData>
  <sheetProtection/>
  <mergeCells count="12">
    <mergeCell ref="A1:O1"/>
    <mergeCell ref="K155:O160"/>
    <mergeCell ref="B2:B3"/>
    <mergeCell ref="C2:C3"/>
    <mergeCell ref="D2:D3"/>
    <mergeCell ref="K162:O168"/>
    <mergeCell ref="G2:G3"/>
    <mergeCell ref="H2:H3"/>
    <mergeCell ref="I2:L2"/>
    <mergeCell ref="M2:O2"/>
    <mergeCell ref="E2:E3"/>
    <mergeCell ref="F2:F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63"/>
  <sheetViews>
    <sheetView zoomScale="160" zoomScaleNormal="160" zoomScalePageLayoutView="0" workbookViewId="0" topLeftCell="A1">
      <selection activeCell="A4" sqref="A4"/>
    </sheetView>
  </sheetViews>
  <sheetFormatPr defaultColWidth="9.140625" defaultRowHeight="12.75"/>
  <cols>
    <col min="1" max="1" width="3.421875" style="191" bestFit="1" customWidth="1"/>
    <col min="2" max="2" width="6.28125" style="192" bestFit="1" customWidth="1"/>
    <col min="3" max="3" width="11.7109375" style="191" bestFit="1" customWidth="1"/>
    <col min="4" max="4" width="6.28125" style="216" bestFit="1" customWidth="1"/>
    <col min="5" max="5" width="16.00390625" style="217" bestFit="1" customWidth="1"/>
    <col min="6" max="6" width="11.7109375" style="216" bestFit="1" customWidth="1"/>
    <col min="7" max="7" width="3.421875" style="191" bestFit="1" customWidth="1"/>
    <col min="8" max="8" width="16.00390625" style="199" bestFit="1" customWidth="1"/>
    <col min="9" max="9" width="11.7109375" style="200" customWidth="1"/>
    <col min="10" max="10" width="7.7109375" style="208" bestFit="1" customWidth="1"/>
    <col min="11" max="11" width="9.140625" style="122" customWidth="1"/>
    <col min="12" max="12" width="10.421875" style="122" bestFit="1" customWidth="1"/>
    <col min="13" max="16384" width="9.140625" style="122" customWidth="1"/>
  </cols>
  <sheetData>
    <row r="1" spans="1:10" ht="15.75" thickBot="1">
      <c r="A1" s="181">
        <v>1</v>
      </c>
      <c r="B1" s="182" t="s">
        <v>111</v>
      </c>
      <c r="C1" s="183" t="s">
        <v>76</v>
      </c>
      <c r="D1" s="209">
        <v>45</v>
      </c>
      <c r="E1" s="210">
        <v>6658013.5</v>
      </c>
      <c r="F1" s="211">
        <v>793660</v>
      </c>
      <c r="G1" s="184">
        <v>17</v>
      </c>
      <c r="H1" s="193">
        <v>4239918.5</v>
      </c>
      <c r="I1" s="194">
        <v>539295</v>
      </c>
      <c r="J1" s="195">
        <f>SUM(I1/F1)</f>
        <v>0.679503817755714</v>
      </c>
    </row>
    <row r="2" spans="1:10" ht="15.75" thickBot="1">
      <c r="A2" s="181">
        <v>2</v>
      </c>
      <c r="B2" s="182" t="s">
        <v>86</v>
      </c>
      <c r="C2" s="183" t="s">
        <v>76</v>
      </c>
      <c r="D2" s="212">
        <v>43</v>
      </c>
      <c r="E2" s="210">
        <v>6639071.5</v>
      </c>
      <c r="F2" s="211">
        <v>832213</v>
      </c>
      <c r="G2" s="184">
        <v>17</v>
      </c>
      <c r="H2" s="193">
        <v>4079062</v>
      </c>
      <c r="I2" s="194">
        <v>562422</v>
      </c>
      <c r="J2" s="195">
        <f>SUM(I2/F2)</f>
        <v>0.6758149656398061</v>
      </c>
    </row>
    <row r="3" spans="1:10" ht="15.75" thickBot="1">
      <c r="A3" s="181">
        <v>3</v>
      </c>
      <c r="B3" s="182" t="s">
        <v>102</v>
      </c>
      <c r="C3" s="183" t="s">
        <v>76</v>
      </c>
      <c r="D3" s="212">
        <v>53</v>
      </c>
      <c r="E3" s="210">
        <v>8733845</v>
      </c>
      <c r="F3" s="211">
        <v>1080261</v>
      </c>
      <c r="G3" s="184">
        <v>23</v>
      </c>
      <c r="H3" s="193">
        <v>5039182</v>
      </c>
      <c r="I3" s="194">
        <v>673682</v>
      </c>
      <c r="J3" s="195">
        <f>SUM(I3/F3)</f>
        <v>0.6236289193074637</v>
      </c>
    </row>
    <row r="4" spans="1:10" ht="15.75" thickBot="1">
      <c r="A4" s="181">
        <v>4</v>
      </c>
      <c r="B4" s="182" t="s">
        <v>154</v>
      </c>
      <c r="C4" s="183" t="s">
        <v>76</v>
      </c>
      <c r="D4" s="212">
        <v>53</v>
      </c>
      <c r="E4" s="210">
        <v>8888659</v>
      </c>
      <c r="F4" s="211">
        <v>1070929</v>
      </c>
      <c r="G4" s="184">
        <v>23</v>
      </c>
      <c r="H4" s="193">
        <v>4693311.5</v>
      </c>
      <c r="I4" s="194">
        <v>608301</v>
      </c>
      <c r="J4" s="195">
        <f>SUM(I4/F4)</f>
        <v>0.568012445269481</v>
      </c>
    </row>
    <row r="5" spans="1:10" ht="15.75" thickBot="1">
      <c r="A5" s="181"/>
      <c r="B5" s="182"/>
      <c r="C5" s="183"/>
      <c r="D5" s="212"/>
      <c r="E5" s="210"/>
      <c r="F5" s="211"/>
      <c r="G5" s="184"/>
      <c r="H5" s="193"/>
      <c r="I5" s="194"/>
      <c r="J5" s="195"/>
    </row>
    <row r="6" spans="1:10" ht="15.75" thickBot="1">
      <c r="A6" s="181"/>
      <c r="B6" s="182"/>
      <c r="C6" s="183"/>
      <c r="D6" s="212"/>
      <c r="E6" s="210"/>
      <c r="F6" s="211"/>
      <c r="G6" s="184"/>
      <c r="H6" s="193"/>
      <c r="I6" s="194"/>
      <c r="J6" s="195"/>
    </row>
    <row r="7" spans="1:10" ht="15.75" thickBot="1">
      <c r="A7" s="181"/>
      <c r="B7" s="182"/>
      <c r="C7" s="183"/>
      <c r="D7" s="212"/>
      <c r="E7" s="210"/>
      <c r="F7" s="211"/>
      <c r="G7" s="184"/>
      <c r="H7" s="193"/>
      <c r="I7" s="194"/>
      <c r="J7" s="195"/>
    </row>
    <row r="8" spans="1:10" ht="15.75" thickBot="1">
      <c r="A8" s="181"/>
      <c r="B8" s="182"/>
      <c r="C8" s="183"/>
      <c r="D8" s="212"/>
      <c r="E8" s="210"/>
      <c r="F8" s="211"/>
      <c r="G8" s="184"/>
      <c r="H8" s="193"/>
      <c r="I8" s="194"/>
      <c r="J8" s="195"/>
    </row>
    <row r="9" spans="1:10" ht="15.75" thickBot="1">
      <c r="A9" s="181"/>
      <c r="B9" s="182"/>
      <c r="C9" s="183"/>
      <c r="D9" s="212"/>
      <c r="E9" s="210"/>
      <c r="F9" s="211"/>
      <c r="G9" s="184"/>
      <c r="H9" s="193"/>
      <c r="I9" s="194"/>
      <c r="J9" s="195"/>
    </row>
    <row r="10" spans="1:10" ht="15.75" thickBot="1">
      <c r="A10" s="181"/>
      <c r="B10" s="182"/>
      <c r="C10" s="183"/>
      <c r="D10" s="212"/>
      <c r="E10" s="210"/>
      <c r="F10" s="211"/>
      <c r="G10" s="184"/>
      <c r="H10" s="193"/>
      <c r="I10" s="194"/>
      <c r="J10" s="195"/>
    </row>
    <row r="11" spans="1:10" ht="15.75" thickBot="1">
      <c r="A11" s="181"/>
      <c r="B11" s="182"/>
      <c r="C11" s="183"/>
      <c r="D11" s="212"/>
      <c r="E11" s="210"/>
      <c r="F11" s="211"/>
      <c r="G11" s="184"/>
      <c r="H11" s="193"/>
      <c r="I11" s="194"/>
      <c r="J11" s="195"/>
    </row>
    <row r="12" spans="1:10" ht="15.75" thickBot="1">
      <c r="A12" s="181"/>
      <c r="B12" s="182"/>
      <c r="C12" s="183"/>
      <c r="D12" s="212"/>
      <c r="E12" s="210"/>
      <c r="F12" s="211"/>
      <c r="G12" s="184"/>
      <c r="H12" s="193"/>
      <c r="I12" s="194"/>
      <c r="J12" s="195"/>
    </row>
    <row r="13" spans="1:10" ht="15.75" thickBot="1">
      <c r="A13" s="181"/>
      <c r="B13" s="182"/>
      <c r="C13" s="183"/>
      <c r="D13" s="212"/>
      <c r="E13" s="210"/>
      <c r="F13" s="211"/>
      <c r="G13" s="184"/>
      <c r="H13" s="193"/>
      <c r="I13" s="194"/>
      <c r="J13" s="195"/>
    </row>
    <row r="14" spans="1:10" ht="15.75" thickBot="1">
      <c r="A14" s="181"/>
      <c r="B14" s="182"/>
      <c r="C14" s="183"/>
      <c r="D14" s="212"/>
      <c r="E14" s="210"/>
      <c r="F14" s="211"/>
      <c r="G14" s="184"/>
      <c r="H14" s="193"/>
      <c r="I14" s="194"/>
      <c r="J14" s="195"/>
    </row>
    <row r="15" spans="1:10" ht="15.75" thickBot="1">
      <c r="A15" s="184"/>
      <c r="B15" s="182"/>
      <c r="C15" s="183"/>
      <c r="D15" s="212"/>
      <c r="E15" s="210"/>
      <c r="F15" s="211"/>
      <c r="G15" s="184"/>
      <c r="H15" s="193"/>
      <c r="I15" s="194"/>
      <c r="J15" s="195"/>
    </row>
    <row r="16" spans="1:10" ht="15.75" thickBot="1">
      <c r="A16" s="184"/>
      <c r="B16" s="182"/>
      <c r="C16" s="183"/>
      <c r="D16" s="212"/>
      <c r="E16" s="210"/>
      <c r="F16" s="211"/>
      <c r="G16" s="184"/>
      <c r="H16" s="193"/>
      <c r="I16" s="194"/>
      <c r="J16" s="195"/>
    </row>
    <row r="17" spans="1:10" ht="15.75" thickBot="1">
      <c r="A17" s="184"/>
      <c r="B17" s="182"/>
      <c r="C17" s="183"/>
      <c r="D17" s="212"/>
      <c r="E17" s="210"/>
      <c r="F17" s="211"/>
      <c r="G17" s="184"/>
      <c r="H17" s="193"/>
      <c r="I17" s="194"/>
      <c r="J17" s="195"/>
    </row>
    <row r="18" spans="1:10" ht="15.75" thickBot="1">
      <c r="A18" s="184"/>
      <c r="B18" s="182"/>
      <c r="C18" s="183"/>
      <c r="D18" s="212"/>
      <c r="E18" s="210"/>
      <c r="F18" s="211"/>
      <c r="G18" s="184"/>
      <c r="H18" s="193"/>
      <c r="I18" s="194"/>
      <c r="J18" s="195"/>
    </row>
    <row r="19" spans="1:15" ht="15.75" thickBot="1">
      <c r="A19" s="184"/>
      <c r="B19" s="182"/>
      <c r="C19" s="183"/>
      <c r="D19" s="212"/>
      <c r="E19" s="210"/>
      <c r="F19" s="211"/>
      <c r="G19" s="184"/>
      <c r="H19" s="193"/>
      <c r="I19" s="194"/>
      <c r="J19" s="195"/>
      <c r="N19" s="125"/>
      <c r="O19" s="126"/>
    </row>
    <row r="20" spans="1:12" ht="15.75" thickBot="1">
      <c r="A20" s="184"/>
      <c r="B20" s="182"/>
      <c r="C20" s="183"/>
      <c r="D20" s="212"/>
      <c r="E20" s="210"/>
      <c r="F20" s="211"/>
      <c r="G20" s="184"/>
      <c r="H20" s="193"/>
      <c r="I20" s="194"/>
      <c r="J20" s="195"/>
      <c r="L20" s="125"/>
    </row>
    <row r="21" spans="1:10" ht="15.75" thickBot="1">
      <c r="A21" s="184"/>
      <c r="B21" s="182"/>
      <c r="C21" s="183"/>
      <c r="D21" s="212"/>
      <c r="E21" s="210"/>
      <c r="F21" s="211"/>
      <c r="G21" s="184"/>
      <c r="H21" s="193"/>
      <c r="I21" s="194"/>
      <c r="J21" s="195"/>
    </row>
    <row r="22" spans="1:10" ht="15.75" thickBot="1">
      <c r="A22" s="184"/>
      <c r="B22" s="182"/>
      <c r="C22" s="183"/>
      <c r="D22" s="212"/>
      <c r="E22" s="210"/>
      <c r="F22" s="211"/>
      <c r="G22" s="184"/>
      <c r="H22" s="193"/>
      <c r="I22" s="194"/>
      <c r="J22" s="195"/>
    </row>
    <row r="23" spans="1:10" ht="15.75" thickBot="1">
      <c r="A23" s="184"/>
      <c r="B23" s="182"/>
      <c r="C23" s="183"/>
      <c r="D23" s="212"/>
      <c r="E23" s="210"/>
      <c r="F23" s="211"/>
      <c r="G23" s="184"/>
      <c r="H23" s="193"/>
      <c r="I23" s="194"/>
      <c r="J23" s="195"/>
    </row>
    <row r="24" spans="1:10" ht="15.75" thickBot="1">
      <c r="A24" s="184"/>
      <c r="B24" s="182"/>
      <c r="C24" s="183"/>
      <c r="D24" s="212"/>
      <c r="E24" s="210"/>
      <c r="F24" s="211"/>
      <c r="G24" s="184"/>
      <c r="H24" s="193"/>
      <c r="I24" s="194"/>
      <c r="J24" s="195"/>
    </row>
    <row r="25" spans="1:10" ht="15.75" thickBot="1">
      <c r="A25" s="184"/>
      <c r="B25" s="182"/>
      <c r="C25" s="183"/>
      <c r="D25" s="212"/>
      <c r="E25" s="210"/>
      <c r="F25" s="211"/>
      <c r="G25" s="184"/>
      <c r="H25" s="193"/>
      <c r="I25" s="194"/>
      <c r="J25" s="195"/>
    </row>
    <row r="26" spans="1:10" ht="15.75" thickBot="1">
      <c r="A26" s="184"/>
      <c r="B26" s="182"/>
      <c r="C26" s="183"/>
      <c r="D26" s="212"/>
      <c r="E26" s="210"/>
      <c r="F26" s="211"/>
      <c r="G26" s="184"/>
      <c r="H26" s="193"/>
      <c r="I26" s="194"/>
      <c r="J26" s="195"/>
    </row>
    <row r="27" spans="1:10" ht="15.75" thickBot="1">
      <c r="A27" s="184"/>
      <c r="B27" s="182"/>
      <c r="C27" s="183"/>
      <c r="D27" s="212"/>
      <c r="E27" s="210"/>
      <c r="F27" s="211"/>
      <c r="G27" s="184"/>
      <c r="H27" s="193"/>
      <c r="I27" s="194"/>
      <c r="J27" s="195"/>
    </row>
    <row r="28" spans="1:10" ht="15.75" thickBot="1">
      <c r="A28" s="184"/>
      <c r="B28" s="182"/>
      <c r="C28" s="183"/>
      <c r="D28" s="212"/>
      <c r="E28" s="210"/>
      <c r="F28" s="211"/>
      <c r="G28" s="184"/>
      <c r="H28" s="193"/>
      <c r="I28" s="194"/>
      <c r="J28" s="195"/>
    </row>
    <row r="29" spans="1:10" ht="15.75" thickBot="1">
      <c r="A29" s="184"/>
      <c r="B29" s="182"/>
      <c r="C29" s="183"/>
      <c r="D29" s="212"/>
      <c r="E29" s="210"/>
      <c r="F29" s="211"/>
      <c r="G29" s="184"/>
      <c r="H29" s="193"/>
      <c r="I29" s="194"/>
      <c r="J29" s="195"/>
    </row>
    <row r="30" spans="1:10" ht="15.75" thickBot="1">
      <c r="A30" s="184"/>
      <c r="B30" s="182"/>
      <c r="C30" s="183"/>
      <c r="D30" s="212"/>
      <c r="E30" s="210"/>
      <c r="F30" s="211"/>
      <c r="G30" s="184"/>
      <c r="H30" s="193"/>
      <c r="I30" s="194"/>
      <c r="J30" s="195"/>
    </row>
    <row r="31" spans="1:10" ht="15.75" thickBot="1">
      <c r="A31" s="184"/>
      <c r="B31" s="182"/>
      <c r="C31" s="183"/>
      <c r="D31" s="212"/>
      <c r="E31" s="210"/>
      <c r="F31" s="211"/>
      <c r="G31" s="184"/>
      <c r="H31" s="193"/>
      <c r="I31" s="194"/>
      <c r="J31" s="195"/>
    </row>
    <row r="32" spans="1:10" ht="15.75" thickBot="1">
      <c r="A32" s="184"/>
      <c r="B32" s="182"/>
      <c r="C32" s="183"/>
      <c r="D32" s="212"/>
      <c r="E32" s="210"/>
      <c r="F32" s="211"/>
      <c r="G32" s="184"/>
      <c r="H32" s="193"/>
      <c r="I32" s="194"/>
      <c r="J32" s="195"/>
    </row>
    <row r="33" spans="1:10" ht="15.75" thickBot="1">
      <c r="A33" s="184"/>
      <c r="B33" s="182"/>
      <c r="C33" s="183"/>
      <c r="D33" s="212"/>
      <c r="E33" s="210"/>
      <c r="F33" s="211"/>
      <c r="G33" s="184"/>
      <c r="H33" s="193"/>
      <c r="I33" s="194"/>
      <c r="J33" s="195"/>
    </row>
    <row r="34" spans="1:10" ht="15.75" thickBot="1">
      <c r="A34" s="184"/>
      <c r="B34" s="182"/>
      <c r="C34" s="183"/>
      <c r="D34" s="212"/>
      <c r="E34" s="210"/>
      <c r="F34" s="211"/>
      <c r="G34" s="184"/>
      <c r="H34" s="193"/>
      <c r="I34" s="194"/>
      <c r="J34" s="195"/>
    </row>
    <row r="35" spans="1:10" ht="15.75" thickBot="1">
      <c r="A35" s="184"/>
      <c r="B35" s="182"/>
      <c r="C35" s="183"/>
      <c r="D35" s="212"/>
      <c r="E35" s="210"/>
      <c r="F35" s="211"/>
      <c r="G35" s="184"/>
      <c r="H35" s="193"/>
      <c r="I35" s="194"/>
      <c r="J35" s="195"/>
    </row>
    <row r="36" spans="1:10" ht="15.75" thickBot="1">
      <c r="A36" s="184"/>
      <c r="B36" s="182"/>
      <c r="C36" s="183"/>
      <c r="D36" s="212"/>
      <c r="E36" s="210"/>
      <c r="F36" s="211"/>
      <c r="G36" s="184"/>
      <c r="H36" s="193"/>
      <c r="I36" s="194"/>
      <c r="J36" s="195"/>
    </row>
    <row r="37" spans="1:10" ht="15.75" thickBot="1">
      <c r="A37" s="184"/>
      <c r="B37" s="182"/>
      <c r="C37" s="183"/>
      <c r="D37" s="212"/>
      <c r="E37" s="210"/>
      <c r="F37" s="211"/>
      <c r="G37" s="184"/>
      <c r="H37" s="193"/>
      <c r="I37" s="194"/>
      <c r="J37" s="195"/>
    </row>
    <row r="38" spans="1:10" ht="15.75" thickBot="1">
      <c r="A38" s="184"/>
      <c r="B38" s="182"/>
      <c r="C38" s="183"/>
      <c r="D38" s="212"/>
      <c r="E38" s="210"/>
      <c r="F38" s="211"/>
      <c r="G38" s="184"/>
      <c r="H38" s="193"/>
      <c r="I38" s="194"/>
      <c r="J38" s="195"/>
    </row>
    <row r="39" spans="1:10" ht="15.75" thickBot="1">
      <c r="A39" s="184"/>
      <c r="B39" s="182"/>
      <c r="C39" s="183"/>
      <c r="D39" s="212"/>
      <c r="E39" s="210"/>
      <c r="F39" s="211"/>
      <c r="G39" s="184"/>
      <c r="H39" s="193"/>
      <c r="I39" s="194"/>
      <c r="J39" s="195"/>
    </row>
    <row r="40" spans="1:10" ht="15.75" thickBot="1">
      <c r="A40" s="184"/>
      <c r="B40" s="182"/>
      <c r="C40" s="183"/>
      <c r="D40" s="212"/>
      <c r="E40" s="210"/>
      <c r="F40" s="211"/>
      <c r="G40" s="184"/>
      <c r="H40" s="193"/>
      <c r="I40" s="194"/>
      <c r="J40" s="195"/>
    </row>
    <row r="41" spans="1:10" ht="15.75" thickBot="1">
      <c r="A41" s="184"/>
      <c r="B41" s="182"/>
      <c r="C41" s="183"/>
      <c r="D41" s="212"/>
      <c r="E41" s="210"/>
      <c r="F41" s="211"/>
      <c r="G41" s="184"/>
      <c r="H41" s="193"/>
      <c r="I41" s="194"/>
      <c r="J41" s="195"/>
    </row>
    <row r="42" spans="1:10" ht="15.75" thickBot="1">
      <c r="A42" s="184"/>
      <c r="B42" s="182"/>
      <c r="C42" s="183"/>
      <c r="D42" s="212"/>
      <c r="E42" s="210"/>
      <c r="F42" s="211"/>
      <c r="G42" s="184"/>
      <c r="H42" s="193"/>
      <c r="I42" s="194"/>
      <c r="J42" s="195"/>
    </row>
    <row r="43" spans="1:10" ht="15.75" thickBot="1">
      <c r="A43" s="184"/>
      <c r="B43" s="182"/>
      <c r="C43" s="183"/>
      <c r="D43" s="212"/>
      <c r="E43" s="210"/>
      <c r="F43" s="211"/>
      <c r="G43" s="184"/>
      <c r="H43" s="193"/>
      <c r="I43" s="194"/>
      <c r="J43" s="195"/>
    </row>
    <row r="44" spans="1:10" ht="15.75" thickBot="1">
      <c r="A44" s="184"/>
      <c r="B44" s="182"/>
      <c r="C44" s="183"/>
      <c r="D44" s="212"/>
      <c r="E44" s="210"/>
      <c r="F44" s="211"/>
      <c r="G44" s="184"/>
      <c r="H44" s="193"/>
      <c r="I44" s="194"/>
      <c r="J44" s="195"/>
    </row>
    <row r="45" spans="1:10" ht="15.75" thickBot="1">
      <c r="A45" s="184"/>
      <c r="B45" s="182"/>
      <c r="C45" s="183"/>
      <c r="D45" s="212"/>
      <c r="E45" s="210"/>
      <c r="F45" s="211"/>
      <c r="G45" s="184"/>
      <c r="H45" s="193"/>
      <c r="I45" s="194"/>
      <c r="J45" s="195"/>
    </row>
    <row r="46" spans="1:10" ht="15.75" thickBot="1">
      <c r="A46" s="184"/>
      <c r="B46" s="182"/>
      <c r="C46" s="183"/>
      <c r="D46" s="212"/>
      <c r="E46" s="210"/>
      <c r="F46" s="211"/>
      <c r="G46" s="184"/>
      <c r="H46" s="193"/>
      <c r="I46" s="194"/>
      <c r="J46" s="195"/>
    </row>
    <row r="47" spans="1:10" ht="15.75" thickBot="1">
      <c r="A47" s="184"/>
      <c r="B47" s="182"/>
      <c r="C47" s="183"/>
      <c r="D47" s="212"/>
      <c r="E47" s="210"/>
      <c r="F47" s="211"/>
      <c r="G47" s="184"/>
      <c r="H47" s="193"/>
      <c r="I47" s="194"/>
      <c r="J47" s="195"/>
    </row>
    <row r="48" spans="1:10" ht="15.75" thickBot="1">
      <c r="A48" s="184"/>
      <c r="B48" s="182"/>
      <c r="C48" s="183"/>
      <c r="D48" s="212"/>
      <c r="E48" s="210"/>
      <c r="F48" s="211"/>
      <c r="G48" s="184"/>
      <c r="H48" s="193"/>
      <c r="I48" s="194"/>
      <c r="J48" s="195"/>
    </row>
    <row r="49" spans="1:10" ht="15.75" thickBot="1">
      <c r="A49" s="184"/>
      <c r="B49" s="182"/>
      <c r="C49" s="183"/>
      <c r="D49" s="212"/>
      <c r="E49" s="210"/>
      <c r="F49" s="211"/>
      <c r="G49" s="184"/>
      <c r="H49" s="193"/>
      <c r="I49" s="194"/>
      <c r="J49" s="195"/>
    </row>
    <row r="50" spans="1:10" ht="15.75" thickBot="1">
      <c r="A50" s="184"/>
      <c r="B50" s="182"/>
      <c r="C50" s="183"/>
      <c r="D50" s="212"/>
      <c r="E50" s="210"/>
      <c r="F50" s="211"/>
      <c r="G50" s="184"/>
      <c r="H50" s="193"/>
      <c r="I50" s="194"/>
      <c r="J50" s="195"/>
    </row>
    <row r="51" spans="1:10" ht="15.75" thickBot="1">
      <c r="A51" s="184"/>
      <c r="B51" s="182"/>
      <c r="C51" s="183"/>
      <c r="D51" s="212"/>
      <c r="E51" s="210"/>
      <c r="F51" s="211"/>
      <c r="G51" s="184"/>
      <c r="H51" s="193"/>
      <c r="I51" s="194"/>
      <c r="J51" s="195"/>
    </row>
    <row r="52" spans="1:10" ht="15.75" thickBot="1">
      <c r="A52" s="184"/>
      <c r="B52" s="182"/>
      <c r="C52" s="183"/>
      <c r="D52" s="212"/>
      <c r="E52" s="210"/>
      <c r="F52" s="211"/>
      <c r="G52" s="184"/>
      <c r="H52" s="193"/>
      <c r="I52" s="194"/>
      <c r="J52" s="195"/>
    </row>
    <row r="53" spans="1:10" ht="15">
      <c r="A53" s="185"/>
      <c r="B53" s="186"/>
      <c r="C53" s="187"/>
      <c r="D53" s="213"/>
      <c r="E53" s="214"/>
      <c r="F53" s="215"/>
      <c r="G53" s="185"/>
      <c r="H53" s="196"/>
      <c r="I53" s="197"/>
      <c r="J53" s="198"/>
    </row>
    <row r="54" spans="1:10" ht="15">
      <c r="A54" s="185"/>
      <c r="B54" s="186"/>
      <c r="C54" s="187"/>
      <c r="F54" s="215"/>
      <c r="J54" s="198"/>
    </row>
    <row r="55" spans="1:10" ht="15">
      <c r="A55" s="185"/>
      <c r="B55" s="186"/>
      <c r="C55" s="187"/>
      <c r="F55" s="215"/>
      <c r="J55" s="198"/>
    </row>
    <row r="56" spans="1:10" ht="15">
      <c r="A56" s="185"/>
      <c r="B56" s="186"/>
      <c r="C56" s="187"/>
      <c r="F56" s="215"/>
      <c r="J56" s="198"/>
    </row>
    <row r="57" spans="1:10" ht="15">
      <c r="A57" s="425">
        <v>2009</v>
      </c>
      <c r="B57" s="426"/>
      <c r="C57" s="427"/>
      <c r="D57" s="218">
        <f>SUM(D1:D56)</f>
        <v>194</v>
      </c>
      <c r="E57" s="219">
        <f>SUM(E1:E56)</f>
        <v>30919589</v>
      </c>
      <c r="F57" s="220">
        <f>SUM(F1:F56)</f>
        <v>3777063</v>
      </c>
      <c r="G57" s="201"/>
      <c r="H57" s="202">
        <f>SUM(H1:H56)</f>
        <v>18051474</v>
      </c>
      <c r="I57" s="203">
        <f>SUM(I1:I56)</f>
        <v>2383700</v>
      </c>
      <c r="J57" s="204">
        <f>SUM(I57/F57)</f>
        <v>0.6310988193736774</v>
      </c>
    </row>
    <row r="58" spans="1:10" s="123" customFormat="1" ht="15">
      <c r="A58" s="428"/>
      <c r="B58" s="429"/>
      <c r="C58" s="430"/>
      <c r="D58" s="221"/>
      <c r="E58" s="214"/>
      <c r="F58" s="215"/>
      <c r="G58" s="185"/>
      <c r="H58" s="196"/>
      <c r="I58" s="197"/>
      <c r="J58" s="198"/>
    </row>
    <row r="59" spans="1:10" ht="15">
      <c r="A59" s="185"/>
      <c r="B59" s="186"/>
      <c r="C59" s="187"/>
      <c r="D59" s="213"/>
      <c r="E59" s="214"/>
      <c r="F59" s="215"/>
      <c r="G59" s="185"/>
      <c r="H59" s="196"/>
      <c r="I59" s="197"/>
      <c r="J59" s="198"/>
    </row>
    <row r="60" spans="1:10" ht="15.75" thickBot="1">
      <c r="A60" s="188"/>
      <c r="B60" s="189"/>
      <c r="C60" s="190"/>
      <c r="D60" s="222"/>
      <c r="E60" s="223"/>
      <c r="F60" s="224"/>
      <c r="G60" s="188"/>
      <c r="H60" s="205"/>
      <c r="I60" s="206"/>
      <c r="J60" s="207"/>
    </row>
    <row r="63" ht="15">
      <c r="H63" s="200"/>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2009-01-31T07:51:04Z</dcterms:modified>
  <cp:category/>
  <cp:version/>
  <cp:contentType/>
  <cp:contentStatus/>
</cp:coreProperties>
</file>