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5-21 May' '09 (WK 20)" sheetId="1" r:id="rId1"/>
    <sheet name="02 Jan'-21 May'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Jan''-21 May'' ''09 (Annual)'!$A$5:$J$8</definedName>
    <definedName name="_xlnm.Print_Area" localSheetId="0">'15-21 May' '09 (WK 20)'!$A$1:$O$94</definedName>
  </definedNames>
  <calcPr fullCalcOnLoad="1"/>
</workbook>
</file>

<file path=xl/sharedStrings.xml><?xml version="1.0" encoding="utf-8"?>
<sst xmlns="http://schemas.openxmlformats.org/spreadsheetml/2006/main" count="1879" uniqueCount="386">
  <si>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</si>
  <si>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</si>
  <si>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</si>
  <si>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</si>
  <si>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</si>
  <si>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</si>
  <si>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</si>
  <si>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</si>
  <si>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</si>
  <si>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</si>
  <si>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</si>
  <si>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</si>
  <si>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</si>
  <si>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</si>
  <si>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</si>
  <si>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</si>
  <si>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</si>
  <si>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</si>
  <si>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</si>
  <si>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</si>
  <si>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</si>
  <si>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</si>
  <si>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</si>
  <si>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</si>
  <si>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</si>
  <si>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</si>
  <si>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</si>
  <si>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</si>
  <si>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</si>
  <si>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</si>
  <si>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</si>
  <si>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</si>
  <si>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</si>
  <si>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</si>
  <si>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</si>
  <si>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</si>
  <si>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</si>
  <si>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</si>
  <si>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</si>
  <si>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</si>
  <si>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</si>
  <si>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</si>
  <si>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</si>
  <si>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</si>
  <si>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</si>
  <si>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</si>
  <si>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</si>
  <si>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</si>
  <si>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</si>
  <si>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</si>
  <si>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</si>
  <si>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</si>
  <si>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</si>
  <si>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</si>
  <si>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</si>
  <si>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</si>
  <si>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</si>
  <si>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</si>
  <si>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</si>
  <si>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</si>
  <si>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</si>
  <si>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</si>
  <si>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</si>
  <si>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</si>
  <si>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</si>
  <si>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</si>
  <si>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</si>
  <si>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</si>
  <si>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</si>
  <si>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</si>
  <si>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</si>
  <si>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</si>
  <si>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</si>
  <si>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</si>
  <si>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</si>
  <si>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</si>
  <si>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</si>
  <si>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</si>
  <si>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</si>
  <si>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</si>
  <si>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</si>
  <si>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</si>
  <si>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</si>
  <si>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</si>
  <si>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</si>
  <si>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</si>
  <si>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</si>
  <si>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</si>
  <si>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</si>
  <si>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</si>
  <si>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</si>
  <si>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</si>
  <si>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</si>
  <si>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</si>
  <si>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</si>
  <si>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</si>
  <si>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</si>
  <si>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</si>
  <si>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</si>
  <si>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</si>
  <si>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</si>
  <si>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</si>
  <si>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</si>
  <si>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</si>
  <si>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</si>
  <si>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</si>
  <si>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</si>
  <si>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</si>
  <si>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</si>
  <si>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</si>
  <si>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</si>
  <si>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</si>
  <si>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</si>
  <si>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</si>
  <si>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</si>
  <si>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</si>
  <si>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</si>
  <si>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</si>
  <si>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</si>
  <si>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</si>
  <si>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</si>
  <si>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</si>
  <si>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</si>
  <si>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</si>
  <si>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</si>
  <si>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</si>
  <si>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</si>
  <si>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</si>
  <si>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</si>
  <si>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</si>
  <si>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</si>
  <si>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</si>
  <si>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</si>
  <si>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</si>
  <si>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</si>
  <si>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</si>
  <si>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</si>
  <si>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</si>
  <si>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</si>
  <si>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</si>
  <si>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</si>
  <si>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</si>
  <si>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</si>
  <si>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</si>
  <si>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</si>
  <si>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</si>
  <si>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</si>
  <si>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</si>
  <si>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</si>
  <si>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</si>
  <si>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</si>
  <si>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</si>
  <si>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</si>
  <si>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</si>
  <si>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</si>
  <si>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</si>
  <si>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</si>
  <si>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</si>
  <si>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</si>
  <si>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</si>
  <si>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</si>
  <si>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</si>
  <si>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</si>
  <si>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</si>
  <si>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</si>
  <si>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</si>
  <si>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</si>
  <si>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</si>
  <si>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</si>
  <si>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</si>
  <si>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</si>
  <si>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</si>
  <si>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</si>
  <si>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</si>
  <si>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</si>
  <si>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</si>
  <si>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</si>
  <si>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</si>
  <si>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</si>
  <si>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</si>
  <si>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</si>
  <si>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</si>
  <si>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</si>
  <si>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</si>
  <si>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</si>
  <si>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</si>
  <si>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</si>
  <si>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</si>
  <si>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</si>
  <si>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</si>
  <si>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</si>
  <si>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</si>
  <si>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</si>
  <si>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</si>
  <si>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</si>
  <si>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</si>
  <si>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</si>
  <si>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</si>
  <si>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</si>
  <si>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</si>
  <si>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</si>
  <si>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</si>
  <si>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</si>
  <si>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</si>
  <si>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</si>
  <si>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</si>
  <si>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</si>
  <si>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</si>
  <si>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</si>
  <si>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</si>
  <si>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</si>
  <si>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</si>
  <si>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</si>
  <si>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</si>
  <si>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</si>
  <si>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</si>
  <si>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</si>
  <si>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</si>
  <si>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</si>
  <si>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</si>
  <si>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</si>
  <si>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</si>
  <si>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</si>
  <si>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</si>
  <si>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</si>
  <si>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</si>
  <si>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</si>
  <si>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</si>
  <si>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</si>
  <si>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</si>
  <si>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</si>
  <si>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</si>
  <si>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YAŞAM ARSIZI</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</si>
  <si>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</si>
  <si>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</si>
  <si>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</si>
  <si>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</si>
  <si>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</si>
  <si>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</si>
  <si>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</si>
  <si>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</si>
  <si>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</si>
  <si>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</si>
  <si>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</si>
  <si>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</si>
  <si>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</si>
  <si>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</si>
  <si>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</si>
  <si>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</si>
  <si>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</si>
  <si>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</si>
  <si>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</si>
  <si>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</si>
  <si>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</si>
  <si>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</si>
  <si>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</si>
  <si>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</si>
  <si>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</si>
  <si>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</si>
  <si>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</si>
  <si>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</si>
  <si>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</si>
  <si>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</si>
  <si>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</si>
  <si>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</si>
  <si>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</si>
  <si>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</si>
  <si>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</si>
  <si>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</si>
  <si>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</si>
  <si>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</si>
  <si>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</si>
  <si>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</si>
  <si>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</si>
  <si>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</si>
  <si>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</si>
  <si>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FAST AND THE FURIOUS, THE</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</si>
  <si>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</si>
  <si>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</si>
  <si>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</si>
  <si>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</si>
  <si>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</si>
  <si>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</si>
  <si>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</si>
  <si>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</si>
  <si>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</si>
  <si>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</si>
  <si>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</si>
  <si>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</si>
  <si>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</si>
  <si>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</si>
  <si>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</si>
  <si>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</si>
  <si>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</si>
  <si>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</si>
  <si>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</si>
  <si>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</si>
  <si>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</si>
  <si>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</si>
  <si>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</si>
  <si>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</si>
  <si>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</si>
  <si>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</si>
  <si>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</si>
  <si>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</si>
  <si>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</si>
  <si>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</si>
  <si>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</si>
  <si>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</si>
  <si>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</si>
  <si>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</si>
  <si>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</si>
  <si>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</si>
  <si>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</si>
  <si>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</si>
  <si>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</si>
  <si>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</si>
  <si>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</si>
  <si>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</si>
  <si>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</si>
  <si>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</si>
  <si>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</si>
  <si>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</si>
  <si>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</si>
  <si>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</si>
  <si>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SAN FILM</t>
  </si>
  <si>
    <t>GÖKTEN 3 ELMA DÜŞTÜ</t>
  </si>
  <si>
    <t>UNBORN, THE</t>
  </si>
  <si>
    <t>FIDA FILM-AKSOY YAPIM</t>
  </si>
  <si>
    <t>TAKEN</t>
  </si>
  <si>
    <t>FIREFLIES IN THE GARDEN</t>
  </si>
  <si>
    <t>GULERYUZ FILM</t>
  </si>
  <si>
    <t>01-07</t>
  </si>
  <si>
    <t>May</t>
  </si>
  <si>
    <t>X-MEN ORIGINS: WOLVERINE</t>
  </si>
  <si>
    <t>KELEBEK</t>
  </si>
  <si>
    <t>SANAI NEFISE</t>
  </si>
  <si>
    <t>SADDAM'IN ASKERLERİ</t>
  </si>
  <si>
    <t>CINEGROUP</t>
  </si>
  <si>
    <t>7.SANAT</t>
  </si>
  <si>
    <t>MARTYRS</t>
  </si>
  <si>
    <t xml:space="preserve">BIR FILM   </t>
  </si>
  <si>
    <t>BENİM VE ROZ'UN SONBAHARI</t>
  </si>
  <si>
    <t>GALA AJANS</t>
  </si>
  <si>
    <t>JONAS BROTHERS CONSERT</t>
  </si>
  <si>
    <t>RUMBA</t>
  </si>
  <si>
    <t>FIDA</t>
  </si>
  <si>
    <t>OZEN-HERMES</t>
  </si>
  <si>
    <t>WAVE, THE</t>
  </si>
  <si>
    <t>CELLULOID DREAMS</t>
  </si>
  <si>
    <t xml:space="preserve">YAPIM 13 </t>
  </si>
  <si>
    <t>UN GIORNO PERFETTO</t>
  </si>
  <si>
    <t>IRINA PALM</t>
  </si>
  <si>
    <t>DENK AJANS</t>
  </si>
  <si>
    <t>08-14</t>
  </si>
  <si>
    <t>STAR TREK</t>
  </si>
  <si>
    <t>CRANK 2: HIGH VOLTAGE</t>
  </si>
  <si>
    <t>USTA</t>
  </si>
  <si>
    <t>FILMPARK</t>
  </si>
  <si>
    <t>CLIVE BARKER'S BOOK OF BLOOD</t>
  </si>
  <si>
    <t>MILK</t>
  </si>
  <si>
    <t>MONSTERS VS. ALIENS</t>
  </si>
  <si>
    <t>NOKTA</t>
  </si>
  <si>
    <t>MARATHON-SARMASIK SANATLAR</t>
  </si>
  <si>
    <t>IGOR</t>
  </si>
  <si>
    <t>ALİ'NİN SEKİZ GÜNÜ</t>
  </si>
  <si>
    <t>OZEN-AKSOY</t>
  </si>
  <si>
    <t>NU IMAGE FILMS</t>
  </si>
  <si>
    <t>IT'S A BOY GIRL THING</t>
  </si>
  <si>
    <t>ICON</t>
  </si>
  <si>
    <r>
      <t xml:space="preserve">2009 Türkiye Annual Box Office Report  </t>
    </r>
    <r>
      <rPr>
        <sz val="16"/>
        <rFont val="Impact"/>
        <family val="0"/>
      </rPr>
      <t>02 January-21  May 2009</t>
    </r>
  </si>
  <si>
    <t>15-21</t>
  </si>
  <si>
    <r>
      <t>2009 Türkiye Ex Years Releases Annual Box Office Report</t>
    </r>
    <r>
      <rPr>
        <b/>
        <sz val="26"/>
        <rFont val="Impact"/>
        <family val="2"/>
      </rPr>
      <t xml:space="preserve">  </t>
    </r>
    <r>
      <rPr>
        <b/>
        <sz val="16"/>
        <rFont val="Impact"/>
        <family val="2"/>
      </rPr>
      <t>02 January-21 May 2009</t>
    </r>
  </si>
  <si>
    <t>ANGELS &amp; DEMONS</t>
  </si>
  <si>
    <t>ADAB-I MUAŞERET</t>
  </si>
  <si>
    <t>YERLI FILM</t>
  </si>
  <si>
    <t>CORALINE</t>
  </si>
  <si>
    <t>HANNAH MONTANA</t>
  </si>
  <si>
    <t>MOMMO KIZ KARDESIM</t>
  </si>
  <si>
    <t>SUNSHINE BARRY AND THE DISCO WORMS</t>
  </si>
  <si>
    <t>HOW TO LOSE AND ALIENATE</t>
  </si>
  <si>
    <t>3</t>
  </si>
  <si>
    <t>7</t>
  </si>
  <si>
    <t>NOCTURNA</t>
  </si>
  <si>
    <t>DEATH RACE</t>
  </si>
  <si>
    <t>SPOTFILM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</si>
</sst>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3">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5"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200" fontId="11" fillId="0" borderId="11" xfId="0" applyNumberFormat="1" applyFont="1" applyFill="1" applyBorder="1" applyAlignment="1">
      <alignment horizontal="right" vertical="center"/>
    </xf>
    <xf numFmtId="192" fontId="11" fillId="0" borderId="11"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24" xfId="0" applyNumberFormat="1" applyFont="1" applyFill="1" applyBorder="1" applyAlignment="1">
      <alignment horizontal="right" vertical="center"/>
    </xf>
    <xf numFmtId="200" fontId="28" fillId="0" borderId="38"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23"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28" fillId="0" borderId="0" xfId="0" applyFont="1" applyFill="1" applyAlignment="1">
      <alignment horizontal="center"/>
    </xf>
    <xf numFmtId="193" fontId="11" fillId="0" borderId="24" xfId="0" applyNumberFormat="1" applyFont="1" applyFill="1" applyBorder="1" applyAlignment="1">
      <alignment vertical="center"/>
    </xf>
    <xf numFmtId="192" fontId="11" fillId="0" borderId="24" xfId="0" applyNumberFormat="1" applyFont="1" applyFill="1" applyBorder="1" applyAlignment="1">
      <alignment horizontal="right" vertical="center"/>
    </xf>
    <xf numFmtId="200" fontId="11" fillId="0" borderId="24" xfId="0" applyNumberFormat="1" applyFont="1" applyFill="1" applyBorder="1" applyAlignment="1">
      <alignment horizontal="right" vertical="center"/>
    </xf>
    <xf numFmtId="0" fontId="13" fillId="0" borderId="37" xfId="0" applyFont="1" applyBorder="1" applyAlignment="1" applyProtection="1">
      <alignment horizontal="center" vertical="center"/>
      <protection locked="0"/>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2" xfId="0" applyFont="1" applyFill="1" applyBorder="1" applyAlignment="1">
      <alignment horizontal="right" vertical="center"/>
    </xf>
    <xf numFmtId="0" fontId="0" fillId="0" borderId="43"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4" xfId="0" applyNumberFormat="1" applyFont="1" applyFill="1" applyBorder="1" applyAlignment="1" applyProtection="1">
      <alignment horizontal="center" vertical="center" wrapText="1"/>
      <protection/>
    </xf>
    <xf numFmtId="0" fontId="0" fillId="0" borderId="45" xfId="0" applyBorder="1" applyAlignment="1">
      <alignment/>
    </xf>
    <xf numFmtId="0" fontId="0" fillId="0" borderId="46" xfId="0" applyBorder="1" applyAlignment="1">
      <alignment/>
    </xf>
    <xf numFmtId="0" fontId="22" fillId="0" borderId="47" xfId="0" applyNumberFormat="1" applyFont="1" applyFill="1" applyBorder="1" applyAlignment="1" applyProtection="1">
      <alignment horizontal="center" vertical="center" wrapText="1"/>
      <protection/>
    </xf>
    <xf numFmtId="0" fontId="0" fillId="0" borderId="48" xfId="0" applyBorder="1" applyAlignment="1">
      <alignment/>
    </xf>
    <xf numFmtId="171" fontId="22" fillId="0" borderId="47" xfId="42" applyFont="1" applyFill="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4" fontId="22" fillId="0" borderId="44"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4" fontId="22" fillId="0" borderId="49" xfId="0" applyNumberFormat="1" applyFont="1" applyFill="1" applyBorder="1" applyAlignment="1" applyProtection="1">
      <alignment horizontal="center" vertical="center" wrapText="1"/>
      <protection/>
    </xf>
    <xf numFmtId="184" fontId="22" fillId="0" borderId="47" xfId="0" applyNumberFormat="1" applyFont="1" applyFill="1" applyBorder="1" applyAlignment="1" applyProtection="1">
      <alignment horizontal="center" vertical="center" wrapText="1"/>
      <protection/>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4" xfId="0" applyNumberFormat="1" applyFont="1" applyFill="1" applyBorder="1" applyAlignment="1" applyProtection="1">
      <alignment horizontal="center" vertical="center" wrapText="1"/>
      <protection/>
    </xf>
    <xf numFmtId="0" fontId="22" fillId="0" borderId="49"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5" xfId="0" applyNumberFormat="1"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6" xfId="42" applyFont="1" applyFill="1" applyBorder="1" applyAlignment="1" applyProtection="1">
      <alignment horizontal="center" vertical="center" wrapText="1"/>
      <protection/>
    </xf>
    <xf numFmtId="0" fontId="9" fillId="0" borderId="57"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7" xfId="0" applyNumberFormat="1" applyFont="1" applyFill="1" applyBorder="1" applyAlignment="1" applyProtection="1">
      <alignment horizontal="center" vertical="center" wrapText="1"/>
      <protection/>
    </xf>
    <xf numFmtId="0" fontId="9" fillId="0" borderId="48"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8"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20
</a:t>
          </a:r>
          <a:r>
            <a:rPr lang="en-US" cap="none" sz="2000" b="0" i="0" u="none" baseline="0">
              <a:solidFill>
                <a:srgbClr val="000000"/>
              </a:solidFill>
              <a:latin typeface="Impact"/>
              <a:ea typeface="Impact"/>
              <a:cs typeface="Impact"/>
            </a:rPr>
            <a:t>15-21 MAY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Q1" sqref="Q1"/>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42187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384" t="s">
        <v>125</v>
      </c>
      <c r="B2" s="385"/>
      <c r="C2" s="385"/>
      <c r="D2" s="385"/>
      <c r="E2" s="385"/>
      <c r="F2" s="385"/>
      <c r="G2" s="385"/>
      <c r="H2" s="385"/>
      <c r="I2" s="385"/>
      <c r="J2" s="385"/>
      <c r="K2" s="385"/>
      <c r="L2" s="385"/>
      <c r="M2" s="385"/>
      <c r="N2" s="385"/>
      <c r="O2" s="385"/>
      <c r="P2" s="319"/>
    </row>
    <row r="3" spans="1:16" s="91" customFormat="1" ht="16.5">
      <c r="A3" s="28"/>
      <c r="B3" s="391" t="s">
        <v>3</v>
      </c>
      <c r="C3" s="396" t="s">
        <v>113</v>
      </c>
      <c r="D3" s="392" t="s">
        <v>129</v>
      </c>
      <c r="E3" s="392" t="s">
        <v>128</v>
      </c>
      <c r="F3" s="389" t="s">
        <v>114</v>
      </c>
      <c r="G3" s="389" t="s">
        <v>121</v>
      </c>
      <c r="H3" s="389" t="s">
        <v>123</v>
      </c>
      <c r="I3" s="393" t="s">
        <v>115</v>
      </c>
      <c r="J3" s="394"/>
      <c r="K3" s="394"/>
      <c r="L3" s="395"/>
      <c r="M3" s="386" t="s">
        <v>116</v>
      </c>
      <c r="N3" s="387"/>
      <c r="O3" s="388"/>
      <c r="P3" s="320"/>
    </row>
    <row r="4" spans="1:16" s="91" customFormat="1" ht="48" customHeight="1" thickBot="1">
      <c r="A4" s="84"/>
      <c r="B4" s="390"/>
      <c r="C4" s="390"/>
      <c r="D4" s="390"/>
      <c r="E4" s="390"/>
      <c r="F4" s="390"/>
      <c r="G4" s="390"/>
      <c r="H4" s="390"/>
      <c r="I4" s="118" t="s">
        <v>117</v>
      </c>
      <c r="J4" s="92" t="s">
        <v>118</v>
      </c>
      <c r="K4" s="92" t="s">
        <v>101</v>
      </c>
      <c r="L4" s="51" t="s">
        <v>119</v>
      </c>
      <c r="M4" s="118" t="s">
        <v>117</v>
      </c>
      <c r="N4" s="92" t="s">
        <v>118</v>
      </c>
      <c r="O4" s="52" t="s">
        <v>120</v>
      </c>
      <c r="P4" s="320"/>
    </row>
    <row r="5" spans="1:16" s="3" customFormat="1" ht="15">
      <c r="A5" s="63">
        <v>1</v>
      </c>
      <c r="B5" s="369" t="s">
        <v>373</v>
      </c>
      <c r="C5" s="163">
        <v>39948</v>
      </c>
      <c r="D5" s="334" t="s">
        <v>130</v>
      </c>
      <c r="E5" s="334" t="s">
        <v>63</v>
      </c>
      <c r="F5" s="335">
        <v>187</v>
      </c>
      <c r="G5" s="335">
        <v>355</v>
      </c>
      <c r="H5" s="335">
        <v>1</v>
      </c>
      <c r="I5" s="365">
        <v>2480079</v>
      </c>
      <c r="J5" s="336">
        <v>274361</v>
      </c>
      <c r="K5" s="373">
        <f aca="true" t="shared" si="0" ref="K5:K10">J5/G5</f>
        <v>772.8478873239436</v>
      </c>
      <c r="L5" s="374">
        <f aca="true" t="shared" si="1" ref="L5:L15">I5/J5</f>
        <v>9.039473540335543</v>
      </c>
      <c r="M5" s="375">
        <v>2480079</v>
      </c>
      <c r="N5" s="373">
        <v>274361</v>
      </c>
      <c r="O5" s="357">
        <f aca="true" t="shared" si="2" ref="O5:O10">+M5/N5</f>
        <v>9.039473540335543</v>
      </c>
      <c r="P5" s="321"/>
    </row>
    <row r="6" spans="1:16" s="3" customFormat="1" ht="15">
      <c r="A6" s="63">
        <v>2</v>
      </c>
      <c r="B6" s="368" t="s">
        <v>374</v>
      </c>
      <c r="C6" s="39">
        <v>39948</v>
      </c>
      <c r="D6" s="44" t="s">
        <v>136</v>
      </c>
      <c r="E6" s="44" t="s">
        <v>375</v>
      </c>
      <c r="F6" s="41">
        <v>151</v>
      </c>
      <c r="G6" s="41">
        <v>151</v>
      </c>
      <c r="H6" s="41">
        <v>1</v>
      </c>
      <c r="I6" s="263">
        <v>276391.25</v>
      </c>
      <c r="J6" s="308">
        <v>38179</v>
      </c>
      <c r="K6" s="155">
        <f t="shared" si="0"/>
        <v>252.841059602649</v>
      </c>
      <c r="L6" s="356">
        <f t="shared" si="1"/>
        <v>7.239352785562744</v>
      </c>
      <c r="M6" s="267">
        <v>276391.25</v>
      </c>
      <c r="N6" s="155">
        <v>38179</v>
      </c>
      <c r="O6" s="358">
        <f t="shared" si="2"/>
        <v>7.239352785562744</v>
      </c>
      <c r="P6" s="321">
        <v>1</v>
      </c>
    </row>
    <row r="7" spans="1:16" s="3" customFormat="1" ht="15.75" thickBot="1">
      <c r="A7" s="353">
        <v>3</v>
      </c>
      <c r="B7" s="370" t="s">
        <v>376</v>
      </c>
      <c r="C7" s="337">
        <v>39948</v>
      </c>
      <c r="D7" s="338" t="s">
        <v>131</v>
      </c>
      <c r="E7" s="338" t="s">
        <v>43</v>
      </c>
      <c r="F7" s="339">
        <v>46</v>
      </c>
      <c r="G7" s="339">
        <v>40</v>
      </c>
      <c r="H7" s="339">
        <v>1</v>
      </c>
      <c r="I7" s="366">
        <v>218508</v>
      </c>
      <c r="J7" s="340">
        <v>18610</v>
      </c>
      <c r="K7" s="355">
        <f t="shared" si="0"/>
        <v>465.25</v>
      </c>
      <c r="L7" s="360">
        <f t="shared" si="1"/>
        <v>11.741429339065018</v>
      </c>
      <c r="M7" s="359">
        <v>218508</v>
      </c>
      <c r="N7" s="355">
        <v>18610</v>
      </c>
      <c r="O7" s="361">
        <f t="shared" si="2"/>
        <v>11.741429339065018</v>
      </c>
      <c r="P7" s="321"/>
    </row>
    <row r="8" spans="1:16" s="3" customFormat="1" ht="15">
      <c r="A8" s="64">
        <v>4</v>
      </c>
      <c r="B8" s="371" t="s">
        <v>355</v>
      </c>
      <c r="C8" s="341">
        <v>39941</v>
      </c>
      <c r="D8" s="342" t="s">
        <v>131</v>
      </c>
      <c r="E8" s="342" t="s">
        <v>127</v>
      </c>
      <c r="F8" s="239">
        <v>80</v>
      </c>
      <c r="G8" s="239">
        <v>80</v>
      </c>
      <c r="H8" s="239">
        <v>2</v>
      </c>
      <c r="I8" s="367">
        <v>213908</v>
      </c>
      <c r="J8" s="302">
        <v>21044</v>
      </c>
      <c r="K8" s="246">
        <f t="shared" si="0"/>
        <v>263.05</v>
      </c>
      <c r="L8" s="363">
        <f t="shared" si="1"/>
        <v>10.164797567002472</v>
      </c>
      <c r="M8" s="362">
        <v>592024</v>
      </c>
      <c r="N8" s="246">
        <v>58074</v>
      </c>
      <c r="O8" s="364">
        <f t="shared" si="2"/>
        <v>10.194303819265075</v>
      </c>
      <c r="P8" s="321"/>
    </row>
    <row r="9" spans="1:16" s="7" customFormat="1" ht="15">
      <c r="A9" s="63">
        <v>5</v>
      </c>
      <c r="B9" s="368" t="s">
        <v>356</v>
      </c>
      <c r="C9" s="39">
        <v>39941</v>
      </c>
      <c r="D9" s="44" t="s">
        <v>130</v>
      </c>
      <c r="E9" s="44" t="s">
        <v>35</v>
      </c>
      <c r="F9" s="41">
        <v>79</v>
      </c>
      <c r="G9" s="41">
        <v>79</v>
      </c>
      <c r="H9" s="41">
        <v>2</v>
      </c>
      <c r="I9" s="263">
        <v>177730</v>
      </c>
      <c r="J9" s="308">
        <v>19511</v>
      </c>
      <c r="K9" s="155">
        <f t="shared" si="0"/>
        <v>246.9746835443038</v>
      </c>
      <c r="L9" s="356">
        <f t="shared" si="1"/>
        <v>9.109220439751935</v>
      </c>
      <c r="M9" s="267">
        <f>310645+177730</f>
        <v>488375</v>
      </c>
      <c r="N9" s="155">
        <f>33855+19511</f>
        <v>53366</v>
      </c>
      <c r="O9" s="358">
        <f t="shared" si="2"/>
        <v>9.151426001574036</v>
      </c>
      <c r="P9" s="321"/>
    </row>
    <row r="10" spans="1:16" s="7" customFormat="1" ht="15">
      <c r="A10" s="63">
        <v>6</v>
      </c>
      <c r="B10" s="368" t="s">
        <v>377</v>
      </c>
      <c r="C10" s="39">
        <v>39948</v>
      </c>
      <c r="D10" s="44" t="s">
        <v>131</v>
      </c>
      <c r="E10" s="44" t="s">
        <v>111</v>
      </c>
      <c r="F10" s="41">
        <v>33</v>
      </c>
      <c r="G10" s="41">
        <v>33</v>
      </c>
      <c r="H10" s="41">
        <v>1</v>
      </c>
      <c r="I10" s="263">
        <v>167773</v>
      </c>
      <c r="J10" s="308">
        <v>16095</v>
      </c>
      <c r="K10" s="155">
        <f t="shared" si="0"/>
        <v>487.72727272727275</v>
      </c>
      <c r="L10" s="356">
        <f t="shared" si="1"/>
        <v>10.423920472196334</v>
      </c>
      <c r="M10" s="267">
        <v>167773</v>
      </c>
      <c r="N10" s="155">
        <v>16095</v>
      </c>
      <c r="O10" s="358">
        <f t="shared" si="2"/>
        <v>10.423920472196334</v>
      </c>
      <c r="P10" s="321"/>
    </row>
    <row r="11" spans="1:16" s="7" customFormat="1" ht="15">
      <c r="A11" s="63">
        <v>7</v>
      </c>
      <c r="B11" s="368" t="s">
        <v>334</v>
      </c>
      <c r="C11" s="39">
        <v>39934</v>
      </c>
      <c r="D11" s="44" t="s">
        <v>134</v>
      </c>
      <c r="E11" s="44" t="s">
        <v>133</v>
      </c>
      <c r="F11" s="41">
        <v>110</v>
      </c>
      <c r="G11" s="41">
        <v>110</v>
      </c>
      <c r="H11" s="41">
        <v>3</v>
      </c>
      <c r="I11" s="263">
        <v>148808.75</v>
      </c>
      <c r="J11" s="308">
        <v>18690</v>
      </c>
      <c r="K11" s="155">
        <f>(J11/G11)</f>
        <v>169.9090909090909</v>
      </c>
      <c r="L11" s="356">
        <f t="shared" si="1"/>
        <v>7.961944890315677</v>
      </c>
      <c r="M11" s="267">
        <f>827831.75+302940.25+148808.75</f>
        <v>1279580.75</v>
      </c>
      <c r="N11" s="155">
        <f>84699+31917+18690</f>
        <v>135306</v>
      </c>
      <c r="O11" s="358">
        <f>M11/N11</f>
        <v>9.456940194817673</v>
      </c>
      <c r="P11" s="321"/>
    </row>
    <row r="12" spans="1:16" s="7" customFormat="1" ht="15">
      <c r="A12" s="63">
        <v>8</v>
      </c>
      <c r="B12" s="368" t="s">
        <v>357</v>
      </c>
      <c r="C12" s="39">
        <v>39941</v>
      </c>
      <c r="D12" s="44" t="s">
        <v>65</v>
      </c>
      <c r="E12" s="44" t="s">
        <v>358</v>
      </c>
      <c r="F12" s="41">
        <v>100</v>
      </c>
      <c r="G12" s="41">
        <v>100</v>
      </c>
      <c r="H12" s="41">
        <v>2</v>
      </c>
      <c r="I12" s="263">
        <v>145898.8</v>
      </c>
      <c r="J12" s="308">
        <v>18098</v>
      </c>
      <c r="K12" s="155">
        <f>J12/G12</f>
        <v>180.98</v>
      </c>
      <c r="L12" s="356">
        <f t="shared" si="1"/>
        <v>8.061597966626145</v>
      </c>
      <c r="M12" s="267">
        <v>379777.8</v>
      </c>
      <c r="N12" s="155">
        <v>46160</v>
      </c>
      <c r="O12" s="358">
        <f aca="true" t="shared" si="3" ref="O12:O19">+M12/N12</f>
        <v>8.227422010398612</v>
      </c>
      <c r="P12" s="321">
        <v>1</v>
      </c>
    </row>
    <row r="13" spans="1:16" s="7" customFormat="1" ht="15">
      <c r="A13" s="63">
        <v>9</v>
      </c>
      <c r="B13" s="368" t="s">
        <v>317</v>
      </c>
      <c r="C13" s="39">
        <v>39927</v>
      </c>
      <c r="D13" s="44" t="s">
        <v>131</v>
      </c>
      <c r="E13" s="44" t="s">
        <v>127</v>
      </c>
      <c r="F13" s="41">
        <v>80</v>
      </c>
      <c r="G13" s="41">
        <v>61</v>
      </c>
      <c r="H13" s="41">
        <v>4</v>
      </c>
      <c r="I13" s="263">
        <v>48927</v>
      </c>
      <c r="J13" s="308">
        <v>8153</v>
      </c>
      <c r="K13" s="155">
        <f>J13/G13</f>
        <v>133.65573770491804</v>
      </c>
      <c r="L13" s="356">
        <f t="shared" si="1"/>
        <v>6.001103888139335</v>
      </c>
      <c r="M13" s="267">
        <v>634318</v>
      </c>
      <c r="N13" s="155">
        <v>77729</v>
      </c>
      <c r="O13" s="358">
        <f t="shared" si="3"/>
        <v>8.160635026823964</v>
      </c>
      <c r="P13" s="321"/>
    </row>
    <row r="14" spans="1:16" s="7" customFormat="1" ht="15">
      <c r="A14" s="63">
        <v>10</v>
      </c>
      <c r="B14" s="368" t="s">
        <v>311</v>
      </c>
      <c r="C14" s="39">
        <v>39927</v>
      </c>
      <c r="D14" s="44" t="s">
        <v>130</v>
      </c>
      <c r="E14" s="44" t="s">
        <v>35</v>
      </c>
      <c r="F14" s="41">
        <v>65</v>
      </c>
      <c r="G14" s="41">
        <v>30</v>
      </c>
      <c r="H14" s="41">
        <v>4</v>
      </c>
      <c r="I14" s="263">
        <v>48116</v>
      </c>
      <c r="J14" s="308">
        <v>7216</v>
      </c>
      <c r="K14" s="155">
        <f>J14/G14</f>
        <v>240.53333333333333</v>
      </c>
      <c r="L14" s="356">
        <f t="shared" si="1"/>
        <v>6.667960088691796</v>
      </c>
      <c r="M14" s="267">
        <f>3712+629893+477797+215605+48116</f>
        <v>1375123</v>
      </c>
      <c r="N14" s="155">
        <f>232+63691+45920+21343+7216</f>
        <v>138402</v>
      </c>
      <c r="O14" s="358">
        <f t="shared" si="3"/>
        <v>9.935716246875046</v>
      </c>
      <c r="P14" s="321"/>
    </row>
    <row r="15" spans="1:16" s="7" customFormat="1" ht="15">
      <c r="A15" s="63">
        <v>11</v>
      </c>
      <c r="B15" s="368" t="s">
        <v>296</v>
      </c>
      <c r="C15" s="39">
        <v>39913</v>
      </c>
      <c r="D15" s="44" t="s">
        <v>130</v>
      </c>
      <c r="E15" s="44" t="s">
        <v>35</v>
      </c>
      <c r="F15" s="41">
        <v>102</v>
      </c>
      <c r="G15" s="41">
        <v>42</v>
      </c>
      <c r="H15" s="41">
        <v>6</v>
      </c>
      <c r="I15" s="263">
        <v>35666</v>
      </c>
      <c r="J15" s="308">
        <v>7006</v>
      </c>
      <c r="K15" s="155">
        <f>J15/G15</f>
        <v>166.8095238095238</v>
      </c>
      <c r="L15" s="356">
        <f t="shared" si="1"/>
        <v>5.090779332001142</v>
      </c>
      <c r="M15" s="267">
        <f>976286-159+826227+510491+284645+108852+35666</f>
        <v>2742008</v>
      </c>
      <c r="N15" s="155">
        <f>110906+91714+60274+32282+15979+7006</f>
        <v>318161</v>
      </c>
      <c r="O15" s="358">
        <f t="shared" si="3"/>
        <v>8.61830331184526</v>
      </c>
      <c r="P15" s="321"/>
    </row>
    <row r="16" spans="1:16" s="7" customFormat="1" ht="15">
      <c r="A16" s="63">
        <v>12</v>
      </c>
      <c r="B16" s="368" t="s">
        <v>58</v>
      </c>
      <c r="C16" s="39">
        <v>39745</v>
      </c>
      <c r="D16" s="44" t="s">
        <v>4</v>
      </c>
      <c r="E16" s="44" t="s">
        <v>59</v>
      </c>
      <c r="F16" s="41">
        <v>72</v>
      </c>
      <c r="G16" s="41">
        <v>37</v>
      </c>
      <c r="H16" s="41">
        <v>30</v>
      </c>
      <c r="I16" s="263">
        <v>32997</v>
      </c>
      <c r="J16" s="308">
        <v>4561</v>
      </c>
      <c r="K16" s="155">
        <f>+J16/G16</f>
        <v>123.27027027027027</v>
      </c>
      <c r="L16" s="356">
        <f>+I16/J16</f>
        <v>7.234597675948257</v>
      </c>
      <c r="M16" s="267">
        <v>1625970</v>
      </c>
      <c r="N16" s="155">
        <v>183149</v>
      </c>
      <c r="O16" s="358">
        <f t="shared" si="3"/>
        <v>8.877853550933938</v>
      </c>
      <c r="P16" s="321">
        <v>1</v>
      </c>
    </row>
    <row r="17" spans="1:16" s="7" customFormat="1" ht="15">
      <c r="A17" s="63">
        <v>13</v>
      </c>
      <c r="B17" s="368" t="s">
        <v>359</v>
      </c>
      <c r="C17" s="39">
        <v>39941</v>
      </c>
      <c r="D17" s="44" t="s">
        <v>132</v>
      </c>
      <c r="E17" s="44" t="s">
        <v>107</v>
      </c>
      <c r="F17" s="41">
        <v>48</v>
      </c>
      <c r="G17" s="41">
        <v>48</v>
      </c>
      <c r="H17" s="41">
        <v>2</v>
      </c>
      <c r="I17" s="263">
        <v>32977.75</v>
      </c>
      <c r="J17" s="308">
        <v>3921</v>
      </c>
      <c r="K17" s="155">
        <f>J17/G17</f>
        <v>81.6875</v>
      </c>
      <c r="L17" s="356">
        <f aca="true" t="shared" si="4" ref="L17:L22">I17/J17</f>
        <v>8.410545779137975</v>
      </c>
      <c r="M17" s="267">
        <f>68037+32977.75</f>
        <v>101014.75</v>
      </c>
      <c r="N17" s="155">
        <f>7390+3921</f>
        <v>11311</v>
      </c>
      <c r="O17" s="358">
        <f t="shared" si="3"/>
        <v>8.930664839536734</v>
      </c>
      <c r="P17" s="321"/>
    </row>
    <row r="18" spans="1:16" s="7" customFormat="1" ht="15">
      <c r="A18" s="63">
        <v>14</v>
      </c>
      <c r="B18" s="368" t="s">
        <v>335</v>
      </c>
      <c r="C18" s="39">
        <v>39934</v>
      </c>
      <c r="D18" s="44" t="s">
        <v>132</v>
      </c>
      <c r="E18" s="44" t="s">
        <v>336</v>
      </c>
      <c r="F18" s="41">
        <v>125</v>
      </c>
      <c r="G18" s="41">
        <v>125</v>
      </c>
      <c r="H18" s="41">
        <v>3</v>
      </c>
      <c r="I18" s="263">
        <v>22420</v>
      </c>
      <c r="J18" s="308">
        <v>4108</v>
      </c>
      <c r="K18" s="155">
        <f>J18/G18</f>
        <v>32.864</v>
      </c>
      <c r="L18" s="356">
        <f t="shared" si="4"/>
        <v>5.457643622200584</v>
      </c>
      <c r="M18" s="267">
        <f>114460.75+42138+22420</f>
        <v>179018.75</v>
      </c>
      <c r="N18" s="155">
        <f>15343+6534+4108</f>
        <v>25985</v>
      </c>
      <c r="O18" s="358">
        <f t="shared" si="3"/>
        <v>6.889311141042909</v>
      </c>
      <c r="P18" s="321">
        <v>1</v>
      </c>
    </row>
    <row r="19" spans="1:16" s="7" customFormat="1" ht="15">
      <c r="A19" s="63">
        <v>15</v>
      </c>
      <c r="B19" s="368" t="s">
        <v>360</v>
      </c>
      <c r="C19" s="39">
        <v>39941</v>
      </c>
      <c r="D19" s="44" t="s">
        <v>136</v>
      </c>
      <c r="E19" s="44" t="s">
        <v>78</v>
      </c>
      <c r="F19" s="41">
        <v>10</v>
      </c>
      <c r="G19" s="41">
        <v>9</v>
      </c>
      <c r="H19" s="41">
        <v>2</v>
      </c>
      <c r="I19" s="263">
        <v>16982.75</v>
      </c>
      <c r="J19" s="308">
        <v>1385</v>
      </c>
      <c r="K19" s="155">
        <f>J19/G19</f>
        <v>153.88888888888889</v>
      </c>
      <c r="L19" s="356">
        <f t="shared" si="4"/>
        <v>12.261913357400722</v>
      </c>
      <c r="M19" s="267">
        <v>82430.25</v>
      </c>
      <c r="N19" s="155">
        <v>7248</v>
      </c>
      <c r="O19" s="358">
        <f t="shared" si="3"/>
        <v>11.372826986754967</v>
      </c>
      <c r="P19" s="321"/>
    </row>
    <row r="20" spans="1:16" s="7" customFormat="1" ht="15">
      <c r="A20" s="63">
        <v>16</v>
      </c>
      <c r="B20" s="368" t="s">
        <v>362</v>
      </c>
      <c r="C20" s="39">
        <v>39941</v>
      </c>
      <c r="D20" s="44" t="s">
        <v>134</v>
      </c>
      <c r="E20" s="44" t="s">
        <v>363</v>
      </c>
      <c r="F20" s="41">
        <v>26</v>
      </c>
      <c r="G20" s="41">
        <v>24</v>
      </c>
      <c r="H20" s="41">
        <v>2</v>
      </c>
      <c r="I20" s="263">
        <v>16583.5</v>
      </c>
      <c r="J20" s="308">
        <v>1934</v>
      </c>
      <c r="K20" s="155">
        <f>(J20/G20)</f>
        <v>80.58333333333333</v>
      </c>
      <c r="L20" s="356">
        <f t="shared" si="4"/>
        <v>8.574715615305067</v>
      </c>
      <c r="M20" s="267">
        <f>36482.75+16583.5</f>
        <v>53066.25</v>
      </c>
      <c r="N20" s="155">
        <f>4495+1934</f>
        <v>6429</v>
      </c>
      <c r="O20" s="358">
        <f>M20/N20</f>
        <v>8.254199720018665</v>
      </c>
      <c r="P20" s="321">
        <v>1</v>
      </c>
    </row>
    <row r="21" spans="1:16" s="7" customFormat="1" ht="15">
      <c r="A21" s="63">
        <v>17</v>
      </c>
      <c r="B21" s="368" t="s">
        <v>361</v>
      </c>
      <c r="C21" s="39">
        <v>39913</v>
      </c>
      <c r="D21" s="44" t="s">
        <v>131</v>
      </c>
      <c r="E21" s="44" t="s">
        <v>127</v>
      </c>
      <c r="F21" s="41">
        <v>95</v>
      </c>
      <c r="G21" s="41">
        <v>19</v>
      </c>
      <c r="H21" s="41">
        <v>6</v>
      </c>
      <c r="I21" s="263">
        <v>15170</v>
      </c>
      <c r="J21" s="308">
        <v>1699</v>
      </c>
      <c r="K21" s="155">
        <f>J21/G21</f>
        <v>89.42105263157895</v>
      </c>
      <c r="L21" s="356">
        <f t="shared" si="4"/>
        <v>8.928781636256621</v>
      </c>
      <c r="M21" s="267">
        <v>1437488</v>
      </c>
      <c r="N21" s="155">
        <v>145916</v>
      </c>
      <c r="O21" s="358">
        <f>+M21/N21</f>
        <v>9.851476191781574</v>
      </c>
      <c r="P21" s="321"/>
    </row>
    <row r="22" spans="1:16" s="7" customFormat="1" ht="15">
      <c r="A22" s="63">
        <v>18</v>
      </c>
      <c r="B22" s="368" t="s">
        <v>276</v>
      </c>
      <c r="C22" s="39">
        <v>39906</v>
      </c>
      <c r="D22" s="44" t="s">
        <v>131</v>
      </c>
      <c r="E22" s="44" t="s">
        <v>43</v>
      </c>
      <c r="F22" s="41">
        <v>96</v>
      </c>
      <c r="G22" s="41">
        <v>30</v>
      </c>
      <c r="H22" s="41">
        <v>7</v>
      </c>
      <c r="I22" s="263">
        <v>14425</v>
      </c>
      <c r="J22" s="308">
        <v>2581</v>
      </c>
      <c r="K22" s="155">
        <f>J22/G22</f>
        <v>86.03333333333333</v>
      </c>
      <c r="L22" s="356">
        <f t="shared" si="4"/>
        <v>5.58891902363425</v>
      </c>
      <c r="M22" s="267">
        <v>3162812</v>
      </c>
      <c r="N22" s="155">
        <v>378044</v>
      </c>
      <c r="O22" s="358">
        <f>+M22/N22</f>
        <v>8.366253663594714</v>
      </c>
      <c r="P22" s="321"/>
    </row>
    <row r="23" spans="1:16" s="7" customFormat="1" ht="15">
      <c r="A23" s="63">
        <v>19</v>
      </c>
      <c r="B23" s="368" t="s">
        <v>240</v>
      </c>
      <c r="C23" s="39">
        <v>39884</v>
      </c>
      <c r="D23" s="44" t="s">
        <v>4</v>
      </c>
      <c r="E23" s="44" t="s">
        <v>241</v>
      </c>
      <c r="F23" s="41">
        <v>355</v>
      </c>
      <c r="G23" s="41">
        <v>32</v>
      </c>
      <c r="H23" s="41">
        <v>10</v>
      </c>
      <c r="I23" s="263">
        <v>13663</v>
      </c>
      <c r="J23" s="308">
        <v>2239</v>
      </c>
      <c r="K23" s="155">
        <f>+J23/G23</f>
        <v>69.96875</v>
      </c>
      <c r="L23" s="356">
        <f>+I23/J23</f>
        <v>6.102277802590442</v>
      </c>
      <c r="M23" s="267">
        <v>19032535</v>
      </c>
      <c r="N23" s="155">
        <v>2489593</v>
      </c>
      <c r="O23" s="358">
        <f>+M23/N23</f>
        <v>7.644837931340585</v>
      </c>
      <c r="P23" s="321">
        <v>1</v>
      </c>
    </row>
    <row r="24" spans="1:16" s="7" customFormat="1" ht="15">
      <c r="A24" s="63">
        <v>20</v>
      </c>
      <c r="B24" s="368" t="s">
        <v>378</v>
      </c>
      <c r="C24" s="39">
        <v>39920</v>
      </c>
      <c r="D24" s="44" t="s">
        <v>134</v>
      </c>
      <c r="E24" s="44" t="s">
        <v>321</v>
      </c>
      <c r="F24" s="41">
        <v>43</v>
      </c>
      <c r="G24" s="41">
        <v>35</v>
      </c>
      <c r="H24" s="41">
        <v>5</v>
      </c>
      <c r="I24" s="263">
        <v>13474</v>
      </c>
      <c r="J24" s="308">
        <v>2735</v>
      </c>
      <c r="K24" s="155">
        <f>(J24/G24)</f>
        <v>78.14285714285714</v>
      </c>
      <c r="L24" s="356">
        <f>I24/J24</f>
        <v>4.926508226691042</v>
      </c>
      <c r="M24" s="267">
        <f>71921.5+55489+28896+23842.5+13474.5</f>
        <v>193623.5</v>
      </c>
      <c r="N24" s="155">
        <f>9131+7791+4520+4728+2735</f>
        <v>28905</v>
      </c>
      <c r="O24" s="358">
        <f>M24/N24</f>
        <v>6.69861615637433</v>
      </c>
      <c r="P24" s="321">
        <v>1</v>
      </c>
    </row>
    <row r="25" spans="1:16" s="7" customFormat="1" ht="15">
      <c r="A25" s="63">
        <v>21</v>
      </c>
      <c r="B25" s="368" t="s">
        <v>320</v>
      </c>
      <c r="C25" s="39">
        <v>39927</v>
      </c>
      <c r="D25" s="44" t="s">
        <v>131</v>
      </c>
      <c r="E25" s="44" t="s">
        <v>96</v>
      </c>
      <c r="F25" s="41">
        <v>48</v>
      </c>
      <c r="G25" s="41">
        <v>24</v>
      </c>
      <c r="H25" s="41">
        <v>4</v>
      </c>
      <c r="I25" s="263">
        <v>13404</v>
      </c>
      <c r="J25" s="308">
        <v>1967</v>
      </c>
      <c r="K25" s="155">
        <f>J25/G25</f>
        <v>81.95833333333333</v>
      </c>
      <c r="L25" s="356">
        <f>I25/J25</f>
        <v>6.814438230808338</v>
      </c>
      <c r="M25" s="267">
        <v>218071</v>
      </c>
      <c r="N25" s="155">
        <v>23303</v>
      </c>
      <c r="O25" s="358">
        <f>+M25/N25</f>
        <v>9.35806548513067</v>
      </c>
      <c r="P25" s="321"/>
    </row>
    <row r="26" spans="1:16" s="7" customFormat="1" ht="15">
      <c r="A26" s="63">
        <v>22</v>
      </c>
      <c r="B26" s="368" t="s">
        <v>379</v>
      </c>
      <c r="C26" s="39">
        <v>39926</v>
      </c>
      <c r="D26" s="44" t="s">
        <v>134</v>
      </c>
      <c r="E26" s="44" t="s">
        <v>322</v>
      </c>
      <c r="F26" s="41">
        <v>40</v>
      </c>
      <c r="G26" s="41">
        <v>28</v>
      </c>
      <c r="H26" s="41">
        <v>4</v>
      </c>
      <c r="I26" s="263">
        <v>12778.5</v>
      </c>
      <c r="J26" s="308">
        <v>2257</v>
      </c>
      <c r="K26" s="155">
        <f>(J26/G26)</f>
        <v>80.60714285714286</v>
      </c>
      <c r="L26" s="356">
        <f>I26/J26</f>
        <v>5.661719096145326</v>
      </c>
      <c r="M26" s="267">
        <f>35864.5+53058.5+35303.5+15734.5+12778.5</f>
        <v>152739.5</v>
      </c>
      <c r="N26" s="155">
        <f>3971+5771+3969+2398+2257</f>
        <v>18366</v>
      </c>
      <c r="O26" s="358">
        <f>M26/N26</f>
        <v>8.316427093542416</v>
      </c>
      <c r="P26" s="321"/>
    </row>
    <row r="27" spans="1:16" s="7" customFormat="1" ht="15">
      <c r="A27" s="63">
        <v>23</v>
      </c>
      <c r="B27" s="368" t="s">
        <v>308</v>
      </c>
      <c r="C27" s="39">
        <v>39920</v>
      </c>
      <c r="D27" s="44" t="s">
        <v>4</v>
      </c>
      <c r="E27" s="44" t="s">
        <v>309</v>
      </c>
      <c r="F27" s="41">
        <v>132</v>
      </c>
      <c r="G27" s="41">
        <v>26</v>
      </c>
      <c r="H27" s="41">
        <v>5</v>
      </c>
      <c r="I27" s="263">
        <v>11556</v>
      </c>
      <c r="J27" s="308">
        <v>1888</v>
      </c>
      <c r="K27" s="155">
        <f>+J27/G27</f>
        <v>72.61538461538461</v>
      </c>
      <c r="L27" s="356">
        <f>+I27/J27</f>
        <v>6.120762711864407</v>
      </c>
      <c r="M27" s="267">
        <v>877891</v>
      </c>
      <c r="N27" s="155">
        <v>109982</v>
      </c>
      <c r="O27" s="358">
        <f>+M27/N27</f>
        <v>7.982133440017457</v>
      </c>
      <c r="P27" s="321">
        <v>1</v>
      </c>
    </row>
    <row r="28" spans="1:16" s="7" customFormat="1" ht="15">
      <c r="A28" s="63">
        <v>24</v>
      </c>
      <c r="B28" s="368" t="s">
        <v>319</v>
      </c>
      <c r="C28" s="39">
        <v>39927</v>
      </c>
      <c r="D28" s="44" t="s">
        <v>136</v>
      </c>
      <c r="E28" s="44" t="s">
        <v>81</v>
      </c>
      <c r="F28" s="41">
        <v>62</v>
      </c>
      <c r="G28" s="41">
        <v>25</v>
      </c>
      <c r="H28" s="41">
        <v>4</v>
      </c>
      <c r="I28" s="263">
        <v>9734</v>
      </c>
      <c r="J28" s="308">
        <v>1502</v>
      </c>
      <c r="K28" s="155">
        <f>J28/G28</f>
        <v>60.08</v>
      </c>
      <c r="L28" s="356">
        <f aca="true" t="shared" si="5" ref="L28:L57">I28/J28</f>
        <v>6.480692410119841</v>
      </c>
      <c r="M28" s="267">
        <v>293950.25</v>
      </c>
      <c r="N28" s="155">
        <v>39206</v>
      </c>
      <c r="O28" s="358">
        <f>+M28/N28</f>
        <v>7.497583278069683</v>
      </c>
      <c r="P28" s="321">
        <v>1</v>
      </c>
    </row>
    <row r="29" spans="1:16" s="7" customFormat="1" ht="15">
      <c r="A29" s="63">
        <v>25</v>
      </c>
      <c r="B29" s="368" t="s">
        <v>310</v>
      </c>
      <c r="C29" s="39">
        <v>39920</v>
      </c>
      <c r="D29" s="44" t="s">
        <v>130</v>
      </c>
      <c r="E29" s="44" t="s">
        <v>63</v>
      </c>
      <c r="F29" s="41">
        <v>67</v>
      </c>
      <c r="G29" s="41">
        <v>13</v>
      </c>
      <c r="H29" s="41">
        <v>5</v>
      </c>
      <c r="I29" s="263">
        <v>7492</v>
      </c>
      <c r="J29" s="308">
        <v>1888</v>
      </c>
      <c r="K29" s="155">
        <f>J29/G29</f>
        <v>145.23076923076923</v>
      </c>
      <c r="L29" s="356">
        <f t="shared" si="5"/>
        <v>3.968220338983051</v>
      </c>
      <c r="M29" s="267">
        <f>272382+140716+46020+6861+7492</f>
        <v>473471</v>
      </c>
      <c r="N29" s="155">
        <f>27038+14777+4953+934+1888</f>
        <v>49590</v>
      </c>
      <c r="O29" s="358">
        <f>+M29/N29</f>
        <v>9.547711232103246</v>
      </c>
      <c r="P29" s="321"/>
    </row>
    <row r="30" spans="1:16" s="7" customFormat="1" ht="15">
      <c r="A30" s="63">
        <v>26</v>
      </c>
      <c r="B30" s="368" t="s">
        <v>342</v>
      </c>
      <c r="C30" s="39">
        <v>39934</v>
      </c>
      <c r="D30" s="44" t="s">
        <v>132</v>
      </c>
      <c r="E30" s="44" t="s">
        <v>343</v>
      </c>
      <c r="F30" s="41">
        <v>31</v>
      </c>
      <c r="G30" s="41">
        <v>31</v>
      </c>
      <c r="H30" s="41">
        <v>3</v>
      </c>
      <c r="I30" s="263">
        <v>7300.5</v>
      </c>
      <c r="J30" s="308">
        <v>1301</v>
      </c>
      <c r="K30" s="155">
        <f>J30/G30</f>
        <v>41.96774193548387</v>
      </c>
      <c r="L30" s="356">
        <f t="shared" si="5"/>
        <v>5.611452728670254</v>
      </c>
      <c r="M30" s="267">
        <f>29306.5+14144+7300+0.5</f>
        <v>50751</v>
      </c>
      <c r="N30" s="155">
        <f>4336+2409+1301</f>
        <v>8046</v>
      </c>
      <c r="O30" s="358">
        <f>+M30/N30</f>
        <v>6.307606263982103</v>
      </c>
      <c r="P30" s="321">
        <v>1</v>
      </c>
    </row>
    <row r="31" spans="1:16" s="7" customFormat="1" ht="15">
      <c r="A31" s="63">
        <v>27</v>
      </c>
      <c r="B31" s="368" t="s">
        <v>340</v>
      </c>
      <c r="C31" s="39">
        <v>39934</v>
      </c>
      <c r="D31" s="44" t="s">
        <v>134</v>
      </c>
      <c r="E31" s="44" t="s">
        <v>341</v>
      </c>
      <c r="F31" s="41">
        <v>10</v>
      </c>
      <c r="G31" s="41">
        <v>9</v>
      </c>
      <c r="H31" s="41">
        <v>3</v>
      </c>
      <c r="I31" s="263">
        <v>6223</v>
      </c>
      <c r="J31" s="308">
        <v>1068</v>
      </c>
      <c r="K31" s="155">
        <f>(J31/G31)</f>
        <v>118.66666666666667</v>
      </c>
      <c r="L31" s="356">
        <f t="shared" si="5"/>
        <v>5.8267790262172285</v>
      </c>
      <c r="M31" s="267">
        <f>33364+9411.25+6223</f>
        <v>48998.25</v>
      </c>
      <c r="N31" s="155">
        <f>3034+1189+1068</f>
        <v>5291</v>
      </c>
      <c r="O31" s="358">
        <f>M31/N31</f>
        <v>9.260678510678511</v>
      </c>
      <c r="P31" s="321"/>
    </row>
    <row r="32" spans="1:16" s="7" customFormat="1" ht="15">
      <c r="A32" s="63">
        <v>28</v>
      </c>
      <c r="B32" s="368" t="s">
        <v>283</v>
      </c>
      <c r="C32" s="39">
        <v>39906</v>
      </c>
      <c r="D32" s="44" t="s">
        <v>134</v>
      </c>
      <c r="E32" s="44" t="s">
        <v>284</v>
      </c>
      <c r="F32" s="41">
        <v>20</v>
      </c>
      <c r="G32" s="41">
        <v>13</v>
      </c>
      <c r="H32" s="41">
        <v>7</v>
      </c>
      <c r="I32" s="263">
        <v>5699.5</v>
      </c>
      <c r="J32" s="308">
        <v>1111</v>
      </c>
      <c r="K32" s="155">
        <f>(J32/G32)</f>
        <v>85.46153846153847</v>
      </c>
      <c r="L32" s="356">
        <f t="shared" si="5"/>
        <v>5.13006300630063</v>
      </c>
      <c r="M32" s="267">
        <f>42804+21823.5+16872+15644+14339+9086.5+5699.5</f>
        <v>126268.5</v>
      </c>
      <c r="N32" s="155">
        <f>4512+2464+2783+2745+2518+1539+1111</f>
        <v>17672</v>
      </c>
      <c r="O32" s="358">
        <f>M32/N32</f>
        <v>7.145116568583069</v>
      </c>
      <c r="P32" s="321"/>
    </row>
    <row r="33" spans="1:16" s="7" customFormat="1" ht="15">
      <c r="A33" s="63">
        <v>29</v>
      </c>
      <c r="B33" s="368" t="s">
        <v>380</v>
      </c>
      <c r="C33" s="39">
        <v>39927</v>
      </c>
      <c r="D33" s="44" t="s">
        <v>132</v>
      </c>
      <c r="E33" s="44" t="s">
        <v>107</v>
      </c>
      <c r="F33" s="41">
        <v>25</v>
      </c>
      <c r="G33" s="41">
        <v>25</v>
      </c>
      <c r="H33" s="41">
        <v>4</v>
      </c>
      <c r="I33" s="263">
        <v>4851</v>
      </c>
      <c r="J33" s="308">
        <v>829</v>
      </c>
      <c r="K33" s="155">
        <f>J33/G33</f>
        <v>33.16</v>
      </c>
      <c r="L33" s="356">
        <f t="shared" si="5"/>
        <v>5.851628468033776</v>
      </c>
      <c r="M33" s="267">
        <f>56555+24451+8835+0.5+4851</f>
        <v>94692.5</v>
      </c>
      <c r="N33" s="155">
        <f>5543+2474+1355+829</f>
        <v>10201</v>
      </c>
      <c r="O33" s="358">
        <f>+M33/N33</f>
        <v>9.282668365846485</v>
      </c>
      <c r="P33" s="321"/>
    </row>
    <row r="34" spans="1:16" s="7" customFormat="1" ht="15">
      <c r="A34" s="63">
        <v>30</v>
      </c>
      <c r="B34" s="368" t="s">
        <v>297</v>
      </c>
      <c r="C34" s="39">
        <v>39913</v>
      </c>
      <c r="D34" s="44" t="s">
        <v>134</v>
      </c>
      <c r="E34" s="44" t="s">
        <v>234</v>
      </c>
      <c r="F34" s="41">
        <v>32</v>
      </c>
      <c r="G34" s="41">
        <v>7</v>
      </c>
      <c r="H34" s="41">
        <v>6</v>
      </c>
      <c r="I34" s="263">
        <v>4590</v>
      </c>
      <c r="J34" s="308">
        <v>977</v>
      </c>
      <c r="K34" s="155">
        <f>(J34/G34)</f>
        <v>139.57142857142858</v>
      </c>
      <c r="L34" s="356">
        <f t="shared" si="5"/>
        <v>4.698055271238485</v>
      </c>
      <c r="M34" s="267">
        <f>216816.75+148269.25+47895.5+34792+20121+4590</f>
        <v>472484.5</v>
      </c>
      <c r="N34" s="155">
        <f>19731+13368+5787+4814+2854+977</f>
        <v>47531</v>
      </c>
      <c r="O34" s="358">
        <f>M34/N34</f>
        <v>9.940554585428456</v>
      </c>
      <c r="P34" s="321"/>
    </row>
    <row r="35" spans="1:16" s="7" customFormat="1" ht="15">
      <c r="A35" s="63">
        <v>31</v>
      </c>
      <c r="B35" s="368" t="s">
        <v>312</v>
      </c>
      <c r="C35" s="39">
        <v>39920</v>
      </c>
      <c r="D35" s="44" t="s">
        <v>131</v>
      </c>
      <c r="E35" s="44" t="s">
        <v>43</v>
      </c>
      <c r="F35" s="41">
        <v>65</v>
      </c>
      <c r="G35" s="41">
        <v>13</v>
      </c>
      <c r="H35" s="41">
        <v>5</v>
      </c>
      <c r="I35" s="263">
        <v>4184</v>
      </c>
      <c r="J35" s="308">
        <v>700</v>
      </c>
      <c r="K35" s="155">
        <f>J35/G35</f>
        <v>53.84615384615385</v>
      </c>
      <c r="L35" s="356">
        <f t="shared" si="5"/>
        <v>5.977142857142857</v>
      </c>
      <c r="M35" s="267">
        <v>693103</v>
      </c>
      <c r="N35" s="155">
        <v>68880</v>
      </c>
      <c r="O35" s="358">
        <f>+M35/N35</f>
        <v>10.062470963995354</v>
      </c>
      <c r="P35" s="321"/>
    </row>
    <row r="36" spans="1:16" s="7" customFormat="1" ht="15">
      <c r="A36" s="63">
        <v>32</v>
      </c>
      <c r="B36" s="368" t="s">
        <v>198</v>
      </c>
      <c r="C36" s="39">
        <v>39857</v>
      </c>
      <c r="D36" s="44" t="s">
        <v>134</v>
      </c>
      <c r="E36" s="44" t="s">
        <v>133</v>
      </c>
      <c r="F36" s="41">
        <v>41</v>
      </c>
      <c r="G36" s="41">
        <v>3</v>
      </c>
      <c r="H36" s="41">
        <v>14</v>
      </c>
      <c r="I36" s="263">
        <v>3872</v>
      </c>
      <c r="J36" s="308">
        <v>948</v>
      </c>
      <c r="K36" s="155">
        <f>(J36/G36)</f>
        <v>316</v>
      </c>
      <c r="L36" s="356">
        <f t="shared" si="5"/>
        <v>4.084388185654008</v>
      </c>
      <c r="M36" s="267">
        <f>237955+174160.5+33697.5+17295.5+3111+908+14803+5802.5+3727+1295+1110+1441+1172+3872</f>
        <v>500350</v>
      </c>
      <c r="N36" s="155">
        <f>21828+16711+3926+2842+612+184+2267+940+496+230+202+304+208+948</f>
        <v>51698</v>
      </c>
      <c r="O36" s="358">
        <f>M36/N36</f>
        <v>9.678324113118496</v>
      </c>
      <c r="P36" s="321"/>
    </row>
    <row r="37" spans="1:16" s="7" customFormat="1" ht="15">
      <c r="A37" s="63">
        <v>33</v>
      </c>
      <c r="B37" s="368" t="s">
        <v>7</v>
      </c>
      <c r="C37" s="39">
        <v>39829</v>
      </c>
      <c r="D37" s="44" t="s">
        <v>134</v>
      </c>
      <c r="E37" s="44" t="s">
        <v>346</v>
      </c>
      <c r="F37" s="41">
        <v>80</v>
      </c>
      <c r="G37" s="41">
        <v>6</v>
      </c>
      <c r="H37" s="41">
        <v>18</v>
      </c>
      <c r="I37" s="263">
        <v>2899</v>
      </c>
      <c r="J37" s="308">
        <v>701</v>
      </c>
      <c r="K37" s="155">
        <f>(J37/G37)</f>
        <v>116.83333333333333</v>
      </c>
      <c r="L37" s="356">
        <f t="shared" si="5"/>
        <v>4.1355206847360915</v>
      </c>
      <c r="M37" s="267">
        <f>783409.5+672566+392418+168504+54411+64946+58601+64120+20152+13919+28038+18395+13488+12795+8277+3206+3326.5+2899</f>
        <v>2383471</v>
      </c>
      <c r="N37" s="155">
        <f>86363+71043+43171+22546+8141+10573+9585+10952+3417+2596+4707+3339+2364+2380+1458+540+671+701</f>
        <v>284547</v>
      </c>
      <c r="O37" s="358">
        <f>M37/N37</f>
        <v>8.376370160289865</v>
      </c>
      <c r="P37" s="321"/>
    </row>
    <row r="38" spans="1:16" s="7" customFormat="1" ht="15">
      <c r="A38" s="63">
        <v>34</v>
      </c>
      <c r="B38" s="368" t="s">
        <v>229</v>
      </c>
      <c r="C38" s="39">
        <v>39878</v>
      </c>
      <c r="D38" s="44" t="s">
        <v>134</v>
      </c>
      <c r="E38" s="44" t="s">
        <v>230</v>
      </c>
      <c r="F38" s="41">
        <v>39</v>
      </c>
      <c r="G38" s="41">
        <v>11</v>
      </c>
      <c r="H38" s="41">
        <v>11</v>
      </c>
      <c r="I38" s="263">
        <v>2403</v>
      </c>
      <c r="J38" s="308">
        <v>509</v>
      </c>
      <c r="K38" s="155">
        <f>(J38/G38)</f>
        <v>46.27272727272727</v>
      </c>
      <c r="L38" s="356">
        <f t="shared" si="5"/>
        <v>4.721021611001965</v>
      </c>
      <c r="M38" s="267">
        <f>143992.5+82756.5+42509+41229+27290.5+16668+27602+17675+4710+8504.5+2403</f>
        <v>415340</v>
      </c>
      <c r="N38" s="155">
        <f>15320+9228+5096+5970+4485+3115+5134+3946+1139+2307+509</f>
        <v>56249</v>
      </c>
      <c r="O38" s="358">
        <f>M38/N38</f>
        <v>7.383953492506533</v>
      </c>
      <c r="P38" s="321"/>
    </row>
    <row r="39" spans="1:16" s="7" customFormat="1" ht="15">
      <c r="A39" s="63">
        <v>35</v>
      </c>
      <c r="B39" s="368" t="s">
        <v>163</v>
      </c>
      <c r="C39" s="39">
        <v>39766</v>
      </c>
      <c r="D39" s="44" t="s">
        <v>200</v>
      </c>
      <c r="E39" s="44" t="s">
        <v>201</v>
      </c>
      <c r="F39" s="41">
        <v>50</v>
      </c>
      <c r="G39" s="41">
        <v>3</v>
      </c>
      <c r="H39" s="41">
        <v>22</v>
      </c>
      <c r="I39" s="263">
        <v>2096</v>
      </c>
      <c r="J39" s="308">
        <v>578</v>
      </c>
      <c r="K39" s="155">
        <f>J39/G39</f>
        <v>192.66666666666666</v>
      </c>
      <c r="L39" s="356">
        <f t="shared" si="5"/>
        <v>3.6262975778546713</v>
      </c>
      <c r="M39" s="267">
        <v>242035</v>
      </c>
      <c r="N39" s="155">
        <v>36486</v>
      </c>
      <c r="O39" s="358">
        <f>+M39/N39</f>
        <v>6.633640300389191</v>
      </c>
      <c r="P39" s="321">
        <v>1</v>
      </c>
    </row>
    <row r="40" spans="1:16" s="7" customFormat="1" ht="15">
      <c r="A40" s="63">
        <v>36</v>
      </c>
      <c r="B40" s="368" t="s">
        <v>245</v>
      </c>
      <c r="C40" s="39">
        <v>39885</v>
      </c>
      <c r="D40" s="44" t="s">
        <v>131</v>
      </c>
      <c r="E40" s="44" t="s">
        <v>127</v>
      </c>
      <c r="F40" s="41">
        <v>51</v>
      </c>
      <c r="G40" s="41">
        <v>2</v>
      </c>
      <c r="H40" s="41">
        <v>10</v>
      </c>
      <c r="I40" s="263">
        <v>2075</v>
      </c>
      <c r="J40" s="308">
        <v>579</v>
      </c>
      <c r="K40" s="155">
        <f>J40/G40</f>
        <v>289.5</v>
      </c>
      <c r="L40" s="356">
        <f t="shared" si="5"/>
        <v>3.5837651122625216</v>
      </c>
      <c r="M40" s="267">
        <v>547320</v>
      </c>
      <c r="N40" s="155">
        <v>63443</v>
      </c>
      <c r="O40" s="358">
        <f>+M40/N40</f>
        <v>8.6269564806204</v>
      </c>
      <c r="P40" s="321"/>
    </row>
    <row r="41" spans="1:16" s="7" customFormat="1" ht="15">
      <c r="A41" s="63">
        <v>37</v>
      </c>
      <c r="B41" s="368" t="s">
        <v>25</v>
      </c>
      <c r="C41" s="39">
        <v>39808</v>
      </c>
      <c r="D41" s="44" t="s">
        <v>131</v>
      </c>
      <c r="E41" s="44" t="s">
        <v>111</v>
      </c>
      <c r="F41" s="41">
        <v>112</v>
      </c>
      <c r="G41" s="41">
        <v>6</v>
      </c>
      <c r="H41" s="41">
        <v>21</v>
      </c>
      <c r="I41" s="263">
        <v>1946</v>
      </c>
      <c r="J41" s="308">
        <v>831</v>
      </c>
      <c r="K41" s="155">
        <f>J41/G41</f>
        <v>138.5</v>
      </c>
      <c r="L41" s="356">
        <f t="shared" si="5"/>
        <v>2.341756919374248</v>
      </c>
      <c r="M41" s="267">
        <v>2061292</v>
      </c>
      <c r="N41" s="155">
        <v>215946</v>
      </c>
      <c r="O41" s="358">
        <f>+M41/N41</f>
        <v>9.545404869735952</v>
      </c>
      <c r="P41" s="321"/>
    </row>
    <row r="42" spans="1:16" s="7" customFormat="1" ht="15">
      <c r="A42" s="63">
        <v>38</v>
      </c>
      <c r="B42" s="368" t="s">
        <v>266</v>
      </c>
      <c r="C42" s="39">
        <v>39899</v>
      </c>
      <c r="D42" s="44" t="s">
        <v>134</v>
      </c>
      <c r="E42" s="44" t="s">
        <v>267</v>
      </c>
      <c r="F42" s="41">
        <v>20</v>
      </c>
      <c r="G42" s="41">
        <v>4</v>
      </c>
      <c r="H42" s="41">
        <v>8</v>
      </c>
      <c r="I42" s="263">
        <v>1890</v>
      </c>
      <c r="J42" s="308">
        <v>491</v>
      </c>
      <c r="K42" s="155">
        <f>(J42/G42)</f>
        <v>122.75</v>
      </c>
      <c r="L42" s="356">
        <f t="shared" si="5"/>
        <v>3.84928716904277</v>
      </c>
      <c r="M42" s="267">
        <f>80325+22862.5+13205.5+6103+2111+12431+2530+1890</f>
        <v>141458</v>
      </c>
      <c r="N42" s="155">
        <f>7739+2336+2082+903+428+1668+456+491</f>
        <v>16103</v>
      </c>
      <c r="O42" s="358">
        <f>M42/N42</f>
        <v>8.784574302924922</v>
      </c>
      <c r="P42" s="321"/>
    </row>
    <row r="43" spans="1:16" s="7" customFormat="1" ht="15">
      <c r="A43" s="63">
        <v>39</v>
      </c>
      <c r="B43" s="368" t="s">
        <v>365</v>
      </c>
      <c r="C43" s="39">
        <v>39941</v>
      </c>
      <c r="D43" s="44" t="s">
        <v>136</v>
      </c>
      <c r="E43" s="44" t="s">
        <v>325</v>
      </c>
      <c r="F43" s="41">
        <v>10</v>
      </c>
      <c r="G43" s="41">
        <v>6</v>
      </c>
      <c r="H43" s="41">
        <v>2</v>
      </c>
      <c r="I43" s="263">
        <v>1829.5</v>
      </c>
      <c r="J43" s="308">
        <v>192</v>
      </c>
      <c r="K43" s="155">
        <f>J43/G43</f>
        <v>32</v>
      </c>
      <c r="L43" s="356">
        <f t="shared" si="5"/>
        <v>9.528645833333334</v>
      </c>
      <c r="M43" s="267">
        <v>9625.5</v>
      </c>
      <c r="N43" s="155">
        <v>1279</v>
      </c>
      <c r="O43" s="358">
        <f>+M43/N43</f>
        <v>7.525801407349491</v>
      </c>
      <c r="P43" s="321">
        <v>1</v>
      </c>
    </row>
    <row r="44" spans="1:16" s="7" customFormat="1" ht="15">
      <c r="A44" s="63">
        <v>40</v>
      </c>
      <c r="B44" s="368" t="s">
        <v>318</v>
      </c>
      <c r="C44" s="39">
        <v>39920</v>
      </c>
      <c r="D44" s="44" t="s">
        <v>134</v>
      </c>
      <c r="E44" s="44" t="s">
        <v>35</v>
      </c>
      <c r="F44" s="41">
        <v>133</v>
      </c>
      <c r="G44" s="41">
        <v>8</v>
      </c>
      <c r="H44" s="41">
        <v>5</v>
      </c>
      <c r="I44" s="263">
        <v>1443</v>
      </c>
      <c r="J44" s="308">
        <v>234</v>
      </c>
      <c r="K44" s="155">
        <f>(J44/G44)</f>
        <v>29.25</v>
      </c>
      <c r="L44" s="356">
        <f t="shared" si="5"/>
        <v>6.166666666666667</v>
      </c>
      <c r="M44" s="267">
        <f>814797.5+158602+44526+7105.5+1443</f>
        <v>1026474</v>
      </c>
      <c r="N44" s="155">
        <f>100614+19257+6285+1176+234</f>
        <v>127566</v>
      </c>
      <c r="O44" s="358">
        <f>M44/N44</f>
        <v>8.046611165984666</v>
      </c>
      <c r="P44" s="321"/>
    </row>
    <row r="45" spans="1:16" s="7" customFormat="1" ht="15">
      <c r="A45" s="63">
        <v>41</v>
      </c>
      <c r="B45" s="368" t="s">
        <v>298</v>
      </c>
      <c r="C45" s="39">
        <v>39913</v>
      </c>
      <c r="D45" s="44" t="s">
        <v>132</v>
      </c>
      <c r="E45" s="44" t="s">
        <v>107</v>
      </c>
      <c r="F45" s="41">
        <v>58</v>
      </c>
      <c r="G45" s="41">
        <v>58</v>
      </c>
      <c r="H45" s="41">
        <v>6</v>
      </c>
      <c r="I45" s="263">
        <v>1410</v>
      </c>
      <c r="J45" s="308">
        <v>179</v>
      </c>
      <c r="K45" s="155">
        <f>J45/G45</f>
        <v>3.086206896551724</v>
      </c>
      <c r="L45" s="356">
        <f t="shared" si="5"/>
        <v>7.877094972067039</v>
      </c>
      <c r="M45" s="267">
        <f>98586+53030.5+26630.5+22794.25+6969+1410</f>
        <v>209420.25</v>
      </c>
      <c r="N45" s="155">
        <f>10552+5817+4286+3997+1311+179</f>
        <v>26142</v>
      </c>
      <c r="O45" s="358">
        <f>+M45/N45</f>
        <v>8.010873307321551</v>
      </c>
      <c r="P45" s="321"/>
    </row>
    <row r="46" spans="1:16" s="7" customFormat="1" ht="15">
      <c r="A46" s="63">
        <v>42</v>
      </c>
      <c r="B46" s="368" t="s">
        <v>280</v>
      </c>
      <c r="C46" s="39">
        <v>39906</v>
      </c>
      <c r="D46" s="44" t="s">
        <v>130</v>
      </c>
      <c r="E46" s="44" t="s">
        <v>126</v>
      </c>
      <c r="F46" s="41">
        <v>25</v>
      </c>
      <c r="G46" s="41">
        <v>5</v>
      </c>
      <c r="H46" s="41">
        <v>7</v>
      </c>
      <c r="I46" s="263">
        <v>1353</v>
      </c>
      <c r="J46" s="308">
        <v>269</v>
      </c>
      <c r="K46" s="155">
        <f>J46/G46</f>
        <v>53.8</v>
      </c>
      <c r="L46" s="356">
        <f t="shared" si="5"/>
        <v>5.029739776951673</v>
      </c>
      <c r="M46" s="267">
        <f>77546+42693+26511+22036+11920+7619+1353</f>
        <v>189678</v>
      </c>
      <c r="N46" s="155">
        <f>8404+4982+3631+3612+1988+1253+269</f>
        <v>24139</v>
      </c>
      <c r="O46" s="358">
        <f>+M46/N46</f>
        <v>7.857740585774058</v>
      </c>
      <c r="P46" s="321"/>
    </row>
    <row r="47" spans="1:16" s="7" customFormat="1" ht="15">
      <c r="A47" s="63">
        <v>43</v>
      </c>
      <c r="B47" s="368" t="s">
        <v>268</v>
      </c>
      <c r="C47" s="39">
        <v>39899</v>
      </c>
      <c r="D47" s="44" t="s">
        <v>134</v>
      </c>
      <c r="E47" s="44" t="s">
        <v>269</v>
      </c>
      <c r="F47" s="41">
        <v>16</v>
      </c>
      <c r="G47" s="41">
        <v>4</v>
      </c>
      <c r="H47" s="41">
        <v>8</v>
      </c>
      <c r="I47" s="263">
        <v>1251</v>
      </c>
      <c r="J47" s="308">
        <v>290</v>
      </c>
      <c r="K47" s="155">
        <f>(J47/G47)</f>
        <v>72.5</v>
      </c>
      <c r="L47" s="356">
        <f t="shared" si="5"/>
        <v>4.313793103448276</v>
      </c>
      <c r="M47" s="267">
        <f>31137+15536+8716+2149+2897+1360+2390+1251</f>
        <v>65436</v>
      </c>
      <c r="N47" s="155">
        <f>3413+1778+1361+440+508+248+548+290</f>
        <v>8586</v>
      </c>
      <c r="O47" s="358">
        <f>M47/N47</f>
        <v>7.621243885394829</v>
      </c>
      <c r="P47" s="321">
        <v>1</v>
      </c>
    </row>
    <row r="48" spans="1:16" s="7" customFormat="1" ht="15">
      <c r="A48" s="63">
        <v>44</v>
      </c>
      <c r="B48" s="368" t="s">
        <v>70</v>
      </c>
      <c r="C48" s="39">
        <v>39766</v>
      </c>
      <c r="D48" s="44" t="s">
        <v>132</v>
      </c>
      <c r="E48" s="44" t="s">
        <v>71</v>
      </c>
      <c r="F48" s="41">
        <v>24</v>
      </c>
      <c r="G48" s="41">
        <v>24</v>
      </c>
      <c r="H48" s="41">
        <v>24</v>
      </c>
      <c r="I48" s="263">
        <v>1249</v>
      </c>
      <c r="J48" s="308">
        <v>151</v>
      </c>
      <c r="K48" s="155">
        <f>J48/G48</f>
        <v>6.291666666666667</v>
      </c>
      <c r="L48" s="356">
        <f t="shared" si="5"/>
        <v>8.271523178807946</v>
      </c>
      <c r="M48" s="267">
        <f>191668+16358.5+8305+0.5+19699.5+16705.5+7289+4467+3138+2267+1882+6536+9273+1289+852+1124+2416+1164+28+80+1249</f>
        <v>295791</v>
      </c>
      <c r="N48" s="155">
        <f>10324+8249+7871+7121+4755+3362+1751+2958+2636+1185+800+596+440+265+961+1648+202+172+213+528+291+7+20+151</f>
        <v>56506</v>
      </c>
      <c r="O48" s="358">
        <f>+M48/N48</f>
        <v>5.2346830425087605</v>
      </c>
      <c r="P48" s="321">
        <v>1</v>
      </c>
    </row>
    <row r="49" spans="1:16" s="7" customFormat="1" ht="15">
      <c r="A49" s="63">
        <v>45</v>
      </c>
      <c r="B49" s="368" t="s">
        <v>264</v>
      </c>
      <c r="C49" s="39">
        <v>39899</v>
      </c>
      <c r="D49" s="44" t="s">
        <v>130</v>
      </c>
      <c r="E49" s="44" t="s">
        <v>63</v>
      </c>
      <c r="F49" s="41">
        <v>62</v>
      </c>
      <c r="G49" s="41">
        <v>3</v>
      </c>
      <c r="H49" s="41">
        <v>8</v>
      </c>
      <c r="I49" s="263">
        <v>1247</v>
      </c>
      <c r="J49" s="308">
        <v>322</v>
      </c>
      <c r="K49" s="155">
        <f>J49/G49</f>
        <v>107.33333333333333</v>
      </c>
      <c r="L49" s="356">
        <f t="shared" si="5"/>
        <v>3.872670807453416</v>
      </c>
      <c r="M49" s="267">
        <f>306193+165310+41433+47659+24591+8913+2417+1247</f>
        <v>597763</v>
      </c>
      <c r="N49" s="155">
        <f>34359+18326+5534+7820+4081+1577+467+322</f>
        <v>72486</v>
      </c>
      <c r="O49" s="358">
        <f>+M49/N49</f>
        <v>8.246599343321469</v>
      </c>
      <c r="P49" s="321"/>
    </row>
    <row r="50" spans="1:16" s="7" customFormat="1" ht="15">
      <c r="A50" s="63">
        <v>46</v>
      </c>
      <c r="B50" s="368" t="s">
        <v>209</v>
      </c>
      <c r="C50" s="39">
        <v>39864</v>
      </c>
      <c r="D50" s="44" t="s">
        <v>134</v>
      </c>
      <c r="E50" s="44" t="s">
        <v>210</v>
      </c>
      <c r="F50" s="41">
        <v>55</v>
      </c>
      <c r="G50" s="41">
        <v>5</v>
      </c>
      <c r="H50" s="41">
        <v>13</v>
      </c>
      <c r="I50" s="263">
        <v>1140</v>
      </c>
      <c r="J50" s="308">
        <v>142</v>
      </c>
      <c r="K50" s="155">
        <f>(J50/G50)</f>
        <v>28.4</v>
      </c>
      <c r="L50" s="356">
        <f t="shared" si="5"/>
        <v>8.028169014084508</v>
      </c>
      <c r="M50" s="267">
        <f>190777.5+154065+60826.5+20820+23589+29712+19396.5+16102+12940+11034+3005+981+1140</f>
        <v>544388.5</v>
      </c>
      <c r="N50" s="155">
        <f>20518+17650+7809+3283+4115+5826+3911+3770+2981+2505+653+199+142</f>
        <v>73362</v>
      </c>
      <c r="O50" s="358">
        <f>M50/N50</f>
        <v>7.420578773752078</v>
      </c>
      <c r="P50" s="321"/>
    </row>
    <row r="51" spans="1:16" s="7" customFormat="1" ht="15">
      <c r="A51" s="63">
        <v>47</v>
      </c>
      <c r="B51" s="368" t="s">
        <v>167</v>
      </c>
      <c r="C51" s="39">
        <v>39766</v>
      </c>
      <c r="D51" s="44" t="s">
        <v>200</v>
      </c>
      <c r="E51" s="44" t="s">
        <v>168</v>
      </c>
      <c r="F51" s="41">
        <v>17</v>
      </c>
      <c r="G51" s="41">
        <v>1</v>
      </c>
      <c r="H51" s="41">
        <v>21</v>
      </c>
      <c r="I51" s="263">
        <v>1054</v>
      </c>
      <c r="J51" s="308">
        <v>127</v>
      </c>
      <c r="K51" s="155">
        <f>J51/G51</f>
        <v>127</v>
      </c>
      <c r="L51" s="356">
        <f t="shared" si="5"/>
        <v>8.299212598425196</v>
      </c>
      <c r="M51" s="267">
        <v>85517</v>
      </c>
      <c r="N51" s="155">
        <v>12139</v>
      </c>
      <c r="O51" s="358">
        <f>+M51/N51</f>
        <v>7.0448142351099765</v>
      </c>
      <c r="P51" s="321">
        <v>1</v>
      </c>
    </row>
    <row r="52" spans="1:16" s="7" customFormat="1" ht="15">
      <c r="A52" s="63">
        <v>48</v>
      </c>
      <c r="B52" s="368" t="s">
        <v>242</v>
      </c>
      <c r="C52" s="39">
        <v>39871</v>
      </c>
      <c r="D52" s="44" t="s">
        <v>243</v>
      </c>
      <c r="E52" s="44" t="s">
        <v>112</v>
      </c>
      <c r="F52" s="41">
        <v>57</v>
      </c>
      <c r="G52" s="41">
        <v>4</v>
      </c>
      <c r="H52" s="41">
        <v>13</v>
      </c>
      <c r="I52" s="263">
        <v>933</v>
      </c>
      <c r="J52" s="308">
        <v>236</v>
      </c>
      <c r="K52" s="155">
        <f>J52/G52</f>
        <v>59</v>
      </c>
      <c r="L52" s="356">
        <f t="shared" si="5"/>
        <v>3.9533898305084745</v>
      </c>
      <c r="M52" s="267">
        <v>3087633</v>
      </c>
      <c r="N52" s="155">
        <v>336151</v>
      </c>
      <c r="O52" s="358">
        <f>+M52/N52</f>
        <v>9.185256030771885</v>
      </c>
      <c r="P52" s="321"/>
    </row>
    <row r="53" spans="1:16" s="7" customFormat="1" ht="15">
      <c r="A53" s="63">
        <v>49</v>
      </c>
      <c r="B53" s="368" t="s">
        <v>277</v>
      </c>
      <c r="C53" s="39">
        <v>39906</v>
      </c>
      <c r="D53" s="44" t="s">
        <v>134</v>
      </c>
      <c r="E53" s="44" t="s">
        <v>133</v>
      </c>
      <c r="F53" s="41">
        <v>73</v>
      </c>
      <c r="G53" s="41">
        <v>3</v>
      </c>
      <c r="H53" s="41">
        <v>7</v>
      </c>
      <c r="I53" s="263">
        <v>904</v>
      </c>
      <c r="J53" s="308">
        <v>145</v>
      </c>
      <c r="K53" s="155">
        <f>(J53/G53)</f>
        <v>48.333333333333336</v>
      </c>
      <c r="L53" s="356">
        <f t="shared" si="5"/>
        <v>6.23448275862069</v>
      </c>
      <c r="M53" s="267">
        <f>257998+146390.25+55495.5+19689+10921.5+8901+904</f>
        <v>500299.25</v>
      </c>
      <c r="N53" s="155">
        <f>25239+14756+6633+3240+1982+1982+145</f>
        <v>53977</v>
      </c>
      <c r="O53" s="358">
        <f>M53/N53</f>
        <v>9.268748726309354</v>
      </c>
      <c r="P53" s="321"/>
    </row>
    <row r="54" spans="1:16" s="7" customFormat="1" ht="15">
      <c r="A54" s="63">
        <v>50</v>
      </c>
      <c r="B54" s="368" t="s">
        <v>324</v>
      </c>
      <c r="C54" s="39">
        <v>39927</v>
      </c>
      <c r="D54" s="44" t="s">
        <v>136</v>
      </c>
      <c r="E54" s="44" t="s">
        <v>325</v>
      </c>
      <c r="F54" s="41">
        <v>10</v>
      </c>
      <c r="G54" s="41">
        <v>3</v>
      </c>
      <c r="H54" s="41">
        <v>4</v>
      </c>
      <c r="I54" s="263">
        <v>687</v>
      </c>
      <c r="J54" s="308">
        <v>119</v>
      </c>
      <c r="K54" s="155">
        <f>J54/G54</f>
        <v>39.666666666666664</v>
      </c>
      <c r="L54" s="356">
        <f t="shared" si="5"/>
        <v>5.773109243697479</v>
      </c>
      <c r="M54" s="267">
        <v>14858.5</v>
      </c>
      <c r="N54" s="155">
        <v>2031</v>
      </c>
      <c r="O54" s="358">
        <f>+M54/N54</f>
        <v>7.315854258985722</v>
      </c>
      <c r="P54" s="321">
        <v>1</v>
      </c>
    </row>
    <row r="55" spans="1:16" s="7" customFormat="1" ht="15">
      <c r="A55" s="63">
        <v>51</v>
      </c>
      <c r="B55" s="368" t="s">
        <v>44</v>
      </c>
      <c r="C55" s="39">
        <v>39780</v>
      </c>
      <c r="D55" s="44" t="s">
        <v>131</v>
      </c>
      <c r="E55" s="44" t="s">
        <v>127</v>
      </c>
      <c r="F55" s="41">
        <v>121</v>
      </c>
      <c r="G55" s="41">
        <v>3</v>
      </c>
      <c r="H55" s="41">
        <v>25</v>
      </c>
      <c r="I55" s="263">
        <v>673</v>
      </c>
      <c r="J55" s="308">
        <v>391</v>
      </c>
      <c r="K55" s="155">
        <f>J55/G55</f>
        <v>130.33333333333334</v>
      </c>
      <c r="L55" s="356">
        <f t="shared" si="5"/>
        <v>1.721227621483376</v>
      </c>
      <c r="M55" s="267">
        <v>3470170</v>
      </c>
      <c r="N55" s="155">
        <v>409759</v>
      </c>
      <c r="O55" s="358">
        <f>+M55/N55</f>
        <v>8.4688072745199</v>
      </c>
      <c r="P55" s="321"/>
    </row>
    <row r="56" spans="1:16" s="7" customFormat="1" ht="15">
      <c r="A56" s="63">
        <v>52</v>
      </c>
      <c r="B56" s="368" t="s">
        <v>300</v>
      </c>
      <c r="C56" s="39">
        <v>39913</v>
      </c>
      <c r="D56" s="44" t="s">
        <v>134</v>
      </c>
      <c r="E56" s="44" t="s">
        <v>301</v>
      </c>
      <c r="F56" s="41">
        <v>8</v>
      </c>
      <c r="G56" s="41">
        <v>4</v>
      </c>
      <c r="H56" s="41">
        <v>6</v>
      </c>
      <c r="I56" s="263">
        <v>673</v>
      </c>
      <c r="J56" s="308">
        <v>117</v>
      </c>
      <c r="K56" s="155">
        <f>(J56/G56)</f>
        <v>29.25</v>
      </c>
      <c r="L56" s="356">
        <f t="shared" si="5"/>
        <v>5.752136752136752</v>
      </c>
      <c r="M56" s="267">
        <f>21351.5+14278.5+6751+4525+2536+673</f>
        <v>50115</v>
      </c>
      <c r="N56" s="155">
        <f>2210+1534+811+919+457+117</f>
        <v>6048</v>
      </c>
      <c r="O56" s="358">
        <f>M56/N56</f>
        <v>8.286210317460318</v>
      </c>
      <c r="P56" s="321">
        <v>1</v>
      </c>
    </row>
    <row r="57" spans="1:16" s="7" customFormat="1" ht="15">
      <c r="A57" s="63">
        <v>53</v>
      </c>
      <c r="B57" s="368" t="s">
        <v>278</v>
      </c>
      <c r="C57" s="39">
        <v>39906</v>
      </c>
      <c r="D57" s="44" t="s">
        <v>279</v>
      </c>
      <c r="E57" s="44" t="s">
        <v>367</v>
      </c>
      <c r="F57" s="41" t="s">
        <v>323</v>
      </c>
      <c r="G57" s="41" t="s">
        <v>381</v>
      </c>
      <c r="H57" s="41" t="s">
        <v>382</v>
      </c>
      <c r="I57" s="263">
        <v>590</v>
      </c>
      <c r="J57" s="308">
        <v>101</v>
      </c>
      <c r="K57" s="155">
        <f>J57/G57</f>
        <v>33.666666666666664</v>
      </c>
      <c r="L57" s="356">
        <f t="shared" si="5"/>
        <v>5.841584158415841</v>
      </c>
      <c r="M57" s="267">
        <f>220685+590</f>
        <v>221275</v>
      </c>
      <c r="N57" s="155">
        <f>25486+101</f>
        <v>25587</v>
      </c>
      <c r="O57" s="358">
        <f>+M57/N57</f>
        <v>8.64794622269121</v>
      </c>
      <c r="P57" s="321"/>
    </row>
    <row r="58" spans="1:16" s="7" customFormat="1" ht="15">
      <c r="A58" s="63">
        <v>54</v>
      </c>
      <c r="B58" s="368" t="s">
        <v>383</v>
      </c>
      <c r="C58" s="39">
        <v>39556</v>
      </c>
      <c r="D58" s="44" t="s">
        <v>4</v>
      </c>
      <c r="E58" s="44" t="s">
        <v>77</v>
      </c>
      <c r="F58" s="41">
        <v>48</v>
      </c>
      <c r="G58" s="41">
        <v>1</v>
      </c>
      <c r="H58" s="41">
        <v>58</v>
      </c>
      <c r="I58" s="263">
        <v>560</v>
      </c>
      <c r="J58" s="308">
        <v>93</v>
      </c>
      <c r="K58" s="155">
        <f>+J58/G58</f>
        <v>93</v>
      </c>
      <c r="L58" s="356">
        <f>+I58/J58</f>
        <v>6.021505376344086</v>
      </c>
      <c r="M58" s="267">
        <v>59132</v>
      </c>
      <c r="N58" s="155">
        <v>8014</v>
      </c>
      <c r="O58" s="358">
        <f>+M58/N58</f>
        <v>7.378587471924133</v>
      </c>
      <c r="P58" s="321"/>
    </row>
    <row r="59" spans="1:16" s="7" customFormat="1" ht="15">
      <c r="A59" s="63">
        <v>55</v>
      </c>
      <c r="B59" s="368" t="s">
        <v>177</v>
      </c>
      <c r="C59" s="39">
        <v>39843</v>
      </c>
      <c r="D59" s="44" t="s">
        <v>132</v>
      </c>
      <c r="E59" s="44" t="s">
        <v>13</v>
      </c>
      <c r="F59" s="41">
        <v>50</v>
      </c>
      <c r="G59" s="41">
        <v>50</v>
      </c>
      <c r="H59" s="41">
        <v>14</v>
      </c>
      <c r="I59" s="263">
        <v>510</v>
      </c>
      <c r="J59" s="308">
        <v>195</v>
      </c>
      <c r="K59" s="155">
        <f>J59/G59</f>
        <v>3.9</v>
      </c>
      <c r="L59" s="356">
        <f aca="true" t="shared" si="6" ref="L59:L73">I59/J59</f>
        <v>2.6153846153846154</v>
      </c>
      <c r="M59" s="267">
        <f>168651.5+46529+10620.5+4304+0.5+12367.5+5085+0.5+811+443+1089+406.5+312+389+3597+510</f>
        <v>255116</v>
      </c>
      <c r="N59" s="155">
        <f>20118+5529+1513+681+2223+920+189+100+201+77+55+67+600+195</f>
        <v>32468</v>
      </c>
      <c r="O59" s="358">
        <f>+M59/N59</f>
        <v>7.857459652581003</v>
      </c>
      <c r="P59" s="321"/>
    </row>
    <row r="60" spans="1:16" s="7" customFormat="1" ht="15">
      <c r="A60" s="63">
        <v>56</v>
      </c>
      <c r="B60" s="368" t="s">
        <v>364</v>
      </c>
      <c r="C60" s="39">
        <v>39941</v>
      </c>
      <c r="D60" s="44" t="s">
        <v>134</v>
      </c>
      <c r="E60" s="44" t="s">
        <v>90</v>
      </c>
      <c r="F60" s="41">
        <v>25</v>
      </c>
      <c r="G60" s="41">
        <v>6</v>
      </c>
      <c r="H60" s="41">
        <v>2</v>
      </c>
      <c r="I60" s="263">
        <v>481.5</v>
      </c>
      <c r="J60" s="308">
        <v>58</v>
      </c>
      <c r="K60" s="155">
        <f>(J60/G60)</f>
        <v>9.666666666666666</v>
      </c>
      <c r="L60" s="356">
        <f t="shared" si="6"/>
        <v>8.301724137931034</v>
      </c>
      <c r="M60" s="267">
        <f>11131.5+481.5</f>
        <v>11613</v>
      </c>
      <c r="N60" s="155">
        <f>1039+58</f>
        <v>1097</v>
      </c>
      <c r="O60" s="358">
        <f>M60/N60</f>
        <v>10.586144029170464</v>
      </c>
      <c r="P60" s="321"/>
    </row>
    <row r="61" spans="1:16" s="7" customFormat="1" ht="15">
      <c r="A61" s="63">
        <v>57</v>
      </c>
      <c r="B61" s="368" t="s">
        <v>225</v>
      </c>
      <c r="C61" s="39">
        <v>39871</v>
      </c>
      <c r="D61" s="44" t="s">
        <v>134</v>
      </c>
      <c r="E61" s="44" t="s">
        <v>1</v>
      </c>
      <c r="F61" s="41">
        <v>1</v>
      </c>
      <c r="G61" s="41">
        <v>1</v>
      </c>
      <c r="H61" s="41">
        <v>10</v>
      </c>
      <c r="I61" s="263">
        <v>476</v>
      </c>
      <c r="J61" s="308">
        <v>57</v>
      </c>
      <c r="K61" s="155">
        <f>(J61/G61)</f>
        <v>57</v>
      </c>
      <c r="L61" s="356">
        <f t="shared" si="6"/>
        <v>8.350877192982455</v>
      </c>
      <c r="M61" s="267">
        <f>1088+1510+1304+856+387+214+424+106+162+130+476</f>
        <v>6657</v>
      </c>
      <c r="N61" s="155">
        <f>267+175+155+102+46+26+51+12+18+16+57</f>
        <v>925</v>
      </c>
      <c r="O61" s="358">
        <f>M61/N61</f>
        <v>7.1967567567567565</v>
      </c>
      <c r="P61" s="321"/>
    </row>
    <row r="62" spans="1:16" s="7" customFormat="1" ht="15">
      <c r="A62" s="63">
        <v>58</v>
      </c>
      <c r="B62" s="368" t="s">
        <v>345</v>
      </c>
      <c r="C62" s="39">
        <v>39934</v>
      </c>
      <c r="D62" s="44" t="s">
        <v>134</v>
      </c>
      <c r="E62" s="44" t="s">
        <v>341</v>
      </c>
      <c r="F62" s="41">
        <v>5</v>
      </c>
      <c r="G62" s="41">
        <v>2</v>
      </c>
      <c r="H62" s="41">
        <v>3</v>
      </c>
      <c r="I62" s="263">
        <v>456</v>
      </c>
      <c r="J62" s="308">
        <v>51</v>
      </c>
      <c r="K62" s="155">
        <f>(J62/G62)</f>
        <v>25.5</v>
      </c>
      <c r="L62" s="356">
        <f t="shared" si="6"/>
        <v>8.941176470588236</v>
      </c>
      <c r="M62" s="267">
        <f>8152.5+2367.5+456</f>
        <v>10976</v>
      </c>
      <c r="N62" s="155">
        <f>669+232+51</f>
        <v>952</v>
      </c>
      <c r="O62" s="358">
        <f>M62/N62</f>
        <v>11.529411764705882</v>
      </c>
      <c r="P62" s="321"/>
    </row>
    <row r="63" spans="1:16" s="7" customFormat="1" ht="15">
      <c r="A63" s="63">
        <v>59</v>
      </c>
      <c r="B63" s="368" t="s">
        <v>254</v>
      </c>
      <c r="C63" s="39">
        <v>39892</v>
      </c>
      <c r="D63" s="44" t="s">
        <v>131</v>
      </c>
      <c r="E63" s="44" t="s">
        <v>111</v>
      </c>
      <c r="F63" s="41">
        <v>70</v>
      </c>
      <c r="G63" s="41">
        <v>1</v>
      </c>
      <c r="H63" s="41">
        <v>9</v>
      </c>
      <c r="I63" s="263">
        <v>393</v>
      </c>
      <c r="J63" s="308">
        <v>77</v>
      </c>
      <c r="K63" s="155">
        <f>J63/G63</f>
        <v>77</v>
      </c>
      <c r="L63" s="356">
        <f t="shared" si="6"/>
        <v>5.103896103896104</v>
      </c>
      <c r="M63" s="267">
        <v>471186</v>
      </c>
      <c r="N63" s="155">
        <v>57632</v>
      </c>
      <c r="O63" s="358">
        <f>+M63/N63</f>
        <v>8.175770405330372</v>
      </c>
      <c r="P63" s="321"/>
    </row>
    <row r="64" spans="1:16" s="7" customFormat="1" ht="15">
      <c r="A64" s="63">
        <v>60</v>
      </c>
      <c r="B64" s="368" t="s">
        <v>178</v>
      </c>
      <c r="C64" s="39">
        <v>39850</v>
      </c>
      <c r="D64" s="44" t="s">
        <v>130</v>
      </c>
      <c r="E64" s="44" t="s">
        <v>122</v>
      </c>
      <c r="F64" s="41">
        <v>71</v>
      </c>
      <c r="G64" s="41">
        <v>1</v>
      </c>
      <c r="H64" s="41">
        <v>13</v>
      </c>
      <c r="I64" s="263">
        <v>328</v>
      </c>
      <c r="J64" s="308">
        <v>124</v>
      </c>
      <c r="K64" s="155">
        <f>J64/G64</f>
        <v>124</v>
      </c>
      <c r="L64" s="356">
        <f t="shared" si="6"/>
        <v>2.6451612903225805</v>
      </c>
      <c r="M64" s="267">
        <f>23710+1679966+898914+783390+367131+248174+60198+28574+75603+24383+9342+1752+1887+328</f>
        <v>4203352</v>
      </c>
      <c r="N64" s="155">
        <f>2389+174143+94778+84343+41781+31873+9484+4106+14079+4279+1652+293+528+124</f>
        <v>463852</v>
      </c>
      <c r="O64" s="358">
        <f>+M64/N64</f>
        <v>9.06183868992696</v>
      </c>
      <c r="P64" s="321"/>
    </row>
    <row r="65" spans="1:16" s="7" customFormat="1" ht="15">
      <c r="A65" s="63">
        <v>61</v>
      </c>
      <c r="B65" s="368" t="s">
        <v>255</v>
      </c>
      <c r="C65" s="39">
        <v>39892</v>
      </c>
      <c r="D65" s="44" t="s">
        <v>134</v>
      </c>
      <c r="E65" s="44" t="s">
        <v>302</v>
      </c>
      <c r="F65" s="41">
        <v>18</v>
      </c>
      <c r="G65" s="41">
        <v>2</v>
      </c>
      <c r="H65" s="41">
        <v>9</v>
      </c>
      <c r="I65" s="263">
        <v>299</v>
      </c>
      <c r="J65" s="308">
        <v>56</v>
      </c>
      <c r="K65" s="155">
        <f>(J65/G65)</f>
        <v>28</v>
      </c>
      <c r="L65" s="356">
        <f t="shared" si="6"/>
        <v>5.339285714285714</v>
      </c>
      <c r="M65" s="267">
        <f>64124.5+26275.5+7311.5+8465.5+2566+5722+4034.5+396+299</f>
        <v>119194.5</v>
      </c>
      <c r="N65" s="155">
        <f>5704+2336+995+1347+675+1131+1039+72+56</f>
        <v>13355</v>
      </c>
      <c r="O65" s="358">
        <f>M65/N65</f>
        <v>8.925084238113067</v>
      </c>
      <c r="P65" s="321"/>
    </row>
    <row r="66" spans="1:16" s="7" customFormat="1" ht="15">
      <c r="A66" s="63">
        <v>62</v>
      </c>
      <c r="B66" s="368" t="s">
        <v>384</v>
      </c>
      <c r="C66" s="39">
        <v>39738</v>
      </c>
      <c r="D66" s="44" t="s">
        <v>131</v>
      </c>
      <c r="E66" s="44" t="s">
        <v>43</v>
      </c>
      <c r="F66" s="41">
        <v>62</v>
      </c>
      <c r="G66" s="41">
        <v>1</v>
      </c>
      <c r="H66" s="41">
        <v>31</v>
      </c>
      <c r="I66" s="263">
        <v>294</v>
      </c>
      <c r="J66" s="308">
        <v>113</v>
      </c>
      <c r="K66" s="155">
        <f>J66/G66</f>
        <v>113</v>
      </c>
      <c r="L66" s="356">
        <f t="shared" si="6"/>
        <v>2.601769911504425</v>
      </c>
      <c r="M66" s="267">
        <v>731858</v>
      </c>
      <c r="N66" s="155">
        <v>88302</v>
      </c>
      <c r="O66" s="358">
        <f>+M66/N66</f>
        <v>8.288124844284388</v>
      </c>
      <c r="P66" s="321"/>
    </row>
    <row r="67" spans="1:16" s="7" customFormat="1" ht="15">
      <c r="A67" s="63">
        <v>63</v>
      </c>
      <c r="B67" s="368" t="s">
        <v>12</v>
      </c>
      <c r="C67" s="39">
        <v>39829</v>
      </c>
      <c r="D67" s="44" t="s">
        <v>132</v>
      </c>
      <c r="E67" s="44" t="s">
        <v>385</v>
      </c>
      <c r="F67" s="41">
        <v>27</v>
      </c>
      <c r="G67" s="41">
        <v>27</v>
      </c>
      <c r="H67" s="41">
        <v>15</v>
      </c>
      <c r="I67" s="263">
        <v>294</v>
      </c>
      <c r="J67" s="308">
        <v>49</v>
      </c>
      <c r="K67" s="155">
        <f>J67/G67</f>
        <v>1.8148148148148149</v>
      </c>
      <c r="L67" s="356">
        <f t="shared" si="6"/>
        <v>6</v>
      </c>
      <c r="M67" s="267">
        <f>341980.5+752+294</f>
        <v>343026.5</v>
      </c>
      <c r="N67" s="155">
        <f>34663+92+49</f>
        <v>34804</v>
      </c>
      <c r="O67" s="358">
        <f>+M67/N67</f>
        <v>9.85595046546374</v>
      </c>
      <c r="P67" s="321"/>
    </row>
    <row r="68" spans="1:16" s="7" customFormat="1" ht="15">
      <c r="A68" s="63">
        <v>64</v>
      </c>
      <c r="B68" s="368" t="s">
        <v>88</v>
      </c>
      <c r="C68" s="39">
        <v>39822</v>
      </c>
      <c r="D68" s="44" t="s">
        <v>134</v>
      </c>
      <c r="E68" s="44" t="s">
        <v>1</v>
      </c>
      <c r="F68" s="41">
        <v>37</v>
      </c>
      <c r="G68" s="41">
        <v>1</v>
      </c>
      <c r="H68" s="41">
        <v>19</v>
      </c>
      <c r="I68" s="263">
        <v>280</v>
      </c>
      <c r="J68" s="308">
        <v>56</v>
      </c>
      <c r="K68" s="155">
        <f>(J68/G68)</f>
        <v>56</v>
      </c>
      <c r="L68" s="356">
        <f t="shared" si="6"/>
        <v>5</v>
      </c>
      <c r="M68" s="267">
        <f>659650+421734+197166+56066+26078+17427+25433+18144+27821+1811+493.5+7565+4181.5+3162+140+1484+1484+728+280</f>
        <v>1470848</v>
      </c>
      <c r="N68" s="155">
        <f>60096+38612+18194+5957+3377+2817+3965+3389+4264+427+74+1077+688+516+28+371+371+204+56</f>
        <v>144483</v>
      </c>
      <c r="O68" s="358">
        <f>M68/N68</f>
        <v>10.180076548798128</v>
      </c>
      <c r="P68" s="321"/>
    </row>
    <row r="69" spans="1:16" s="7" customFormat="1" ht="15">
      <c r="A69" s="63">
        <v>65</v>
      </c>
      <c r="B69" s="368" t="s">
        <v>253</v>
      </c>
      <c r="C69" s="39">
        <v>39892</v>
      </c>
      <c r="D69" s="44" t="s">
        <v>130</v>
      </c>
      <c r="E69" s="44" t="s">
        <v>35</v>
      </c>
      <c r="F69" s="41">
        <v>48</v>
      </c>
      <c r="G69" s="41">
        <v>1</v>
      </c>
      <c r="H69" s="41">
        <v>9</v>
      </c>
      <c r="I69" s="263">
        <v>177</v>
      </c>
      <c r="J69" s="308">
        <v>59</v>
      </c>
      <c r="K69" s="155">
        <f>J69/G69</f>
        <v>59</v>
      </c>
      <c r="L69" s="356">
        <f t="shared" si="6"/>
        <v>3</v>
      </c>
      <c r="M69" s="267">
        <f>252820+139377+40931+35755-48+20488+7471+3573+579+177</f>
        <v>501123</v>
      </c>
      <c r="N69" s="155">
        <f>29461+16712+6028+6061+3296+1203+511+193+59</f>
        <v>63524</v>
      </c>
      <c r="O69" s="358">
        <f>+M69/N69</f>
        <v>7.888719224230212</v>
      </c>
      <c r="P69" s="321"/>
    </row>
    <row r="70" spans="1:16" s="7" customFormat="1" ht="15">
      <c r="A70" s="63">
        <v>66</v>
      </c>
      <c r="B70" s="368" t="s">
        <v>232</v>
      </c>
      <c r="C70" s="39">
        <v>39878</v>
      </c>
      <c r="D70" s="44" t="s">
        <v>92</v>
      </c>
      <c r="E70" s="44" t="s">
        <v>288</v>
      </c>
      <c r="F70" s="41">
        <v>10</v>
      </c>
      <c r="G70" s="41">
        <v>2</v>
      </c>
      <c r="H70" s="41">
        <v>11</v>
      </c>
      <c r="I70" s="263">
        <v>160</v>
      </c>
      <c r="J70" s="308">
        <v>24</v>
      </c>
      <c r="K70" s="155">
        <f>J70/G70</f>
        <v>12</v>
      </c>
      <c r="L70" s="356">
        <f t="shared" si="6"/>
        <v>6.666666666666667</v>
      </c>
      <c r="M70" s="267">
        <v>25612.5</v>
      </c>
      <c r="N70" s="155">
        <v>2661</v>
      </c>
      <c r="O70" s="358">
        <f>+M70/N70</f>
        <v>9.625140924464487</v>
      </c>
      <c r="P70" s="321">
        <v>1</v>
      </c>
    </row>
    <row r="71" spans="1:16" s="7" customFormat="1" ht="15">
      <c r="A71" s="63">
        <v>67</v>
      </c>
      <c r="B71" s="368" t="s">
        <v>10</v>
      </c>
      <c r="C71" s="39">
        <v>39829</v>
      </c>
      <c r="D71" s="44" t="s">
        <v>134</v>
      </c>
      <c r="E71" s="44" t="s">
        <v>11</v>
      </c>
      <c r="F71" s="41">
        <v>65</v>
      </c>
      <c r="G71" s="41">
        <v>2</v>
      </c>
      <c r="H71" s="41">
        <v>18</v>
      </c>
      <c r="I71" s="263">
        <v>158</v>
      </c>
      <c r="J71" s="308">
        <v>48</v>
      </c>
      <c r="K71" s="155">
        <f>(J71/G71)</f>
        <v>24</v>
      </c>
      <c r="L71" s="356">
        <f t="shared" si="6"/>
        <v>3.2916666666666665</v>
      </c>
      <c r="M71" s="267">
        <f>237023+244842+160469+47021+21536+18820+18020.5+26440+10695+9162.5+9870+6322+1787+2032+757+348+420.5+158</f>
        <v>815723.5</v>
      </c>
      <c r="N71" s="155">
        <f>25678+28966+21290+6590+4890+3520+3479+4786+1907+1716+2388+1533+368+541+126+70+67+48</f>
        <v>107963</v>
      </c>
      <c r="O71" s="358">
        <f>M71/N71</f>
        <v>7.555583857432639</v>
      </c>
      <c r="P71" s="321"/>
    </row>
    <row r="72" spans="1:16" s="7" customFormat="1" ht="15">
      <c r="A72" s="63">
        <v>68</v>
      </c>
      <c r="B72" s="368" t="s">
        <v>326</v>
      </c>
      <c r="C72" s="39">
        <v>39878</v>
      </c>
      <c r="D72" s="44" t="s">
        <v>134</v>
      </c>
      <c r="E72" s="44" t="s">
        <v>231</v>
      </c>
      <c r="F72" s="41">
        <v>23</v>
      </c>
      <c r="G72" s="41">
        <v>1</v>
      </c>
      <c r="H72" s="41">
        <v>11</v>
      </c>
      <c r="I72" s="263">
        <v>122</v>
      </c>
      <c r="J72" s="308">
        <v>20</v>
      </c>
      <c r="K72" s="155">
        <f>(J72/G72)</f>
        <v>20</v>
      </c>
      <c r="L72" s="356">
        <f t="shared" si="6"/>
        <v>6.1</v>
      </c>
      <c r="M72" s="267">
        <f>53374.5+21232.5+15713+17154+11858.5+7161+6552+3862+3628+1527+122</f>
        <v>142184.5</v>
      </c>
      <c r="N72" s="155">
        <f>6646+2890+2666+3061+2083+1483+1285+676+775+318+20</f>
        <v>21903</v>
      </c>
      <c r="O72" s="358">
        <f>M72/N72</f>
        <v>6.491553668447245</v>
      </c>
      <c r="P72" s="321">
        <v>1</v>
      </c>
    </row>
    <row r="73" spans="1:16" s="7" customFormat="1" ht="15.75" thickBot="1">
      <c r="A73" s="63">
        <v>69</v>
      </c>
      <c r="B73" s="370" t="s">
        <v>281</v>
      </c>
      <c r="C73" s="337">
        <v>39906</v>
      </c>
      <c r="D73" s="338" t="s">
        <v>131</v>
      </c>
      <c r="E73" s="338" t="s">
        <v>282</v>
      </c>
      <c r="F73" s="339">
        <v>51</v>
      </c>
      <c r="G73" s="339">
        <v>1</v>
      </c>
      <c r="H73" s="339">
        <v>8</v>
      </c>
      <c r="I73" s="366">
        <v>100</v>
      </c>
      <c r="J73" s="340">
        <v>10</v>
      </c>
      <c r="K73" s="355">
        <f>J73/G73</f>
        <v>10</v>
      </c>
      <c r="L73" s="360">
        <f t="shared" si="6"/>
        <v>10</v>
      </c>
      <c r="M73" s="359">
        <v>84417</v>
      </c>
      <c r="N73" s="355">
        <v>11247</v>
      </c>
      <c r="O73" s="361">
        <f>+M73/N73</f>
        <v>7.505734862630034</v>
      </c>
      <c r="P73" s="321">
        <v>1</v>
      </c>
    </row>
    <row r="74" spans="1:16" s="38" customFormat="1" ht="15">
      <c r="A74" s="380" t="s">
        <v>137</v>
      </c>
      <c r="B74" s="381"/>
      <c r="C74" s="34"/>
      <c r="D74" s="109"/>
      <c r="E74" s="109"/>
      <c r="F74" s="35"/>
      <c r="G74" s="36"/>
      <c r="H74" s="35"/>
      <c r="I74" s="68">
        <f>SUM(I5:I73)</f>
        <v>4267017.3</v>
      </c>
      <c r="J74" s="113">
        <f>SUM(J5:J73)</f>
        <v>496356</v>
      </c>
      <c r="K74" s="113"/>
      <c r="L74" s="61"/>
      <c r="M74" s="73"/>
      <c r="N74" s="78"/>
      <c r="O74" s="37"/>
      <c r="P74" s="319"/>
    </row>
    <row r="75" spans="1:16" s="7" customFormat="1" ht="13.5">
      <c r="A75" s="26"/>
      <c r="C75" s="11"/>
      <c r="D75" s="14"/>
      <c r="E75" s="14"/>
      <c r="F75" s="8"/>
      <c r="G75" s="8"/>
      <c r="H75" s="8"/>
      <c r="I75" s="69"/>
      <c r="J75" s="114"/>
      <c r="K75" s="114"/>
      <c r="L75" s="21"/>
      <c r="M75" s="75"/>
      <c r="N75" s="80"/>
      <c r="O75" s="21"/>
      <c r="P75" s="319"/>
    </row>
    <row r="76" spans="1:16" s="7" customFormat="1" ht="13.5">
      <c r="A76" s="26"/>
      <c r="B76"/>
      <c r="C76" s="83"/>
      <c r="D76" s="110"/>
      <c r="E76" s="110"/>
      <c r="F76" s="62"/>
      <c r="G76" s="16"/>
      <c r="H76" s="8"/>
      <c r="I76" s="69"/>
      <c r="J76" s="114"/>
      <c r="K76" s="382" t="s">
        <v>135</v>
      </c>
      <c r="L76" s="378"/>
      <c r="M76" s="378"/>
      <c r="N76" s="378"/>
      <c r="O76" s="378"/>
      <c r="P76" s="319"/>
    </row>
    <row r="77" spans="1:16" s="7" customFormat="1" ht="13.5">
      <c r="A77" s="26"/>
      <c r="B77"/>
      <c r="C77" s="83"/>
      <c r="D77" s="110"/>
      <c r="E77" s="110"/>
      <c r="F77" s="62"/>
      <c r="G77" s="8"/>
      <c r="H77" s="17"/>
      <c r="I77" s="69"/>
      <c r="J77" s="114"/>
      <c r="K77" s="378"/>
      <c r="L77" s="378"/>
      <c r="M77" s="378"/>
      <c r="N77" s="378"/>
      <c r="O77" s="378"/>
      <c r="P77" s="319"/>
    </row>
    <row r="78" spans="1:16" s="7" customFormat="1" ht="13.5">
      <c r="A78" s="26"/>
      <c r="B78"/>
      <c r="C78" s="83"/>
      <c r="D78" s="110"/>
      <c r="E78" s="110"/>
      <c r="F78" s="62"/>
      <c r="G78" s="8"/>
      <c r="H78" s="17"/>
      <c r="I78" s="69"/>
      <c r="J78" s="114"/>
      <c r="K78" s="378"/>
      <c r="L78" s="378"/>
      <c r="M78" s="378"/>
      <c r="N78" s="378"/>
      <c r="O78" s="378"/>
      <c r="P78" s="319"/>
    </row>
    <row r="79" spans="1:16" s="7" customFormat="1" ht="13.5">
      <c r="A79" s="26"/>
      <c r="B79"/>
      <c r="C79" s="83"/>
      <c r="D79" s="110"/>
      <c r="E79" s="110"/>
      <c r="F79" s="62"/>
      <c r="G79" s="8"/>
      <c r="H79" s="17"/>
      <c r="I79" s="69"/>
      <c r="J79" s="114"/>
      <c r="K79" s="383"/>
      <c r="L79" s="383"/>
      <c r="M79" s="383"/>
      <c r="N79" s="383"/>
      <c r="O79" s="383"/>
      <c r="P79" s="319"/>
    </row>
    <row r="80" spans="1:16" s="7" customFormat="1" ht="13.5">
      <c r="A80" s="26"/>
      <c r="B80"/>
      <c r="C80" s="83"/>
      <c r="D80" s="110"/>
      <c r="E80" s="110"/>
      <c r="F80" s="62"/>
      <c r="G80" s="8"/>
      <c r="H80" s="377" t="s">
        <v>100</v>
      </c>
      <c r="I80" s="378"/>
      <c r="J80" s="378"/>
      <c r="K80" s="378"/>
      <c r="L80" s="378"/>
      <c r="M80" s="378"/>
      <c r="N80" s="378"/>
      <c r="O80" s="378"/>
      <c r="P80" s="319"/>
    </row>
    <row r="81" spans="1:16" s="19" customFormat="1" ht="15">
      <c r="A81" s="26"/>
      <c r="B81"/>
      <c r="C81" s="83"/>
      <c r="D81" s="110"/>
      <c r="E81" s="110"/>
      <c r="F81" s="62"/>
      <c r="G81" s="23"/>
      <c r="H81" s="378"/>
      <c r="I81" s="378"/>
      <c r="J81" s="378"/>
      <c r="K81" s="378"/>
      <c r="L81" s="378"/>
      <c r="M81" s="378"/>
      <c r="N81" s="378"/>
      <c r="O81" s="378"/>
      <c r="P81" s="319"/>
    </row>
    <row r="82" spans="1:16" s="19" customFormat="1" ht="15">
      <c r="A82" s="26"/>
      <c r="B82"/>
      <c r="C82" s="83"/>
      <c r="D82" s="110"/>
      <c r="E82" s="110"/>
      <c r="F82" s="62"/>
      <c r="G82" s="18"/>
      <c r="H82" s="378"/>
      <c r="I82" s="378"/>
      <c r="J82" s="378"/>
      <c r="K82" s="378"/>
      <c r="L82" s="378"/>
      <c r="M82" s="378"/>
      <c r="N82" s="378"/>
      <c r="O82" s="378"/>
      <c r="P82" s="319"/>
    </row>
    <row r="83" spans="1:16" s="19" customFormat="1" ht="15">
      <c r="A83" s="26"/>
      <c r="B83"/>
      <c r="C83" s="83"/>
      <c r="D83" s="110"/>
      <c r="E83" s="110"/>
      <c r="F83" s="62"/>
      <c r="G83" s="18"/>
      <c r="H83" s="378"/>
      <c r="I83" s="378"/>
      <c r="J83" s="378"/>
      <c r="K83" s="378"/>
      <c r="L83" s="378"/>
      <c r="M83" s="378"/>
      <c r="N83" s="378"/>
      <c r="O83" s="378"/>
      <c r="P83" s="319"/>
    </row>
    <row r="84" spans="1:16" s="19" customFormat="1" ht="15">
      <c r="A84" s="26"/>
      <c r="B84"/>
      <c r="C84" s="83"/>
      <c r="D84" s="110"/>
      <c r="E84" s="110"/>
      <c r="F84" s="62"/>
      <c r="G84" s="18"/>
      <c r="H84" s="378"/>
      <c r="I84" s="378"/>
      <c r="J84" s="378"/>
      <c r="K84" s="378"/>
      <c r="L84" s="378"/>
      <c r="M84" s="378"/>
      <c r="N84" s="378"/>
      <c r="O84" s="378"/>
      <c r="P84" s="319"/>
    </row>
    <row r="85" spans="1:16" s="19" customFormat="1" ht="15">
      <c r="A85" s="26"/>
      <c r="B85"/>
      <c r="C85" s="83"/>
      <c r="D85" s="110"/>
      <c r="E85" s="110"/>
      <c r="F85" s="62"/>
      <c r="G85" s="18"/>
      <c r="H85" s="378"/>
      <c r="I85" s="378"/>
      <c r="J85" s="378"/>
      <c r="K85" s="378"/>
      <c r="L85" s="378"/>
      <c r="M85" s="378"/>
      <c r="N85" s="378"/>
      <c r="O85" s="378"/>
      <c r="P85" s="319"/>
    </row>
    <row r="86" spans="1:16" s="19" customFormat="1" ht="15">
      <c r="A86" s="26"/>
      <c r="B86"/>
      <c r="C86" s="83"/>
      <c r="D86" s="110"/>
      <c r="E86" s="110"/>
      <c r="F86" s="62"/>
      <c r="G86" s="18"/>
      <c r="H86" s="379" t="s">
        <v>0</v>
      </c>
      <c r="I86" s="378"/>
      <c r="J86" s="378"/>
      <c r="K86" s="378"/>
      <c r="L86" s="378"/>
      <c r="M86" s="378"/>
      <c r="N86" s="378"/>
      <c r="O86" s="378"/>
      <c r="P86" s="319"/>
    </row>
    <row r="87" spans="1:16" s="19" customFormat="1" ht="15">
      <c r="A87" s="26"/>
      <c r="B87"/>
      <c r="C87" s="83"/>
      <c r="D87" s="110"/>
      <c r="E87" s="110"/>
      <c r="F87" s="62"/>
      <c r="G87" s="18"/>
      <c r="H87" s="378"/>
      <c r="I87" s="378"/>
      <c r="J87" s="378"/>
      <c r="K87" s="378"/>
      <c r="L87" s="378"/>
      <c r="M87" s="378"/>
      <c r="N87" s="378"/>
      <c r="O87" s="378"/>
      <c r="P87" s="319"/>
    </row>
    <row r="88" spans="1:16" s="19" customFormat="1" ht="15">
      <c r="A88" s="26"/>
      <c r="B88"/>
      <c r="C88" s="83"/>
      <c r="D88" s="110"/>
      <c r="E88" s="110"/>
      <c r="F88" s="62"/>
      <c r="G88" s="18"/>
      <c r="H88" s="378"/>
      <c r="I88" s="378"/>
      <c r="J88" s="378"/>
      <c r="K88" s="378"/>
      <c r="L88" s="378"/>
      <c r="M88" s="378"/>
      <c r="N88" s="378"/>
      <c r="O88" s="378"/>
      <c r="P88" s="319"/>
    </row>
    <row r="89" spans="1:16" s="19" customFormat="1" ht="15">
      <c r="A89" s="26"/>
      <c r="B89"/>
      <c r="C89" s="83"/>
      <c r="D89" s="110"/>
      <c r="E89" s="110"/>
      <c r="F89" s="62"/>
      <c r="G89" s="18"/>
      <c r="H89" s="378"/>
      <c r="I89" s="378"/>
      <c r="J89" s="378"/>
      <c r="K89" s="378"/>
      <c r="L89" s="378"/>
      <c r="M89" s="378"/>
      <c r="N89" s="378"/>
      <c r="O89" s="378"/>
      <c r="P89" s="319"/>
    </row>
    <row r="90" spans="1:16" s="19" customFormat="1" ht="15">
      <c r="A90" s="26"/>
      <c r="B90"/>
      <c r="C90" s="83"/>
      <c r="D90" s="110"/>
      <c r="E90" s="110"/>
      <c r="F90" s="62"/>
      <c r="G90" s="18"/>
      <c r="H90" s="378"/>
      <c r="I90" s="378"/>
      <c r="J90" s="378"/>
      <c r="K90" s="378"/>
      <c r="L90" s="378"/>
      <c r="M90" s="378"/>
      <c r="N90" s="378"/>
      <c r="O90" s="378"/>
      <c r="P90" s="319"/>
    </row>
    <row r="91" spans="1:16" s="19" customFormat="1" ht="15">
      <c r="A91" s="26"/>
      <c r="B91" s="27"/>
      <c r="C91" s="46"/>
      <c r="D91" s="111"/>
      <c r="E91" s="111"/>
      <c r="F91" s="59"/>
      <c r="G91" s="18"/>
      <c r="H91" s="378"/>
      <c r="I91" s="378"/>
      <c r="J91" s="378"/>
      <c r="K91" s="378"/>
      <c r="L91" s="378"/>
      <c r="M91" s="378"/>
      <c r="N91" s="378"/>
      <c r="O91" s="378"/>
      <c r="P91" s="319"/>
    </row>
    <row r="92" spans="1:16" s="19" customFormat="1" ht="15">
      <c r="A92" s="26"/>
      <c r="B92" s="27"/>
      <c r="C92" s="46"/>
      <c r="D92" s="111"/>
      <c r="E92" s="111"/>
      <c r="F92" s="59"/>
      <c r="G92" s="18"/>
      <c r="H92" s="378"/>
      <c r="I92" s="378"/>
      <c r="J92" s="378"/>
      <c r="K92" s="378"/>
      <c r="L92" s="378"/>
      <c r="M92" s="378"/>
      <c r="N92" s="378"/>
      <c r="O92" s="378"/>
      <c r="P92" s="319"/>
    </row>
    <row r="93" spans="1:16" s="19" customFormat="1" ht="15">
      <c r="A93" s="26"/>
      <c r="B93" s="27"/>
      <c r="C93" s="46"/>
      <c r="D93" s="111"/>
      <c r="E93" s="111"/>
      <c r="F93" s="59"/>
      <c r="G93" s="18"/>
      <c r="H93" s="59"/>
      <c r="I93" s="71"/>
      <c r="J93" s="115"/>
      <c r="K93" s="115"/>
      <c r="L93" s="60"/>
      <c r="M93" s="117"/>
      <c r="N93" s="81"/>
      <c r="O93" s="60"/>
      <c r="P93" s="319"/>
    </row>
    <row r="94" spans="1:16" s="19" customFormat="1" ht="15">
      <c r="A94" s="26"/>
      <c r="B94" s="27"/>
      <c r="C94" s="46"/>
      <c r="D94" s="111"/>
      <c r="E94" s="111"/>
      <c r="F94" s="59"/>
      <c r="G94" s="18"/>
      <c r="H94" s="59"/>
      <c r="I94" s="71"/>
      <c r="J94" s="115"/>
      <c r="K94" s="115"/>
      <c r="L94" s="60"/>
      <c r="M94" s="117"/>
      <c r="N94" s="81"/>
      <c r="O94" s="60"/>
      <c r="P94" s="319"/>
    </row>
    <row r="95" spans="2:6" ht="18">
      <c r="B95" s="27"/>
      <c r="C95" s="46"/>
      <c r="D95" s="111"/>
      <c r="E95" s="111"/>
      <c r="F95" s="59"/>
    </row>
    <row r="96" spans="2:6" ht="18">
      <c r="B96" s="27"/>
      <c r="C96" s="46"/>
      <c r="D96" s="111"/>
      <c r="E96" s="111"/>
      <c r="F96" s="59"/>
    </row>
    <row r="97" spans="2:15" ht="18">
      <c r="B97" s="27"/>
      <c r="C97" s="46"/>
      <c r="D97" s="111"/>
      <c r="E97" s="111"/>
      <c r="F97" s="59"/>
      <c r="G97" s="59"/>
      <c r="H97" s="59"/>
      <c r="I97" s="71"/>
      <c r="J97" s="115"/>
      <c r="K97" s="115"/>
      <c r="L97" s="60"/>
      <c r="M97" s="76"/>
      <c r="N97" s="82"/>
      <c r="O97" s="60"/>
    </row>
    <row r="98" spans="2:15" ht="18">
      <c r="B98" s="27"/>
      <c r="C98" s="46"/>
      <c r="D98" s="111"/>
      <c r="E98" s="111"/>
      <c r="F98" s="59"/>
      <c r="G98" s="59"/>
      <c r="H98" s="59"/>
      <c r="I98" s="71"/>
      <c r="J98" s="115"/>
      <c r="K98" s="115"/>
      <c r="L98" s="60"/>
      <c r="M98" s="76"/>
      <c r="N98" s="82"/>
      <c r="O98" s="60"/>
    </row>
    <row r="99" spans="2:15" ht="18">
      <c r="B99" s="27"/>
      <c r="C99" s="46"/>
      <c r="D99" s="111"/>
      <c r="E99" s="111"/>
      <c r="F99" s="59"/>
      <c r="G99" s="59"/>
      <c r="H99" s="59"/>
      <c r="I99" s="71"/>
      <c r="J99" s="115"/>
      <c r="K99" s="115"/>
      <c r="L99" s="60"/>
      <c r="M99" s="76"/>
      <c r="N99" s="82"/>
      <c r="O99" s="60"/>
    </row>
    <row r="100" spans="2:15" ht="18">
      <c r="B100" s="27"/>
      <c r="C100" s="46"/>
      <c r="D100" s="111"/>
      <c r="E100" s="111"/>
      <c r="F100" s="59"/>
      <c r="G100" s="59"/>
      <c r="H100" s="59"/>
      <c r="I100" s="71"/>
      <c r="J100" s="115"/>
      <c r="K100" s="115"/>
      <c r="L100" s="60"/>
      <c r="M100" s="76"/>
      <c r="N100" s="82"/>
      <c r="O100" s="60"/>
    </row>
    <row r="101" spans="2:15" ht="18">
      <c r="B101" s="27"/>
      <c r="C101" s="46"/>
      <c r="D101" s="111"/>
      <c r="E101" s="111"/>
      <c r="F101" s="59"/>
      <c r="G101" s="59"/>
      <c r="H101" s="59"/>
      <c r="I101" s="71"/>
      <c r="J101" s="115"/>
      <c r="K101" s="115"/>
      <c r="L101" s="60"/>
      <c r="M101" s="76"/>
      <c r="N101" s="82"/>
      <c r="O101" s="60"/>
    </row>
    <row r="102" spans="2:15" ht="18">
      <c r="B102" s="27"/>
      <c r="C102" s="46"/>
      <c r="D102" s="111"/>
      <c r="E102" s="111"/>
      <c r="F102" s="59"/>
      <c r="G102" s="59"/>
      <c r="H102" s="59"/>
      <c r="I102" s="71"/>
      <c r="J102" s="115"/>
      <c r="K102" s="115"/>
      <c r="L102" s="60"/>
      <c r="M102" s="76"/>
      <c r="N102" s="82"/>
      <c r="O102" s="60"/>
    </row>
    <row r="103" spans="2:15" ht="18">
      <c r="B103" s="27"/>
      <c r="C103" s="46"/>
      <c r="D103" s="111"/>
      <c r="E103" s="111"/>
      <c r="F103" s="59"/>
      <c r="G103" s="59"/>
      <c r="H103" s="59"/>
      <c r="I103" s="71"/>
      <c r="J103" s="115"/>
      <c r="K103" s="115"/>
      <c r="L103" s="60"/>
      <c r="M103" s="76"/>
      <c r="N103" s="82"/>
      <c r="O103" s="60"/>
    </row>
    <row r="104" spans="2:15" ht="18">
      <c r="B104" s="27"/>
      <c r="C104" s="46"/>
      <c r="D104" s="111"/>
      <c r="E104" s="111"/>
      <c r="F104" s="59"/>
      <c r="G104" s="59"/>
      <c r="H104" s="59"/>
      <c r="I104" s="71"/>
      <c r="J104" s="115"/>
      <c r="K104" s="115"/>
      <c r="L104" s="60"/>
      <c r="M104" s="76"/>
      <c r="N104" s="82"/>
      <c r="O104" s="60"/>
    </row>
    <row r="105" spans="7:15" ht="18">
      <c r="G105" s="59"/>
      <c r="H105" s="59"/>
      <c r="I105" s="71"/>
      <c r="J105" s="115"/>
      <c r="K105" s="115"/>
      <c r="L105" s="60"/>
      <c r="M105" s="76"/>
      <c r="N105" s="82"/>
      <c r="O105" s="60"/>
    </row>
    <row r="106" spans="7:15" ht="18">
      <c r="G106" s="59"/>
      <c r="H106" s="59"/>
      <c r="I106" s="71"/>
      <c r="J106" s="115"/>
      <c r="K106" s="115"/>
      <c r="L106" s="60"/>
      <c r="M106" s="76"/>
      <c r="N106" s="82"/>
      <c r="O106" s="60"/>
    </row>
    <row r="107" spans="7:15" ht="18">
      <c r="G107" s="59"/>
      <c r="H107" s="59"/>
      <c r="I107" s="71"/>
      <c r="J107" s="115"/>
      <c r="K107" s="115"/>
      <c r="L107" s="60"/>
      <c r="M107" s="76"/>
      <c r="N107" s="82"/>
      <c r="O107" s="60"/>
    </row>
    <row r="108" spans="7:15" ht="18">
      <c r="G108" s="59"/>
      <c r="H108" s="59"/>
      <c r="I108" s="71"/>
      <c r="J108" s="115"/>
      <c r="K108" s="115"/>
      <c r="L108" s="60"/>
      <c r="M108" s="76"/>
      <c r="N108" s="82"/>
      <c r="O108" s="60"/>
    </row>
    <row r="109" spans="7:15" ht="18">
      <c r="G109" s="59"/>
      <c r="H109" s="59"/>
      <c r="I109" s="71"/>
      <c r="J109" s="115"/>
      <c r="K109" s="115"/>
      <c r="L109" s="60"/>
      <c r="M109" s="76"/>
      <c r="N109" s="82"/>
      <c r="O109" s="60"/>
    </row>
    <row r="110" spans="7:15" ht="18">
      <c r="G110" s="59"/>
      <c r="H110" s="59"/>
      <c r="I110" s="71"/>
      <c r="J110" s="115"/>
      <c r="K110" s="115"/>
      <c r="L110" s="60"/>
      <c r="M110" s="76"/>
      <c r="N110" s="82"/>
      <c r="O110" s="60"/>
    </row>
  </sheetData>
  <sheetProtection insertRows="0" deleteRows="0" sort="0"/>
  <mergeCells count="15">
    <mergeCell ref="D3:D4"/>
    <mergeCell ref="H3:H4"/>
    <mergeCell ref="I3:L3"/>
    <mergeCell ref="C3:C4"/>
    <mergeCell ref="E3:E4"/>
    <mergeCell ref="H80:O85"/>
    <mergeCell ref="H86:O92"/>
    <mergeCell ref="A74:B74"/>
    <mergeCell ref="K76:O78"/>
    <mergeCell ref="K79:O79"/>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Q11:Q16 Q7 Q8:Q10 K11:O78" formula="1"/>
    <ignoredError sqref="Q57:Q63 Q42:Q56 F57:I65" numberStoredAsText="1"/>
  </ignoredErrors>
  <drawing r:id="rId1"/>
</worksheet>
</file>

<file path=xl/worksheets/sheet2.xml><?xml version="1.0" encoding="utf-8"?>
<worksheet xmlns="http://schemas.openxmlformats.org/spreadsheetml/2006/main" xmlns:r="http://schemas.openxmlformats.org/officeDocument/2006/relationships">
  <dimension ref="A1:N113"/>
  <sheetViews>
    <sheetView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397" t="s">
        <v>370</v>
      </c>
      <c r="B1" s="397"/>
      <c r="C1" s="397"/>
      <c r="D1" s="397"/>
      <c r="E1" s="397"/>
      <c r="F1" s="397"/>
      <c r="G1" s="397"/>
      <c r="H1" s="397"/>
      <c r="I1" s="397"/>
      <c r="J1" s="397"/>
      <c r="K1" s="350"/>
      <c r="L1" s="147"/>
      <c r="M1" s="148"/>
      <c r="N1" s="147"/>
    </row>
    <row r="2" ht="13.5" thickBot="1"/>
    <row r="3" spans="1:14" s="29" customFormat="1" ht="14.25">
      <c r="A3" s="33"/>
      <c r="B3" s="398" t="s">
        <v>3</v>
      </c>
      <c r="C3" s="400" t="s">
        <v>102</v>
      </c>
      <c r="D3" s="400" t="s">
        <v>110</v>
      </c>
      <c r="E3" s="400" t="s">
        <v>109</v>
      </c>
      <c r="F3" s="389" t="s">
        <v>114</v>
      </c>
      <c r="G3" s="389" t="s">
        <v>103</v>
      </c>
      <c r="H3" s="403" t="s">
        <v>116</v>
      </c>
      <c r="I3" s="404"/>
      <c r="J3" s="405" t="s">
        <v>104</v>
      </c>
      <c r="K3" s="352"/>
      <c r="L3" s="55"/>
      <c r="M3" s="57"/>
      <c r="N3" s="55"/>
    </row>
    <row r="4" spans="1:14" s="29" customFormat="1" ht="33" customHeight="1" thickBot="1">
      <c r="A4" s="47"/>
      <c r="B4" s="399"/>
      <c r="C4" s="401"/>
      <c r="D4" s="401"/>
      <c r="E4" s="401"/>
      <c r="F4" s="402"/>
      <c r="G4" s="402"/>
      <c r="H4" s="283" t="s">
        <v>76</v>
      </c>
      <c r="I4" s="284" t="s">
        <v>2</v>
      </c>
      <c r="J4" s="406"/>
      <c r="K4" s="352"/>
      <c r="L4" s="55"/>
      <c r="M4" s="57"/>
      <c r="N4" s="55"/>
    </row>
    <row r="5" spans="1:14" s="29" customFormat="1" ht="15">
      <c r="A5" s="106">
        <v>1</v>
      </c>
      <c r="B5" s="369" t="s">
        <v>197</v>
      </c>
      <c r="C5" s="163">
        <v>39857</v>
      </c>
      <c r="D5" s="334" t="s">
        <v>132</v>
      </c>
      <c r="E5" s="334" t="s">
        <v>366</v>
      </c>
      <c r="F5" s="335">
        <v>372</v>
      </c>
      <c r="G5" s="335">
        <v>13</v>
      </c>
      <c r="H5" s="365">
        <f>17329163.5+9384321+4035301-111+1596787.5-52+594784+289448.5+142806.5+57257.5+10859.5+1656+13165+452+3902</f>
        <v>33459741</v>
      </c>
      <c r="I5" s="336">
        <f>2236432+1203711+519916+206906+76573+36964+29367+10451+1641+205+2816+174+976</f>
        <v>4326132</v>
      </c>
      <c r="J5" s="357">
        <f>+H5/I5</f>
        <v>7.73433196213153</v>
      </c>
      <c r="K5" s="330">
        <v>1</v>
      </c>
      <c r="L5" s="107"/>
      <c r="M5" s="108"/>
      <c r="N5" s="107"/>
    </row>
    <row r="6" spans="1:14" s="29" customFormat="1" ht="15">
      <c r="A6" s="106">
        <v>2</v>
      </c>
      <c r="B6" s="368" t="s">
        <v>240</v>
      </c>
      <c r="C6" s="39">
        <v>39884</v>
      </c>
      <c r="D6" s="44" t="s">
        <v>4</v>
      </c>
      <c r="E6" s="44" t="s">
        <v>241</v>
      </c>
      <c r="F6" s="41">
        <v>355</v>
      </c>
      <c r="G6" s="41">
        <v>10</v>
      </c>
      <c r="H6" s="263">
        <v>19032535</v>
      </c>
      <c r="I6" s="308">
        <v>2489593</v>
      </c>
      <c r="J6" s="358">
        <f>+H6/I6</f>
        <v>7.644837931340585</v>
      </c>
      <c r="K6" s="321">
        <v>1</v>
      </c>
      <c r="L6" s="107"/>
      <c r="M6" s="108"/>
      <c r="N6" s="107"/>
    </row>
    <row r="7" spans="1:14" s="29" customFormat="1" ht="15.75" thickBot="1">
      <c r="A7" s="354">
        <v>3</v>
      </c>
      <c r="B7" s="370" t="s">
        <v>151</v>
      </c>
      <c r="C7" s="337">
        <v>39836</v>
      </c>
      <c r="D7" s="338" t="s">
        <v>132</v>
      </c>
      <c r="E7" s="338" t="s">
        <v>152</v>
      </c>
      <c r="F7" s="339">
        <v>180</v>
      </c>
      <c r="G7" s="339">
        <v>16</v>
      </c>
      <c r="H7" s="366">
        <f>1758644.5+1323710+941534+309534.5+197920+55019+28515+10481.5+9376+0.5+7127+5202+0.5+4667+2669+85+805+2472</f>
        <v>4657762.5</v>
      </c>
      <c r="I7" s="340">
        <f>205635+158652+117576+43365+28181+9066+4843+2243+2345+1225+998+716+401+17+161+412</f>
        <v>575836</v>
      </c>
      <c r="J7" s="361">
        <f>+H7/I7</f>
        <v>8.088696260740905</v>
      </c>
      <c r="K7" s="330">
        <v>1</v>
      </c>
      <c r="L7" s="107"/>
      <c r="M7" s="108"/>
      <c r="N7" s="107"/>
    </row>
    <row r="8" spans="1:14" s="29" customFormat="1" ht="15">
      <c r="A8" s="106">
        <v>4</v>
      </c>
      <c r="B8" s="371" t="s">
        <v>178</v>
      </c>
      <c r="C8" s="341">
        <v>39850</v>
      </c>
      <c r="D8" s="342" t="s">
        <v>130</v>
      </c>
      <c r="E8" s="342" t="s">
        <v>122</v>
      </c>
      <c r="F8" s="239">
        <v>71</v>
      </c>
      <c r="G8" s="239">
        <v>13</v>
      </c>
      <c r="H8" s="367">
        <f>23710+1679966+898914+783390+367131+248174+60198+28574+75603+24383+9342+1752+1887+328</f>
        <v>4203352</v>
      </c>
      <c r="I8" s="302">
        <f>2389+174143+94778+84343+41781+31873+9484+4106+14079+4279+1652+293+528+124</f>
        <v>463852</v>
      </c>
      <c r="J8" s="364">
        <f>+H8/I8</f>
        <v>9.06183868992696</v>
      </c>
      <c r="K8" s="321"/>
      <c r="L8" s="107"/>
      <c r="M8" s="108"/>
      <c r="N8" s="107"/>
    </row>
    <row r="9" spans="1:14" s="29" customFormat="1" ht="15">
      <c r="A9" s="106">
        <v>5</v>
      </c>
      <c r="B9" s="49" t="s">
        <v>5</v>
      </c>
      <c r="C9" s="39">
        <v>39829</v>
      </c>
      <c r="D9" s="44" t="s">
        <v>136</v>
      </c>
      <c r="E9" s="44" t="s">
        <v>153</v>
      </c>
      <c r="F9" s="41">
        <v>169</v>
      </c>
      <c r="G9" s="41">
        <v>13</v>
      </c>
      <c r="H9" s="307">
        <v>3752058.5</v>
      </c>
      <c r="I9" s="308">
        <v>514507</v>
      </c>
      <c r="J9" s="103">
        <f>IF(H9&lt;&gt;0,H9/I9,"")</f>
        <v>7.2925314913111</v>
      </c>
      <c r="K9" s="330">
        <v>1</v>
      </c>
      <c r="L9" s="107"/>
      <c r="M9" s="108"/>
      <c r="N9" s="107"/>
    </row>
    <row r="10" spans="1:14" s="29" customFormat="1" ht="15">
      <c r="A10" s="106">
        <v>6</v>
      </c>
      <c r="B10" s="368" t="s">
        <v>86</v>
      </c>
      <c r="C10" s="39">
        <v>39822</v>
      </c>
      <c r="D10" s="44" t="s">
        <v>136</v>
      </c>
      <c r="E10" s="44" t="s">
        <v>87</v>
      </c>
      <c r="F10" s="41">
        <v>175</v>
      </c>
      <c r="G10" s="41">
        <v>16</v>
      </c>
      <c r="H10" s="263">
        <v>3500991</v>
      </c>
      <c r="I10" s="308">
        <v>477148</v>
      </c>
      <c r="J10" s="358">
        <f aca="true" t="shared" si="0" ref="J10:J15">+H10/I10</f>
        <v>7.3373272024612906</v>
      </c>
      <c r="K10" s="330">
        <v>1</v>
      </c>
      <c r="L10" s="107"/>
      <c r="M10" s="108"/>
      <c r="N10" s="107"/>
    </row>
    <row r="11" spans="1:14" s="29" customFormat="1" ht="15">
      <c r="A11" s="106">
        <v>7</v>
      </c>
      <c r="B11" s="368" t="s">
        <v>276</v>
      </c>
      <c r="C11" s="39">
        <v>39906</v>
      </c>
      <c r="D11" s="44" t="s">
        <v>131</v>
      </c>
      <c r="E11" s="44" t="s">
        <v>43</v>
      </c>
      <c r="F11" s="41">
        <v>96</v>
      </c>
      <c r="G11" s="41">
        <v>7</v>
      </c>
      <c r="H11" s="263">
        <v>3162812</v>
      </c>
      <c r="I11" s="308">
        <v>378044</v>
      </c>
      <c r="J11" s="358">
        <f t="shared" si="0"/>
        <v>8.366253663594714</v>
      </c>
      <c r="K11" s="321"/>
      <c r="L11" s="107"/>
      <c r="M11" s="108"/>
      <c r="N11" s="107"/>
    </row>
    <row r="12" spans="1:14" s="29" customFormat="1" ht="15">
      <c r="A12" s="106">
        <v>8</v>
      </c>
      <c r="B12" s="368" t="s">
        <v>242</v>
      </c>
      <c r="C12" s="39">
        <v>39871</v>
      </c>
      <c r="D12" s="44" t="s">
        <v>243</v>
      </c>
      <c r="E12" s="44" t="s">
        <v>112</v>
      </c>
      <c r="F12" s="41">
        <v>57</v>
      </c>
      <c r="G12" s="41">
        <v>13</v>
      </c>
      <c r="H12" s="263">
        <v>3087633</v>
      </c>
      <c r="I12" s="308">
        <v>336151</v>
      </c>
      <c r="J12" s="358">
        <f t="shared" si="0"/>
        <v>9.185256030771885</v>
      </c>
      <c r="K12" s="321"/>
      <c r="L12" s="107"/>
      <c r="M12" s="108"/>
      <c r="N12" s="107"/>
    </row>
    <row r="13" spans="1:14" s="29" customFormat="1" ht="15">
      <c r="A13" s="106">
        <v>9</v>
      </c>
      <c r="B13" s="49" t="s">
        <v>6</v>
      </c>
      <c r="C13" s="39">
        <v>39829</v>
      </c>
      <c r="D13" s="44" t="s">
        <v>130</v>
      </c>
      <c r="E13" s="44" t="s">
        <v>122</v>
      </c>
      <c r="F13" s="41">
        <v>91</v>
      </c>
      <c r="G13" s="41">
        <v>11</v>
      </c>
      <c r="H13" s="307">
        <f>1185400+899041+1833+634887+222568+15075+17069-23+10895+8360+1979+2149+1799</f>
        <v>3001032</v>
      </c>
      <c r="I13" s="308">
        <f>128777+93782-9+68090+25354+2533+3131-2+2509+1525+960+396+302</f>
        <v>327348</v>
      </c>
      <c r="J13" s="103">
        <f t="shared" si="0"/>
        <v>9.167711426371934</v>
      </c>
      <c r="K13" s="330"/>
      <c r="L13" s="107"/>
      <c r="M13" s="108"/>
      <c r="N13" s="107"/>
    </row>
    <row r="14" spans="1:14" s="29" customFormat="1" ht="15">
      <c r="A14" s="106">
        <v>10</v>
      </c>
      <c r="B14" s="368" t="s">
        <v>296</v>
      </c>
      <c r="C14" s="39">
        <v>39913</v>
      </c>
      <c r="D14" s="44" t="s">
        <v>130</v>
      </c>
      <c r="E14" s="44" t="s">
        <v>35</v>
      </c>
      <c r="F14" s="41">
        <v>102</v>
      </c>
      <c r="G14" s="41">
        <v>6</v>
      </c>
      <c r="H14" s="263">
        <f>976286-159+826227+510491+284645+108852+35666</f>
        <v>2742008</v>
      </c>
      <c r="I14" s="308">
        <f>110906+91714+60274+32282+15979+7006</f>
        <v>318161</v>
      </c>
      <c r="J14" s="358">
        <f t="shared" si="0"/>
        <v>8.61830331184526</v>
      </c>
      <c r="K14" s="321"/>
      <c r="L14" s="107"/>
      <c r="M14" s="108"/>
      <c r="N14" s="107"/>
    </row>
    <row r="15" spans="1:14" s="29" customFormat="1" ht="15">
      <c r="A15" s="106">
        <v>11</v>
      </c>
      <c r="B15" s="368" t="s">
        <v>373</v>
      </c>
      <c r="C15" s="39">
        <v>39948</v>
      </c>
      <c r="D15" s="44" t="s">
        <v>130</v>
      </c>
      <c r="E15" s="44" t="s">
        <v>63</v>
      </c>
      <c r="F15" s="41">
        <v>187</v>
      </c>
      <c r="G15" s="41">
        <v>1</v>
      </c>
      <c r="H15" s="263">
        <v>2480079</v>
      </c>
      <c r="I15" s="308">
        <v>274361</v>
      </c>
      <c r="J15" s="358">
        <f t="shared" si="0"/>
        <v>9.039473540335543</v>
      </c>
      <c r="K15" s="321"/>
      <c r="L15" s="107"/>
      <c r="M15" s="108"/>
      <c r="N15" s="107"/>
    </row>
    <row r="16" spans="1:14" s="29" customFormat="1" ht="15">
      <c r="A16" s="106">
        <v>12</v>
      </c>
      <c r="B16" s="368" t="s">
        <v>7</v>
      </c>
      <c r="C16" s="39">
        <v>39829</v>
      </c>
      <c r="D16" s="44" t="s">
        <v>134</v>
      </c>
      <c r="E16" s="44" t="s">
        <v>346</v>
      </c>
      <c r="F16" s="41">
        <v>80</v>
      </c>
      <c r="G16" s="41">
        <v>18</v>
      </c>
      <c r="H16" s="263">
        <f>783409.5+672566+392418+168504+54411+64946+58601+64120+20152+13919+28038+18395+13488+12795+8277+3206+3326.5+2899</f>
        <v>2383471</v>
      </c>
      <c r="I16" s="308">
        <f>86363+71043+43171+22546+8141+10573+9585+10952+3417+2596+4707+3339+2364+2380+1458+540+671+701</f>
        <v>284547</v>
      </c>
      <c r="J16" s="358">
        <f>H16/I16</f>
        <v>8.376370160289865</v>
      </c>
      <c r="K16" s="321"/>
      <c r="L16" s="107"/>
      <c r="M16" s="108"/>
      <c r="N16" s="107"/>
    </row>
    <row r="17" spans="1:14" s="29" customFormat="1" ht="15">
      <c r="A17" s="106">
        <v>13</v>
      </c>
      <c r="B17" s="368" t="s">
        <v>154</v>
      </c>
      <c r="C17" s="39">
        <v>39836</v>
      </c>
      <c r="D17" s="44" t="s">
        <v>131</v>
      </c>
      <c r="E17" s="44" t="s">
        <v>43</v>
      </c>
      <c r="F17" s="41">
        <v>108</v>
      </c>
      <c r="G17" s="41">
        <v>16</v>
      </c>
      <c r="H17" s="263">
        <v>2302148</v>
      </c>
      <c r="I17" s="308">
        <v>276741</v>
      </c>
      <c r="J17" s="358">
        <f>+H17/I17</f>
        <v>8.318781821269708</v>
      </c>
      <c r="K17" s="330"/>
      <c r="L17" s="107"/>
      <c r="M17" s="108"/>
      <c r="N17" s="107"/>
    </row>
    <row r="18" spans="1:14" s="29" customFormat="1" ht="15">
      <c r="A18" s="106">
        <v>14</v>
      </c>
      <c r="B18" s="368" t="s">
        <v>8</v>
      </c>
      <c r="C18" s="39">
        <v>39829</v>
      </c>
      <c r="D18" s="44" t="s">
        <v>131</v>
      </c>
      <c r="E18" s="44" t="s">
        <v>328</v>
      </c>
      <c r="F18" s="41">
        <v>177</v>
      </c>
      <c r="G18" s="41">
        <v>15</v>
      </c>
      <c r="H18" s="263">
        <v>1818482</v>
      </c>
      <c r="I18" s="308">
        <v>248596</v>
      </c>
      <c r="J18" s="358">
        <f>+H18/I18</f>
        <v>7.315009091055367</v>
      </c>
      <c r="K18" s="330">
        <v>1</v>
      </c>
      <c r="L18" s="107"/>
      <c r="M18" s="108"/>
      <c r="N18" s="107"/>
    </row>
    <row r="19" spans="1:14" s="29" customFormat="1" ht="15">
      <c r="A19" s="106">
        <v>15</v>
      </c>
      <c r="B19" s="368" t="s">
        <v>220</v>
      </c>
      <c r="C19" s="39">
        <v>39871</v>
      </c>
      <c r="D19" s="44" t="s">
        <v>132</v>
      </c>
      <c r="E19" s="44" t="s">
        <v>347</v>
      </c>
      <c r="F19" s="41">
        <v>192</v>
      </c>
      <c r="G19" s="41">
        <v>10</v>
      </c>
      <c r="H19" s="263">
        <f>568084.5+439199.5+199559+109980+164256.5-20+26773.5+13463+1383+6404+0.5+715</f>
        <v>1529798.5</v>
      </c>
      <c r="I19" s="308">
        <f>79686+62524+31158+18444+26844-3+5195+2619+207+1137+130</f>
        <v>227941</v>
      </c>
      <c r="J19" s="358">
        <f>+H19/I19</f>
        <v>6.711379260422653</v>
      </c>
      <c r="K19" s="330">
        <v>1</v>
      </c>
      <c r="L19" s="107"/>
      <c r="M19" s="108"/>
      <c r="N19" s="107"/>
    </row>
    <row r="20" spans="1:14" s="29" customFormat="1" ht="15">
      <c r="A20" s="106">
        <v>16</v>
      </c>
      <c r="B20" s="368" t="s">
        <v>88</v>
      </c>
      <c r="C20" s="39">
        <v>39822</v>
      </c>
      <c r="D20" s="44" t="s">
        <v>134</v>
      </c>
      <c r="E20" s="44" t="s">
        <v>1</v>
      </c>
      <c r="F20" s="41">
        <v>37</v>
      </c>
      <c r="G20" s="41">
        <v>19</v>
      </c>
      <c r="H20" s="263">
        <f>659650+421734+197166+56066+26078+17427+25433+18144+27821+1811+493.5+7565+4181.5+3162+140+1484+1484+728+280</f>
        <v>1470848</v>
      </c>
      <c r="I20" s="308">
        <f>60096+38612+18194+5957+3377+2817+3965+3389+4264+427+74+1077+688+516+28+371+371+204+56</f>
        <v>144483</v>
      </c>
      <c r="J20" s="358">
        <f>H20/I20</f>
        <v>10.180076548798128</v>
      </c>
      <c r="K20" s="321"/>
      <c r="L20" s="107"/>
      <c r="M20" s="108"/>
      <c r="N20" s="107"/>
    </row>
    <row r="21" spans="1:14" s="29" customFormat="1" ht="15">
      <c r="A21" s="106">
        <v>17</v>
      </c>
      <c r="B21" s="368" t="s">
        <v>361</v>
      </c>
      <c r="C21" s="39">
        <v>39913</v>
      </c>
      <c r="D21" s="44" t="s">
        <v>131</v>
      </c>
      <c r="E21" s="44" t="s">
        <v>127</v>
      </c>
      <c r="F21" s="41">
        <v>95</v>
      </c>
      <c r="G21" s="41">
        <v>6</v>
      </c>
      <c r="H21" s="263">
        <v>1437488</v>
      </c>
      <c r="I21" s="308">
        <v>145916</v>
      </c>
      <c r="J21" s="358">
        <f>+H21/I21</f>
        <v>9.851476191781574</v>
      </c>
      <c r="K21" s="321"/>
      <c r="L21" s="107"/>
      <c r="M21" s="108"/>
      <c r="N21" s="107"/>
    </row>
    <row r="22" spans="1:14" s="29" customFormat="1" ht="15">
      <c r="A22" s="106">
        <v>18</v>
      </c>
      <c r="B22" s="49" t="s">
        <v>155</v>
      </c>
      <c r="C22" s="39">
        <v>39836</v>
      </c>
      <c r="D22" s="44" t="s">
        <v>136</v>
      </c>
      <c r="E22" s="44" t="s">
        <v>156</v>
      </c>
      <c r="F22" s="41">
        <v>86</v>
      </c>
      <c r="G22" s="41">
        <v>12</v>
      </c>
      <c r="H22" s="307">
        <v>1424230.5</v>
      </c>
      <c r="I22" s="308">
        <v>162373</v>
      </c>
      <c r="J22" s="103">
        <f>IF(H22&lt;&gt;0,H22/I22,"")</f>
        <v>8.771350532416104</v>
      </c>
      <c r="K22" s="330"/>
      <c r="L22" s="107"/>
      <c r="M22" s="108"/>
      <c r="N22" s="107"/>
    </row>
    <row r="23" spans="1:14" s="29" customFormat="1" ht="15">
      <c r="A23" s="106">
        <v>19</v>
      </c>
      <c r="B23" s="49" t="s">
        <v>207</v>
      </c>
      <c r="C23" s="39">
        <v>39857</v>
      </c>
      <c r="D23" s="44" t="s">
        <v>130</v>
      </c>
      <c r="E23" s="44" t="s">
        <v>35</v>
      </c>
      <c r="F23" s="41">
        <v>25</v>
      </c>
      <c r="G23" s="41">
        <v>8</v>
      </c>
      <c r="H23" s="307">
        <f>431037+376139+288602-245+148454+40928+50436+44428+33934</f>
        <v>1413713</v>
      </c>
      <c r="I23" s="308">
        <f>37016+33054+25810+12999+4602+6239+5423+4113</f>
        <v>129256</v>
      </c>
      <c r="J23" s="103">
        <f>+H23/I23</f>
        <v>10.93731045367333</v>
      </c>
      <c r="K23" s="330"/>
      <c r="L23" s="107"/>
      <c r="M23" s="108"/>
      <c r="N23" s="107"/>
    </row>
    <row r="24" spans="1:14" s="29" customFormat="1" ht="15">
      <c r="A24" s="106">
        <v>20</v>
      </c>
      <c r="B24" s="368" t="s">
        <v>172</v>
      </c>
      <c r="C24" s="39">
        <v>39843</v>
      </c>
      <c r="D24" s="44" t="s">
        <v>134</v>
      </c>
      <c r="E24" s="44" t="s">
        <v>133</v>
      </c>
      <c r="F24" s="41">
        <v>80</v>
      </c>
      <c r="G24" s="41">
        <v>14</v>
      </c>
      <c r="H24" s="263">
        <f>667928.5+422494.5+139288+71324.5+23049.5+32432+3540.5+7287+4043+3439+1920+354+1623+2298</f>
        <v>1381021.5</v>
      </c>
      <c r="I24" s="308">
        <f>67031+44640+16046+10311+3717+6651+677+1565+893+611+318+68+399+572</f>
        <v>153499</v>
      </c>
      <c r="J24" s="358">
        <f>H24/I24</f>
        <v>8.996941348152106</v>
      </c>
      <c r="K24" s="330"/>
      <c r="L24" s="107"/>
      <c r="M24" s="108"/>
      <c r="N24" s="107"/>
    </row>
    <row r="25" spans="1:14" s="29" customFormat="1" ht="15">
      <c r="A25" s="106">
        <v>21</v>
      </c>
      <c r="B25" s="368" t="s">
        <v>311</v>
      </c>
      <c r="C25" s="39">
        <v>39927</v>
      </c>
      <c r="D25" s="44" t="s">
        <v>130</v>
      </c>
      <c r="E25" s="44" t="s">
        <v>35</v>
      </c>
      <c r="F25" s="41">
        <v>65</v>
      </c>
      <c r="G25" s="41">
        <v>4</v>
      </c>
      <c r="H25" s="263">
        <f>3712+629893+477797+215605+48116</f>
        <v>1375123</v>
      </c>
      <c r="I25" s="308">
        <f>232+63691+45920+21343+7216</f>
        <v>138402</v>
      </c>
      <c r="J25" s="358">
        <f>+H25/I25</f>
        <v>9.935716246875046</v>
      </c>
      <c r="K25" s="321"/>
      <c r="L25" s="107"/>
      <c r="M25" s="108"/>
      <c r="N25" s="107"/>
    </row>
    <row r="26" spans="1:14" s="29" customFormat="1" ht="15">
      <c r="A26" s="106">
        <v>22</v>
      </c>
      <c r="B26" s="368" t="s">
        <v>334</v>
      </c>
      <c r="C26" s="39">
        <v>39934</v>
      </c>
      <c r="D26" s="44" t="s">
        <v>134</v>
      </c>
      <c r="E26" s="44" t="s">
        <v>133</v>
      </c>
      <c r="F26" s="41">
        <v>110</v>
      </c>
      <c r="G26" s="41">
        <v>3</v>
      </c>
      <c r="H26" s="263">
        <f>827831.75+302940.25+148808.75</f>
        <v>1279580.75</v>
      </c>
      <c r="I26" s="308">
        <f>84699+31917+18690</f>
        <v>135306</v>
      </c>
      <c r="J26" s="358">
        <f>H26/I26</f>
        <v>9.456940194817673</v>
      </c>
      <c r="K26" s="321"/>
      <c r="L26" s="107"/>
      <c r="M26" s="108"/>
      <c r="N26" s="107"/>
    </row>
    <row r="27" spans="1:14" s="29" customFormat="1" ht="15">
      <c r="A27" s="106">
        <v>23</v>
      </c>
      <c r="B27" s="368" t="s">
        <v>327</v>
      </c>
      <c r="C27" s="39">
        <v>39822</v>
      </c>
      <c r="D27" s="44" t="s">
        <v>131</v>
      </c>
      <c r="E27" s="44" t="s">
        <v>43</v>
      </c>
      <c r="F27" s="41">
        <v>56</v>
      </c>
      <c r="G27" s="41">
        <v>302</v>
      </c>
      <c r="H27" s="263">
        <v>1260133</v>
      </c>
      <c r="I27" s="308">
        <v>143533</v>
      </c>
      <c r="J27" s="358">
        <f>+H27/I27</f>
        <v>8.77939567904245</v>
      </c>
      <c r="K27" s="330"/>
      <c r="L27" s="107"/>
      <c r="M27" s="108"/>
      <c r="N27" s="107"/>
    </row>
    <row r="28" spans="1:14" s="29" customFormat="1" ht="15">
      <c r="A28" s="106">
        <v>24</v>
      </c>
      <c r="B28" s="368" t="s">
        <v>318</v>
      </c>
      <c r="C28" s="39">
        <v>39920</v>
      </c>
      <c r="D28" s="44" t="s">
        <v>134</v>
      </c>
      <c r="E28" s="44" t="s">
        <v>35</v>
      </c>
      <c r="F28" s="41">
        <v>133</v>
      </c>
      <c r="G28" s="41">
        <v>5</v>
      </c>
      <c r="H28" s="263">
        <f>814797.5+158602+44526+7105.5+1443</f>
        <v>1026474</v>
      </c>
      <c r="I28" s="308">
        <f>100614+19257+6285+1176+234</f>
        <v>127566</v>
      </c>
      <c r="J28" s="358">
        <f>H28/I28</f>
        <v>8.046611165984666</v>
      </c>
      <c r="K28" s="321"/>
      <c r="L28" s="107"/>
      <c r="M28" s="108"/>
      <c r="N28" s="107"/>
    </row>
    <row r="29" spans="1:14" s="29" customFormat="1" ht="15">
      <c r="A29" s="106">
        <v>25</v>
      </c>
      <c r="B29" s="368" t="s">
        <v>252</v>
      </c>
      <c r="C29" s="39">
        <v>39892</v>
      </c>
      <c r="D29" s="44" t="s">
        <v>131</v>
      </c>
      <c r="E29" s="44" t="s">
        <v>43</v>
      </c>
      <c r="F29" s="41">
        <v>60</v>
      </c>
      <c r="G29" s="41">
        <v>7</v>
      </c>
      <c r="H29" s="263">
        <v>949971</v>
      </c>
      <c r="I29" s="308">
        <v>98700</v>
      </c>
      <c r="J29" s="358">
        <f>+H29/I29</f>
        <v>9.62483282674772</v>
      </c>
      <c r="K29" s="330"/>
      <c r="L29" s="107"/>
      <c r="M29" s="108"/>
      <c r="N29" s="107"/>
    </row>
    <row r="30" spans="1:14" s="29" customFormat="1" ht="16.5" customHeight="1">
      <c r="A30" s="106">
        <v>26</v>
      </c>
      <c r="B30" s="368" t="s">
        <v>227</v>
      </c>
      <c r="C30" s="39">
        <v>39878</v>
      </c>
      <c r="D30" s="44" t="s">
        <v>131</v>
      </c>
      <c r="E30" s="44" t="s">
        <v>127</v>
      </c>
      <c r="F30" s="41">
        <v>90</v>
      </c>
      <c r="G30" s="41">
        <v>9</v>
      </c>
      <c r="H30" s="263">
        <v>922952</v>
      </c>
      <c r="I30" s="308">
        <v>102057</v>
      </c>
      <c r="J30" s="358">
        <f>+H30/I30</f>
        <v>9.043495301645159</v>
      </c>
      <c r="K30" s="330"/>
      <c r="L30" s="107"/>
      <c r="M30" s="108"/>
      <c r="N30" s="107"/>
    </row>
    <row r="31" spans="1:14" s="29" customFormat="1" ht="16.5" customHeight="1">
      <c r="A31" s="106">
        <v>27</v>
      </c>
      <c r="B31" s="368" t="s">
        <v>183</v>
      </c>
      <c r="C31" s="39">
        <v>39850</v>
      </c>
      <c r="D31" s="44" t="s">
        <v>131</v>
      </c>
      <c r="E31" s="44" t="s">
        <v>111</v>
      </c>
      <c r="F31" s="41">
        <v>78</v>
      </c>
      <c r="G31" s="41">
        <v>13</v>
      </c>
      <c r="H31" s="263">
        <v>902021</v>
      </c>
      <c r="I31" s="308">
        <v>97984</v>
      </c>
      <c r="J31" s="358">
        <f>+H31/I31</f>
        <v>9.205798905943828</v>
      </c>
      <c r="K31" s="330"/>
      <c r="L31" s="107"/>
      <c r="M31" s="108"/>
      <c r="N31" s="107"/>
    </row>
    <row r="32" spans="1:14" s="29" customFormat="1" ht="16.5" customHeight="1">
      <c r="A32" s="106">
        <v>28</v>
      </c>
      <c r="B32" s="368" t="s">
        <v>308</v>
      </c>
      <c r="C32" s="39">
        <v>39920</v>
      </c>
      <c r="D32" s="44" t="s">
        <v>4</v>
      </c>
      <c r="E32" s="44" t="s">
        <v>309</v>
      </c>
      <c r="F32" s="41">
        <v>132</v>
      </c>
      <c r="G32" s="41">
        <v>5</v>
      </c>
      <c r="H32" s="263">
        <v>877891</v>
      </c>
      <c r="I32" s="308">
        <v>109982</v>
      </c>
      <c r="J32" s="358">
        <f>+H32/I32</f>
        <v>7.982133440017457</v>
      </c>
      <c r="K32" s="321">
        <v>1</v>
      </c>
      <c r="L32" s="107"/>
      <c r="M32" s="108"/>
      <c r="N32" s="107"/>
    </row>
    <row r="33" spans="1:14" s="29" customFormat="1" ht="16.5" customHeight="1">
      <c r="A33" s="106">
        <v>29</v>
      </c>
      <c r="B33" s="368" t="s">
        <v>244</v>
      </c>
      <c r="C33" s="39">
        <v>39885</v>
      </c>
      <c r="D33" s="44" t="s">
        <v>130</v>
      </c>
      <c r="E33" s="44" t="s">
        <v>63</v>
      </c>
      <c r="F33" s="41">
        <v>58</v>
      </c>
      <c r="G33" s="41">
        <v>8</v>
      </c>
      <c r="H33" s="263">
        <f>356870+122+266596+123347+43097+20154+3952+3861+6872</f>
        <v>824871</v>
      </c>
      <c r="I33" s="308">
        <f>36991-2+28153+13916+6862+3245+1115+822+1918</f>
        <v>93020</v>
      </c>
      <c r="J33" s="358">
        <f>+H33/I33</f>
        <v>8.86767361857665</v>
      </c>
      <c r="K33" s="330"/>
      <c r="L33" s="107"/>
      <c r="M33" s="108"/>
      <c r="N33" s="107"/>
    </row>
    <row r="34" spans="1:14" s="29" customFormat="1" ht="16.5" customHeight="1">
      <c r="A34" s="106">
        <v>30</v>
      </c>
      <c r="B34" s="368" t="s">
        <v>10</v>
      </c>
      <c r="C34" s="39">
        <v>39829</v>
      </c>
      <c r="D34" s="44" t="s">
        <v>134</v>
      </c>
      <c r="E34" s="44" t="s">
        <v>11</v>
      </c>
      <c r="F34" s="41">
        <v>65</v>
      </c>
      <c r="G34" s="41">
        <v>18</v>
      </c>
      <c r="H34" s="263">
        <f>237023+244842+160469+47021+21536+18820+18020.5+26440+10695+9162.5+9870+6322+1787+2032+757+348+420.5+158</f>
        <v>815723.5</v>
      </c>
      <c r="I34" s="308">
        <f>25678+28966+21290+6590+4890+3520+3479+4786+1907+1716+2388+1533+368+541+126+70+67+48</f>
        <v>107963</v>
      </c>
      <c r="J34" s="358">
        <f>H34/I34</f>
        <v>7.555583857432639</v>
      </c>
      <c r="K34" s="321"/>
      <c r="L34" s="107"/>
      <c r="M34" s="108"/>
      <c r="N34" s="107"/>
    </row>
    <row r="35" spans="1:14" s="29" customFormat="1" ht="16.5" customHeight="1">
      <c r="A35" s="106">
        <v>31</v>
      </c>
      <c r="B35" s="368" t="s">
        <v>173</v>
      </c>
      <c r="C35" s="39">
        <v>39843</v>
      </c>
      <c r="D35" s="44" t="s">
        <v>131</v>
      </c>
      <c r="E35" s="44" t="s">
        <v>43</v>
      </c>
      <c r="F35" s="41">
        <v>53</v>
      </c>
      <c r="G35" s="41">
        <v>13</v>
      </c>
      <c r="H35" s="263">
        <v>809549</v>
      </c>
      <c r="I35" s="308">
        <v>81653</v>
      </c>
      <c r="J35" s="358">
        <f aca="true" t="shared" si="1" ref="J35:J43">+H35/I35</f>
        <v>9.914504059863079</v>
      </c>
      <c r="K35" s="330"/>
      <c r="L35" s="107"/>
      <c r="M35" s="108"/>
      <c r="N35" s="107"/>
    </row>
    <row r="36" spans="1:14" s="29" customFormat="1" ht="16.5" customHeight="1">
      <c r="A36" s="106">
        <v>32</v>
      </c>
      <c r="B36" s="368" t="s">
        <v>314</v>
      </c>
      <c r="C36" s="39">
        <v>39871</v>
      </c>
      <c r="D36" s="44" t="s">
        <v>131</v>
      </c>
      <c r="E36" s="44" t="s">
        <v>127</v>
      </c>
      <c r="F36" s="41">
        <v>40</v>
      </c>
      <c r="G36" s="41">
        <v>10</v>
      </c>
      <c r="H36" s="263">
        <v>781870</v>
      </c>
      <c r="I36" s="308">
        <v>83452</v>
      </c>
      <c r="J36" s="358">
        <f t="shared" si="1"/>
        <v>9.369098403872885</v>
      </c>
      <c r="K36" s="330"/>
      <c r="L36" s="107"/>
      <c r="M36" s="108"/>
      <c r="N36" s="107"/>
    </row>
    <row r="37" spans="1:14" s="29" customFormat="1" ht="16.5" customHeight="1">
      <c r="A37" s="106">
        <v>33</v>
      </c>
      <c r="B37" s="368" t="s">
        <v>312</v>
      </c>
      <c r="C37" s="39">
        <v>39920</v>
      </c>
      <c r="D37" s="44" t="s">
        <v>131</v>
      </c>
      <c r="E37" s="44" t="s">
        <v>43</v>
      </c>
      <c r="F37" s="41">
        <v>65</v>
      </c>
      <c r="G37" s="41">
        <v>5</v>
      </c>
      <c r="H37" s="263">
        <v>693103</v>
      </c>
      <c r="I37" s="308">
        <v>68880</v>
      </c>
      <c r="J37" s="358">
        <f t="shared" si="1"/>
        <v>10.062470963995354</v>
      </c>
      <c r="K37" s="321"/>
      <c r="L37" s="107"/>
      <c r="M37" s="108"/>
      <c r="N37" s="107"/>
    </row>
    <row r="38" spans="1:14" s="29" customFormat="1" ht="16.5" customHeight="1">
      <c r="A38" s="106">
        <v>34</v>
      </c>
      <c r="B38" s="368" t="s">
        <v>174</v>
      </c>
      <c r="C38" s="39">
        <v>39843</v>
      </c>
      <c r="D38" s="44" t="s">
        <v>136</v>
      </c>
      <c r="E38" s="44" t="s">
        <v>175</v>
      </c>
      <c r="F38" s="41">
        <v>92</v>
      </c>
      <c r="G38" s="41">
        <v>13</v>
      </c>
      <c r="H38" s="263">
        <v>642349.5</v>
      </c>
      <c r="I38" s="308">
        <v>76519</v>
      </c>
      <c r="J38" s="358">
        <f t="shared" si="1"/>
        <v>8.3946405467923</v>
      </c>
      <c r="K38" s="330">
        <v>1</v>
      </c>
      <c r="L38" s="107"/>
      <c r="M38" s="108"/>
      <c r="N38" s="107"/>
    </row>
    <row r="39" spans="1:14" s="29" customFormat="1" ht="16.5" customHeight="1">
      <c r="A39" s="106">
        <v>35</v>
      </c>
      <c r="B39" s="368" t="s">
        <v>317</v>
      </c>
      <c r="C39" s="39">
        <v>39927</v>
      </c>
      <c r="D39" s="44" t="s">
        <v>131</v>
      </c>
      <c r="E39" s="44" t="s">
        <v>127</v>
      </c>
      <c r="F39" s="41">
        <v>80</v>
      </c>
      <c r="G39" s="41">
        <v>4</v>
      </c>
      <c r="H39" s="263">
        <v>634318</v>
      </c>
      <c r="I39" s="308">
        <v>77729</v>
      </c>
      <c r="J39" s="358">
        <f t="shared" si="1"/>
        <v>8.160635026823964</v>
      </c>
      <c r="K39" s="321"/>
      <c r="L39" s="107"/>
      <c r="M39" s="108"/>
      <c r="N39" s="107"/>
    </row>
    <row r="40" spans="1:14" s="29" customFormat="1" ht="16.5" customHeight="1">
      <c r="A40" s="106">
        <v>36</v>
      </c>
      <c r="B40" s="49" t="s">
        <v>34</v>
      </c>
      <c r="C40" s="39">
        <v>39815</v>
      </c>
      <c r="D40" s="44" t="s">
        <v>130</v>
      </c>
      <c r="E40" s="44" t="s">
        <v>35</v>
      </c>
      <c r="F40" s="41">
        <v>62</v>
      </c>
      <c r="G40" s="41">
        <v>14</v>
      </c>
      <c r="H40" s="307">
        <f>364878+189780+24392+5352+42+1552+1221+1432+5133+1444+196+795+345+2977+568</f>
        <v>600107</v>
      </c>
      <c r="I40" s="308">
        <f>36690+19609+2909+1194-16+282+185+285+1591+285+28+129+56+579+94</f>
        <v>63900</v>
      </c>
      <c r="J40" s="103">
        <f t="shared" si="1"/>
        <v>9.39134585289515</v>
      </c>
      <c r="K40" s="330"/>
      <c r="L40" s="107"/>
      <c r="M40" s="108"/>
      <c r="N40" s="107"/>
    </row>
    <row r="41" spans="1:14" s="29" customFormat="1" ht="16.5" customHeight="1">
      <c r="A41" s="106">
        <v>37</v>
      </c>
      <c r="B41" s="368" t="s">
        <v>264</v>
      </c>
      <c r="C41" s="39">
        <v>39899</v>
      </c>
      <c r="D41" s="44" t="s">
        <v>130</v>
      </c>
      <c r="E41" s="44" t="s">
        <v>63</v>
      </c>
      <c r="F41" s="41">
        <v>62</v>
      </c>
      <c r="G41" s="41">
        <v>8</v>
      </c>
      <c r="H41" s="263">
        <f>306193+165310+41433+47659+24591+8913+2417+1247</f>
        <v>597763</v>
      </c>
      <c r="I41" s="308">
        <f>34359+18326+5534+7820+4081+1577+467+322</f>
        <v>72486</v>
      </c>
      <c r="J41" s="358">
        <f t="shared" si="1"/>
        <v>8.246599343321469</v>
      </c>
      <c r="K41" s="321"/>
      <c r="L41" s="107"/>
      <c r="M41" s="108"/>
      <c r="N41" s="107"/>
    </row>
    <row r="42" spans="1:14" s="29" customFormat="1" ht="16.5" customHeight="1">
      <c r="A42" s="106">
        <v>38</v>
      </c>
      <c r="B42" s="368" t="s">
        <v>355</v>
      </c>
      <c r="C42" s="39">
        <v>39941</v>
      </c>
      <c r="D42" s="44" t="s">
        <v>131</v>
      </c>
      <c r="E42" s="44" t="s">
        <v>127</v>
      </c>
      <c r="F42" s="41">
        <v>80</v>
      </c>
      <c r="G42" s="41">
        <v>2</v>
      </c>
      <c r="H42" s="263">
        <v>592024</v>
      </c>
      <c r="I42" s="308">
        <v>58074</v>
      </c>
      <c r="J42" s="358">
        <f t="shared" si="1"/>
        <v>10.194303819265075</v>
      </c>
      <c r="K42" s="321"/>
      <c r="L42" s="107"/>
      <c r="M42" s="108"/>
      <c r="N42" s="107"/>
    </row>
    <row r="43" spans="1:14" s="29" customFormat="1" ht="16.5" customHeight="1">
      <c r="A43" s="106">
        <v>39</v>
      </c>
      <c r="B43" s="368" t="s">
        <v>245</v>
      </c>
      <c r="C43" s="39">
        <v>39885</v>
      </c>
      <c r="D43" s="44" t="s">
        <v>131</v>
      </c>
      <c r="E43" s="44" t="s">
        <v>127</v>
      </c>
      <c r="F43" s="41">
        <v>51</v>
      </c>
      <c r="G43" s="41">
        <v>10</v>
      </c>
      <c r="H43" s="263">
        <v>547320</v>
      </c>
      <c r="I43" s="308">
        <v>63443</v>
      </c>
      <c r="J43" s="358">
        <f t="shared" si="1"/>
        <v>8.6269564806204</v>
      </c>
      <c r="K43" s="321"/>
      <c r="L43" s="107"/>
      <c r="M43" s="108"/>
      <c r="N43" s="107"/>
    </row>
    <row r="44" spans="1:14" s="29" customFormat="1" ht="16.5" customHeight="1">
      <c r="A44" s="106">
        <v>40</v>
      </c>
      <c r="B44" s="368" t="s">
        <v>209</v>
      </c>
      <c r="C44" s="39">
        <v>39864</v>
      </c>
      <c r="D44" s="44" t="s">
        <v>134</v>
      </c>
      <c r="E44" s="44" t="s">
        <v>210</v>
      </c>
      <c r="F44" s="41">
        <v>55</v>
      </c>
      <c r="G44" s="41">
        <v>13</v>
      </c>
      <c r="H44" s="263">
        <f>190777.5+154065+60826.5+20820+23589+29712+19396.5+16102+12940+11034+3005+981+1140</f>
        <v>544388.5</v>
      </c>
      <c r="I44" s="308">
        <f>20518+17650+7809+3283+4115+5826+3911+3770+2981+2505+653+199+142</f>
        <v>73362</v>
      </c>
      <c r="J44" s="358">
        <f>H44/I44</f>
        <v>7.420578773752078</v>
      </c>
      <c r="K44" s="321"/>
      <c r="L44" s="107"/>
      <c r="M44" s="108"/>
      <c r="N44" s="107"/>
    </row>
    <row r="45" spans="1:14" s="29" customFormat="1" ht="16.5" customHeight="1">
      <c r="A45" s="106">
        <v>41</v>
      </c>
      <c r="B45" s="49" t="s">
        <v>208</v>
      </c>
      <c r="C45" s="39">
        <v>39864</v>
      </c>
      <c r="D45" s="44" t="s">
        <v>131</v>
      </c>
      <c r="E45" s="44" t="s">
        <v>111</v>
      </c>
      <c r="F45" s="41">
        <v>45</v>
      </c>
      <c r="G45" s="41">
        <v>9</v>
      </c>
      <c r="H45" s="263">
        <v>508820</v>
      </c>
      <c r="I45" s="308">
        <v>49157</v>
      </c>
      <c r="J45" s="358">
        <f>+H45/I45</f>
        <v>10.3509164513701</v>
      </c>
      <c r="K45" s="330"/>
      <c r="L45" s="107"/>
      <c r="M45" s="108"/>
      <c r="N45" s="107"/>
    </row>
    <row r="46" spans="1:14" s="29" customFormat="1" ht="16.5" customHeight="1">
      <c r="A46" s="106">
        <v>42</v>
      </c>
      <c r="B46" s="368" t="s">
        <v>253</v>
      </c>
      <c r="C46" s="39">
        <v>39892</v>
      </c>
      <c r="D46" s="44" t="s">
        <v>130</v>
      </c>
      <c r="E46" s="44" t="s">
        <v>35</v>
      </c>
      <c r="F46" s="41">
        <v>48</v>
      </c>
      <c r="G46" s="41">
        <v>9</v>
      </c>
      <c r="H46" s="263">
        <f>252820+139377+40931+35755-48+20488+7471+3573+579+177</f>
        <v>501123</v>
      </c>
      <c r="I46" s="308">
        <f>29461+16712+6028+6061+3296+1203+511+193+59</f>
        <v>63524</v>
      </c>
      <c r="J46" s="358">
        <f>+H46/I46</f>
        <v>7.888719224230212</v>
      </c>
      <c r="K46" s="321"/>
      <c r="L46" s="107"/>
      <c r="M46" s="108"/>
      <c r="N46" s="107"/>
    </row>
    <row r="47" spans="1:14" s="29" customFormat="1" ht="16.5" customHeight="1">
      <c r="A47" s="106">
        <v>43</v>
      </c>
      <c r="B47" s="368" t="s">
        <v>198</v>
      </c>
      <c r="C47" s="39">
        <v>39857</v>
      </c>
      <c r="D47" s="44" t="s">
        <v>134</v>
      </c>
      <c r="E47" s="44" t="s">
        <v>133</v>
      </c>
      <c r="F47" s="41">
        <v>41</v>
      </c>
      <c r="G47" s="41">
        <v>14</v>
      </c>
      <c r="H47" s="263">
        <f>237955+174160.5+33697.5+17295.5+3111+908+14803+5802.5+3727+1295+1110+1441+1172+3872</f>
        <v>500350</v>
      </c>
      <c r="I47" s="308">
        <f>21828+16711+3926+2842+612+184+2267+940+496+230+202+304+208+948</f>
        <v>51698</v>
      </c>
      <c r="J47" s="358">
        <f>H47/I47</f>
        <v>9.678324113118496</v>
      </c>
      <c r="K47" s="321"/>
      <c r="L47" s="107"/>
      <c r="M47" s="108"/>
      <c r="N47" s="107"/>
    </row>
    <row r="48" spans="1:14" s="29" customFormat="1" ht="16.5" customHeight="1">
      <c r="A48" s="106">
        <v>44</v>
      </c>
      <c r="B48" s="368" t="s">
        <v>277</v>
      </c>
      <c r="C48" s="39">
        <v>39906</v>
      </c>
      <c r="D48" s="44" t="s">
        <v>134</v>
      </c>
      <c r="E48" s="44" t="s">
        <v>133</v>
      </c>
      <c r="F48" s="41">
        <v>73</v>
      </c>
      <c r="G48" s="41">
        <v>7</v>
      </c>
      <c r="H48" s="263">
        <f>257998+146390.25+55495.5+19689+10921.5+8901+904</f>
        <v>500299.25</v>
      </c>
      <c r="I48" s="308">
        <f>25239+14756+6633+3240+1982+1982+145</f>
        <v>53977</v>
      </c>
      <c r="J48" s="358">
        <f>H48/I48</f>
        <v>9.268748726309354</v>
      </c>
      <c r="K48" s="321"/>
      <c r="L48" s="107"/>
      <c r="M48" s="108"/>
      <c r="N48" s="107"/>
    </row>
    <row r="49" spans="1:14" s="29" customFormat="1" ht="16.5" customHeight="1">
      <c r="A49" s="106">
        <v>45</v>
      </c>
      <c r="B49" s="368" t="s">
        <v>356</v>
      </c>
      <c r="C49" s="39">
        <v>39941</v>
      </c>
      <c r="D49" s="44" t="s">
        <v>130</v>
      </c>
      <c r="E49" s="44" t="s">
        <v>35</v>
      </c>
      <c r="F49" s="41">
        <v>79</v>
      </c>
      <c r="G49" s="41">
        <v>2</v>
      </c>
      <c r="H49" s="263">
        <f>310645+177730</f>
        <v>488375</v>
      </c>
      <c r="I49" s="308">
        <f>33855+19511</f>
        <v>53366</v>
      </c>
      <c r="J49" s="358">
        <f>+H49/I49</f>
        <v>9.151426001574036</v>
      </c>
      <c r="K49" s="321"/>
      <c r="L49" s="107"/>
      <c r="M49" s="108"/>
      <c r="N49" s="107"/>
    </row>
    <row r="50" spans="1:14" s="29" customFormat="1" ht="16.5" customHeight="1">
      <c r="A50" s="106">
        <v>46</v>
      </c>
      <c r="B50" s="368" t="s">
        <v>310</v>
      </c>
      <c r="C50" s="39">
        <v>39920</v>
      </c>
      <c r="D50" s="44" t="s">
        <v>130</v>
      </c>
      <c r="E50" s="44" t="s">
        <v>63</v>
      </c>
      <c r="F50" s="41">
        <v>67</v>
      </c>
      <c r="G50" s="41">
        <v>5</v>
      </c>
      <c r="H50" s="263">
        <f>272382+140716+46020+6861+7492</f>
        <v>473471</v>
      </c>
      <c r="I50" s="308">
        <f>27038+14777+4953+934+1888</f>
        <v>49590</v>
      </c>
      <c r="J50" s="358">
        <f>+H50/I50</f>
        <v>9.547711232103246</v>
      </c>
      <c r="K50" s="321"/>
      <c r="L50" s="107"/>
      <c r="M50" s="108"/>
      <c r="N50" s="107"/>
    </row>
    <row r="51" spans="1:14" s="29" customFormat="1" ht="16.5" customHeight="1">
      <c r="A51" s="106">
        <v>47</v>
      </c>
      <c r="B51" s="368" t="s">
        <v>297</v>
      </c>
      <c r="C51" s="39">
        <v>39913</v>
      </c>
      <c r="D51" s="44" t="s">
        <v>134</v>
      </c>
      <c r="E51" s="44" t="s">
        <v>234</v>
      </c>
      <c r="F51" s="41">
        <v>32</v>
      </c>
      <c r="G51" s="41">
        <v>6</v>
      </c>
      <c r="H51" s="263">
        <f>216816.75+148269.25+47895.5+34792+20121+4590</f>
        <v>472484.5</v>
      </c>
      <c r="I51" s="308">
        <f>19731+13368+5787+4814+2854+977</f>
        <v>47531</v>
      </c>
      <c r="J51" s="358">
        <f>H51/I51</f>
        <v>9.940554585428456</v>
      </c>
      <c r="K51" s="321"/>
      <c r="L51" s="107"/>
      <c r="M51" s="108"/>
      <c r="N51" s="107"/>
    </row>
    <row r="52" spans="1:14" s="29" customFormat="1" ht="16.5" customHeight="1">
      <c r="A52" s="106">
        <v>48</v>
      </c>
      <c r="B52" s="368" t="s">
        <v>254</v>
      </c>
      <c r="C52" s="39">
        <v>39892</v>
      </c>
      <c r="D52" s="44" t="s">
        <v>131</v>
      </c>
      <c r="E52" s="44" t="s">
        <v>111</v>
      </c>
      <c r="F52" s="41">
        <v>70</v>
      </c>
      <c r="G52" s="41">
        <v>9</v>
      </c>
      <c r="H52" s="263">
        <v>471186</v>
      </c>
      <c r="I52" s="308">
        <v>57632</v>
      </c>
      <c r="J52" s="358">
        <f>+H52/I52</f>
        <v>8.175770405330372</v>
      </c>
      <c r="K52" s="321"/>
      <c r="L52" s="107"/>
      <c r="M52" s="108"/>
      <c r="N52" s="107"/>
    </row>
    <row r="53" spans="1:14" s="29" customFormat="1" ht="16.5" customHeight="1">
      <c r="A53" s="106">
        <v>49</v>
      </c>
      <c r="B53" s="368" t="s">
        <v>229</v>
      </c>
      <c r="C53" s="39">
        <v>39878</v>
      </c>
      <c r="D53" s="44" t="s">
        <v>134</v>
      </c>
      <c r="E53" s="44" t="s">
        <v>230</v>
      </c>
      <c r="F53" s="41">
        <v>39</v>
      </c>
      <c r="G53" s="41">
        <v>11</v>
      </c>
      <c r="H53" s="263">
        <f>143992.5+82756.5+42509+41229+27290.5+16668+27602+17675+4710+8504.5+2403</f>
        <v>415340</v>
      </c>
      <c r="I53" s="308">
        <f>15320+9228+5096+5970+4485+3115+5134+3946+1139+2307+509</f>
        <v>56249</v>
      </c>
      <c r="J53" s="358">
        <f>H53/I53</f>
        <v>7.383953492506533</v>
      </c>
      <c r="K53" s="321"/>
      <c r="L53" s="107"/>
      <c r="M53" s="108"/>
      <c r="N53" s="107"/>
    </row>
    <row r="54" spans="1:14" s="29" customFormat="1" ht="16.5" customHeight="1">
      <c r="A54" s="106">
        <v>50</v>
      </c>
      <c r="B54" s="49" t="s">
        <v>184</v>
      </c>
      <c r="C54" s="39">
        <v>39850</v>
      </c>
      <c r="D54" s="44" t="s">
        <v>131</v>
      </c>
      <c r="E54" s="44" t="s">
        <v>111</v>
      </c>
      <c r="F54" s="41">
        <v>26</v>
      </c>
      <c r="G54" s="41">
        <v>9</v>
      </c>
      <c r="H54" s="307">
        <v>404635</v>
      </c>
      <c r="I54" s="308">
        <v>39660</v>
      </c>
      <c r="J54" s="103">
        <f aca="true" t="shared" si="2" ref="J54:J61">+H54/I54</f>
        <v>10.202597075138678</v>
      </c>
      <c r="K54" s="330"/>
      <c r="L54" s="107"/>
      <c r="M54" s="108"/>
      <c r="N54" s="107"/>
    </row>
    <row r="55" spans="1:14" s="29" customFormat="1" ht="16.5" customHeight="1">
      <c r="A55" s="106">
        <v>51</v>
      </c>
      <c r="B55" s="368" t="s">
        <v>265</v>
      </c>
      <c r="C55" s="39">
        <v>39899</v>
      </c>
      <c r="D55" s="44" t="s">
        <v>131</v>
      </c>
      <c r="E55" s="44" t="s">
        <v>35</v>
      </c>
      <c r="F55" s="41">
        <v>59</v>
      </c>
      <c r="G55" s="41">
        <v>6</v>
      </c>
      <c r="H55" s="263">
        <v>395336</v>
      </c>
      <c r="I55" s="308">
        <v>41486</v>
      </c>
      <c r="J55" s="358">
        <f t="shared" si="2"/>
        <v>9.52938340645037</v>
      </c>
      <c r="K55" s="330"/>
      <c r="L55" s="107"/>
      <c r="M55" s="108"/>
      <c r="N55" s="107"/>
    </row>
    <row r="56" spans="1:14" s="29" customFormat="1" ht="16.5" customHeight="1">
      <c r="A56" s="106">
        <v>52</v>
      </c>
      <c r="B56" s="368" t="s">
        <v>357</v>
      </c>
      <c r="C56" s="39">
        <v>39941</v>
      </c>
      <c r="D56" s="44" t="s">
        <v>65</v>
      </c>
      <c r="E56" s="44" t="s">
        <v>358</v>
      </c>
      <c r="F56" s="41">
        <v>100</v>
      </c>
      <c r="G56" s="41">
        <v>2</v>
      </c>
      <c r="H56" s="263">
        <v>379777.8</v>
      </c>
      <c r="I56" s="308">
        <v>46160</v>
      </c>
      <c r="J56" s="358">
        <f t="shared" si="2"/>
        <v>8.227422010398612</v>
      </c>
      <c r="K56" s="321">
        <v>1</v>
      </c>
      <c r="L56" s="107"/>
      <c r="M56" s="108"/>
      <c r="N56" s="107"/>
    </row>
    <row r="57" spans="1:14" s="29" customFormat="1" ht="16.5" customHeight="1">
      <c r="A57" s="106">
        <v>53</v>
      </c>
      <c r="B57" s="49" t="s">
        <v>228</v>
      </c>
      <c r="C57" s="39">
        <v>39878</v>
      </c>
      <c r="D57" s="44" t="s">
        <v>130</v>
      </c>
      <c r="E57" s="44" t="s">
        <v>122</v>
      </c>
      <c r="F57" s="41">
        <v>39</v>
      </c>
      <c r="G57" s="41">
        <v>7</v>
      </c>
      <c r="H57" s="263">
        <f>208640+108142+308+143+11378+16244+5541+1125+1076</f>
        <v>352597</v>
      </c>
      <c r="I57" s="308">
        <f>19698+10352-1+1288+2400+1285+179+187</f>
        <v>35388</v>
      </c>
      <c r="J57" s="358">
        <f t="shared" si="2"/>
        <v>9.963744772239178</v>
      </c>
      <c r="K57" s="330"/>
      <c r="L57" s="107"/>
      <c r="M57" s="108"/>
      <c r="N57" s="107"/>
    </row>
    <row r="58" spans="1:14" s="29" customFormat="1" ht="16.5" customHeight="1">
      <c r="A58" s="106">
        <v>54</v>
      </c>
      <c r="B58" s="368" t="s">
        <v>12</v>
      </c>
      <c r="C58" s="39">
        <v>39829</v>
      </c>
      <c r="D58" s="44" t="s">
        <v>132</v>
      </c>
      <c r="E58" s="44" t="s">
        <v>385</v>
      </c>
      <c r="F58" s="41">
        <v>27</v>
      </c>
      <c r="G58" s="41">
        <v>15</v>
      </c>
      <c r="H58" s="263">
        <f>341980.5+752+294</f>
        <v>343026.5</v>
      </c>
      <c r="I58" s="308">
        <f>34663+92+49</f>
        <v>34804</v>
      </c>
      <c r="J58" s="358">
        <f t="shared" si="2"/>
        <v>9.85595046546374</v>
      </c>
      <c r="K58" s="321"/>
      <c r="L58" s="107"/>
      <c r="M58" s="108"/>
      <c r="N58" s="107"/>
    </row>
    <row r="59" spans="1:14" s="29" customFormat="1" ht="16.5" customHeight="1">
      <c r="A59" s="106">
        <v>55</v>
      </c>
      <c r="B59" s="49" t="s">
        <v>176</v>
      </c>
      <c r="C59" s="39">
        <v>39843</v>
      </c>
      <c r="D59" s="44" t="s">
        <v>130</v>
      </c>
      <c r="E59" s="44" t="s">
        <v>35</v>
      </c>
      <c r="F59" s="41">
        <v>39</v>
      </c>
      <c r="G59" s="41">
        <v>9</v>
      </c>
      <c r="H59" s="307">
        <f>170398+109259+13223+22668+4716+3323+406+215+1707</f>
        <v>325915</v>
      </c>
      <c r="I59" s="308">
        <f>15658+10719+1567+3434+755+489+57+41+334</f>
        <v>33054</v>
      </c>
      <c r="J59" s="103">
        <f t="shared" si="2"/>
        <v>9.86007744902281</v>
      </c>
      <c r="K59" s="330"/>
      <c r="L59" s="107"/>
      <c r="M59" s="108"/>
      <c r="N59" s="107"/>
    </row>
    <row r="60" spans="1:14" s="29" customFormat="1" ht="16.5" customHeight="1">
      <c r="A60" s="106">
        <v>56</v>
      </c>
      <c r="B60" s="49" t="s">
        <v>222</v>
      </c>
      <c r="C60" s="39">
        <v>39871</v>
      </c>
      <c r="D60" s="44" t="s">
        <v>131</v>
      </c>
      <c r="E60" s="44" t="s">
        <v>223</v>
      </c>
      <c r="F60" s="41">
        <v>52</v>
      </c>
      <c r="G60" s="41">
        <v>8</v>
      </c>
      <c r="H60" s="263">
        <v>320267</v>
      </c>
      <c r="I60" s="308">
        <v>41420</v>
      </c>
      <c r="J60" s="358">
        <f t="shared" si="2"/>
        <v>7.732182520521487</v>
      </c>
      <c r="K60" s="330">
        <v>1</v>
      </c>
      <c r="L60" s="107"/>
      <c r="M60" s="108"/>
      <c r="N60" s="107"/>
    </row>
    <row r="61" spans="1:14" s="29" customFormat="1" ht="16.5" customHeight="1">
      <c r="A61" s="106">
        <v>57</v>
      </c>
      <c r="B61" s="368" t="s">
        <v>319</v>
      </c>
      <c r="C61" s="39">
        <v>39927</v>
      </c>
      <c r="D61" s="44" t="s">
        <v>136</v>
      </c>
      <c r="E61" s="44" t="s">
        <v>81</v>
      </c>
      <c r="F61" s="41">
        <v>62</v>
      </c>
      <c r="G61" s="41">
        <v>4</v>
      </c>
      <c r="H61" s="263">
        <v>293950.25</v>
      </c>
      <c r="I61" s="308">
        <v>39206</v>
      </c>
      <c r="J61" s="358">
        <f t="shared" si="2"/>
        <v>7.497583278069683</v>
      </c>
      <c r="K61" s="321">
        <v>1</v>
      </c>
      <c r="L61" s="107"/>
      <c r="M61" s="108"/>
      <c r="N61" s="107"/>
    </row>
    <row r="62" spans="1:14" s="29" customFormat="1" ht="16.5" customHeight="1">
      <c r="A62" s="106">
        <v>58</v>
      </c>
      <c r="B62" s="368" t="s">
        <v>211</v>
      </c>
      <c r="C62" s="39">
        <v>39864</v>
      </c>
      <c r="D62" s="44" t="s">
        <v>134</v>
      </c>
      <c r="E62" s="44" t="s">
        <v>212</v>
      </c>
      <c r="F62" s="41">
        <v>60</v>
      </c>
      <c r="G62" s="41">
        <v>11</v>
      </c>
      <c r="H62" s="263">
        <f>182826.5+79990+19672+797.5+3740.5+787+2671+676+391+870+504</f>
        <v>292925.5</v>
      </c>
      <c r="I62" s="308">
        <f>20237+9379+2724+124+668+137+441+114+58+108+72</f>
        <v>34062</v>
      </c>
      <c r="J62" s="358">
        <f>H62/I62</f>
        <v>8.59977394163584</v>
      </c>
      <c r="K62" s="330"/>
      <c r="L62" s="107"/>
      <c r="M62" s="108"/>
      <c r="N62" s="107"/>
    </row>
    <row r="63" spans="1:14" s="29" customFormat="1" ht="16.5" customHeight="1">
      <c r="A63" s="106">
        <v>59</v>
      </c>
      <c r="B63" s="368" t="s">
        <v>374</v>
      </c>
      <c r="C63" s="39">
        <v>39948</v>
      </c>
      <c r="D63" s="44" t="s">
        <v>136</v>
      </c>
      <c r="E63" s="44" t="s">
        <v>375</v>
      </c>
      <c r="F63" s="41">
        <v>151</v>
      </c>
      <c r="G63" s="41">
        <v>1</v>
      </c>
      <c r="H63" s="263">
        <v>276391.25</v>
      </c>
      <c r="I63" s="308">
        <v>38179</v>
      </c>
      <c r="J63" s="358">
        <f aca="true" t="shared" si="3" ref="J63:J69">+H63/I63</f>
        <v>7.239352785562744</v>
      </c>
      <c r="K63" s="321">
        <v>1</v>
      </c>
      <c r="L63" s="107"/>
      <c r="M63" s="108"/>
      <c r="N63" s="107"/>
    </row>
    <row r="64" spans="1:14" s="29" customFormat="1" ht="16.5" customHeight="1">
      <c r="A64" s="106">
        <v>60</v>
      </c>
      <c r="B64" s="49" t="s">
        <v>221</v>
      </c>
      <c r="C64" s="39">
        <v>39871</v>
      </c>
      <c r="D64" s="44" t="s">
        <v>130</v>
      </c>
      <c r="E64" s="44" t="s">
        <v>122</v>
      </c>
      <c r="F64" s="41">
        <v>50</v>
      </c>
      <c r="G64" s="41">
        <v>8</v>
      </c>
      <c r="H64" s="263">
        <f>170980+80213+4926+3955+3233+7199+1587+1046</f>
        <v>273139</v>
      </c>
      <c r="I64" s="308">
        <f>17959+8528+552+616+564+1409+280+158</f>
        <v>30066</v>
      </c>
      <c r="J64" s="358">
        <f t="shared" si="3"/>
        <v>9.08464710969201</v>
      </c>
      <c r="K64" s="330"/>
      <c r="L64" s="107"/>
      <c r="M64" s="108"/>
      <c r="N64" s="107"/>
    </row>
    <row r="65" spans="1:14" s="29" customFormat="1" ht="16.5" customHeight="1">
      <c r="A65" s="106">
        <v>61</v>
      </c>
      <c r="B65" s="368" t="s">
        <v>177</v>
      </c>
      <c r="C65" s="39">
        <v>39843</v>
      </c>
      <c r="D65" s="44" t="s">
        <v>132</v>
      </c>
      <c r="E65" s="44" t="s">
        <v>13</v>
      </c>
      <c r="F65" s="41">
        <v>50</v>
      </c>
      <c r="G65" s="41">
        <v>14</v>
      </c>
      <c r="H65" s="263">
        <f>168651.5+46529+10620.5+4304+0.5+12367.5+5085+0.5+811+443+1089+406.5+312+389+3597+510</f>
        <v>255116</v>
      </c>
      <c r="I65" s="308">
        <f>20118+5529+1513+681+2223+920+189+100+201+77+55+67+600+195</f>
        <v>32468</v>
      </c>
      <c r="J65" s="358">
        <f t="shared" si="3"/>
        <v>7.857459652581003</v>
      </c>
      <c r="K65" s="321"/>
      <c r="L65" s="107"/>
      <c r="M65" s="108"/>
      <c r="N65" s="107"/>
    </row>
    <row r="66" spans="1:14" s="29" customFormat="1" ht="16.5" customHeight="1">
      <c r="A66" s="106">
        <v>62</v>
      </c>
      <c r="B66" s="368" t="s">
        <v>278</v>
      </c>
      <c r="C66" s="39">
        <v>39906</v>
      </c>
      <c r="D66" s="44" t="s">
        <v>279</v>
      </c>
      <c r="E66" s="44" t="s">
        <v>367</v>
      </c>
      <c r="F66" s="41" t="s">
        <v>323</v>
      </c>
      <c r="G66" s="41" t="s">
        <v>382</v>
      </c>
      <c r="H66" s="263">
        <f>220685+590</f>
        <v>221275</v>
      </c>
      <c r="I66" s="308">
        <f>25486+101</f>
        <v>25587</v>
      </c>
      <c r="J66" s="358">
        <f t="shared" si="3"/>
        <v>8.64794622269121</v>
      </c>
      <c r="K66" s="321"/>
      <c r="L66" s="107"/>
      <c r="M66" s="108"/>
      <c r="N66" s="107"/>
    </row>
    <row r="67" spans="1:14" s="29" customFormat="1" ht="16.5" customHeight="1">
      <c r="A67" s="106">
        <v>63</v>
      </c>
      <c r="B67" s="368" t="s">
        <v>376</v>
      </c>
      <c r="C67" s="39">
        <v>39948</v>
      </c>
      <c r="D67" s="44" t="s">
        <v>131</v>
      </c>
      <c r="E67" s="44" t="s">
        <v>43</v>
      </c>
      <c r="F67" s="41">
        <v>46</v>
      </c>
      <c r="G67" s="41">
        <v>1</v>
      </c>
      <c r="H67" s="263">
        <v>218508</v>
      </c>
      <c r="I67" s="308">
        <v>18610</v>
      </c>
      <c r="J67" s="358">
        <f t="shared" si="3"/>
        <v>11.741429339065018</v>
      </c>
      <c r="K67" s="321"/>
      <c r="L67" s="107"/>
      <c r="M67" s="108"/>
      <c r="N67" s="107"/>
    </row>
    <row r="68" spans="1:14" s="29" customFormat="1" ht="16.5" customHeight="1">
      <c r="A68" s="106">
        <v>64</v>
      </c>
      <c r="B68" s="368" t="s">
        <v>320</v>
      </c>
      <c r="C68" s="39">
        <v>39927</v>
      </c>
      <c r="D68" s="44" t="s">
        <v>131</v>
      </c>
      <c r="E68" s="44" t="s">
        <v>96</v>
      </c>
      <c r="F68" s="41">
        <v>48</v>
      </c>
      <c r="G68" s="41">
        <v>4</v>
      </c>
      <c r="H68" s="263">
        <v>218071</v>
      </c>
      <c r="I68" s="308">
        <v>23303</v>
      </c>
      <c r="J68" s="358">
        <f t="shared" si="3"/>
        <v>9.35806548513067</v>
      </c>
      <c r="K68" s="321"/>
      <c r="L68" s="107"/>
      <c r="M68" s="108"/>
      <c r="N68" s="107"/>
    </row>
    <row r="69" spans="1:14" s="29" customFormat="1" ht="16.5" customHeight="1">
      <c r="A69" s="106">
        <v>65</v>
      </c>
      <c r="B69" s="368" t="s">
        <v>298</v>
      </c>
      <c r="C69" s="39">
        <v>39913</v>
      </c>
      <c r="D69" s="44" t="s">
        <v>132</v>
      </c>
      <c r="E69" s="44" t="s">
        <v>107</v>
      </c>
      <c r="F69" s="41">
        <v>58</v>
      </c>
      <c r="G69" s="41">
        <v>6</v>
      </c>
      <c r="H69" s="263">
        <f>98586+53030.5+26630.5+22794.25+6969+1410</f>
        <v>209420.25</v>
      </c>
      <c r="I69" s="308">
        <f>10552+5817+4286+3997+1311+179</f>
        <v>26142</v>
      </c>
      <c r="J69" s="358">
        <f t="shared" si="3"/>
        <v>8.010873307321551</v>
      </c>
      <c r="K69" s="321"/>
      <c r="L69" s="107"/>
      <c r="M69" s="108"/>
      <c r="N69" s="107"/>
    </row>
    <row r="70" spans="1:14" s="29" customFormat="1" ht="16.5" customHeight="1">
      <c r="A70" s="106">
        <v>66</v>
      </c>
      <c r="B70" s="368" t="s">
        <v>158</v>
      </c>
      <c r="C70" s="39">
        <v>39836</v>
      </c>
      <c r="D70" s="44" t="s">
        <v>134</v>
      </c>
      <c r="E70" s="44" t="s">
        <v>159</v>
      </c>
      <c r="F70" s="41">
        <v>13</v>
      </c>
      <c r="G70" s="41">
        <v>16</v>
      </c>
      <c r="H70" s="263">
        <f>57133.5+23554+18557+9186+29743.5+13631.5+13446+7072+7029+8018.5+7220.5+2856.5+1828+102+3517+635</f>
        <v>203530</v>
      </c>
      <c r="I70" s="308">
        <f>5405+2651+2356+1389+3583+1713+1661+1216+1174+1324+1425+542+453+16+757+96</f>
        <v>25761</v>
      </c>
      <c r="J70" s="358">
        <f>H70/I70</f>
        <v>7.900702612476223</v>
      </c>
      <c r="K70" s="330">
        <v>1</v>
      </c>
      <c r="L70" s="107"/>
      <c r="M70" s="108"/>
      <c r="N70" s="107"/>
    </row>
    <row r="71" spans="1:14" s="29" customFormat="1" ht="16.5" customHeight="1">
      <c r="A71" s="106">
        <v>67</v>
      </c>
      <c r="B71" s="49" t="s">
        <v>89</v>
      </c>
      <c r="C71" s="39">
        <v>39822</v>
      </c>
      <c r="D71" s="44" t="s">
        <v>130</v>
      </c>
      <c r="E71" s="44" t="s">
        <v>90</v>
      </c>
      <c r="F71" s="41">
        <v>59</v>
      </c>
      <c r="G71" s="41">
        <v>10</v>
      </c>
      <c r="H71" s="307">
        <f>104780+59149-180+16774+8520+1676+104+1077+1190+1780+175</f>
        <v>195045</v>
      </c>
      <c r="I71" s="308">
        <f>11200+7168-39+2888+1488+293+16+150+340+330+24</f>
        <v>23858</v>
      </c>
      <c r="J71" s="103">
        <f>+H71/I71</f>
        <v>8.17524520077123</v>
      </c>
      <c r="K71" s="330"/>
      <c r="L71" s="107"/>
      <c r="M71" s="108"/>
      <c r="N71" s="107"/>
    </row>
    <row r="72" spans="1:14" s="29" customFormat="1" ht="16.5" customHeight="1">
      <c r="A72" s="106">
        <v>68</v>
      </c>
      <c r="B72" s="368" t="s">
        <v>378</v>
      </c>
      <c r="C72" s="39">
        <v>39920</v>
      </c>
      <c r="D72" s="44" t="s">
        <v>134</v>
      </c>
      <c r="E72" s="44" t="s">
        <v>321</v>
      </c>
      <c r="F72" s="41">
        <v>43</v>
      </c>
      <c r="G72" s="41">
        <v>5</v>
      </c>
      <c r="H72" s="263">
        <f>71921.5+55489+28896+23842.5+13474.5</f>
        <v>193623.5</v>
      </c>
      <c r="I72" s="308">
        <f>9131+7791+4520+4728+2735</f>
        <v>28905</v>
      </c>
      <c r="J72" s="358">
        <f>H72/I72</f>
        <v>6.69861615637433</v>
      </c>
      <c r="K72" s="321">
        <v>1</v>
      </c>
      <c r="L72" s="107"/>
      <c r="M72" s="108"/>
      <c r="N72" s="107"/>
    </row>
    <row r="73" spans="1:14" s="29" customFormat="1" ht="16.5" customHeight="1">
      <c r="A73" s="106">
        <v>69</v>
      </c>
      <c r="B73" s="368" t="s">
        <v>280</v>
      </c>
      <c r="C73" s="39">
        <v>39906</v>
      </c>
      <c r="D73" s="44" t="s">
        <v>130</v>
      </c>
      <c r="E73" s="44" t="s">
        <v>126</v>
      </c>
      <c r="F73" s="41">
        <v>25</v>
      </c>
      <c r="G73" s="41">
        <v>7</v>
      </c>
      <c r="H73" s="263">
        <f>77546+42693+26511+22036+11920+7619+1353</f>
        <v>189678</v>
      </c>
      <c r="I73" s="308">
        <f>8404+4982+3631+3612+1988+1253+269</f>
        <v>24139</v>
      </c>
      <c r="J73" s="358">
        <f>+H73/I73</f>
        <v>7.857740585774058</v>
      </c>
      <c r="K73" s="321"/>
      <c r="L73" s="107"/>
      <c r="M73" s="108"/>
      <c r="N73" s="107"/>
    </row>
    <row r="74" spans="1:14" s="29" customFormat="1" ht="16.5" customHeight="1">
      <c r="A74" s="106">
        <v>70</v>
      </c>
      <c r="B74" s="368" t="s">
        <v>335</v>
      </c>
      <c r="C74" s="39">
        <v>39934</v>
      </c>
      <c r="D74" s="44" t="s">
        <v>132</v>
      </c>
      <c r="E74" s="44" t="s">
        <v>336</v>
      </c>
      <c r="F74" s="41">
        <v>125</v>
      </c>
      <c r="G74" s="41">
        <v>3</v>
      </c>
      <c r="H74" s="263">
        <f>114460.75+42138+22420</f>
        <v>179018.75</v>
      </c>
      <c r="I74" s="308">
        <f>15343+6534+4108</f>
        <v>25985</v>
      </c>
      <c r="J74" s="358">
        <f>+H74/I74</f>
        <v>6.889311141042909</v>
      </c>
      <c r="K74" s="321">
        <v>1</v>
      </c>
      <c r="L74" s="107"/>
      <c r="M74" s="108"/>
      <c r="N74" s="107"/>
    </row>
    <row r="75" spans="1:14" s="29" customFormat="1" ht="16.5" customHeight="1">
      <c r="A75" s="106">
        <v>71</v>
      </c>
      <c r="B75" s="368" t="s">
        <v>377</v>
      </c>
      <c r="C75" s="39">
        <v>39948</v>
      </c>
      <c r="D75" s="44" t="s">
        <v>131</v>
      </c>
      <c r="E75" s="44" t="s">
        <v>111</v>
      </c>
      <c r="F75" s="41">
        <v>33</v>
      </c>
      <c r="G75" s="41">
        <v>1</v>
      </c>
      <c r="H75" s="263">
        <v>167773</v>
      </c>
      <c r="I75" s="308">
        <v>16095</v>
      </c>
      <c r="J75" s="358">
        <f>+H75/I75</f>
        <v>10.423920472196334</v>
      </c>
      <c r="K75" s="321"/>
      <c r="L75" s="107"/>
      <c r="M75" s="108"/>
      <c r="N75" s="107"/>
    </row>
    <row r="76" spans="1:14" s="29" customFormat="1" ht="16.5" customHeight="1">
      <c r="A76" s="106">
        <v>72</v>
      </c>
      <c r="B76" s="368" t="s">
        <v>379</v>
      </c>
      <c r="C76" s="39">
        <v>39926</v>
      </c>
      <c r="D76" s="44" t="s">
        <v>134</v>
      </c>
      <c r="E76" s="44" t="s">
        <v>322</v>
      </c>
      <c r="F76" s="41">
        <v>40</v>
      </c>
      <c r="G76" s="41">
        <v>4</v>
      </c>
      <c r="H76" s="263">
        <f>35864.5+53058.5+35303.5+15734.5+12778.5</f>
        <v>152739.5</v>
      </c>
      <c r="I76" s="308">
        <f>3971+5771+3969+2398+2257</f>
        <v>18366</v>
      </c>
      <c r="J76" s="358">
        <f aca="true" t="shared" si="4" ref="J76:J82">H76/I76</f>
        <v>8.316427093542416</v>
      </c>
      <c r="K76" s="321"/>
      <c r="L76" s="107"/>
      <c r="M76" s="108"/>
      <c r="N76" s="107"/>
    </row>
    <row r="77" spans="1:14" s="29" customFormat="1" ht="16.5" customHeight="1">
      <c r="A77" s="106">
        <v>73</v>
      </c>
      <c r="B77" s="368" t="s">
        <v>249</v>
      </c>
      <c r="C77" s="39">
        <v>39815</v>
      </c>
      <c r="D77" s="44" t="s">
        <v>132</v>
      </c>
      <c r="E77" s="44" t="s">
        <v>107</v>
      </c>
      <c r="F77" s="41">
        <v>1</v>
      </c>
      <c r="G77" s="41">
        <v>13</v>
      </c>
      <c r="H77" s="263">
        <f>73862+20664+15776+8085+9922+10832+112+464+968+2909+2298+0.5+104+234</f>
        <v>146230.5</v>
      </c>
      <c r="I77" s="308">
        <f>7639+2334+2407+1475+1749+1781+22+65+145+411+556+15+36</f>
        <v>18635</v>
      </c>
      <c r="J77" s="358">
        <f t="shared" si="4"/>
        <v>7.847088811376442</v>
      </c>
      <c r="K77" s="330"/>
      <c r="L77" s="107"/>
      <c r="M77" s="108"/>
      <c r="N77" s="107"/>
    </row>
    <row r="78" spans="1:14" s="29" customFormat="1" ht="16.5" customHeight="1">
      <c r="A78" s="106">
        <v>74</v>
      </c>
      <c r="B78" s="368" t="s">
        <v>326</v>
      </c>
      <c r="C78" s="39">
        <v>39878</v>
      </c>
      <c r="D78" s="44" t="s">
        <v>134</v>
      </c>
      <c r="E78" s="44" t="s">
        <v>231</v>
      </c>
      <c r="F78" s="41">
        <v>23</v>
      </c>
      <c r="G78" s="41">
        <v>11</v>
      </c>
      <c r="H78" s="263">
        <f>53374.5+21232.5+15713+17154+11858.5+7161+6552+3862+3628+1527+122</f>
        <v>142184.5</v>
      </c>
      <c r="I78" s="308">
        <f>6646+2890+2666+3061+2083+1483+1285+676+775+318+20</f>
        <v>21903</v>
      </c>
      <c r="J78" s="358">
        <f t="shared" si="4"/>
        <v>6.491553668447245</v>
      </c>
      <c r="K78" s="321">
        <v>1</v>
      </c>
      <c r="L78" s="107"/>
      <c r="M78" s="108"/>
      <c r="N78" s="107"/>
    </row>
    <row r="79" spans="1:14" s="29" customFormat="1" ht="16.5" customHeight="1">
      <c r="A79" s="106">
        <v>75</v>
      </c>
      <c r="B79" s="368" t="s">
        <v>266</v>
      </c>
      <c r="C79" s="39">
        <v>39899</v>
      </c>
      <c r="D79" s="44" t="s">
        <v>134</v>
      </c>
      <c r="E79" s="44" t="s">
        <v>267</v>
      </c>
      <c r="F79" s="41">
        <v>20</v>
      </c>
      <c r="G79" s="41">
        <v>8</v>
      </c>
      <c r="H79" s="263">
        <f>80325+22862.5+13205.5+6103+2111+12431+2530+1890</f>
        <v>141458</v>
      </c>
      <c r="I79" s="308">
        <f>7739+2336+2082+903+428+1668+456+491</f>
        <v>16103</v>
      </c>
      <c r="J79" s="358">
        <f t="shared" si="4"/>
        <v>8.784574302924922</v>
      </c>
      <c r="K79" s="321"/>
      <c r="L79" s="107"/>
      <c r="M79" s="108"/>
      <c r="N79" s="107"/>
    </row>
    <row r="80" spans="1:14" s="29" customFormat="1" ht="16.5" customHeight="1">
      <c r="A80" s="106">
        <v>76</v>
      </c>
      <c r="B80" s="49" t="s">
        <v>36</v>
      </c>
      <c r="C80" s="39">
        <v>39815</v>
      </c>
      <c r="D80" s="44" t="s">
        <v>134</v>
      </c>
      <c r="E80" s="44" t="s">
        <v>37</v>
      </c>
      <c r="F80" s="41">
        <v>37</v>
      </c>
      <c r="G80" s="41">
        <v>13</v>
      </c>
      <c r="H80" s="307">
        <f>95365.5+19593.5+3155+849+1502+1716+1068+1873+1534+803+792+1418.5+392</f>
        <v>130061.5</v>
      </c>
      <c r="I80" s="308">
        <f>9915+2232+541+157+246+408+264+355+235+213+137+243+82</f>
        <v>15028</v>
      </c>
      <c r="J80" s="103">
        <f t="shared" si="4"/>
        <v>8.654611392068139</v>
      </c>
      <c r="K80" s="330"/>
      <c r="L80" s="107"/>
      <c r="M80" s="108"/>
      <c r="N80" s="107"/>
    </row>
    <row r="81" spans="1:14" s="29" customFormat="1" ht="16.5" customHeight="1">
      <c r="A81" s="106">
        <v>77</v>
      </c>
      <c r="B81" s="368" t="s">
        <v>283</v>
      </c>
      <c r="C81" s="39">
        <v>39906</v>
      </c>
      <c r="D81" s="44" t="s">
        <v>134</v>
      </c>
      <c r="E81" s="44" t="s">
        <v>284</v>
      </c>
      <c r="F81" s="41">
        <v>20</v>
      </c>
      <c r="G81" s="41">
        <v>7</v>
      </c>
      <c r="H81" s="263">
        <f>42804+21823.5+16872+15644+14339+9086.5+5699.5</f>
        <v>126268.5</v>
      </c>
      <c r="I81" s="308">
        <f>4512+2464+2783+2745+2518+1539+1111</f>
        <v>17672</v>
      </c>
      <c r="J81" s="358">
        <f t="shared" si="4"/>
        <v>7.145116568583069</v>
      </c>
      <c r="K81" s="321"/>
      <c r="L81" s="107"/>
      <c r="M81" s="108"/>
      <c r="N81" s="107"/>
    </row>
    <row r="82" spans="1:14" s="29" customFormat="1" ht="16.5" customHeight="1">
      <c r="A82" s="106">
        <v>78</v>
      </c>
      <c r="B82" s="368" t="s">
        <v>255</v>
      </c>
      <c r="C82" s="39">
        <v>39892</v>
      </c>
      <c r="D82" s="44" t="s">
        <v>134</v>
      </c>
      <c r="E82" s="44" t="s">
        <v>302</v>
      </c>
      <c r="F82" s="41">
        <v>18</v>
      </c>
      <c r="G82" s="41">
        <v>9</v>
      </c>
      <c r="H82" s="263">
        <f>64124.5+26275.5+7311.5+8465.5+2566+5722+4034.5+396+299</f>
        <v>119194.5</v>
      </c>
      <c r="I82" s="308">
        <f>5704+2336+995+1347+675+1131+1039+72+56</f>
        <v>13355</v>
      </c>
      <c r="J82" s="358">
        <f t="shared" si="4"/>
        <v>8.925084238113067</v>
      </c>
      <c r="K82" s="321"/>
      <c r="L82" s="107"/>
      <c r="M82" s="108"/>
      <c r="N82" s="107"/>
    </row>
    <row r="83" spans="1:14" s="29" customFormat="1" ht="16.5" customHeight="1">
      <c r="A83" s="106">
        <v>79</v>
      </c>
      <c r="B83" s="49" t="s">
        <v>157</v>
      </c>
      <c r="C83" s="39">
        <v>39836</v>
      </c>
      <c r="D83" s="44" t="s">
        <v>4</v>
      </c>
      <c r="E83" s="44" t="s">
        <v>77</v>
      </c>
      <c r="F83" s="41">
        <v>30</v>
      </c>
      <c r="G83" s="41">
        <v>12</v>
      </c>
      <c r="H83" s="307">
        <v>115954</v>
      </c>
      <c r="I83" s="308">
        <v>11769</v>
      </c>
      <c r="J83" s="103">
        <f aca="true" t="shared" si="5" ref="J83:J88">+H83/I83</f>
        <v>9.852493839748492</v>
      </c>
      <c r="K83" s="330"/>
      <c r="L83" s="107"/>
      <c r="M83" s="108"/>
      <c r="N83" s="107"/>
    </row>
    <row r="84" spans="1:14" s="29" customFormat="1" ht="16.5" customHeight="1">
      <c r="A84" s="106">
        <v>80</v>
      </c>
      <c r="B84" s="368" t="s">
        <v>359</v>
      </c>
      <c r="C84" s="39">
        <v>39941</v>
      </c>
      <c r="D84" s="44" t="s">
        <v>132</v>
      </c>
      <c r="E84" s="44" t="s">
        <v>107</v>
      </c>
      <c r="F84" s="41">
        <v>48</v>
      </c>
      <c r="G84" s="41">
        <v>2</v>
      </c>
      <c r="H84" s="263">
        <f>68037+32977.75</f>
        <v>101014.75</v>
      </c>
      <c r="I84" s="308">
        <f>7390+3921</f>
        <v>11311</v>
      </c>
      <c r="J84" s="358">
        <f t="shared" si="5"/>
        <v>8.930664839536734</v>
      </c>
      <c r="K84" s="321"/>
      <c r="L84" s="107"/>
      <c r="M84" s="108"/>
      <c r="N84" s="107"/>
    </row>
    <row r="85" spans="1:14" s="29" customFormat="1" ht="16.5" customHeight="1">
      <c r="A85" s="106">
        <v>81</v>
      </c>
      <c r="B85" s="368" t="s">
        <v>380</v>
      </c>
      <c r="C85" s="39">
        <v>39927</v>
      </c>
      <c r="D85" s="44" t="s">
        <v>132</v>
      </c>
      <c r="E85" s="44" t="s">
        <v>107</v>
      </c>
      <c r="F85" s="41">
        <v>25</v>
      </c>
      <c r="G85" s="41">
        <v>4</v>
      </c>
      <c r="H85" s="263">
        <f>56555+24451+8835+0.5+4851</f>
        <v>94692.5</v>
      </c>
      <c r="I85" s="308">
        <f>5543+2474+1355+829</f>
        <v>10201</v>
      </c>
      <c r="J85" s="358">
        <f t="shared" si="5"/>
        <v>9.282668365846485</v>
      </c>
      <c r="K85" s="321"/>
      <c r="L85" s="107"/>
      <c r="M85" s="108"/>
      <c r="N85" s="107"/>
    </row>
    <row r="86" spans="1:14" s="29" customFormat="1" ht="16.5" customHeight="1">
      <c r="A86" s="106">
        <v>82</v>
      </c>
      <c r="B86" s="368" t="s">
        <v>281</v>
      </c>
      <c r="C86" s="39">
        <v>39906</v>
      </c>
      <c r="D86" s="44" t="s">
        <v>131</v>
      </c>
      <c r="E86" s="44" t="s">
        <v>282</v>
      </c>
      <c r="F86" s="41">
        <v>51</v>
      </c>
      <c r="G86" s="41">
        <v>8</v>
      </c>
      <c r="H86" s="263">
        <v>84417</v>
      </c>
      <c r="I86" s="308">
        <v>11247</v>
      </c>
      <c r="J86" s="358">
        <f t="shared" si="5"/>
        <v>7.505734862630034</v>
      </c>
      <c r="K86" s="321">
        <v>1</v>
      </c>
      <c r="L86" s="107"/>
      <c r="M86" s="108"/>
      <c r="N86" s="107"/>
    </row>
    <row r="87" spans="1:14" s="29" customFormat="1" ht="16.5" customHeight="1">
      <c r="A87" s="106">
        <v>83</v>
      </c>
      <c r="B87" s="368" t="s">
        <v>360</v>
      </c>
      <c r="C87" s="39">
        <v>39941</v>
      </c>
      <c r="D87" s="44" t="s">
        <v>136</v>
      </c>
      <c r="E87" s="44" t="s">
        <v>78</v>
      </c>
      <c r="F87" s="41">
        <v>10</v>
      </c>
      <c r="G87" s="41">
        <v>2</v>
      </c>
      <c r="H87" s="263">
        <v>82430.25</v>
      </c>
      <c r="I87" s="308">
        <v>7248</v>
      </c>
      <c r="J87" s="358">
        <f t="shared" si="5"/>
        <v>11.372826986754967</v>
      </c>
      <c r="K87" s="321"/>
      <c r="L87" s="107"/>
      <c r="M87" s="108"/>
      <c r="N87" s="107"/>
    </row>
    <row r="88" spans="1:14" s="29" customFormat="1" ht="16.5" customHeight="1">
      <c r="A88" s="106">
        <v>84</v>
      </c>
      <c r="B88" s="368" t="s">
        <v>337</v>
      </c>
      <c r="C88" s="39">
        <v>39934</v>
      </c>
      <c r="D88" s="44" t="s">
        <v>338</v>
      </c>
      <c r="E88" s="44" t="s">
        <v>339</v>
      </c>
      <c r="F88" s="41">
        <v>41</v>
      </c>
      <c r="G88" s="41">
        <v>2</v>
      </c>
      <c r="H88" s="263">
        <v>73252.74</v>
      </c>
      <c r="I88" s="308">
        <v>11425</v>
      </c>
      <c r="J88" s="358">
        <f t="shared" si="5"/>
        <v>6.411618380743983</v>
      </c>
      <c r="K88" s="330">
        <v>1</v>
      </c>
      <c r="L88" s="107"/>
      <c r="M88" s="108"/>
      <c r="N88" s="107"/>
    </row>
    <row r="89" spans="1:14" s="29" customFormat="1" ht="16.5" customHeight="1">
      <c r="A89" s="106">
        <v>85</v>
      </c>
      <c r="B89" s="368" t="s">
        <v>268</v>
      </c>
      <c r="C89" s="39">
        <v>39899</v>
      </c>
      <c r="D89" s="44" t="s">
        <v>134</v>
      </c>
      <c r="E89" s="44" t="s">
        <v>269</v>
      </c>
      <c r="F89" s="41">
        <v>16</v>
      </c>
      <c r="G89" s="41">
        <v>8</v>
      </c>
      <c r="H89" s="263">
        <f>31137+15536+8716+2149+2897+1360+2390+1251</f>
        <v>65436</v>
      </c>
      <c r="I89" s="308">
        <f>3413+1778+1361+440+508+248+548+290</f>
        <v>8586</v>
      </c>
      <c r="J89" s="358">
        <f>H89/I89</f>
        <v>7.621243885394829</v>
      </c>
      <c r="K89" s="321">
        <v>1</v>
      </c>
      <c r="L89" s="107"/>
      <c r="M89" s="108"/>
      <c r="N89" s="107"/>
    </row>
    <row r="90" spans="1:14" s="29" customFormat="1" ht="16.5" customHeight="1">
      <c r="A90" s="106">
        <v>86</v>
      </c>
      <c r="B90" s="49" t="s">
        <v>38</v>
      </c>
      <c r="C90" s="39">
        <v>39815</v>
      </c>
      <c r="D90" s="44" t="s">
        <v>136</v>
      </c>
      <c r="E90" s="44" t="s">
        <v>39</v>
      </c>
      <c r="F90" s="41">
        <v>16</v>
      </c>
      <c r="G90" s="41">
        <v>10</v>
      </c>
      <c r="H90" s="307">
        <v>57180.5</v>
      </c>
      <c r="I90" s="308">
        <v>6428</v>
      </c>
      <c r="J90" s="103">
        <f>IF(H90&lt;&gt;0,H90/I90,"")</f>
        <v>8.895535158680772</v>
      </c>
      <c r="K90" s="330">
        <v>1</v>
      </c>
      <c r="L90" s="107"/>
      <c r="M90" s="108"/>
      <c r="N90" s="107"/>
    </row>
    <row r="91" spans="1:14" s="29" customFormat="1" ht="16.5" customHeight="1">
      <c r="A91" s="106">
        <v>87</v>
      </c>
      <c r="B91" s="368" t="s">
        <v>362</v>
      </c>
      <c r="C91" s="39">
        <v>39941</v>
      </c>
      <c r="D91" s="44" t="s">
        <v>134</v>
      </c>
      <c r="E91" s="44" t="s">
        <v>363</v>
      </c>
      <c r="F91" s="41">
        <v>26</v>
      </c>
      <c r="G91" s="41">
        <v>2</v>
      </c>
      <c r="H91" s="263">
        <f>36482.75+16583.5</f>
        <v>53066.25</v>
      </c>
      <c r="I91" s="308">
        <f>4495+1934</f>
        <v>6429</v>
      </c>
      <c r="J91" s="358">
        <f>H91/I91</f>
        <v>8.254199720018665</v>
      </c>
      <c r="K91" s="321">
        <v>1</v>
      </c>
      <c r="L91" s="107"/>
      <c r="M91" s="108"/>
      <c r="N91" s="107"/>
    </row>
    <row r="92" spans="1:14" s="29" customFormat="1" ht="16.5" customHeight="1">
      <c r="A92" s="106">
        <v>88</v>
      </c>
      <c r="B92" s="368" t="s">
        <v>256</v>
      </c>
      <c r="C92" s="39">
        <v>39892</v>
      </c>
      <c r="D92" s="44" t="s">
        <v>134</v>
      </c>
      <c r="E92" s="44" t="s">
        <v>148</v>
      </c>
      <c r="F92" s="41">
        <v>5</v>
      </c>
      <c r="G92" s="41">
        <v>8</v>
      </c>
      <c r="H92" s="263">
        <f>18881.5+13473+6553+4173.5+2378+3269+2172+792</f>
        <v>51692</v>
      </c>
      <c r="I92" s="308">
        <f>2268+1745+795+568+579+610+541+209</f>
        <v>7315</v>
      </c>
      <c r="J92" s="358">
        <f>H92/I92</f>
        <v>7.0665755297334245</v>
      </c>
      <c r="K92" s="330"/>
      <c r="L92" s="107"/>
      <c r="M92" s="108"/>
      <c r="N92" s="107"/>
    </row>
    <row r="93" spans="1:14" s="29" customFormat="1" ht="16.5" customHeight="1">
      <c r="A93" s="106">
        <v>89</v>
      </c>
      <c r="B93" s="368" t="s">
        <v>342</v>
      </c>
      <c r="C93" s="39">
        <v>39934</v>
      </c>
      <c r="D93" s="44" t="s">
        <v>132</v>
      </c>
      <c r="E93" s="44" t="s">
        <v>343</v>
      </c>
      <c r="F93" s="41">
        <v>31</v>
      </c>
      <c r="G93" s="41">
        <v>3</v>
      </c>
      <c r="H93" s="263">
        <f>29306.5+14144+7300+0.5</f>
        <v>50751</v>
      </c>
      <c r="I93" s="308">
        <f>4336+2409+1301</f>
        <v>8046</v>
      </c>
      <c r="J93" s="358">
        <f>+H93/I93</f>
        <v>6.307606263982103</v>
      </c>
      <c r="K93" s="321">
        <v>1</v>
      </c>
      <c r="L93" s="107"/>
      <c r="M93" s="108"/>
      <c r="N93" s="107"/>
    </row>
    <row r="94" spans="1:14" s="29" customFormat="1" ht="16.5" customHeight="1">
      <c r="A94" s="106">
        <v>90</v>
      </c>
      <c r="B94" s="368" t="s">
        <v>300</v>
      </c>
      <c r="C94" s="39">
        <v>39913</v>
      </c>
      <c r="D94" s="44" t="s">
        <v>134</v>
      </c>
      <c r="E94" s="44" t="s">
        <v>301</v>
      </c>
      <c r="F94" s="41">
        <v>8</v>
      </c>
      <c r="G94" s="41">
        <v>6</v>
      </c>
      <c r="H94" s="263">
        <f>21351.5+14278.5+6751+4525+2536+673</f>
        <v>50115</v>
      </c>
      <c r="I94" s="308">
        <f>2210+1534+811+919+457+117</f>
        <v>6048</v>
      </c>
      <c r="J94" s="358">
        <f>H94/I94</f>
        <v>8.286210317460318</v>
      </c>
      <c r="K94" s="321">
        <v>1</v>
      </c>
      <c r="L94" s="107"/>
      <c r="M94" s="108"/>
      <c r="N94" s="107"/>
    </row>
    <row r="95" spans="1:14" s="29" customFormat="1" ht="16.5" customHeight="1">
      <c r="A95" s="106">
        <v>91</v>
      </c>
      <c r="B95" s="368" t="s">
        <v>340</v>
      </c>
      <c r="C95" s="39">
        <v>39934</v>
      </c>
      <c r="D95" s="44" t="s">
        <v>134</v>
      </c>
      <c r="E95" s="44" t="s">
        <v>341</v>
      </c>
      <c r="F95" s="41">
        <v>10</v>
      </c>
      <c r="G95" s="41">
        <v>3</v>
      </c>
      <c r="H95" s="263">
        <f>33364+9411.25+6223</f>
        <v>48998.25</v>
      </c>
      <c r="I95" s="308">
        <f>3034+1189+1068</f>
        <v>5291</v>
      </c>
      <c r="J95" s="358">
        <f>H95/I95</f>
        <v>9.260678510678511</v>
      </c>
      <c r="K95" s="321"/>
      <c r="L95" s="107"/>
      <c r="M95" s="108"/>
      <c r="N95" s="107"/>
    </row>
    <row r="96" spans="1:14" s="29" customFormat="1" ht="16.5" customHeight="1">
      <c r="A96" s="106">
        <v>92</v>
      </c>
      <c r="B96" s="368" t="s">
        <v>257</v>
      </c>
      <c r="C96" s="39">
        <v>39892</v>
      </c>
      <c r="D96" s="44" t="s">
        <v>132</v>
      </c>
      <c r="E96" s="44" t="s">
        <v>258</v>
      </c>
      <c r="F96" s="41">
        <v>15</v>
      </c>
      <c r="G96" s="41">
        <v>7</v>
      </c>
      <c r="H96" s="263">
        <f>17658.5+10158+4719+2865+5972+4469+115</f>
        <v>45956.5</v>
      </c>
      <c r="I96" s="308">
        <f>2134+1239+693+537+1092+877+22</f>
        <v>6594</v>
      </c>
      <c r="J96" s="358">
        <f>+H96/I96</f>
        <v>6.969441916894146</v>
      </c>
      <c r="K96" s="330">
        <v>1</v>
      </c>
      <c r="L96" s="107"/>
      <c r="M96" s="108"/>
      <c r="N96" s="107"/>
    </row>
    <row r="97" spans="1:14" s="29" customFormat="1" ht="16.5" customHeight="1">
      <c r="A97" s="106">
        <v>93</v>
      </c>
      <c r="B97" s="368" t="s">
        <v>270</v>
      </c>
      <c r="C97" s="39">
        <v>39899</v>
      </c>
      <c r="D97" s="44" t="s">
        <v>131</v>
      </c>
      <c r="E97" s="44" t="s">
        <v>43</v>
      </c>
      <c r="F97" s="41">
        <v>25</v>
      </c>
      <c r="G97" s="41">
        <v>7</v>
      </c>
      <c r="H97" s="263">
        <v>45375</v>
      </c>
      <c r="I97" s="308">
        <v>5595</v>
      </c>
      <c r="J97" s="358">
        <f>+H97/I97</f>
        <v>8.109919571045577</v>
      </c>
      <c r="K97" s="330"/>
      <c r="L97" s="107"/>
      <c r="M97" s="108"/>
      <c r="N97" s="107"/>
    </row>
    <row r="98" spans="1:14" s="29" customFormat="1" ht="16.5" customHeight="1">
      <c r="A98" s="106">
        <v>94</v>
      </c>
      <c r="B98" s="368" t="s">
        <v>299</v>
      </c>
      <c r="C98" s="39">
        <v>39913</v>
      </c>
      <c r="D98" s="44" t="s">
        <v>134</v>
      </c>
      <c r="E98" s="44" t="s">
        <v>156</v>
      </c>
      <c r="F98" s="41">
        <v>25</v>
      </c>
      <c r="G98" s="41">
        <v>5</v>
      </c>
      <c r="H98" s="263">
        <f>27272+5053+1261+893+3382.5</f>
        <v>37861.5</v>
      </c>
      <c r="I98" s="308">
        <f>2445+551+258+199+504</f>
        <v>3957</v>
      </c>
      <c r="J98" s="358">
        <f>H98/I98</f>
        <v>9.568233510235027</v>
      </c>
      <c r="K98" s="330"/>
      <c r="L98" s="107"/>
      <c r="M98" s="108"/>
      <c r="N98" s="107"/>
    </row>
    <row r="99" spans="1:14" s="29" customFormat="1" ht="16.5" customHeight="1">
      <c r="A99" s="106">
        <v>95</v>
      </c>
      <c r="B99" s="318" t="s">
        <v>246</v>
      </c>
      <c r="C99" s="344">
        <v>39878</v>
      </c>
      <c r="D99" s="343" t="s">
        <v>247</v>
      </c>
      <c r="E99" s="343" t="s">
        <v>248</v>
      </c>
      <c r="F99" s="41">
        <v>11</v>
      </c>
      <c r="G99" s="41">
        <v>2</v>
      </c>
      <c r="H99" s="307">
        <v>30325.5</v>
      </c>
      <c r="I99" s="308">
        <v>2720</v>
      </c>
      <c r="J99" s="103">
        <f>+H99/I99</f>
        <v>11.14908088235294</v>
      </c>
      <c r="K99" s="330"/>
      <c r="L99" s="107"/>
      <c r="M99" s="108"/>
      <c r="N99" s="107"/>
    </row>
    <row r="100" spans="1:14" s="29" customFormat="1" ht="16.5" customHeight="1">
      <c r="A100" s="106">
        <v>96</v>
      </c>
      <c r="B100" s="49" t="s">
        <v>274</v>
      </c>
      <c r="C100" s="39">
        <v>39843</v>
      </c>
      <c r="D100" s="44" t="s">
        <v>131</v>
      </c>
      <c r="E100" s="44" t="s">
        <v>43</v>
      </c>
      <c r="F100" s="41">
        <v>5</v>
      </c>
      <c r="G100" s="41">
        <v>9</v>
      </c>
      <c r="H100" s="307">
        <v>29187</v>
      </c>
      <c r="I100" s="308">
        <v>2416</v>
      </c>
      <c r="J100" s="103">
        <f>+H100/I100</f>
        <v>12.0807119205298</v>
      </c>
      <c r="K100" s="330"/>
      <c r="L100" s="107"/>
      <c r="M100" s="108"/>
      <c r="N100" s="107"/>
    </row>
    <row r="101" spans="1:14" s="29" customFormat="1" ht="16.5" customHeight="1">
      <c r="A101" s="106">
        <v>97</v>
      </c>
      <c r="B101" s="49" t="s">
        <v>185</v>
      </c>
      <c r="C101" s="39">
        <v>39850</v>
      </c>
      <c r="D101" s="44" t="s">
        <v>134</v>
      </c>
      <c r="E101" s="44" t="s">
        <v>186</v>
      </c>
      <c r="F101" s="41">
        <v>8</v>
      </c>
      <c r="G101" s="41">
        <v>10</v>
      </c>
      <c r="H101" s="307">
        <f>10492+1122+2325+2330.5+2538+2584+1814+1327+1537.5+106</f>
        <v>26176</v>
      </c>
      <c r="I101" s="308">
        <f>1114+134+463+420+483+430+441+251+279+22</f>
        <v>4037</v>
      </c>
      <c r="J101" s="103">
        <f>H101/I101</f>
        <v>6.4840227891999005</v>
      </c>
      <c r="K101" s="330">
        <v>1</v>
      </c>
      <c r="L101" s="107"/>
      <c r="M101" s="108"/>
      <c r="N101" s="107"/>
    </row>
    <row r="102" spans="1:14" s="29" customFormat="1" ht="16.5" customHeight="1">
      <c r="A102" s="106">
        <v>98</v>
      </c>
      <c r="B102" s="368" t="s">
        <v>232</v>
      </c>
      <c r="C102" s="39">
        <v>39878</v>
      </c>
      <c r="D102" s="44" t="s">
        <v>92</v>
      </c>
      <c r="E102" s="44" t="s">
        <v>288</v>
      </c>
      <c r="F102" s="41">
        <v>10</v>
      </c>
      <c r="G102" s="41">
        <v>11</v>
      </c>
      <c r="H102" s="263">
        <v>25612.5</v>
      </c>
      <c r="I102" s="308">
        <v>2661</v>
      </c>
      <c r="J102" s="358">
        <f>+H102/I102</f>
        <v>9.625140924464487</v>
      </c>
      <c r="K102" s="321">
        <v>1</v>
      </c>
      <c r="L102" s="107"/>
      <c r="M102" s="108"/>
      <c r="N102" s="107"/>
    </row>
    <row r="103" spans="1:14" s="29" customFormat="1" ht="13.5" customHeight="1">
      <c r="A103" s="106">
        <v>99</v>
      </c>
      <c r="B103" s="368" t="s">
        <v>187</v>
      </c>
      <c r="C103" s="39">
        <v>39850</v>
      </c>
      <c r="D103" s="44" t="s">
        <v>134</v>
      </c>
      <c r="E103" s="44" t="s">
        <v>188</v>
      </c>
      <c r="F103" s="41">
        <v>2</v>
      </c>
      <c r="G103" s="41">
        <v>10</v>
      </c>
      <c r="H103" s="263">
        <f>8077.5+3261+2251+2481+682+679+634+482+544+2140</f>
        <v>21231.5</v>
      </c>
      <c r="I103" s="308">
        <f>773+379+260+266+71+198+101+110+127+535</f>
        <v>2820</v>
      </c>
      <c r="J103" s="358">
        <f>H103/I103</f>
        <v>7.528900709219858</v>
      </c>
      <c r="K103" s="330"/>
      <c r="L103" s="107"/>
      <c r="M103" s="108"/>
      <c r="N103" s="107"/>
    </row>
    <row r="104" spans="1:14" s="29" customFormat="1" ht="15">
      <c r="A104" s="106">
        <v>100</v>
      </c>
      <c r="B104" s="368" t="s">
        <v>272</v>
      </c>
      <c r="C104" s="39">
        <v>39871</v>
      </c>
      <c r="D104" s="44" t="s">
        <v>134</v>
      </c>
      <c r="E104" s="44" t="s">
        <v>224</v>
      </c>
      <c r="F104" s="41">
        <v>6</v>
      </c>
      <c r="G104" s="41">
        <v>6</v>
      </c>
      <c r="H104" s="263">
        <f>10784+5573+660+1421+910+383+1328</f>
        <v>21059</v>
      </c>
      <c r="I104" s="308">
        <f>1170+612+72+185+145+72+129</f>
        <v>2385</v>
      </c>
      <c r="J104" s="358">
        <f>H104/I104</f>
        <v>8.829769392033542</v>
      </c>
      <c r="K104" s="330">
        <v>1</v>
      </c>
      <c r="L104" s="107"/>
      <c r="M104" s="108"/>
      <c r="N104" s="107"/>
    </row>
    <row r="105" spans="1:14" s="29" customFormat="1" ht="15">
      <c r="A105" s="106">
        <v>101</v>
      </c>
      <c r="B105" s="368" t="s">
        <v>213</v>
      </c>
      <c r="C105" s="39">
        <v>39864</v>
      </c>
      <c r="D105" s="44" t="s">
        <v>134</v>
      </c>
      <c r="E105" s="44" t="s">
        <v>331</v>
      </c>
      <c r="F105" s="41">
        <v>4</v>
      </c>
      <c r="G105" s="41">
        <v>9</v>
      </c>
      <c r="H105" s="263">
        <f>6804+2328+2310+826+241+1288+1545+817+40</f>
        <v>16199</v>
      </c>
      <c r="I105" s="308">
        <f>775+357+469+134+39+295+305+158+8</f>
        <v>2540</v>
      </c>
      <c r="J105" s="358">
        <f>H105/I105</f>
        <v>6.37755905511811</v>
      </c>
      <c r="K105" s="330">
        <v>1</v>
      </c>
      <c r="L105" s="107"/>
      <c r="M105" s="108"/>
      <c r="N105" s="107"/>
    </row>
    <row r="106" spans="1:14" s="29" customFormat="1" ht="15">
      <c r="A106" s="106">
        <v>102</v>
      </c>
      <c r="B106" s="368" t="s">
        <v>344</v>
      </c>
      <c r="C106" s="39">
        <v>39934</v>
      </c>
      <c r="D106" s="44" t="s">
        <v>131</v>
      </c>
      <c r="E106" s="44" t="s">
        <v>111</v>
      </c>
      <c r="F106" s="41">
        <v>9</v>
      </c>
      <c r="G106" s="41">
        <v>2</v>
      </c>
      <c r="H106" s="263">
        <v>15350</v>
      </c>
      <c r="I106" s="308">
        <v>1127</v>
      </c>
      <c r="J106" s="358">
        <f>+H106/I106</f>
        <v>13.620230700976043</v>
      </c>
      <c r="K106" s="330"/>
      <c r="L106" s="107"/>
      <c r="M106" s="108"/>
      <c r="N106" s="107"/>
    </row>
    <row r="107" spans="1:14" s="29" customFormat="1" ht="15">
      <c r="A107" s="106">
        <v>103</v>
      </c>
      <c r="B107" s="368" t="s">
        <v>324</v>
      </c>
      <c r="C107" s="39">
        <v>39927</v>
      </c>
      <c r="D107" s="44" t="s">
        <v>136</v>
      </c>
      <c r="E107" s="44" t="s">
        <v>325</v>
      </c>
      <c r="F107" s="41">
        <v>10</v>
      </c>
      <c r="G107" s="41">
        <v>4</v>
      </c>
      <c r="H107" s="263">
        <v>14858.5</v>
      </c>
      <c r="I107" s="308">
        <v>2031</v>
      </c>
      <c r="J107" s="358">
        <f>+H107/I107</f>
        <v>7.315854258985722</v>
      </c>
      <c r="K107" s="321">
        <v>1</v>
      </c>
      <c r="L107" s="107"/>
      <c r="M107" s="108"/>
      <c r="N107" s="107"/>
    </row>
    <row r="108" spans="1:14" s="29" customFormat="1" ht="15">
      <c r="A108" s="106">
        <v>104</v>
      </c>
      <c r="B108" s="368" t="s">
        <v>364</v>
      </c>
      <c r="C108" s="39">
        <v>39941</v>
      </c>
      <c r="D108" s="44" t="s">
        <v>134</v>
      </c>
      <c r="E108" s="44" t="s">
        <v>90</v>
      </c>
      <c r="F108" s="41">
        <v>25</v>
      </c>
      <c r="G108" s="41">
        <v>2</v>
      </c>
      <c r="H108" s="263">
        <f>11131.5+481.5</f>
        <v>11613</v>
      </c>
      <c r="I108" s="308">
        <f>1039+58</f>
        <v>1097</v>
      </c>
      <c r="J108" s="358">
        <f>H108/I108</f>
        <v>10.586144029170464</v>
      </c>
      <c r="K108" s="321"/>
      <c r="L108" s="107"/>
      <c r="M108" s="108"/>
      <c r="N108" s="107"/>
    </row>
    <row r="109" spans="1:14" s="29" customFormat="1" ht="15">
      <c r="A109" s="106">
        <v>105</v>
      </c>
      <c r="B109" s="368" t="s">
        <v>259</v>
      </c>
      <c r="C109" s="39">
        <v>39885</v>
      </c>
      <c r="D109" s="44" t="s">
        <v>260</v>
      </c>
      <c r="E109" s="44" t="s">
        <v>1</v>
      </c>
      <c r="F109" s="41">
        <v>1</v>
      </c>
      <c r="G109" s="41">
        <v>6</v>
      </c>
      <c r="H109" s="263">
        <f>4788+2916+224+67+1174+2376</f>
        <v>11545</v>
      </c>
      <c r="I109" s="308">
        <f>549+337+27+11+121+594</f>
        <v>1639</v>
      </c>
      <c r="J109" s="358">
        <f>H109/I109</f>
        <v>7.043929225137279</v>
      </c>
      <c r="K109" s="330"/>
      <c r="L109" s="107"/>
      <c r="M109" s="108"/>
      <c r="N109" s="107"/>
    </row>
    <row r="110" spans="1:14" s="29" customFormat="1" ht="15">
      <c r="A110" s="106">
        <v>106</v>
      </c>
      <c r="B110" s="368" t="s">
        <v>345</v>
      </c>
      <c r="C110" s="39">
        <v>39934</v>
      </c>
      <c r="D110" s="44" t="s">
        <v>134</v>
      </c>
      <c r="E110" s="44" t="s">
        <v>341</v>
      </c>
      <c r="F110" s="41">
        <v>5</v>
      </c>
      <c r="G110" s="41">
        <v>3</v>
      </c>
      <c r="H110" s="263">
        <f>8152.5+2367.5+456</f>
        <v>10976</v>
      </c>
      <c r="I110" s="308">
        <f>669+232+51</f>
        <v>952</v>
      </c>
      <c r="J110" s="358">
        <f>H110/I110</f>
        <v>11.529411764705882</v>
      </c>
      <c r="K110" s="321"/>
      <c r="L110" s="107"/>
      <c r="M110" s="108"/>
      <c r="N110" s="107"/>
    </row>
    <row r="111" spans="1:14" s="29" customFormat="1" ht="15">
      <c r="A111" s="106">
        <v>107</v>
      </c>
      <c r="B111" s="368" t="s">
        <v>365</v>
      </c>
      <c r="C111" s="39">
        <v>39941</v>
      </c>
      <c r="D111" s="44" t="s">
        <v>136</v>
      </c>
      <c r="E111" s="44" t="s">
        <v>325</v>
      </c>
      <c r="F111" s="41">
        <v>10</v>
      </c>
      <c r="G111" s="41">
        <v>2</v>
      </c>
      <c r="H111" s="263">
        <v>9625.5</v>
      </c>
      <c r="I111" s="308">
        <v>1279</v>
      </c>
      <c r="J111" s="358">
        <f>+H111/I111</f>
        <v>7.525801407349491</v>
      </c>
      <c r="K111" s="321">
        <v>1</v>
      </c>
      <c r="L111" s="107"/>
      <c r="M111" s="108"/>
      <c r="N111" s="107"/>
    </row>
    <row r="112" spans="1:11" ht="15">
      <c r="A112" s="106">
        <v>108</v>
      </c>
      <c r="B112" s="49" t="s">
        <v>192</v>
      </c>
      <c r="C112" s="39">
        <v>39850</v>
      </c>
      <c r="D112" s="44" t="s">
        <v>134</v>
      </c>
      <c r="E112" s="44" t="s">
        <v>193</v>
      </c>
      <c r="F112" s="41">
        <v>4</v>
      </c>
      <c r="G112" s="41">
        <v>7</v>
      </c>
      <c r="H112" s="307">
        <f>3471+1177+1932+1499+102+393+190</f>
        <v>8764</v>
      </c>
      <c r="I112" s="308">
        <f>322+131+339+226+14+53+38</f>
        <v>1123</v>
      </c>
      <c r="J112" s="103">
        <f>H112/I112</f>
        <v>7.804096170970614</v>
      </c>
      <c r="K112" s="330"/>
    </row>
    <row r="113" spans="1:11" ht="15.75" thickBot="1">
      <c r="A113" s="106">
        <v>109</v>
      </c>
      <c r="B113" s="370" t="s">
        <v>225</v>
      </c>
      <c r="C113" s="337">
        <v>39871</v>
      </c>
      <c r="D113" s="338" t="s">
        <v>134</v>
      </c>
      <c r="E113" s="338" t="s">
        <v>1</v>
      </c>
      <c r="F113" s="339">
        <v>1</v>
      </c>
      <c r="G113" s="339">
        <v>10</v>
      </c>
      <c r="H113" s="366">
        <f>1088+1510+1304+856+387+214+424+106+162+130+476</f>
        <v>6657</v>
      </c>
      <c r="I113" s="340">
        <f>267+175+155+102+46+26+51+12+18+16+57</f>
        <v>925</v>
      </c>
      <c r="J113" s="361">
        <f>H113/I113</f>
        <v>7.1967567567567565</v>
      </c>
      <c r="K113" s="321"/>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08:L111 L56:L59 L99:L104 J9:J44 J51:J79 J90:J118" formula="1"/>
    <ignoredError sqref="L63:L66 L67:L82 L60:L62" numberStoredAsText="1" formula="1"/>
    <ignoredError sqref="F66:H77" numberStoredAsText="1"/>
  </ignoredErrors>
</worksheet>
</file>

<file path=xl/worksheets/sheet3.xml><?xml version="1.0" encoding="utf-8"?>
<worksheet xmlns="http://schemas.openxmlformats.org/spreadsheetml/2006/main" xmlns:r="http://schemas.openxmlformats.org/officeDocument/2006/relationships">
  <dimension ref="A1:Q439"/>
  <sheetViews>
    <sheetView zoomScale="80" zoomScaleNormal="80" zoomScalePageLayoutView="0" workbookViewId="0" topLeftCell="A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28.42187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10" t="s">
        <v>372</v>
      </c>
      <c r="B1" s="411"/>
      <c r="C1" s="411"/>
      <c r="D1" s="411"/>
      <c r="E1" s="411"/>
      <c r="F1" s="411"/>
      <c r="G1" s="411"/>
      <c r="H1" s="412"/>
      <c r="I1" s="412"/>
      <c r="J1" s="412"/>
      <c r="K1" s="412"/>
      <c r="L1" s="412"/>
      <c r="M1" s="412"/>
      <c r="N1" s="412"/>
      <c r="O1" s="412"/>
    </row>
    <row r="2" spans="1:17" s="91" customFormat="1" ht="14.25">
      <c r="A2" s="93"/>
      <c r="B2" s="415" t="s">
        <v>3</v>
      </c>
      <c r="C2" s="417" t="s">
        <v>113</v>
      </c>
      <c r="D2" s="407" t="s">
        <v>129</v>
      </c>
      <c r="E2" s="407" t="s">
        <v>128</v>
      </c>
      <c r="F2" s="409" t="s">
        <v>114</v>
      </c>
      <c r="G2" s="409" t="s">
        <v>121</v>
      </c>
      <c r="H2" s="423" t="s">
        <v>123</v>
      </c>
      <c r="I2" s="425" t="s">
        <v>115</v>
      </c>
      <c r="J2" s="425"/>
      <c r="K2" s="425"/>
      <c r="L2" s="425"/>
      <c r="M2" s="425" t="s">
        <v>116</v>
      </c>
      <c r="N2" s="425"/>
      <c r="O2" s="426"/>
      <c r="P2" s="102"/>
      <c r="Q2" s="102"/>
    </row>
    <row r="3" spans="1:17" s="91" customFormat="1" ht="48" customHeight="1" thickBot="1">
      <c r="A3" s="94"/>
      <c r="B3" s="416"/>
      <c r="C3" s="418"/>
      <c r="D3" s="408"/>
      <c r="E3" s="408"/>
      <c r="F3" s="408"/>
      <c r="G3" s="408"/>
      <c r="H3" s="424"/>
      <c r="I3" s="128" t="s">
        <v>117</v>
      </c>
      <c r="J3" s="133" t="s">
        <v>118</v>
      </c>
      <c r="K3" s="133" t="s">
        <v>101</v>
      </c>
      <c r="L3" s="141" t="s">
        <v>119</v>
      </c>
      <c r="M3" s="131" t="s">
        <v>117</v>
      </c>
      <c r="N3" s="133" t="s">
        <v>118</v>
      </c>
      <c r="O3" s="144" t="s">
        <v>120</v>
      </c>
      <c r="P3" s="102"/>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68" t="s">
        <v>58</v>
      </c>
      <c r="C21" s="39">
        <v>39745</v>
      </c>
      <c r="D21" s="44" t="s">
        <v>4</v>
      </c>
      <c r="E21" s="44" t="s">
        <v>59</v>
      </c>
      <c r="F21" s="41">
        <v>72</v>
      </c>
      <c r="G21" s="41">
        <v>69</v>
      </c>
      <c r="H21" s="41">
        <v>28</v>
      </c>
      <c r="I21" s="267">
        <v>218922</v>
      </c>
      <c r="J21" s="155">
        <v>22832</v>
      </c>
      <c r="K21" s="155">
        <f>+J21/G21</f>
        <v>330.8985507246377</v>
      </c>
      <c r="L21" s="356">
        <f>+I21/J21</f>
        <v>9.588384723195515</v>
      </c>
      <c r="M21" s="267">
        <v>1508075</v>
      </c>
      <c r="N21" s="155">
        <v>168885</v>
      </c>
      <c r="O21" s="358">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368" t="s">
        <v>58</v>
      </c>
      <c r="C36" s="39">
        <v>39745</v>
      </c>
      <c r="D36" s="44" t="s">
        <v>4</v>
      </c>
      <c r="E36" s="44" t="s">
        <v>59</v>
      </c>
      <c r="F36" s="41">
        <v>72</v>
      </c>
      <c r="G36" s="41">
        <v>67</v>
      </c>
      <c r="H36" s="41">
        <v>29</v>
      </c>
      <c r="I36" s="267">
        <v>84899</v>
      </c>
      <c r="J36" s="155">
        <v>9703</v>
      </c>
      <c r="K36" s="155">
        <f>+J36/G36</f>
        <v>144.82089552238807</v>
      </c>
      <c r="L36" s="356">
        <f>+I36/J36</f>
        <v>8.749768112954756</v>
      </c>
      <c r="M36" s="267">
        <v>1592974</v>
      </c>
      <c r="N36" s="155">
        <v>178588</v>
      </c>
      <c r="O36" s="358">
        <f>+M36/N36</f>
        <v>8.9198266400878</v>
      </c>
      <c r="P36" s="321">
        <v>1</v>
      </c>
    </row>
    <row r="37" spans="1:16" ht="15">
      <c r="A37" s="66">
        <v>35</v>
      </c>
      <c r="B37" s="48" t="s">
        <v>23</v>
      </c>
      <c r="C37" s="39">
        <v>39808</v>
      </c>
      <c r="D37" s="42" t="s">
        <v>136</v>
      </c>
      <c r="E37" s="240" t="s">
        <v>24</v>
      </c>
      <c r="F37" s="54">
        <v>198</v>
      </c>
      <c r="G37" s="54">
        <v>117</v>
      </c>
      <c r="H37" s="54">
        <v>4</v>
      </c>
      <c r="I37" s="305">
        <v>64908</v>
      </c>
      <c r="J37" s="306">
        <v>10700</v>
      </c>
      <c r="K37" s="152">
        <f>IF(I37&lt;&gt;0,J37/G37,"")</f>
        <v>91.45299145299145</v>
      </c>
      <c r="L37" s="153">
        <f>IF(I37&lt;&gt;0,I37/J37,"")</f>
        <v>6.066168224299066</v>
      </c>
      <c r="M37" s="157">
        <f>909072+532572.5+214521.5+64908</f>
        <v>1721074</v>
      </c>
      <c r="N37" s="155">
        <f>112486+67146+29772+10700</f>
        <v>220104</v>
      </c>
      <c r="O37" s="104">
        <f>IF(M37&lt;&gt;0,M37/N37,"")</f>
        <v>7.8193672082288375</v>
      </c>
      <c r="P37" s="332"/>
    </row>
    <row r="38" spans="1:16" ht="15">
      <c r="A38" s="66">
        <v>36</v>
      </c>
      <c r="B38" s="293" t="s">
        <v>64</v>
      </c>
      <c r="C38" s="286">
        <v>39759</v>
      </c>
      <c r="D38" s="285" t="s">
        <v>65</v>
      </c>
      <c r="E38" s="285" t="s">
        <v>66</v>
      </c>
      <c r="F38" s="287">
        <v>56</v>
      </c>
      <c r="G38" s="287">
        <v>56</v>
      </c>
      <c r="H38" s="287">
        <v>15</v>
      </c>
      <c r="I38" s="288">
        <v>63097</v>
      </c>
      <c r="J38" s="289">
        <v>10541</v>
      </c>
      <c r="K38" s="290">
        <f>J38/G38</f>
        <v>188.23214285714286</v>
      </c>
      <c r="L38" s="291">
        <f>I38/J38</f>
        <v>5.985864718717389</v>
      </c>
      <c r="M38" s="292">
        <v>23277790.5</v>
      </c>
      <c r="N38" s="290">
        <v>2763898</v>
      </c>
      <c r="O38" s="294">
        <f>+M38/N38</f>
        <v>8.422087392515932</v>
      </c>
      <c r="P38" s="332"/>
    </row>
    <row r="39" spans="1:16" ht="15">
      <c r="A39" s="66">
        <v>37</v>
      </c>
      <c r="B39" s="281" t="s">
        <v>139</v>
      </c>
      <c r="C39" s="40">
        <v>39787</v>
      </c>
      <c r="D39" s="261" t="s">
        <v>132</v>
      </c>
      <c r="E39" s="261" t="s">
        <v>140</v>
      </c>
      <c r="F39" s="262">
        <v>25</v>
      </c>
      <c r="G39" s="262">
        <v>25</v>
      </c>
      <c r="H39" s="262">
        <v>8</v>
      </c>
      <c r="I39" s="263">
        <v>60712.5</v>
      </c>
      <c r="J39" s="264">
        <v>11735</v>
      </c>
      <c r="K39" s="271">
        <f>+J39/G39</f>
        <v>469.4</v>
      </c>
      <c r="L39" s="153">
        <f>+I39/J39</f>
        <v>5.173625905411163</v>
      </c>
      <c r="M39" s="267">
        <f>9280968+4694050.5+1992628+1117778+528440.5+225948.5+100229.5+60712.5</f>
        <v>18000755.5</v>
      </c>
      <c r="N39" s="268">
        <f>1147876+614752+261380+141495+73035+33259+17736+11735</f>
        <v>2301268</v>
      </c>
      <c r="O39" s="104">
        <f>+M39/N39</f>
        <v>7.822103075348026</v>
      </c>
      <c r="P39" s="332"/>
    </row>
    <row r="40" spans="1:16" ht="15">
      <c r="A40" s="66">
        <v>38</v>
      </c>
      <c r="B40" s="234" t="s">
        <v>142</v>
      </c>
      <c r="C40" s="229">
        <v>39794</v>
      </c>
      <c r="D40" s="217" t="s">
        <v>134</v>
      </c>
      <c r="E40" s="227" t="s">
        <v>133</v>
      </c>
      <c r="F40" s="228">
        <v>100</v>
      </c>
      <c r="G40" s="228">
        <v>39</v>
      </c>
      <c r="H40" s="228">
        <v>5</v>
      </c>
      <c r="I40" s="297">
        <v>54533</v>
      </c>
      <c r="J40" s="298">
        <v>8873</v>
      </c>
      <c r="K40" s="223">
        <f>(J40/G40)</f>
        <v>227.51282051282053</v>
      </c>
      <c r="L40" s="224">
        <f>I40/J40</f>
        <v>6.1459483827341375</v>
      </c>
      <c r="M40" s="225">
        <f>1276778.5+626123+380324+112679.5+54533</f>
        <v>2450438</v>
      </c>
      <c r="N40" s="226">
        <f>133555+68793+41581+14968+8873</f>
        <v>267770</v>
      </c>
      <c r="O40" s="233">
        <f>M40/N40</f>
        <v>9.151279082794936</v>
      </c>
      <c r="P40" s="332">
        <v>1</v>
      </c>
    </row>
    <row r="41" spans="1:16" ht="15">
      <c r="A41" s="66">
        <v>39</v>
      </c>
      <c r="B41" s="234" t="s">
        <v>28</v>
      </c>
      <c r="C41" s="229">
        <v>39808</v>
      </c>
      <c r="D41" s="227" t="s">
        <v>132</v>
      </c>
      <c r="E41" s="227" t="s">
        <v>29</v>
      </c>
      <c r="F41" s="228">
        <v>89</v>
      </c>
      <c r="G41" s="228">
        <v>82</v>
      </c>
      <c r="H41" s="228">
        <v>3</v>
      </c>
      <c r="I41" s="309">
        <v>52183.5</v>
      </c>
      <c r="J41" s="310">
        <v>8100</v>
      </c>
      <c r="K41" s="223">
        <f>J41/G41</f>
        <v>98.78048780487805</v>
      </c>
      <c r="L41" s="224">
        <f>I41/J41</f>
        <v>6.442407407407408</v>
      </c>
      <c r="M41" s="231">
        <f>173290.5+101994+52183.5</f>
        <v>327468</v>
      </c>
      <c r="N41" s="222">
        <f>23989+15166+8100</f>
        <v>47255</v>
      </c>
      <c r="O41" s="233">
        <f>+M41/N41</f>
        <v>6.929806369696329</v>
      </c>
      <c r="P41" s="332"/>
    </row>
    <row r="42" spans="1:16" ht="15">
      <c r="A42" s="66">
        <v>40</v>
      </c>
      <c r="B42" s="281" t="s">
        <v>147</v>
      </c>
      <c r="C42" s="40">
        <v>39801</v>
      </c>
      <c r="D42" s="127" t="s">
        <v>134</v>
      </c>
      <c r="E42" s="261" t="s">
        <v>148</v>
      </c>
      <c r="F42" s="262">
        <v>42</v>
      </c>
      <c r="G42" s="262">
        <v>35</v>
      </c>
      <c r="H42" s="262">
        <v>6</v>
      </c>
      <c r="I42" s="273">
        <v>49984</v>
      </c>
      <c r="J42" s="274">
        <v>7567</v>
      </c>
      <c r="K42" s="275">
        <f>(J42/G42)</f>
        <v>216.2</v>
      </c>
      <c r="L42" s="159">
        <f>I42/J42</f>
        <v>6.605523985727501</v>
      </c>
      <c r="M42" s="276">
        <f>295344+204961.5+145464.5+116108.5+111972.5+49984</f>
        <v>923835</v>
      </c>
      <c r="N42" s="277">
        <f>36142+24747+19417+15404+14719+7567</f>
        <v>117996</v>
      </c>
      <c r="O42" s="105">
        <f>M42/N42</f>
        <v>7.82937557205329</v>
      </c>
      <c r="P42" s="332">
        <v>1</v>
      </c>
    </row>
    <row r="43" spans="1:16" ht="15">
      <c r="A43" s="66">
        <v>41</v>
      </c>
      <c r="B43" s="48" t="s">
        <v>145</v>
      </c>
      <c r="C43" s="39">
        <v>39801</v>
      </c>
      <c r="D43" s="42" t="s">
        <v>136</v>
      </c>
      <c r="E43" s="42" t="s">
        <v>146</v>
      </c>
      <c r="F43" s="54">
        <v>84</v>
      </c>
      <c r="G43" s="54">
        <v>48</v>
      </c>
      <c r="H43" s="54">
        <v>3</v>
      </c>
      <c r="I43" s="305">
        <v>43813</v>
      </c>
      <c r="J43" s="306">
        <v>6346</v>
      </c>
      <c r="K43" s="152">
        <f>IF(I43&lt;&gt;0,J43/G43,"")</f>
        <v>132.20833333333334</v>
      </c>
      <c r="L43" s="153">
        <f>IF(I43&lt;&gt;0,I43/J43,"")</f>
        <v>6.90403403718878</v>
      </c>
      <c r="M43" s="157">
        <f>369313.5+145108.5+43813</f>
        <v>558235</v>
      </c>
      <c r="N43" s="155">
        <f>41017+16460+6346</f>
        <v>63823</v>
      </c>
      <c r="O43" s="104">
        <f>IF(M43&lt;&gt;0,M43/N43,"")</f>
        <v>8.74661172304655</v>
      </c>
      <c r="P43" s="332">
        <v>1</v>
      </c>
    </row>
    <row r="44" spans="1:16" ht="15">
      <c r="A44" s="66">
        <v>42</v>
      </c>
      <c r="B44" s="48" t="s">
        <v>144</v>
      </c>
      <c r="C44" s="39">
        <v>39801</v>
      </c>
      <c r="D44" s="43" t="s">
        <v>130</v>
      </c>
      <c r="E44" s="42" t="s">
        <v>122</v>
      </c>
      <c r="F44" s="54">
        <v>69</v>
      </c>
      <c r="G44" s="54">
        <v>26</v>
      </c>
      <c r="H44" s="54">
        <v>5</v>
      </c>
      <c r="I44" s="303">
        <f>41441-111</f>
        <v>41330</v>
      </c>
      <c r="J44" s="304">
        <f>5722-11</f>
        <v>5711</v>
      </c>
      <c r="K44" s="158">
        <f>J44/G44</f>
        <v>219.65384615384616</v>
      </c>
      <c r="L44" s="159">
        <f>I44/J44</f>
        <v>7.236911223953774</v>
      </c>
      <c r="M44" s="150">
        <f>820286+588484+413907+112495+41441-111</f>
        <v>1976502</v>
      </c>
      <c r="N44" s="151">
        <f>83839+57678+42374+12212+5722-11</f>
        <v>201814</v>
      </c>
      <c r="O44" s="105">
        <f>+M44/N44</f>
        <v>9.79368131051364</v>
      </c>
      <c r="P44" s="332"/>
    </row>
    <row r="45" spans="1:16" ht="15">
      <c r="A45" s="66">
        <v>43</v>
      </c>
      <c r="B45" s="293" t="s">
        <v>64</v>
      </c>
      <c r="C45" s="286">
        <v>39759</v>
      </c>
      <c r="D45" s="285" t="s">
        <v>65</v>
      </c>
      <c r="E45" s="285" t="s">
        <v>66</v>
      </c>
      <c r="F45" s="287">
        <v>41</v>
      </c>
      <c r="G45" s="287">
        <v>41</v>
      </c>
      <c r="H45" s="287">
        <v>16</v>
      </c>
      <c r="I45" s="288">
        <v>38577</v>
      </c>
      <c r="J45" s="289">
        <v>6435</v>
      </c>
      <c r="K45" s="290">
        <f>J45/G45</f>
        <v>156.9512195121951</v>
      </c>
      <c r="L45" s="291">
        <f>I45/J45</f>
        <v>5.994871794871795</v>
      </c>
      <c r="M45" s="292">
        <v>23314058</v>
      </c>
      <c r="N45" s="290">
        <v>2770333</v>
      </c>
      <c r="O45" s="294">
        <f>+M45/N45</f>
        <v>8.415615740057243</v>
      </c>
      <c r="P45" s="332">
        <v>1</v>
      </c>
    </row>
    <row r="46" spans="1:16" ht="15">
      <c r="A46" s="66">
        <v>44</v>
      </c>
      <c r="B46" s="49" t="s">
        <v>142</v>
      </c>
      <c r="C46" s="40">
        <v>39794</v>
      </c>
      <c r="D46" s="45" t="s">
        <v>134</v>
      </c>
      <c r="E46" s="44" t="s">
        <v>133</v>
      </c>
      <c r="F46" s="41">
        <v>100</v>
      </c>
      <c r="G46" s="41">
        <v>25</v>
      </c>
      <c r="H46" s="41">
        <v>6</v>
      </c>
      <c r="I46" s="303">
        <v>36086</v>
      </c>
      <c r="J46" s="304">
        <v>6454</v>
      </c>
      <c r="K46" s="158">
        <f>(J46/G46)</f>
        <v>258.16</v>
      </c>
      <c r="L46" s="159">
        <f>I46/J46</f>
        <v>5.591261233343663</v>
      </c>
      <c r="M46" s="150">
        <f>1276778.5+626123+380324+112679.5+54533+36086</f>
        <v>2486524</v>
      </c>
      <c r="N46" s="151">
        <f>133555+68793+41581+14968+8873+6454</f>
        <v>274224</v>
      </c>
      <c r="O46" s="105">
        <f>M46/N46</f>
        <v>9.06749226909388</v>
      </c>
      <c r="P46" s="332">
        <v>1</v>
      </c>
    </row>
    <row r="47" spans="1:16" ht="15">
      <c r="A47" s="66">
        <v>45</v>
      </c>
      <c r="B47" s="281" t="s">
        <v>26</v>
      </c>
      <c r="C47" s="40">
        <v>39808</v>
      </c>
      <c r="D47" s="127" t="s">
        <v>134</v>
      </c>
      <c r="E47" s="261" t="s">
        <v>133</v>
      </c>
      <c r="F47" s="262">
        <v>75</v>
      </c>
      <c r="G47" s="262">
        <v>29</v>
      </c>
      <c r="H47" s="262">
        <v>5</v>
      </c>
      <c r="I47" s="273">
        <v>34373.5</v>
      </c>
      <c r="J47" s="274">
        <v>4655</v>
      </c>
      <c r="K47" s="275">
        <f>(J47/G47)</f>
        <v>160.51724137931035</v>
      </c>
      <c r="L47" s="159">
        <f>I47/J47</f>
        <v>7.38421052631579</v>
      </c>
      <c r="M47" s="276">
        <f>681566+578530+317284.5+141025.5+34373.5</f>
        <v>1752779.5</v>
      </c>
      <c r="N47" s="277">
        <f>64102+57106+32401+16644+4655</f>
        <v>174908</v>
      </c>
      <c r="O47" s="105">
        <f>M47/N47</f>
        <v>10.021151119445651</v>
      </c>
      <c r="P47" s="332"/>
    </row>
    <row r="48" spans="1:16" ht="15">
      <c r="A48" s="66">
        <v>46</v>
      </c>
      <c r="B48" s="49" t="s">
        <v>72</v>
      </c>
      <c r="C48" s="40">
        <v>39773</v>
      </c>
      <c r="D48" s="65" t="s">
        <v>131</v>
      </c>
      <c r="E48" s="44" t="s">
        <v>126</v>
      </c>
      <c r="F48" s="41">
        <v>204</v>
      </c>
      <c r="G48" s="41">
        <v>30</v>
      </c>
      <c r="H48" s="41">
        <v>7</v>
      </c>
      <c r="I48" s="307">
        <v>33453</v>
      </c>
      <c r="J48" s="308">
        <v>5727</v>
      </c>
      <c r="K48" s="155">
        <f>J48/G48</f>
        <v>190.9</v>
      </c>
      <c r="L48" s="156">
        <f>+I48/J48</f>
        <v>5.841278156102671</v>
      </c>
      <c r="M48" s="154">
        <v>11399323</v>
      </c>
      <c r="N48" s="155">
        <v>1407230</v>
      </c>
      <c r="O48" s="103">
        <f>+M48/N48</f>
        <v>8.100540068077002</v>
      </c>
      <c r="P48" s="332"/>
    </row>
    <row r="49" spans="1:16" ht="15">
      <c r="A49" s="66">
        <v>47</v>
      </c>
      <c r="B49" s="368" t="s">
        <v>58</v>
      </c>
      <c r="C49" s="39">
        <v>39745</v>
      </c>
      <c r="D49" s="44" t="s">
        <v>4</v>
      </c>
      <c r="E49" s="44" t="s">
        <v>59</v>
      </c>
      <c r="F49" s="41">
        <v>72</v>
      </c>
      <c r="G49" s="41">
        <v>37</v>
      </c>
      <c r="H49" s="41">
        <v>30</v>
      </c>
      <c r="I49" s="263">
        <v>32997</v>
      </c>
      <c r="J49" s="308">
        <v>4561</v>
      </c>
      <c r="K49" s="155">
        <f>+J49/G49</f>
        <v>123.27027027027027</v>
      </c>
      <c r="L49" s="356">
        <f>+I49/J49</f>
        <v>7.234597675948257</v>
      </c>
      <c r="M49" s="267">
        <v>1625970</v>
      </c>
      <c r="N49" s="155">
        <v>183149</v>
      </c>
      <c r="O49" s="358">
        <f>+M49/N49</f>
        <v>8.877853550933938</v>
      </c>
      <c r="P49" s="376">
        <v>1</v>
      </c>
    </row>
    <row r="50" spans="1:16" ht="15">
      <c r="A50" s="66">
        <v>48</v>
      </c>
      <c r="B50" s="293" t="s">
        <v>25</v>
      </c>
      <c r="C50" s="286">
        <v>39808</v>
      </c>
      <c r="D50" s="285" t="s">
        <v>131</v>
      </c>
      <c r="E50" s="285" t="s">
        <v>111</v>
      </c>
      <c r="F50" s="287">
        <v>112</v>
      </c>
      <c r="G50" s="287">
        <v>31</v>
      </c>
      <c r="H50" s="287">
        <v>7</v>
      </c>
      <c r="I50" s="288">
        <v>32857</v>
      </c>
      <c r="J50" s="289">
        <v>3082</v>
      </c>
      <c r="K50" s="290">
        <f>J50/G50</f>
        <v>99.41935483870968</v>
      </c>
      <c r="L50" s="291">
        <f>I50/J50</f>
        <v>10.660934458144062</v>
      </c>
      <c r="M50" s="292">
        <v>2028640</v>
      </c>
      <c r="N50" s="290">
        <v>207807</v>
      </c>
      <c r="O50" s="294">
        <f>+M50/N50</f>
        <v>9.762135058010557</v>
      </c>
      <c r="P50" s="332"/>
    </row>
    <row r="51" spans="1:16" ht="15">
      <c r="A51" s="66">
        <v>49</v>
      </c>
      <c r="B51" s="293" t="s">
        <v>147</v>
      </c>
      <c r="C51" s="286">
        <v>39801</v>
      </c>
      <c r="D51" s="285" t="s">
        <v>134</v>
      </c>
      <c r="E51" s="285" t="s">
        <v>148</v>
      </c>
      <c r="F51" s="287">
        <v>42</v>
      </c>
      <c r="G51" s="287">
        <v>28</v>
      </c>
      <c r="H51" s="287">
        <v>8</v>
      </c>
      <c r="I51" s="288">
        <v>32042</v>
      </c>
      <c r="J51" s="289">
        <v>5289</v>
      </c>
      <c r="K51" s="290">
        <f>(J51/G51)</f>
        <v>188.89285714285714</v>
      </c>
      <c r="L51" s="291">
        <f>I51/J51</f>
        <v>6.0582340707128</v>
      </c>
      <c r="M51" s="292">
        <f>295344+204961.5+145464.5+116108.5+111972.5+49984+26327+32042</f>
        <v>982204</v>
      </c>
      <c r="N51" s="290">
        <f>36142+24747+19417+15404+14719+7567+3314+5289</f>
        <v>126599</v>
      </c>
      <c r="O51" s="294">
        <f>M51/N51</f>
        <v>7.758386717114669</v>
      </c>
      <c r="P51" s="332">
        <v>1</v>
      </c>
    </row>
    <row r="52" spans="1:16" ht="15">
      <c r="A52" s="66">
        <v>50</v>
      </c>
      <c r="B52" s="232" t="s">
        <v>145</v>
      </c>
      <c r="C52" s="216">
        <v>39801</v>
      </c>
      <c r="D52" s="217" t="s">
        <v>136</v>
      </c>
      <c r="E52" s="217" t="s">
        <v>146</v>
      </c>
      <c r="F52" s="218">
        <v>84</v>
      </c>
      <c r="G52" s="218">
        <v>38</v>
      </c>
      <c r="H52" s="218">
        <v>4</v>
      </c>
      <c r="I52" s="311">
        <v>31258</v>
      </c>
      <c r="J52" s="312">
        <v>5364</v>
      </c>
      <c r="K52" s="219">
        <f>IF(I52&lt;&gt;0,J52/G52,"")</f>
        <v>141.1578947368421</v>
      </c>
      <c r="L52" s="220">
        <f>IF(I52&lt;&gt;0,I52/J52,"")</f>
        <v>5.827367636092468</v>
      </c>
      <c r="M52" s="221">
        <f>369313.5+145108.5+43813+31258</f>
        <v>589493</v>
      </c>
      <c r="N52" s="222">
        <f>41017+16460+6346+5364</f>
        <v>69187</v>
      </c>
      <c r="O52" s="237">
        <f>IF(M52&lt;&gt;0,M52/N52,"")</f>
        <v>8.52028560278665</v>
      </c>
      <c r="P52" s="332"/>
    </row>
    <row r="53" spans="1:16" ht="15">
      <c r="A53" s="66">
        <v>51</v>
      </c>
      <c r="B53" s="293" t="s">
        <v>147</v>
      </c>
      <c r="C53" s="286">
        <v>39801</v>
      </c>
      <c r="D53" s="285" t="s">
        <v>134</v>
      </c>
      <c r="E53" s="285" t="s">
        <v>148</v>
      </c>
      <c r="F53" s="287">
        <v>42</v>
      </c>
      <c r="G53" s="287">
        <v>20</v>
      </c>
      <c r="H53" s="287">
        <v>7</v>
      </c>
      <c r="I53" s="288">
        <v>26327</v>
      </c>
      <c r="J53" s="289">
        <v>3314</v>
      </c>
      <c r="K53" s="290">
        <f>(J53/G53)</f>
        <v>165.7</v>
      </c>
      <c r="L53" s="291">
        <f>I53/J53</f>
        <v>7.944176222088111</v>
      </c>
      <c r="M53" s="292">
        <f>295344+204961.5+145464.5+116108.5+111972.5+49984+26327</f>
        <v>950162</v>
      </c>
      <c r="N53" s="290">
        <f>36142+24747+19417+15404+14719+7567+3314</f>
        <v>121310</v>
      </c>
      <c r="O53" s="294">
        <f>+M53/N53</f>
        <v>7.832511746764488</v>
      </c>
      <c r="P53" s="332">
        <v>1</v>
      </c>
    </row>
    <row r="54" spans="1:16" ht="15">
      <c r="A54" s="66">
        <v>52</v>
      </c>
      <c r="B54" s="49" t="s">
        <v>44</v>
      </c>
      <c r="C54" s="40">
        <v>39780</v>
      </c>
      <c r="D54" s="65" t="s">
        <v>131</v>
      </c>
      <c r="E54" s="44" t="s">
        <v>127</v>
      </c>
      <c r="F54" s="41">
        <v>121</v>
      </c>
      <c r="G54" s="41">
        <v>34</v>
      </c>
      <c r="H54" s="41">
        <v>6</v>
      </c>
      <c r="I54" s="307">
        <v>24200</v>
      </c>
      <c r="J54" s="308">
        <v>4086</v>
      </c>
      <c r="K54" s="155">
        <f>J54/G54</f>
        <v>120.17647058823529</v>
      </c>
      <c r="L54" s="156">
        <f>+I54/J54</f>
        <v>5.922662750856584</v>
      </c>
      <c r="M54" s="154">
        <v>3379638</v>
      </c>
      <c r="N54" s="155">
        <v>389905</v>
      </c>
      <c r="O54" s="103">
        <f>+M54/N54</f>
        <v>8.667849860863544</v>
      </c>
      <c r="P54" s="332"/>
    </row>
    <row r="55" spans="1:16" ht="15">
      <c r="A55" s="66">
        <v>53</v>
      </c>
      <c r="B55" s="281" t="s">
        <v>139</v>
      </c>
      <c r="C55" s="286">
        <v>39787</v>
      </c>
      <c r="D55" s="285" t="s">
        <v>132</v>
      </c>
      <c r="E55" s="285" t="s">
        <v>140</v>
      </c>
      <c r="F55" s="287">
        <v>15</v>
      </c>
      <c r="G55" s="287">
        <v>15</v>
      </c>
      <c r="H55" s="287">
        <v>9</v>
      </c>
      <c r="I55" s="288">
        <v>23747.5</v>
      </c>
      <c r="J55" s="289">
        <v>4194</v>
      </c>
      <c r="K55" s="290">
        <f>J55/G55</f>
        <v>279.6</v>
      </c>
      <c r="L55" s="291">
        <f>I55/J55</f>
        <v>5.662255603242728</v>
      </c>
      <c r="M55" s="292">
        <f>9280968+4694050.5+1992628+1117778+528440.5+225948.5+100229.5+60712.5+23747.5</f>
        <v>18024503</v>
      </c>
      <c r="N55" s="290">
        <f>1147876+614752+261380+141495+73035+33259+17736+11735+4194</f>
        <v>2305462</v>
      </c>
      <c r="O55" s="294">
        <f>+M55/N55</f>
        <v>7.818173971204036</v>
      </c>
      <c r="P55" s="332"/>
    </row>
    <row r="56" spans="1:16" ht="15">
      <c r="A56" s="66">
        <v>54</v>
      </c>
      <c r="B56" s="245" t="s">
        <v>14</v>
      </c>
      <c r="C56" s="241">
        <v>39808</v>
      </c>
      <c r="D56" s="65" t="s">
        <v>131</v>
      </c>
      <c r="E56" s="242" t="s">
        <v>124</v>
      </c>
      <c r="F56" s="41">
        <v>34</v>
      </c>
      <c r="G56" s="41">
        <v>20</v>
      </c>
      <c r="H56" s="41">
        <v>4</v>
      </c>
      <c r="I56" s="307">
        <v>22932</v>
      </c>
      <c r="J56" s="308">
        <v>3741</v>
      </c>
      <c r="K56" s="155">
        <f>J56/G56</f>
        <v>187.05</v>
      </c>
      <c r="L56" s="156">
        <f>+I56/J56</f>
        <v>6.129911788291901</v>
      </c>
      <c r="M56" s="154">
        <v>765733</v>
      </c>
      <c r="N56" s="155">
        <v>83483</v>
      </c>
      <c r="O56" s="103">
        <f>+M56/N56</f>
        <v>9.172322508774242</v>
      </c>
      <c r="P56" s="332"/>
    </row>
    <row r="57" spans="1:16" ht="15">
      <c r="A57" s="66">
        <v>55</v>
      </c>
      <c r="B57" s="293" t="s">
        <v>147</v>
      </c>
      <c r="C57" s="286">
        <v>39801</v>
      </c>
      <c r="D57" s="285" t="s">
        <v>134</v>
      </c>
      <c r="E57" s="285" t="s">
        <v>148</v>
      </c>
      <c r="F57" s="287">
        <v>42</v>
      </c>
      <c r="G57" s="287">
        <v>12</v>
      </c>
      <c r="H57" s="287">
        <v>10</v>
      </c>
      <c r="I57" s="288">
        <v>20005</v>
      </c>
      <c r="J57" s="289">
        <v>3275</v>
      </c>
      <c r="K57" s="290">
        <f>(J57/G57)</f>
        <v>272.9166666666667</v>
      </c>
      <c r="L57" s="291">
        <f>I57/J57</f>
        <v>6.108396946564885</v>
      </c>
      <c r="M57" s="292">
        <f>295344+204961.5+145464.5+116108.5+111972.5+49984+26327+32042+18579+20005</f>
        <v>1020788</v>
      </c>
      <c r="N57" s="290">
        <f>36142+24747+19417+15404+14719+7567+3314+5289+3173+3275</f>
        <v>133047</v>
      </c>
      <c r="O57" s="294">
        <f>M57/N57</f>
        <v>7.672386449901163</v>
      </c>
      <c r="P57" s="332"/>
    </row>
    <row r="58" spans="1:16" ht="15">
      <c r="A58" s="66">
        <v>56</v>
      </c>
      <c r="B58" s="49" t="s">
        <v>70</v>
      </c>
      <c r="C58" s="40">
        <v>39766</v>
      </c>
      <c r="D58" s="44" t="s">
        <v>132</v>
      </c>
      <c r="E58" s="44" t="s">
        <v>71</v>
      </c>
      <c r="F58" s="41">
        <v>24</v>
      </c>
      <c r="G58" s="41">
        <v>5</v>
      </c>
      <c r="H58" s="41">
        <v>8</v>
      </c>
      <c r="I58" s="307">
        <v>19699.5</v>
      </c>
      <c r="J58" s="308">
        <v>2958</v>
      </c>
      <c r="K58" s="152">
        <f>+J58/G58</f>
        <v>591.6</v>
      </c>
      <c r="L58" s="153">
        <f>+I58/J58</f>
        <v>6.65973630831643</v>
      </c>
      <c r="M58" s="154">
        <f>191668+16358.5+8305+0.5+19699.5</f>
        <v>236031.5</v>
      </c>
      <c r="N58" s="155">
        <f>10324+8249+7871+7121+4755+3362+1751+2958</f>
        <v>46391</v>
      </c>
      <c r="O58" s="104">
        <f>+M58/N58</f>
        <v>5.087872647711841</v>
      </c>
      <c r="P58" s="332"/>
    </row>
    <row r="59" spans="1:16" ht="15">
      <c r="A59" s="66">
        <v>57</v>
      </c>
      <c r="B59" s="235" t="s">
        <v>44</v>
      </c>
      <c r="C59" s="229">
        <v>39780</v>
      </c>
      <c r="D59" s="227" t="s">
        <v>131</v>
      </c>
      <c r="E59" s="227" t="s">
        <v>127</v>
      </c>
      <c r="F59" s="228">
        <v>121</v>
      </c>
      <c r="G59" s="228">
        <v>32</v>
      </c>
      <c r="H59" s="228">
        <v>7</v>
      </c>
      <c r="I59" s="309">
        <v>19269</v>
      </c>
      <c r="J59" s="310">
        <v>3470</v>
      </c>
      <c r="K59" s="222">
        <f>J59/G59</f>
        <v>108.4375</v>
      </c>
      <c r="L59" s="230">
        <f>+I59/J59</f>
        <v>5.553025936599424</v>
      </c>
      <c r="M59" s="231">
        <v>3399520</v>
      </c>
      <c r="N59" s="222">
        <v>393715</v>
      </c>
      <c r="O59" s="236">
        <f>+M59/N59</f>
        <v>8.634469095665647</v>
      </c>
      <c r="P59" s="332"/>
    </row>
    <row r="60" spans="1:16" ht="15">
      <c r="A60" s="66">
        <v>58</v>
      </c>
      <c r="B60" s="293" t="s">
        <v>147</v>
      </c>
      <c r="C60" s="286">
        <v>39801</v>
      </c>
      <c r="D60" s="285" t="s">
        <v>134</v>
      </c>
      <c r="E60" s="285" t="s">
        <v>148</v>
      </c>
      <c r="F60" s="287">
        <v>42</v>
      </c>
      <c r="G60" s="287">
        <v>16</v>
      </c>
      <c r="H60" s="287">
        <v>11</v>
      </c>
      <c r="I60" s="288">
        <v>19180</v>
      </c>
      <c r="J60" s="289">
        <v>3534</v>
      </c>
      <c r="K60" s="290">
        <f>(J60/G60)</f>
        <v>220.875</v>
      </c>
      <c r="L60" s="291">
        <f>I60/J60</f>
        <v>5.427277872099604</v>
      </c>
      <c r="M60" s="292">
        <f>295344+204961.5+145464.5+116108.5+111972.5+49984+26327+32042+18579+20005+19180</f>
        <v>1039968</v>
      </c>
      <c r="N60" s="290">
        <f>36142+24747+19417+15404+14719+7567+3314+5289+3173+3275+3534</f>
        <v>136581</v>
      </c>
      <c r="O60" s="294">
        <f>M60/N60</f>
        <v>7.614294814066378</v>
      </c>
      <c r="P60" s="332"/>
    </row>
    <row r="61" spans="1:16" ht="15">
      <c r="A61" s="66">
        <v>59</v>
      </c>
      <c r="B61" s="293" t="s">
        <v>147</v>
      </c>
      <c r="C61" s="286">
        <v>39801</v>
      </c>
      <c r="D61" s="285" t="s">
        <v>134</v>
      </c>
      <c r="E61" s="285" t="s">
        <v>199</v>
      </c>
      <c r="F61" s="287">
        <v>42</v>
      </c>
      <c r="G61" s="287">
        <v>12</v>
      </c>
      <c r="H61" s="287">
        <v>9</v>
      </c>
      <c r="I61" s="288">
        <v>18579</v>
      </c>
      <c r="J61" s="289">
        <v>3173</v>
      </c>
      <c r="K61" s="290">
        <f>(J61/G61)</f>
        <v>264.4166666666667</v>
      </c>
      <c r="L61" s="291">
        <f>I61/J61</f>
        <v>5.855341947683581</v>
      </c>
      <c r="M61" s="292">
        <f>295344+204961.5+145464.5+116108.5+111972.5+49984+26327+32042+18579</f>
        <v>1000783</v>
      </c>
      <c r="N61" s="290">
        <f>36142+24747+19417+15404+14719+7567+3314+5289+3173</f>
        <v>129772</v>
      </c>
      <c r="O61" s="294">
        <f>+M61/N61</f>
        <v>7.711856178528496</v>
      </c>
      <c r="P61" s="332">
        <v>1</v>
      </c>
    </row>
    <row r="62" spans="1:16" ht="15">
      <c r="A62" s="66">
        <v>60</v>
      </c>
      <c r="B62" s="293" t="s">
        <v>139</v>
      </c>
      <c r="C62" s="286">
        <v>39787</v>
      </c>
      <c r="D62" s="285" t="s">
        <v>132</v>
      </c>
      <c r="E62" s="285" t="s">
        <v>140</v>
      </c>
      <c r="F62" s="287">
        <v>13</v>
      </c>
      <c r="G62" s="287">
        <v>13</v>
      </c>
      <c r="H62" s="287">
        <v>10</v>
      </c>
      <c r="I62" s="288">
        <v>18022</v>
      </c>
      <c r="J62" s="289">
        <v>3845</v>
      </c>
      <c r="K62" s="290">
        <f>J62/G62</f>
        <v>295.7692307692308</v>
      </c>
      <c r="L62" s="291">
        <f>I62/J62</f>
        <v>4.687126137841353</v>
      </c>
      <c r="M62" s="292">
        <f>9280968+4694050.5+1992628+1117778+528440.5+225948.5+100229.5+60712.5+23747.5+18022-1837</f>
        <v>18040688</v>
      </c>
      <c r="N62" s="290">
        <f>1147876+614752+261380+141495+73035+33259+17736+11735+4194+3845-458</f>
        <v>2308849</v>
      </c>
      <c r="O62" s="294">
        <f>+M62/N62</f>
        <v>7.813714972265402</v>
      </c>
      <c r="P62" s="332"/>
    </row>
    <row r="63" spans="1:16" ht="15">
      <c r="A63" s="66">
        <v>61</v>
      </c>
      <c r="B63" s="234" t="s">
        <v>70</v>
      </c>
      <c r="C63" s="229">
        <v>39766</v>
      </c>
      <c r="D63" s="227" t="s">
        <v>132</v>
      </c>
      <c r="E63" s="227" t="s">
        <v>71</v>
      </c>
      <c r="F63" s="228">
        <v>24</v>
      </c>
      <c r="G63" s="228">
        <v>8</v>
      </c>
      <c r="H63" s="228">
        <v>9</v>
      </c>
      <c r="I63" s="309">
        <v>16705.5</v>
      </c>
      <c r="J63" s="310">
        <v>2636</v>
      </c>
      <c r="K63" s="223">
        <f>J63/G63</f>
        <v>329.5</v>
      </c>
      <c r="L63" s="224">
        <f>I63/J63</f>
        <v>6.337443095599393</v>
      </c>
      <c r="M63" s="231">
        <f>191668+16358.5+8305+0.5+19699.5+16705.5</f>
        <v>252737</v>
      </c>
      <c r="N63" s="222">
        <f>10324+8249+7871+7121+4755+3362+1751+2958+2636</f>
        <v>49027</v>
      </c>
      <c r="O63" s="233">
        <f>+M63/N63</f>
        <v>5.155057417341465</v>
      </c>
      <c r="P63" s="332">
        <v>1</v>
      </c>
    </row>
    <row r="64" spans="1:16" ht="15">
      <c r="A64" s="66">
        <v>62</v>
      </c>
      <c r="B64" s="293" t="s">
        <v>139</v>
      </c>
      <c r="C64" s="286">
        <v>39787</v>
      </c>
      <c r="D64" s="285" t="s">
        <v>132</v>
      </c>
      <c r="E64" s="285" t="s">
        <v>140</v>
      </c>
      <c r="F64" s="287">
        <v>2</v>
      </c>
      <c r="G64" s="287">
        <v>2</v>
      </c>
      <c r="H64" s="287">
        <v>14</v>
      </c>
      <c r="I64" s="288">
        <v>16460.5</v>
      </c>
      <c r="J64" s="289">
        <v>3333</v>
      </c>
      <c r="K64" s="290">
        <f>J64/G64</f>
        <v>1666.5</v>
      </c>
      <c r="L64" s="291">
        <f>I64/J64</f>
        <v>4.938643864386439</v>
      </c>
      <c r="M64" s="292">
        <f>9280968+4694050.5+1992628+1117778+528440.5+225948.5+100229.5+60712.5+23747.5+18022-1837+3858+1591+1095+16460.5</f>
        <v>18063692.5</v>
      </c>
      <c r="N64" s="290">
        <f>1147876+614752+261380+141495+73035+33259+17736+11735+4194+3845-458+781+321+218+3333</f>
        <v>2313502</v>
      </c>
      <c r="O64" s="294">
        <f>+M64/N64</f>
        <v>7.80794332574599</v>
      </c>
      <c r="P64" s="332"/>
    </row>
    <row r="65" spans="1:16" ht="15">
      <c r="A65" s="66">
        <v>63</v>
      </c>
      <c r="B65" s="281" t="s">
        <v>44</v>
      </c>
      <c r="C65" s="40">
        <v>39780</v>
      </c>
      <c r="D65" s="261" t="s">
        <v>131</v>
      </c>
      <c r="E65" s="261" t="s">
        <v>127</v>
      </c>
      <c r="F65" s="262">
        <v>121</v>
      </c>
      <c r="G65" s="262">
        <v>16</v>
      </c>
      <c r="H65" s="262">
        <v>9</v>
      </c>
      <c r="I65" s="263">
        <v>16294</v>
      </c>
      <c r="J65" s="264">
        <v>3898</v>
      </c>
      <c r="K65" s="268">
        <f>J65/G65</f>
        <v>243.625</v>
      </c>
      <c r="L65" s="156">
        <f>+I65/J65</f>
        <v>4.1800923550538736</v>
      </c>
      <c r="M65" s="267">
        <v>3429888</v>
      </c>
      <c r="N65" s="268">
        <v>400341</v>
      </c>
      <c r="O65" s="103">
        <f>+M65/N65</f>
        <v>8.567416277623327</v>
      </c>
      <c r="P65" s="332"/>
    </row>
    <row r="66" spans="1:16" ht="15">
      <c r="A66" s="66">
        <v>64</v>
      </c>
      <c r="B66" s="293" t="s">
        <v>147</v>
      </c>
      <c r="C66" s="286">
        <v>39801</v>
      </c>
      <c r="D66" s="285" t="s">
        <v>134</v>
      </c>
      <c r="E66" s="285" t="s">
        <v>148</v>
      </c>
      <c r="F66" s="287">
        <v>42</v>
      </c>
      <c r="G66" s="287">
        <v>21</v>
      </c>
      <c r="H66" s="287">
        <v>12</v>
      </c>
      <c r="I66" s="288">
        <v>15980</v>
      </c>
      <c r="J66" s="289">
        <v>2826</v>
      </c>
      <c r="K66" s="290">
        <f>(J66/G66)</f>
        <v>134.57142857142858</v>
      </c>
      <c r="L66" s="291">
        <f>I66/J66</f>
        <v>5.654635527246993</v>
      </c>
      <c r="M66" s="292">
        <f>295344+204961.5+145464.5+116108.5+111972.5+49984+26327+32042+18579+20005+19180+15980</f>
        <v>1055948</v>
      </c>
      <c r="N66" s="290">
        <f>36142+24747+19417+15404+14719+7567+3314+5289+3173+3275+3534+2826</f>
        <v>139407</v>
      </c>
      <c r="O66" s="294">
        <f>M66/N66</f>
        <v>7.574569426212457</v>
      </c>
      <c r="P66" s="332"/>
    </row>
    <row r="67" spans="1:16" ht="15">
      <c r="A67" s="66">
        <v>65</v>
      </c>
      <c r="B67" s="293" t="s">
        <v>64</v>
      </c>
      <c r="C67" s="286">
        <v>39759</v>
      </c>
      <c r="D67" s="285" t="s">
        <v>65</v>
      </c>
      <c r="E67" s="285" t="s">
        <v>66</v>
      </c>
      <c r="F67" s="287">
        <v>23</v>
      </c>
      <c r="G67" s="287">
        <v>23</v>
      </c>
      <c r="H67" s="287">
        <v>18</v>
      </c>
      <c r="I67" s="288">
        <v>15900.5</v>
      </c>
      <c r="J67" s="289">
        <v>2635</v>
      </c>
      <c r="K67" s="290">
        <f>J67/G67</f>
        <v>114.56521739130434</v>
      </c>
      <c r="L67" s="291">
        <f>I67/J67</f>
        <v>6.034345351043643</v>
      </c>
      <c r="M67" s="292">
        <v>23356687.5</v>
      </c>
      <c r="N67" s="290">
        <v>2777253</v>
      </c>
      <c r="O67" s="294">
        <f>+M67/N67</f>
        <v>8.409996316504113</v>
      </c>
      <c r="P67" s="332">
        <v>1</v>
      </c>
    </row>
    <row r="68" spans="1:16" ht="15">
      <c r="A68" s="66">
        <v>66</v>
      </c>
      <c r="B68" s="293" t="s">
        <v>44</v>
      </c>
      <c r="C68" s="286">
        <v>39780</v>
      </c>
      <c r="D68" s="285" t="s">
        <v>131</v>
      </c>
      <c r="E68" s="285" t="s">
        <v>127</v>
      </c>
      <c r="F68" s="287">
        <v>121</v>
      </c>
      <c r="G68" s="287">
        <v>13</v>
      </c>
      <c r="H68" s="287">
        <v>10</v>
      </c>
      <c r="I68" s="288">
        <v>15819</v>
      </c>
      <c r="J68" s="289">
        <v>2946</v>
      </c>
      <c r="K68" s="290">
        <f>J68/G68</f>
        <v>226.6153846153846</v>
      </c>
      <c r="L68" s="291">
        <f>I68/J68</f>
        <v>5.369653767820774</v>
      </c>
      <c r="M68" s="292">
        <v>3445707</v>
      </c>
      <c r="N68" s="290">
        <v>403287</v>
      </c>
      <c r="O68" s="294">
        <f>+M68/N68</f>
        <v>8.54405671395309</v>
      </c>
      <c r="P68" s="332">
        <v>1</v>
      </c>
    </row>
    <row r="69" spans="1:16" ht="15">
      <c r="A69" s="66">
        <v>67</v>
      </c>
      <c r="B69" s="53" t="s">
        <v>23</v>
      </c>
      <c r="C69" s="39">
        <v>39808</v>
      </c>
      <c r="D69" s="127" t="s">
        <v>136</v>
      </c>
      <c r="E69" s="127" t="s">
        <v>24</v>
      </c>
      <c r="F69" s="50">
        <v>198</v>
      </c>
      <c r="G69" s="50">
        <v>30</v>
      </c>
      <c r="H69" s="50">
        <v>5</v>
      </c>
      <c r="I69" s="269">
        <v>15178.5</v>
      </c>
      <c r="J69" s="270">
        <v>3086</v>
      </c>
      <c r="K69" s="271">
        <f>IF(I69&lt;&gt;0,J69/G69,"")</f>
        <v>102.86666666666666</v>
      </c>
      <c r="L69" s="153">
        <f>IF(I69&lt;&gt;0,I69/J69,"")</f>
        <v>4.91850291639663</v>
      </c>
      <c r="M69" s="272">
        <f>909072+532572.5+214521.5+64908+15178.5</f>
        <v>1736252.5</v>
      </c>
      <c r="N69" s="268">
        <f>112486+67146+29772+10700+3086</f>
        <v>223190</v>
      </c>
      <c r="O69" s="104">
        <f>IF(M69&lt;&gt;0,M69/N69,"")</f>
        <v>7.779257583225055</v>
      </c>
      <c r="P69" s="332"/>
    </row>
    <row r="70" spans="1:16" ht="15">
      <c r="A70" s="66">
        <v>68</v>
      </c>
      <c r="B70" s="245" t="s">
        <v>44</v>
      </c>
      <c r="C70" s="241">
        <v>39780</v>
      </c>
      <c r="D70" s="65" t="s">
        <v>131</v>
      </c>
      <c r="E70" s="242" t="s">
        <v>127</v>
      </c>
      <c r="F70" s="41">
        <v>121</v>
      </c>
      <c r="G70" s="41">
        <v>23</v>
      </c>
      <c r="H70" s="41">
        <v>8</v>
      </c>
      <c r="I70" s="307">
        <v>13754</v>
      </c>
      <c r="J70" s="308">
        <v>2686</v>
      </c>
      <c r="K70" s="155">
        <f>J70/G70</f>
        <v>116.78260869565217</v>
      </c>
      <c r="L70" s="156">
        <f>+I70/J70</f>
        <v>5.1206254653760235</v>
      </c>
      <c r="M70" s="154">
        <v>3413274</v>
      </c>
      <c r="N70" s="155">
        <v>396401</v>
      </c>
      <c r="O70" s="103">
        <f>+M70/N70</f>
        <v>8.610659408023693</v>
      </c>
      <c r="P70" s="332"/>
    </row>
    <row r="71" spans="1:16" ht="15">
      <c r="A71" s="66">
        <v>69</v>
      </c>
      <c r="B71" s="293" t="s">
        <v>147</v>
      </c>
      <c r="C71" s="286">
        <v>39801</v>
      </c>
      <c r="D71" s="285" t="s">
        <v>134</v>
      </c>
      <c r="E71" s="285" t="s">
        <v>148</v>
      </c>
      <c r="F71" s="287">
        <v>42</v>
      </c>
      <c r="G71" s="287">
        <v>9</v>
      </c>
      <c r="H71" s="287">
        <v>16</v>
      </c>
      <c r="I71" s="292">
        <v>13433</v>
      </c>
      <c r="J71" s="290">
        <v>2536</v>
      </c>
      <c r="K71" s="290">
        <f>(J71/G71)</f>
        <v>281.77777777777777</v>
      </c>
      <c r="L71" s="291">
        <f>I71/J71</f>
        <v>5.2969242902208205</v>
      </c>
      <c r="M71" s="292">
        <f>295344+204961.5+145464.5+116108.5+111972.5+49984+26327+32042+18579+20005+19180+15980+2686.5+3166.5+366+13433</f>
        <v>1075600</v>
      </c>
      <c r="N71" s="290">
        <f>36142+24747+19417+15404+14719+7567+3314+5289+3173+3275+3534+2826+540+724+52+2536</f>
        <v>143259</v>
      </c>
      <c r="O71" s="294">
        <f>M71/N71</f>
        <v>7.508079771602482</v>
      </c>
      <c r="P71" s="332">
        <v>1</v>
      </c>
    </row>
    <row r="72" spans="1:16" ht="15">
      <c r="A72" s="66">
        <v>70</v>
      </c>
      <c r="B72" s="293" t="s">
        <v>14</v>
      </c>
      <c r="C72" s="286">
        <v>39808</v>
      </c>
      <c r="D72" s="285" t="s">
        <v>131</v>
      </c>
      <c r="E72" s="285" t="s">
        <v>124</v>
      </c>
      <c r="F72" s="287">
        <v>34</v>
      </c>
      <c r="G72" s="287">
        <v>12</v>
      </c>
      <c r="H72" s="287">
        <v>6</v>
      </c>
      <c r="I72" s="288">
        <v>13097</v>
      </c>
      <c r="J72" s="289">
        <v>2497</v>
      </c>
      <c r="K72" s="290">
        <f>J72/G72</f>
        <v>208.08333333333334</v>
      </c>
      <c r="L72" s="291">
        <f>I72/J72</f>
        <v>5.245094112935522</v>
      </c>
      <c r="M72" s="292">
        <v>791666</v>
      </c>
      <c r="N72" s="290">
        <v>88294</v>
      </c>
      <c r="O72" s="294">
        <f>+M72/N72</f>
        <v>8.966249122250662</v>
      </c>
      <c r="P72" s="332"/>
    </row>
    <row r="73" spans="1:16" ht="15">
      <c r="A73" s="66">
        <v>71</v>
      </c>
      <c r="B73" s="281" t="s">
        <v>14</v>
      </c>
      <c r="C73" s="40">
        <v>39808</v>
      </c>
      <c r="D73" s="261" t="s">
        <v>131</v>
      </c>
      <c r="E73" s="261" t="s">
        <v>124</v>
      </c>
      <c r="F73" s="262">
        <v>34</v>
      </c>
      <c r="G73" s="262">
        <v>14</v>
      </c>
      <c r="H73" s="262">
        <v>5</v>
      </c>
      <c r="I73" s="263">
        <v>12836</v>
      </c>
      <c r="J73" s="264">
        <v>2314</v>
      </c>
      <c r="K73" s="268">
        <f>J73/G73</f>
        <v>165.28571428571428</v>
      </c>
      <c r="L73" s="156">
        <f>+I73/J73</f>
        <v>5.547104580812446</v>
      </c>
      <c r="M73" s="267">
        <v>778569</v>
      </c>
      <c r="N73" s="268">
        <v>85797</v>
      </c>
      <c r="O73" s="103">
        <f>+M73/N73</f>
        <v>9.074548061121018</v>
      </c>
      <c r="P73" s="332">
        <v>1</v>
      </c>
    </row>
    <row r="74" spans="1:16" ht="15">
      <c r="A74" s="66">
        <v>72</v>
      </c>
      <c r="B74" s="293" t="s">
        <v>23</v>
      </c>
      <c r="C74" s="286">
        <v>39808</v>
      </c>
      <c r="D74" s="285" t="s">
        <v>136</v>
      </c>
      <c r="E74" s="285" t="s">
        <v>24</v>
      </c>
      <c r="F74" s="287">
        <v>198</v>
      </c>
      <c r="G74" s="287">
        <v>3</v>
      </c>
      <c r="H74" s="287">
        <v>11</v>
      </c>
      <c r="I74" s="288">
        <v>11832</v>
      </c>
      <c r="J74" s="289">
        <v>2477</v>
      </c>
      <c r="K74" s="290">
        <f>J74/G74</f>
        <v>825.6666666666666</v>
      </c>
      <c r="L74" s="291">
        <f>I74/J74</f>
        <v>4.776746063786839</v>
      </c>
      <c r="M74" s="292">
        <v>1757395</v>
      </c>
      <c r="N74" s="290">
        <v>227473</v>
      </c>
      <c r="O74" s="294">
        <f>+M74/N74</f>
        <v>7.725730086647646</v>
      </c>
      <c r="P74" s="332"/>
    </row>
    <row r="75" spans="1:16" ht="15">
      <c r="A75" s="66">
        <v>73</v>
      </c>
      <c r="B75" s="48" t="s">
        <v>145</v>
      </c>
      <c r="C75" s="39">
        <v>39801</v>
      </c>
      <c r="D75" s="42" t="s">
        <v>136</v>
      </c>
      <c r="E75" s="240" t="s">
        <v>146</v>
      </c>
      <c r="F75" s="54">
        <v>84</v>
      </c>
      <c r="G75" s="54">
        <v>19</v>
      </c>
      <c r="H75" s="54">
        <v>5</v>
      </c>
      <c r="I75" s="305">
        <v>11772.5</v>
      </c>
      <c r="J75" s="306">
        <v>2357</v>
      </c>
      <c r="K75" s="152">
        <f>IF(I75&lt;&gt;0,J75/G75,"")</f>
        <v>124.05263157894737</v>
      </c>
      <c r="L75" s="153">
        <f>IF(I75&lt;&gt;0,I75/J75,"")</f>
        <v>4.994696648281714</v>
      </c>
      <c r="M75" s="157">
        <f>369313.5+145108.5+43813+31258+11772.5</f>
        <v>601265.5</v>
      </c>
      <c r="N75" s="155">
        <f>41017+16460+6346+5364+2357</f>
        <v>71544</v>
      </c>
      <c r="O75" s="104">
        <f>IF(M75&lt;&gt;0,M75/N75,"")</f>
        <v>8.404135916359163</v>
      </c>
      <c r="P75" s="332">
        <v>1</v>
      </c>
    </row>
    <row r="76" spans="1:16" ht="15">
      <c r="A76" s="66">
        <v>74</v>
      </c>
      <c r="B76" s="49" t="s">
        <v>28</v>
      </c>
      <c r="C76" s="40">
        <v>39808</v>
      </c>
      <c r="D76" s="44" t="s">
        <v>132</v>
      </c>
      <c r="E76" s="44" t="s">
        <v>29</v>
      </c>
      <c r="F76" s="41">
        <v>89</v>
      </c>
      <c r="G76" s="41">
        <v>12</v>
      </c>
      <c r="H76" s="41">
        <v>4</v>
      </c>
      <c r="I76" s="307">
        <v>11344</v>
      </c>
      <c r="J76" s="308">
        <v>1911</v>
      </c>
      <c r="K76" s="158">
        <f>(J76/G76)</f>
        <v>159.25</v>
      </c>
      <c r="L76" s="159">
        <f>I76/J76</f>
        <v>5.936159079016222</v>
      </c>
      <c r="M76" s="154">
        <f>173290.5+101994+52183.5+11344</f>
        <v>338812</v>
      </c>
      <c r="N76" s="155">
        <f>23989+15166+8100+1911</f>
        <v>49166</v>
      </c>
      <c r="O76" s="105">
        <f>M76/N76</f>
        <v>6.891184965219868</v>
      </c>
      <c r="P76" s="332"/>
    </row>
    <row r="77" spans="1:16" ht="15">
      <c r="A77" s="66">
        <v>75</v>
      </c>
      <c r="B77" s="245" t="s">
        <v>72</v>
      </c>
      <c r="C77" s="241">
        <v>39773</v>
      </c>
      <c r="D77" s="65" t="s">
        <v>131</v>
      </c>
      <c r="E77" s="242" t="s">
        <v>126</v>
      </c>
      <c r="F77" s="41">
        <v>204</v>
      </c>
      <c r="G77" s="41">
        <v>7</v>
      </c>
      <c r="H77" s="41">
        <v>9</v>
      </c>
      <c r="I77" s="307">
        <v>11114</v>
      </c>
      <c r="J77" s="308">
        <v>2009</v>
      </c>
      <c r="K77" s="155">
        <f>J77/G77</f>
        <v>287</v>
      </c>
      <c r="L77" s="156">
        <f>+I77/J77</f>
        <v>5.532105525136884</v>
      </c>
      <c r="M77" s="154">
        <v>11421502</v>
      </c>
      <c r="N77" s="155">
        <v>1411494</v>
      </c>
      <c r="O77" s="103">
        <f>+M77/N77</f>
        <v>8.09178218256684</v>
      </c>
      <c r="P77" s="332"/>
    </row>
    <row r="78" spans="1:16" ht="15">
      <c r="A78" s="66">
        <v>76</v>
      </c>
      <c r="B78" s="235" t="s">
        <v>72</v>
      </c>
      <c r="C78" s="229">
        <v>39773</v>
      </c>
      <c r="D78" s="227" t="s">
        <v>131</v>
      </c>
      <c r="E78" s="227" t="s">
        <v>126</v>
      </c>
      <c r="F78" s="228">
        <v>204</v>
      </c>
      <c r="G78" s="228">
        <v>14</v>
      </c>
      <c r="H78" s="228">
        <v>8</v>
      </c>
      <c r="I78" s="309">
        <v>11065</v>
      </c>
      <c r="J78" s="310">
        <v>2255</v>
      </c>
      <c r="K78" s="222">
        <f>J78/G78</f>
        <v>161.07142857142858</v>
      </c>
      <c r="L78" s="230">
        <f>+I78/J78</f>
        <v>4.906873614190688</v>
      </c>
      <c r="M78" s="231">
        <v>11410388</v>
      </c>
      <c r="N78" s="222">
        <v>1409485</v>
      </c>
      <c r="O78" s="236">
        <f>+M78/N78</f>
        <v>8.095430600538494</v>
      </c>
      <c r="P78" s="345"/>
    </row>
    <row r="79" spans="1:16" ht="15">
      <c r="A79" s="66">
        <v>77</v>
      </c>
      <c r="B79" s="293" t="s">
        <v>14</v>
      </c>
      <c r="C79" s="286">
        <v>39808</v>
      </c>
      <c r="D79" s="285" t="s">
        <v>131</v>
      </c>
      <c r="E79" s="285" t="s">
        <v>124</v>
      </c>
      <c r="F79" s="287">
        <v>34</v>
      </c>
      <c r="G79" s="287">
        <v>8</v>
      </c>
      <c r="H79" s="287">
        <v>7</v>
      </c>
      <c r="I79" s="288">
        <v>10308</v>
      </c>
      <c r="J79" s="289">
        <v>1735</v>
      </c>
      <c r="K79" s="290">
        <f>J79/G79</f>
        <v>216.875</v>
      </c>
      <c r="L79" s="291">
        <f>I79/J79</f>
        <v>5.94121037463977</v>
      </c>
      <c r="M79" s="292">
        <v>901974</v>
      </c>
      <c r="N79" s="290">
        <v>90029</v>
      </c>
      <c r="O79" s="294">
        <f>+M79/N79</f>
        <v>10.018705083917405</v>
      </c>
      <c r="P79" s="345">
        <v>1</v>
      </c>
    </row>
    <row r="80" spans="1:16" ht="15">
      <c r="A80" s="66">
        <v>78</v>
      </c>
      <c r="B80" s="281" t="s">
        <v>160</v>
      </c>
      <c r="C80" s="40">
        <v>39787</v>
      </c>
      <c r="D80" s="261" t="s">
        <v>131</v>
      </c>
      <c r="E80" s="261" t="s">
        <v>138</v>
      </c>
      <c r="F80" s="262">
        <v>406</v>
      </c>
      <c r="G80" s="262">
        <v>10</v>
      </c>
      <c r="H80" s="262">
        <v>8</v>
      </c>
      <c r="I80" s="263">
        <v>9717</v>
      </c>
      <c r="J80" s="264">
        <v>1459</v>
      </c>
      <c r="K80" s="268">
        <f>J80/G80</f>
        <v>145.9</v>
      </c>
      <c r="L80" s="156">
        <f>+I80/J80</f>
        <v>6.660041124057574</v>
      </c>
      <c r="M80" s="267">
        <v>30385549</v>
      </c>
      <c r="N80" s="268">
        <v>3699205</v>
      </c>
      <c r="O80" s="103">
        <f>+M80/N80</f>
        <v>8.214075456753546</v>
      </c>
      <c r="P80" s="345">
        <v>1</v>
      </c>
    </row>
    <row r="81" spans="1:16" ht="15">
      <c r="A81" s="66">
        <v>79</v>
      </c>
      <c r="B81" s="281" t="s">
        <v>53</v>
      </c>
      <c r="C81" s="40">
        <v>39738</v>
      </c>
      <c r="D81" s="127" t="s">
        <v>134</v>
      </c>
      <c r="E81" s="261" t="s">
        <v>54</v>
      </c>
      <c r="F81" s="262">
        <v>67</v>
      </c>
      <c r="G81" s="262">
        <v>11</v>
      </c>
      <c r="H81" s="262">
        <v>15</v>
      </c>
      <c r="I81" s="273">
        <v>9422</v>
      </c>
      <c r="J81" s="274">
        <v>2170</v>
      </c>
      <c r="K81" s="275">
        <f>(J81/G81)</f>
        <v>197.27272727272728</v>
      </c>
      <c r="L81" s="159">
        <f>I81/J81</f>
        <v>4.341935483870968</v>
      </c>
      <c r="M81" s="276">
        <f>167196+176809+54428+37340+38330.5+23467+11581+5867+4382+2577+3552+2137+545+4006+9422</f>
        <v>541639.5</v>
      </c>
      <c r="N81" s="277">
        <f>19168+21164+7719+6215+6404+4964+2339+1306+907+580+859+440+127+905+2170</f>
        <v>75267</v>
      </c>
      <c r="O81" s="105">
        <f>M81/N81</f>
        <v>7.1962413806847625</v>
      </c>
      <c r="P81" s="345"/>
    </row>
    <row r="82" spans="1:16" ht="15">
      <c r="A82" s="66">
        <v>80</v>
      </c>
      <c r="B82" s="49" t="s">
        <v>69</v>
      </c>
      <c r="C82" s="40">
        <v>39766</v>
      </c>
      <c r="D82" s="45" t="s">
        <v>134</v>
      </c>
      <c r="E82" s="44" t="s">
        <v>50</v>
      </c>
      <c r="F82" s="41">
        <v>20</v>
      </c>
      <c r="G82" s="41">
        <v>13</v>
      </c>
      <c r="H82" s="41">
        <v>8</v>
      </c>
      <c r="I82" s="303">
        <v>9410</v>
      </c>
      <c r="J82" s="304">
        <v>1542</v>
      </c>
      <c r="K82" s="158">
        <f>(J82/G82)</f>
        <v>118.61538461538461</v>
      </c>
      <c r="L82" s="159">
        <f>I82/J82</f>
        <v>6.102464332036316</v>
      </c>
      <c r="M82" s="150">
        <f>109364.5+38539+31287+12101+5368+8640.5+12331+9410</f>
        <v>227041</v>
      </c>
      <c r="N82" s="151">
        <f>11866+4674+4443+2133+1061+1670+2334+1542</f>
        <v>29723</v>
      </c>
      <c r="O82" s="105">
        <f>M82/N82</f>
        <v>7.638562729199609</v>
      </c>
      <c r="P82" s="345">
        <v>1</v>
      </c>
    </row>
    <row r="83" spans="1:16" ht="15">
      <c r="A83" s="66">
        <v>81</v>
      </c>
      <c r="B83" s="53" t="s">
        <v>144</v>
      </c>
      <c r="C83" s="39">
        <v>39801</v>
      </c>
      <c r="D83" s="127" t="s">
        <v>130</v>
      </c>
      <c r="E83" s="127" t="s">
        <v>122</v>
      </c>
      <c r="F83" s="50">
        <v>69</v>
      </c>
      <c r="G83" s="50">
        <v>12</v>
      </c>
      <c r="H83" s="50">
        <v>6</v>
      </c>
      <c r="I83" s="273">
        <v>9385</v>
      </c>
      <c r="J83" s="274">
        <v>2124</v>
      </c>
      <c r="K83" s="275">
        <f>J83/G83</f>
        <v>177</v>
      </c>
      <c r="L83" s="159">
        <f>I83/J83</f>
        <v>4.4185499058380415</v>
      </c>
      <c r="M83" s="276">
        <f>820286+588484+413907+112495+41441-111+9385</f>
        <v>1985887</v>
      </c>
      <c r="N83" s="277">
        <f>83839+57678+42374+12212+5722-11+2124</f>
        <v>203938</v>
      </c>
      <c r="O83" s="105">
        <f>+M83/N83</f>
        <v>9.737699693043965</v>
      </c>
      <c r="P83" s="345"/>
    </row>
    <row r="84" spans="1:16" ht="15">
      <c r="A84" s="66">
        <v>82</v>
      </c>
      <c r="B84" s="49" t="s">
        <v>73</v>
      </c>
      <c r="C84" s="40">
        <v>39772</v>
      </c>
      <c r="D84" s="45" t="s">
        <v>134</v>
      </c>
      <c r="E84" s="44" t="s">
        <v>105</v>
      </c>
      <c r="F84" s="41">
        <v>195</v>
      </c>
      <c r="G84" s="41">
        <v>8</v>
      </c>
      <c r="H84" s="41">
        <v>7</v>
      </c>
      <c r="I84" s="303">
        <v>9376.5</v>
      </c>
      <c r="J84" s="304">
        <v>2234</v>
      </c>
      <c r="K84" s="158">
        <f>(J84/G84)</f>
        <v>279.25</v>
      </c>
      <c r="L84" s="159">
        <f>I84/J84</f>
        <v>4.197179946284691</v>
      </c>
      <c r="M84" s="150">
        <f>1011017+512350.5+217314+64545+38656.5+8087+9376.5</f>
        <v>1861346.5</v>
      </c>
      <c r="N84" s="151">
        <f>136878+68007+31396+9807+8372+1564+2234</f>
        <v>258258</v>
      </c>
      <c r="O84" s="105">
        <f>M84/N84</f>
        <v>7.207314003825632</v>
      </c>
      <c r="P84" s="345">
        <v>1</v>
      </c>
    </row>
    <row r="85" spans="1:16" ht="15">
      <c r="A85" s="66">
        <v>83</v>
      </c>
      <c r="B85" s="293" t="s">
        <v>70</v>
      </c>
      <c r="C85" s="286">
        <v>39766</v>
      </c>
      <c r="D85" s="285" t="s">
        <v>132</v>
      </c>
      <c r="E85" s="285" t="s">
        <v>71</v>
      </c>
      <c r="F85" s="287">
        <v>3</v>
      </c>
      <c r="G85" s="287">
        <v>3</v>
      </c>
      <c r="H85" s="287">
        <v>16</v>
      </c>
      <c r="I85" s="288">
        <v>9273</v>
      </c>
      <c r="J85" s="289">
        <v>1648</v>
      </c>
      <c r="K85" s="290">
        <f>J85/G85</f>
        <v>549.3333333333334</v>
      </c>
      <c r="L85" s="291">
        <f>IF(I85&lt;&gt;0,I85/J85,"")</f>
        <v>5.626820388349515</v>
      </c>
      <c r="M85" s="292">
        <v>287689</v>
      </c>
      <c r="N85" s="290">
        <v>54922</v>
      </c>
      <c r="O85" s="294">
        <f>+M85/N85</f>
        <v>5.238137722588398</v>
      </c>
      <c r="P85" s="345">
        <v>1</v>
      </c>
    </row>
    <row r="86" spans="1:16" ht="15">
      <c r="A86" s="66">
        <v>84</v>
      </c>
      <c r="B86" s="234" t="s">
        <v>69</v>
      </c>
      <c r="C86" s="229">
        <v>39766</v>
      </c>
      <c r="D86" s="217" t="s">
        <v>134</v>
      </c>
      <c r="E86" s="227" t="s">
        <v>50</v>
      </c>
      <c r="F86" s="228">
        <v>20</v>
      </c>
      <c r="G86" s="228">
        <v>9</v>
      </c>
      <c r="H86" s="228">
        <v>9</v>
      </c>
      <c r="I86" s="297">
        <v>9143</v>
      </c>
      <c r="J86" s="298">
        <v>1728</v>
      </c>
      <c r="K86" s="223">
        <f>(J86/G86)</f>
        <v>192</v>
      </c>
      <c r="L86" s="224">
        <f aca="true" t="shared" si="2" ref="L86:L103">I86/J86</f>
        <v>5.291087962962963</v>
      </c>
      <c r="M86" s="225">
        <f>109364.5+38539+31287+12101+5368+8640.5+12331+9410+9143</f>
        <v>236184</v>
      </c>
      <c r="N86" s="226">
        <f>11866+4674+4443+2133+1061+1670+2334+1542+1728</f>
        <v>31451</v>
      </c>
      <c r="O86" s="233">
        <f>M86/N86</f>
        <v>7.509586340656895</v>
      </c>
      <c r="P86" s="345"/>
    </row>
    <row r="87" spans="1:16" ht="15">
      <c r="A87" s="66">
        <v>85</v>
      </c>
      <c r="B87" s="293" t="s">
        <v>144</v>
      </c>
      <c r="C87" s="286">
        <v>39801</v>
      </c>
      <c r="D87" s="285" t="s">
        <v>130</v>
      </c>
      <c r="E87" s="285" t="s">
        <v>122</v>
      </c>
      <c r="F87" s="287">
        <v>69</v>
      </c>
      <c r="G87" s="287">
        <v>5</v>
      </c>
      <c r="H87" s="287">
        <v>8</v>
      </c>
      <c r="I87" s="288">
        <v>8718</v>
      </c>
      <c r="J87" s="289">
        <v>1256</v>
      </c>
      <c r="K87" s="290">
        <f>J87/G87</f>
        <v>251.2</v>
      </c>
      <c r="L87" s="291">
        <f t="shared" si="2"/>
        <v>6.941082802547771</v>
      </c>
      <c r="M87" s="292">
        <f>820286+588484+413907+112495+41441-111+9385+4586+8718</f>
        <v>1999191</v>
      </c>
      <c r="N87" s="290">
        <f>83839+57678+42374+12212+5722-11+2124+1350+1256</f>
        <v>206544</v>
      </c>
      <c r="O87" s="294">
        <f>+M87/N87</f>
        <v>9.679249941900999</v>
      </c>
      <c r="P87" s="345"/>
    </row>
    <row r="88" spans="1:16" ht="15">
      <c r="A88" s="66">
        <v>86</v>
      </c>
      <c r="B88" s="293" t="s">
        <v>53</v>
      </c>
      <c r="C88" s="286">
        <v>39738</v>
      </c>
      <c r="D88" s="285" t="s">
        <v>134</v>
      </c>
      <c r="E88" s="285" t="s">
        <v>54</v>
      </c>
      <c r="F88" s="287">
        <v>67</v>
      </c>
      <c r="G88" s="287">
        <v>8</v>
      </c>
      <c r="H88" s="287">
        <v>16</v>
      </c>
      <c r="I88" s="288">
        <v>7992</v>
      </c>
      <c r="J88" s="289">
        <v>1822</v>
      </c>
      <c r="K88" s="290">
        <f>(J88/G88)</f>
        <v>227.75</v>
      </c>
      <c r="L88" s="291">
        <f t="shared" si="2"/>
        <v>4.386388583973655</v>
      </c>
      <c r="M88" s="292">
        <f>167196+176809+54428+37340+38330.5+23467+11581+5867+4382+2577+3552+2137+545+4006+9422+7992</f>
        <v>549631.5</v>
      </c>
      <c r="N88" s="290">
        <f>19168+21164+7719+6215+6404+4964+2339+1306+907+580+859+440+127+905+2170+1822</f>
        <v>77089</v>
      </c>
      <c r="O88" s="294">
        <f>+M88/N88</f>
        <v>7.12983045570704</v>
      </c>
      <c r="P88" s="345">
        <v>1</v>
      </c>
    </row>
    <row r="89" spans="1:16" ht="15">
      <c r="A89" s="66">
        <v>87</v>
      </c>
      <c r="B89" s="293" t="s">
        <v>64</v>
      </c>
      <c r="C89" s="286">
        <v>39759</v>
      </c>
      <c r="D89" s="285" t="s">
        <v>65</v>
      </c>
      <c r="E89" s="285" t="s">
        <v>66</v>
      </c>
      <c r="F89" s="287">
        <v>7</v>
      </c>
      <c r="G89" s="287">
        <v>7</v>
      </c>
      <c r="H89" s="287">
        <v>21</v>
      </c>
      <c r="I89" s="288">
        <v>7428.5</v>
      </c>
      <c r="J89" s="289">
        <v>1361</v>
      </c>
      <c r="K89" s="290">
        <f>J89/G89</f>
        <v>194.42857142857142</v>
      </c>
      <c r="L89" s="291">
        <f t="shared" si="2"/>
        <v>5.458119030124908</v>
      </c>
      <c r="M89" s="292">
        <v>23371346.5</v>
      </c>
      <c r="N89" s="290">
        <v>2779817</v>
      </c>
      <c r="O89" s="294">
        <f>+M89/N89</f>
        <v>8.407512616837726</v>
      </c>
      <c r="P89" s="332">
        <v>1</v>
      </c>
    </row>
    <row r="90" spans="1:16" ht="15">
      <c r="A90" s="66">
        <v>88</v>
      </c>
      <c r="B90" s="293" t="s">
        <v>26</v>
      </c>
      <c r="C90" s="286">
        <v>39808</v>
      </c>
      <c r="D90" s="285" t="s">
        <v>134</v>
      </c>
      <c r="E90" s="285" t="s">
        <v>133</v>
      </c>
      <c r="F90" s="287">
        <v>75</v>
      </c>
      <c r="G90" s="287">
        <v>6</v>
      </c>
      <c r="H90" s="287">
        <v>8</v>
      </c>
      <c r="I90" s="288">
        <v>7402.5</v>
      </c>
      <c r="J90" s="289">
        <v>1623</v>
      </c>
      <c r="K90" s="290">
        <f>(J90/G90)</f>
        <v>270.5</v>
      </c>
      <c r="L90" s="291">
        <f t="shared" si="2"/>
        <v>4.560998151571164</v>
      </c>
      <c r="M90" s="292">
        <f>681566+578530+317284.5+141025.5+34373.5+6375+4225+7402.5</f>
        <v>1770782</v>
      </c>
      <c r="N90" s="290">
        <f>64102+57106+32401+16644+4655+1030+644+1623</f>
        <v>178205</v>
      </c>
      <c r="O90" s="294">
        <f>+M90/N90</f>
        <v>9.936769450913275</v>
      </c>
      <c r="P90" s="332">
        <v>1</v>
      </c>
    </row>
    <row r="91" spans="1:16" ht="15">
      <c r="A91" s="66">
        <v>89</v>
      </c>
      <c r="B91" s="49" t="s">
        <v>70</v>
      </c>
      <c r="C91" s="40">
        <v>39766</v>
      </c>
      <c r="D91" s="44" t="s">
        <v>132</v>
      </c>
      <c r="E91" s="44" t="s">
        <v>71</v>
      </c>
      <c r="F91" s="41">
        <v>24</v>
      </c>
      <c r="G91" s="41">
        <v>6</v>
      </c>
      <c r="H91" s="41">
        <v>10</v>
      </c>
      <c r="I91" s="307">
        <v>7289</v>
      </c>
      <c r="J91" s="308">
        <v>1185</v>
      </c>
      <c r="K91" s="158">
        <f>(J91/G91)</f>
        <v>197.5</v>
      </c>
      <c r="L91" s="159">
        <f t="shared" si="2"/>
        <v>6.151054852320675</v>
      </c>
      <c r="M91" s="154">
        <f>191668+16358.5+8305+0.5+19699.5+16705.5+7289</f>
        <v>260026</v>
      </c>
      <c r="N91" s="155">
        <f>10324+8249+7871+7121+4755+3362+1751+2958+2636+1185</f>
        <v>50212</v>
      </c>
      <c r="O91" s="105">
        <f>M91/N91</f>
        <v>5.178562893332272</v>
      </c>
      <c r="P91" s="332">
        <v>1</v>
      </c>
    </row>
    <row r="92" spans="1:16" ht="15">
      <c r="A92" s="66">
        <v>90</v>
      </c>
      <c r="B92" s="293" t="s">
        <v>44</v>
      </c>
      <c r="C92" s="286">
        <v>39780</v>
      </c>
      <c r="D92" s="285" t="s">
        <v>131</v>
      </c>
      <c r="E92" s="285" t="s">
        <v>127</v>
      </c>
      <c r="F92" s="287">
        <v>121</v>
      </c>
      <c r="G92" s="287">
        <v>11</v>
      </c>
      <c r="H92" s="287">
        <v>11</v>
      </c>
      <c r="I92" s="288">
        <v>7142</v>
      </c>
      <c r="J92" s="289">
        <v>1658</v>
      </c>
      <c r="K92" s="290">
        <f>J92/G92</f>
        <v>150.72727272727272</v>
      </c>
      <c r="L92" s="291">
        <f t="shared" si="2"/>
        <v>4.307599517490953</v>
      </c>
      <c r="M92" s="292">
        <v>3452849</v>
      </c>
      <c r="N92" s="290">
        <v>404945</v>
      </c>
      <c r="O92" s="294">
        <f>+M92/N92</f>
        <v>8.52671103483189</v>
      </c>
      <c r="P92" s="332"/>
    </row>
    <row r="93" spans="1:16" ht="15">
      <c r="A93" s="66">
        <v>91</v>
      </c>
      <c r="B93" s="293" t="s">
        <v>189</v>
      </c>
      <c r="C93" s="286">
        <v>37995</v>
      </c>
      <c r="D93" s="285" t="s">
        <v>92</v>
      </c>
      <c r="E93" s="285" t="s">
        <v>93</v>
      </c>
      <c r="F93" s="287">
        <v>66</v>
      </c>
      <c r="G93" s="287">
        <v>3</v>
      </c>
      <c r="H93" s="287">
        <v>19</v>
      </c>
      <c r="I93" s="288">
        <v>7128</v>
      </c>
      <c r="J93" s="289">
        <v>1782</v>
      </c>
      <c r="K93" s="290">
        <f>J93/G93</f>
        <v>594</v>
      </c>
      <c r="L93" s="291">
        <f t="shared" si="2"/>
        <v>4</v>
      </c>
      <c r="M93" s="292">
        <v>514860</v>
      </c>
      <c r="N93" s="290">
        <v>80093</v>
      </c>
      <c r="O93" s="294">
        <f>+M93/N93</f>
        <v>6.4282771278388875</v>
      </c>
      <c r="P93" s="321"/>
    </row>
    <row r="94" spans="1:16" ht="15">
      <c r="A94" s="66">
        <v>92</v>
      </c>
      <c r="B94" s="293" t="s">
        <v>190</v>
      </c>
      <c r="C94" s="286">
        <v>38478</v>
      </c>
      <c r="D94" s="285" t="s">
        <v>92</v>
      </c>
      <c r="E94" s="285" t="s">
        <v>191</v>
      </c>
      <c r="F94" s="287">
        <v>11</v>
      </c>
      <c r="G94" s="287">
        <v>3</v>
      </c>
      <c r="H94" s="287">
        <v>18</v>
      </c>
      <c r="I94" s="288">
        <v>7128</v>
      </c>
      <c r="J94" s="289">
        <v>1782</v>
      </c>
      <c r="K94" s="290">
        <f>J94/G94</f>
        <v>594</v>
      </c>
      <c r="L94" s="291">
        <f t="shared" si="2"/>
        <v>4</v>
      </c>
      <c r="M94" s="292">
        <v>31473</v>
      </c>
      <c r="N94" s="290">
        <v>6183</v>
      </c>
      <c r="O94" s="294">
        <f>+M94/N94</f>
        <v>5.090247452692868</v>
      </c>
      <c r="P94" s="321"/>
    </row>
    <row r="95" spans="1:16" ht="15">
      <c r="A95" s="66">
        <v>93</v>
      </c>
      <c r="B95" s="293" t="s">
        <v>163</v>
      </c>
      <c r="C95" s="286">
        <v>39766</v>
      </c>
      <c r="D95" s="285" t="s">
        <v>200</v>
      </c>
      <c r="E95" s="285" t="s">
        <v>201</v>
      </c>
      <c r="F95" s="287">
        <v>50</v>
      </c>
      <c r="G95" s="287">
        <v>4</v>
      </c>
      <c r="H95" s="287">
        <v>17</v>
      </c>
      <c r="I95" s="288">
        <v>7116</v>
      </c>
      <c r="J95" s="289">
        <v>1424</v>
      </c>
      <c r="K95" s="290">
        <f>J95/G95</f>
        <v>356</v>
      </c>
      <c r="L95" s="291">
        <f t="shared" si="2"/>
        <v>4.997191011235955</v>
      </c>
      <c r="M95" s="292">
        <v>232653</v>
      </c>
      <c r="N95" s="290">
        <v>34366</v>
      </c>
      <c r="O95" s="294">
        <f>+M95/N95</f>
        <v>6.769859745096898</v>
      </c>
      <c r="P95" s="321"/>
    </row>
    <row r="96" spans="1:16" ht="15">
      <c r="A96" s="66">
        <v>94</v>
      </c>
      <c r="B96" s="293" t="s">
        <v>70</v>
      </c>
      <c r="C96" s="286">
        <v>39766</v>
      </c>
      <c r="D96" s="285" t="s">
        <v>132</v>
      </c>
      <c r="E96" s="285" t="s">
        <v>71</v>
      </c>
      <c r="F96" s="287">
        <v>4</v>
      </c>
      <c r="G96" s="287">
        <v>4</v>
      </c>
      <c r="H96" s="287">
        <v>15</v>
      </c>
      <c r="I96" s="288">
        <v>6536.5</v>
      </c>
      <c r="J96" s="289">
        <v>961</v>
      </c>
      <c r="K96" s="290">
        <f>(J96/G96)</f>
        <v>240.25</v>
      </c>
      <c r="L96" s="291">
        <f t="shared" si="2"/>
        <v>6.801768990634756</v>
      </c>
      <c r="M96" s="292">
        <f>191668+16358.5+8305+0.5+19699.5+16705.5+7289+4467+3138+2267+1882+6536</f>
        <v>278316</v>
      </c>
      <c r="N96" s="290">
        <f>10324+8249+7871+7121+4755+3362+1751+2958+2636+1185+800+596+440+265+961</f>
        <v>53274</v>
      </c>
      <c r="O96" s="294">
        <f>M96/N96</f>
        <v>5.22423696362203</v>
      </c>
      <c r="P96" s="321">
        <v>1</v>
      </c>
    </row>
    <row r="97" spans="1:16" ht="15">
      <c r="A97" s="66">
        <v>95</v>
      </c>
      <c r="B97" s="293" t="s">
        <v>26</v>
      </c>
      <c r="C97" s="286">
        <v>39808</v>
      </c>
      <c r="D97" s="285" t="s">
        <v>134</v>
      </c>
      <c r="E97" s="285" t="s">
        <v>133</v>
      </c>
      <c r="F97" s="287">
        <v>75</v>
      </c>
      <c r="G97" s="287">
        <v>8</v>
      </c>
      <c r="H97" s="287">
        <v>6</v>
      </c>
      <c r="I97" s="288">
        <v>6375</v>
      </c>
      <c r="J97" s="289">
        <v>1030</v>
      </c>
      <c r="K97" s="290">
        <f>(J97/G97)</f>
        <v>128.75</v>
      </c>
      <c r="L97" s="291">
        <f t="shared" si="2"/>
        <v>6.189320388349515</v>
      </c>
      <c r="M97" s="292">
        <f>681566+578530+317284.5+141025.5+34373.5+6375</f>
        <v>1759154.5</v>
      </c>
      <c r="N97" s="290">
        <f>64102+57106+32401+16644+4655+1030</f>
        <v>175938</v>
      </c>
      <c r="O97" s="294">
        <f>+M97/N97</f>
        <v>9.998718298491514</v>
      </c>
      <c r="P97" s="321"/>
    </row>
    <row r="98" spans="1:16" ht="15">
      <c r="A98" s="66">
        <v>96</v>
      </c>
      <c r="B98" s="293" t="s">
        <v>72</v>
      </c>
      <c r="C98" s="286">
        <v>39773</v>
      </c>
      <c r="D98" s="285" t="s">
        <v>131</v>
      </c>
      <c r="E98" s="285" t="s">
        <v>126</v>
      </c>
      <c r="F98" s="287">
        <v>204</v>
      </c>
      <c r="G98" s="287">
        <v>6</v>
      </c>
      <c r="H98" s="287">
        <v>12</v>
      </c>
      <c r="I98" s="288">
        <v>6238</v>
      </c>
      <c r="J98" s="289">
        <v>2271</v>
      </c>
      <c r="K98" s="290">
        <f>J98/G98</f>
        <v>378.5</v>
      </c>
      <c r="L98" s="291">
        <f t="shared" si="2"/>
        <v>2.7468075737560547</v>
      </c>
      <c r="M98" s="292">
        <v>11437045</v>
      </c>
      <c r="N98" s="290">
        <v>1416123</v>
      </c>
      <c r="O98" s="294">
        <f>+M98/N98</f>
        <v>8.076307637119092</v>
      </c>
      <c r="P98" s="321"/>
    </row>
    <row r="99" spans="1:16" ht="15">
      <c r="A99" s="66">
        <v>97</v>
      </c>
      <c r="B99" s="49" t="s">
        <v>47</v>
      </c>
      <c r="C99" s="40">
        <v>39780</v>
      </c>
      <c r="D99" s="45" t="s">
        <v>134</v>
      </c>
      <c r="E99" s="44" t="s">
        <v>33</v>
      </c>
      <c r="F99" s="41">
        <v>6</v>
      </c>
      <c r="G99" s="41">
        <v>2</v>
      </c>
      <c r="H99" s="41">
        <v>7</v>
      </c>
      <c r="I99" s="303">
        <v>6202</v>
      </c>
      <c r="J99" s="304">
        <v>1523</v>
      </c>
      <c r="K99" s="158">
        <f>(J99/G99)</f>
        <v>761.5</v>
      </c>
      <c r="L99" s="159">
        <f t="shared" si="2"/>
        <v>4.072225869993434</v>
      </c>
      <c r="M99" s="150">
        <f>25457+3030+1123+7370+430+997+6202</f>
        <v>44609</v>
      </c>
      <c r="N99" s="151">
        <f>2151+404+165+1079+59+230+1523</f>
        <v>5611</v>
      </c>
      <c r="O99" s="105">
        <f>M99/N99</f>
        <v>7.9502762430939224</v>
      </c>
      <c r="P99" s="321">
        <v>1</v>
      </c>
    </row>
    <row r="100" spans="1:16" ht="15">
      <c r="A100" s="66">
        <v>98</v>
      </c>
      <c r="B100" s="318" t="s">
        <v>139</v>
      </c>
      <c r="C100" s="286">
        <v>39787</v>
      </c>
      <c r="D100" s="285" t="s">
        <v>132</v>
      </c>
      <c r="E100" s="285" t="s">
        <v>140</v>
      </c>
      <c r="F100" s="287">
        <v>242</v>
      </c>
      <c r="G100" s="287">
        <v>1</v>
      </c>
      <c r="H100" s="287">
        <v>17</v>
      </c>
      <c r="I100" s="292">
        <v>6035</v>
      </c>
      <c r="J100" s="290">
        <v>1509</v>
      </c>
      <c r="K100" s="290">
        <f>J100/G100</f>
        <v>1509</v>
      </c>
      <c r="L100" s="291">
        <f t="shared" si="2"/>
        <v>3.9993373094764744</v>
      </c>
      <c r="M100" s="292">
        <f>9280968+4694050.5+1992628+1117778+528440.5+225948.5+100229.5+60712.5+23747.5+18022-1837+3858+1591+1095+16460.5+3147+260+6035</f>
        <v>18073134.5</v>
      </c>
      <c r="N100" s="290">
        <f>1147876+614752+261380+141495+73035+33259+17736+11735+4194+3845-458+781+321+218+3333+770+49+1509</f>
        <v>2315830</v>
      </c>
      <c r="O100" s="294">
        <f>+M100/N100</f>
        <v>7.80417150654409</v>
      </c>
      <c r="P100" s="321"/>
    </row>
    <row r="101" spans="1:16" ht="15">
      <c r="A101" s="66">
        <v>99</v>
      </c>
      <c r="B101" s="293" t="s">
        <v>142</v>
      </c>
      <c r="C101" s="286">
        <v>39794</v>
      </c>
      <c r="D101" s="285" t="s">
        <v>134</v>
      </c>
      <c r="E101" s="285" t="s">
        <v>133</v>
      </c>
      <c r="F101" s="287">
        <v>100</v>
      </c>
      <c r="G101" s="287">
        <v>2</v>
      </c>
      <c r="H101" s="287">
        <v>14</v>
      </c>
      <c r="I101" s="288">
        <v>5940</v>
      </c>
      <c r="J101" s="289">
        <v>1485</v>
      </c>
      <c r="K101" s="290">
        <f>(J101/G101)</f>
        <v>742.5</v>
      </c>
      <c r="L101" s="291">
        <f t="shared" si="2"/>
        <v>4</v>
      </c>
      <c r="M101" s="292">
        <f>1276778.5+626123+380324+112679.5+54533+36086+4129+3620.5+4348+1030+1904+420+1049+5940</f>
        <v>2508964.5</v>
      </c>
      <c r="N101" s="290">
        <f>133555+68793+41581+14968+8873+6454+539+324+976+204+524+65+169+1485</f>
        <v>278510</v>
      </c>
      <c r="O101" s="294">
        <f>M101/N101</f>
        <v>9.008525726185775</v>
      </c>
      <c r="P101" s="321">
        <v>1</v>
      </c>
    </row>
    <row r="102" spans="1:16" ht="15">
      <c r="A102" s="66">
        <v>100</v>
      </c>
      <c r="B102" s="234" t="s">
        <v>73</v>
      </c>
      <c r="C102" s="229">
        <v>39772</v>
      </c>
      <c r="D102" s="217" t="s">
        <v>134</v>
      </c>
      <c r="E102" s="227" t="s">
        <v>105</v>
      </c>
      <c r="F102" s="228">
        <v>195</v>
      </c>
      <c r="G102" s="228">
        <v>7</v>
      </c>
      <c r="H102" s="228">
        <v>8</v>
      </c>
      <c r="I102" s="297">
        <v>5786</v>
      </c>
      <c r="J102" s="298">
        <v>1216</v>
      </c>
      <c r="K102" s="223">
        <f>(J102/G102)</f>
        <v>173.71428571428572</v>
      </c>
      <c r="L102" s="224">
        <f t="shared" si="2"/>
        <v>4.7582236842105265</v>
      </c>
      <c r="M102" s="225">
        <f>1011017+512350.5+217314+64545+38656.5+8087+9376.5+5786</f>
        <v>1867132.5</v>
      </c>
      <c r="N102" s="226">
        <f>136878+68007+31396+9807+8372+1564+2234+1216</f>
        <v>259474</v>
      </c>
      <c r="O102" s="233">
        <f>M102/N102</f>
        <v>7.19583657707516</v>
      </c>
      <c r="P102" s="321">
        <v>1</v>
      </c>
    </row>
    <row r="103" spans="1:16" ht="15">
      <c r="A103" s="66">
        <v>101</v>
      </c>
      <c r="B103" s="49" t="s">
        <v>69</v>
      </c>
      <c r="C103" s="40">
        <v>39766</v>
      </c>
      <c r="D103" s="45" t="s">
        <v>134</v>
      </c>
      <c r="E103" s="44" t="s">
        <v>50</v>
      </c>
      <c r="F103" s="41">
        <v>20</v>
      </c>
      <c r="G103" s="41">
        <v>5</v>
      </c>
      <c r="H103" s="41">
        <v>10</v>
      </c>
      <c r="I103" s="303">
        <v>5719</v>
      </c>
      <c r="J103" s="304">
        <v>1224</v>
      </c>
      <c r="K103" s="158">
        <f>(J103/G103)</f>
        <v>244.8</v>
      </c>
      <c r="L103" s="159">
        <f t="shared" si="2"/>
        <v>4.6723856209150325</v>
      </c>
      <c r="M103" s="150">
        <f>109364.5+38539+31287+12101+5368+8640.5+12331+9410+9143+5719</f>
        <v>241903</v>
      </c>
      <c r="N103" s="151">
        <f>11866+4674+4443+2133+1061+1670+2334+1542+1728+1224</f>
        <v>32675</v>
      </c>
      <c r="O103" s="105">
        <f>M103/N103</f>
        <v>7.403305279265494</v>
      </c>
      <c r="P103" s="321">
        <v>1</v>
      </c>
    </row>
    <row r="104" spans="1:16" ht="15">
      <c r="A104" s="66">
        <v>102</v>
      </c>
      <c r="B104" s="281" t="s">
        <v>72</v>
      </c>
      <c r="C104" s="40">
        <v>39773</v>
      </c>
      <c r="D104" s="261" t="s">
        <v>131</v>
      </c>
      <c r="E104" s="261" t="s">
        <v>161</v>
      </c>
      <c r="F104" s="262">
        <v>204</v>
      </c>
      <c r="G104" s="262">
        <v>7</v>
      </c>
      <c r="H104" s="262">
        <v>10</v>
      </c>
      <c r="I104" s="263">
        <v>5694</v>
      </c>
      <c r="J104" s="264">
        <v>1248</v>
      </c>
      <c r="K104" s="268">
        <f>J104/G104</f>
        <v>178.28571428571428</v>
      </c>
      <c r="L104" s="156">
        <f>+I104/J104</f>
        <v>4.5625</v>
      </c>
      <c r="M104" s="267">
        <v>11427196</v>
      </c>
      <c r="N104" s="268">
        <v>1412742</v>
      </c>
      <c r="O104" s="103">
        <f>+M104/N104</f>
        <v>8.088664455364107</v>
      </c>
      <c r="P104" s="321">
        <v>1</v>
      </c>
    </row>
    <row r="105" spans="1:16" ht="15">
      <c r="A105" s="66">
        <v>103</v>
      </c>
      <c r="B105" s="293" t="s">
        <v>25</v>
      </c>
      <c r="C105" s="286">
        <v>39808</v>
      </c>
      <c r="D105" s="285" t="s">
        <v>131</v>
      </c>
      <c r="E105" s="285" t="s">
        <v>111</v>
      </c>
      <c r="F105" s="287">
        <v>112</v>
      </c>
      <c r="G105" s="287">
        <v>6</v>
      </c>
      <c r="H105" s="287">
        <v>14</v>
      </c>
      <c r="I105" s="288">
        <v>5668</v>
      </c>
      <c r="J105" s="289">
        <v>957</v>
      </c>
      <c r="K105" s="290">
        <f>J105/G105</f>
        <v>159.5</v>
      </c>
      <c r="L105" s="291">
        <f>+I105/J105</f>
        <v>5.922675026123302</v>
      </c>
      <c r="M105" s="292">
        <v>2048337</v>
      </c>
      <c r="N105" s="290">
        <v>211629</v>
      </c>
      <c r="O105" s="294">
        <f>+M105/N105</f>
        <v>9.678905064995819</v>
      </c>
      <c r="P105" s="321">
        <v>1</v>
      </c>
    </row>
    <row r="106" spans="1:16" ht="15">
      <c r="A106" s="66">
        <v>104</v>
      </c>
      <c r="B106" s="293" t="s">
        <v>69</v>
      </c>
      <c r="C106" s="286">
        <v>39766</v>
      </c>
      <c r="D106" s="285" t="s">
        <v>134</v>
      </c>
      <c r="E106" s="285" t="s">
        <v>50</v>
      </c>
      <c r="F106" s="287">
        <v>20</v>
      </c>
      <c r="G106" s="287">
        <v>6</v>
      </c>
      <c r="H106" s="287">
        <v>16</v>
      </c>
      <c r="I106" s="292">
        <v>5587</v>
      </c>
      <c r="J106" s="290">
        <v>749</v>
      </c>
      <c r="K106" s="290">
        <f>(J106/G106)</f>
        <v>124.83333333333333</v>
      </c>
      <c r="L106" s="291">
        <f>I106/J106</f>
        <v>7.459279038718291</v>
      </c>
      <c r="M106" s="292">
        <f>109364.5+38539+31287+12101+5368+8640.5+12331+9410+9143+5719+2775+1424+1017+338+1223+1447+5587</f>
        <v>255714</v>
      </c>
      <c r="N106" s="290">
        <f>11866+4674+4443+2133+1061+1670+2334+1542+1728+1224+544+356+207+68+185+229+749</f>
        <v>35013</v>
      </c>
      <c r="O106" s="294">
        <f>M106/N106</f>
        <v>7.303401593693771</v>
      </c>
      <c r="P106" s="321"/>
    </row>
    <row r="107" spans="1:16" ht="15">
      <c r="A107" s="66">
        <v>105</v>
      </c>
      <c r="B107" s="53" t="s">
        <v>145</v>
      </c>
      <c r="C107" s="39">
        <v>39801</v>
      </c>
      <c r="D107" s="127" t="s">
        <v>136</v>
      </c>
      <c r="E107" s="127" t="s">
        <v>146</v>
      </c>
      <c r="F107" s="50">
        <v>84</v>
      </c>
      <c r="G107" s="50">
        <v>10</v>
      </c>
      <c r="H107" s="50">
        <v>6</v>
      </c>
      <c r="I107" s="269">
        <v>5392.5</v>
      </c>
      <c r="J107" s="270">
        <v>1094</v>
      </c>
      <c r="K107" s="271">
        <f>IF(I107&lt;&gt;0,J107/G107,"")</f>
        <v>109.4</v>
      </c>
      <c r="L107" s="153">
        <f>IF(I107&lt;&gt;0,I107/J107,"")</f>
        <v>4.9291590493601465</v>
      </c>
      <c r="M107" s="272">
        <f>369313.5+145108.5+43813+31258+11772.5+5392.5</f>
        <v>606658</v>
      </c>
      <c r="N107" s="268">
        <f>41017+16460+6346+5364+2357+1094</f>
        <v>72638</v>
      </c>
      <c r="O107" s="104">
        <f>IF(M107&lt;&gt;0,M107/N107,"")</f>
        <v>8.351799333682095</v>
      </c>
      <c r="P107" s="321"/>
    </row>
    <row r="108" spans="1:16" ht="15">
      <c r="A108" s="66">
        <v>106</v>
      </c>
      <c r="B108" s="49" t="s">
        <v>67</v>
      </c>
      <c r="C108" s="40">
        <v>39759</v>
      </c>
      <c r="D108" s="45" t="s">
        <v>134</v>
      </c>
      <c r="E108" s="44" t="s">
        <v>143</v>
      </c>
      <c r="F108" s="41">
        <v>93</v>
      </c>
      <c r="G108" s="41">
        <v>4</v>
      </c>
      <c r="H108" s="41">
        <v>9</v>
      </c>
      <c r="I108" s="303">
        <v>5279</v>
      </c>
      <c r="J108" s="304">
        <v>685</v>
      </c>
      <c r="K108" s="158">
        <f>(J108/G108)</f>
        <v>171.25</v>
      </c>
      <c r="L108" s="159">
        <f>I108/J108</f>
        <v>7.706569343065693</v>
      </c>
      <c r="M108" s="150">
        <f>224223+136351+27895+24212+1274+3482+7147+2804+5279</f>
        <v>432667</v>
      </c>
      <c r="N108" s="151">
        <f>27969+18593+4268+4646+311+857+1472+745+685</f>
        <v>59546</v>
      </c>
      <c r="O108" s="105">
        <f>M108/N108</f>
        <v>7.26609679911329</v>
      </c>
      <c r="P108" s="321"/>
    </row>
    <row r="109" spans="1:16" ht="15">
      <c r="A109" s="66">
        <v>107</v>
      </c>
      <c r="B109" s="293" t="s">
        <v>53</v>
      </c>
      <c r="C109" s="286">
        <v>39738</v>
      </c>
      <c r="D109" s="285" t="s">
        <v>134</v>
      </c>
      <c r="E109" s="285" t="s">
        <v>54</v>
      </c>
      <c r="F109" s="287">
        <v>67</v>
      </c>
      <c r="G109" s="287">
        <v>7</v>
      </c>
      <c r="H109" s="287">
        <v>17</v>
      </c>
      <c r="I109" s="288">
        <v>4936</v>
      </c>
      <c r="J109" s="289">
        <v>1050</v>
      </c>
      <c r="K109" s="290">
        <f>(J109/G109)</f>
        <v>150</v>
      </c>
      <c r="L109" s="291">
        <f>I109/J109</f>
        <v>4.700952380952381</v>
      </c>
      <c r="M109" s="292">
        <f>167196+176809+54428+37340+38330.5+23467+11581+5867+4382+2577+3552+2137+545+4006+9422+7992+4936</f>
        <v>554567.5</v>
      </c>
      <c r="N109" s="290">
        <f>19168+21164+7719+6215+6404+4964+2339+1306+907+580+859+440+127+905+2170+1822+1050</f>
        <v>78139</v>
      </c>
      <c r="O109" s="294">
        <f>M109/N109</f>
        <v>7.097192183160778</v>
      </c>
      <c r="P109" s="321">
        <v>1</v>
      </c>
    </row>
    <row r="110" spans="1:16" ht="15">
      <c r="A110" s="66">
        <v>108</v>
      </c>
      <c r="B110" s="53" t="s">
        <v>149</v>
      </c>
      <c r="C110" s="39">
        <v>39801</v>
      </c>
      <c r="D110" s="45" t="s">
        <v>4</v>
      </c>
      <c r="E110" s="45" t="s">
        <v>77</v>
      </c>
      <c r="F110" s="50">
        <v>19</v>
      </c>
      <c r="G110" s="50">
        <v>9</v>
      </c>
      <c r="H110" s="50">
        <v>3</v>
      </c>
      <c r="I110" s="303">
        <v>4887</v>
      </c>
      <c r="J110" s="304">
        <v>751</v>
      </c>
      <c r="K110" s="152">
        <f>+J110/G110</f>
        <v>83.44444444444444</v>
      </c>
      <c r="L110" s="153">
        <f>+I110/J110</f>
        <v>6.507323568575233</v>
      </c>
      <c r="M110" s="150">
        <v>136638</v>
      </c>
      <c r="N110" s="151">
        <v>12656</v>
      </c>
      <c r="O110" s="104">
        <f>+M110/N110</f>
        <v>10.796302149178256</v>
      </c>
      <c r="P110" s="321"/>
    </row>
    <row r="111" spans="1:16" ht="15">
      <c r="A111" s="66">
        <v>109</v>
      </c>
      <c r="B111" s="49" t="s">
        <v>45</v>
      </c>
      <c r="C111" s="40">
        <v>39780</v>
      </c>
      <c r="D111" s="45" t="s">
        <v>134</v>
      </c>
      <c r="E111" s="44" t="s">
        <v>78</v>
      </c>
      <c r="F111" s="41">
        <v>61</v>
      </c>
      <c r="G111" s="41">
        <v>8</v>
      </c>
      <c r="H111" s="41">
        <v>6</v>
      </c>
      <c r="I111" s="303">
        <v>4772</v>
      </c>
      <c r="J111" s="304">
        <v>944</v>
      </c>
      <c r="K111" s="158">
        <f>(J111/G111)</f>
        <v>118</v>
      </c>
      <c r="L111" s="159">
        <f aca="true" t="shared" si="3" ref="L111:L118">I111/J111</f>
        <v>5.055084745762712</v>
      </c>
      <c r="M111" s="150">
        <f>499000.5+313125.5+89561.5+27980+2002.5+4772</f>
        <v>936442</v>
      </c>
      <c r="N111" s="151">
        <f>48458+27725+9315+4737+330+944</f>
        <v>91509</v>
      </c>
      <c r="O111" s="105">
        <f>M111/N111</f>
        <v>10.233332240544646</v>
      </c>
      <c r="P111" s="321">
        <v>1</v>
      </c>
    </row>
    <row r="112" spans="1:16" ht="15">
      <c r="A112" s="66">
        <v>110</v>
      </c>
      <c r="B112" s="293" t="s">
        <v>144</v>
      </c>
      <c r="C112" s="286">
        <v>39801</v>
      </c>
      <c r="D112" s="285" t="s">
        <v>130</v>
      </c>
      <c r="E112" s="285" t="s">
        <v>122</v>
      </c>
      <c r="F112" s="287">
        <v>69</v>
      </c>
      <c r="G112" s="287">
        <v>6</v>
      </c>
      <c r="H112" s="287">
        <v>7</v>
      </c>
      <c r="I112" s="288">
        <v>4586</v>
      </c>
      <c r="J112" s="289">
        <v>1350</v>
      </c>
      <c r="K112" s="290">
        <f>J112/G112</f>
        <v>225</v>
      </c>
      <c r="L112" s="291">
        <f t="shared" si="3"/>
        <v>3.397037037037037</v>
      </c>
      <c r="M112" s="292">
        <f>820286+588484+413907+112495+41441-111+9385+4586</f>
        <v>1990473</v>
      </c>
      <c r="N112" s="290">
        <f>83839+57678+42374+12212+5722-11+2124+1350</f>
        <v>205288</v>
      </c>
      <c r="O112" s="294">
        <f>+M112/N112</f>
        <v>9.696002688905343</v>
      </c>
      <c r="P112" s="321">
        <v>1</v>
      </c>
    </row>
    <row r="113" spans="1:16" ht="15">
      <c r="A113" s="66">
        <v>111</v>
      </c>
      <c r="B113" s="49" t="s">
        <v>147</v>
      </c>
      <c r="C113" s="39">
        <v>39801</v>
      </c>
      <c r="D113" s="44" t="s">
        <v>134</v>
      </c>
      <c r="E113" s="44" t="s">
        <v>148</v>
      </c>
      <c r="F113" s="41">
        <v>42</v>
      </c>
      <c r="G113" s="41">
        <v>4</v>
      </c>
      <c r="H113" s="41">
        <v>17</v>
      </c>
      <c r="I113" s="307">
        <v>4493</v>
      </c>
      <c r="J113" s="308">
        <v>882</v>
      </c>
      <c r="K113" s="155">
        <f>(J113/G113)</f>
        <v>220.5</v>
      </c>
      <c r="L113" s="156">
        <f t="shared" si="3"/>
        <v>5.094104308390023</v>
      </c>
      <c r="M113" s="154">
        <f>295344+204961.5+145464.5+116108.5+111972.5+49984+26327+32042+18579+20005+19180+15980+2686.5+3166.5+366+13433+4493</f>
        <v>1080093</v>
      </c>
      <c r="N113" s="155">
        <f>36142+24747+19417+15404+14719+7567+3314+5289+3173+3275+3534+2826+540+724+52+2536+882</f>
        <v>144141</v>
      </c>
      <c r="O113" s="103">
        <f>M113/N113</f>
        <v>7.493308635294607</v>
      </c>
      <c r="P113" s="321"/>
    </row>
    <row r="114" spans="1:16" ht="15">
      <c r="A114" s="66">
        <v>112</v>
      </c>
      <c r="B114" s="293" t="s">
        <v>26</v>
      </c>
      <c r="C114" s="286">
        <v>39808</v>
      </c>
      <c r="D114" s="285" t="s">
        <v>134</v>
      </c>
      <c r="E114" s="285" t="s">
        <v>133</v>
      </c>
      <c r="F114" s="287">
        <v>75</v>
      </c>
      <c r="G114" s="287">
        <v>5</v>
      </c>
      <c r="H114" s="287">
        <v>10</v>
      </c>
      <c r="I114" s="288">
        <v>4479</v>
      </c>
      <c r="J114" s="289">
        <v>828</v>
      </c>
      <c r="K114" s="290">
        <f>(J114/G114)</f>
        <v>165.6</v>
      </c>
      <c r="L114" s="291">
        <f t="shared" si="3"/>
        <v>5.409420289855072</v>
      </c>
      <c r="M114" s="292">
        <f>681566+578530+317284.5+141025.5+34373.5+6375+4225+7402.5+1014+4479</f>
        <v>1776275</v>
      </c>
      <c r="N114" s="290">
        <f>64102+57106+32401+16644+4655+1030+644+1623+143+828</f>
        <v>179176</v>
      </c>
      <c r="O114" s="294">
        <f>M114/N114</f>
        <v>9.913576595079698</v>
      </c>
      <c r="P114" s="321"/>
    </row>
    <row r="115" spans="1:16" ht="15">
      <c r="A115" s="66">
        <v>113</v>
      </c>
      <c r="B115" s="281" t="s">
        <v>70</v>
      </c>
      <c r="C115" s="40">
        <v>39766</v>
      </c>
      <c r="D115" s="261" t="s">
        <v>132</v>
      </c>
      <c r="E115" s="261" t="s">
        <v>71</v>
      </c>
      <c r="F115" s="262">
        <v>5</v>
      </c>
      <c r="G115" s="262">
        <v>5</v>
      </c>
      <c r="H115" s="262">
        <v>11</v>
      </c>
      <c r="I115" s="263">
        <v>4467</v>
      </c>
      <c r="J115" s="264">
        <v>800</v>
      </c>
      <c r="K115" s="265">
        <f>J115/G115</f>
        <v>160</v>
      </c>
      <c r="L115" s="266">
        <f t="shared" si="3"/>
        <v>5.58375</v>
      </c>
      <c r="M115" s="267">
        <f>191668+16358.5+8305+0.5+19699.5+16705.5+7289+4467</f>
        <v>264493</v>
      </c>
      <c r="N115" s="268">
        <f>10324+8249+7871+7121+4755+3362+1751+2958+2636+1185+800</f>
        <v>51012</v>
      </c>
      <c r="O115" s="282">
        <f>M115/N115</f>
        <v>5.184917274366816</v>
      </c>
      <c r="P115" s="321">
        <v>1</v>
      </c>
    </row>
    <row r="116" spans="1:16" ht="15">
      <c r="A116" s="66">
        <v>114</v>
      </c>
      <c r="B116" s="293" t="s">
        <v>235</v>
      </c>
      <c r="C116" s="286">
        <v>38800</v>
      </c>
      <c r="D116" s="285" t="s">
        <v>136</v>
      </c>
      <c r="E116" s="285" t="s">
        <v>234</v>
      </c>
      <c r="F116" s="287">
        <v>58</v>
      </c>
      <c r="G116" s="287">
        <v>1</v>
      </c>
      <c r="H116" s="287">
        <v>35</v>
      </c>
      <c r="I116" s="288">
        <v>4398</v>
      </c>
      <c r="J116" s="289">
        <v>880</v>
      </c>
      <c r="K116" s="290">
        <f>J116/G116</f>
        <v>880</v>
      </c>
      <c r="L116" s="291">
        <f t="shared" si="3"/>
        <v>4.997727272727273</v>
      </c>
      <c r="M116" s="292">
        <v>887325.4</v>
      </c>
      <c r="N116" s="290">
        <v>136390</v>
      </c>
      <c r="O116" s="294">
        <f>+M116/N116</f>
        <v>6.505795146271721</v>
      </c>
      <c r="P116" s="321"/>
    </row>
    <row r="117" spans="1:16" ht="15">
      <c r="A117" s="66">
        <v>115</v>
      </c>
      <c r="B117" s="293" t="s">
        <v>233</v>
      </c>
      <c r="C117" s="286">
        <v>39164</v>
      </c>
      <c r="D117" s="285" t="s">
        <v>136</v>
      </c>
      <c r="E117" s="285" t="s">
        <v>234</v>
      </c>
      <c r="F117" s="287">
        <v>118</v>
      </c>
      <c r="G117" s="287">
        <v>1</v>
      </c>
      <c r="H117" s="287">
        <v>31</v>
      </c>
      <c r="I117" s="288">
        <v>4398</v>
      </c>
      <c r="J117" s="289">
        <v>880</v>
      </c>
      <c r="K117" s="290">
        <f>J117/G117</f>
        <v>880</v>
      </c>
      <c r="L117" s="291">
        <f t="shared" si="3"/>
        <v>4.997727272727273</v>
      </c>
      <c r="M117" s="292">
        <v>1513399.5</v>
      </c>
      <c r="N117" s="290">
        <v>202459</v>
      </c>
      <c r="O117" s="294">
        <f>+M117/N117</f>
        <v>7.475091253043826</v>
      </c>
      <c r="P117" s="321"/>
    </row>
    <row r="118" spans="1:16" ht="15">
      <c r="A118" s="66">
        <v>116</v>
      </c>
      <c r="B118" s="293" t="s">
        <v>142</v>
      </c>
      <c r="C118" s="286">
        <v>39794</v>
      </c>
      <c r="D118" s="285" t="s">
        <v>134</v>
      </c>
      <c r="E118" s="285" t="s">
        <v>133</v>
      </c>
      <c r="F118" s="287">
        <v>100</v>
      </c>
      <c r="G118" s="287">
        <v>5</v>
      </c>
      <c r="H118" s="287">
        <v>9</v>
      </c>
      <c r="I118" s="288">
        <v>4348</v>
      </c>
      <c r="J118" s="289">
        <v>976</v>
      </c>
      <c r="K118" s="290">
        <f>(J118/G118)</f>
        <v>195.2</v>
      </c>
      <c r="L118" s="291">
        <f t="shared" si="3"/>
        <v>4.454918032786885</v>
      </c>
      <c r="M118" s="292">
        <f>1276778.5+626123+380324+112679.5+54533+36086+4129+3620.5+4348</f>
        <v>2498621.5</v>
      </c>
      <c r="N118" s="290">
        <f>133555+68793+41581+14968+8873+6454+539+324+976</f>
        <v>276063</v>
      </c>
      <c r="O118" s="294">
        <f>M118/N118</f>
        <v>9.05091048057871</v>
      </c>
      <c r="P118" s="321">
        <v>1</v>
      </c>
    </row>
    <row r="119" spans="1:16" ht="15">
      <c r="A119" s="66">
        <v>117</v>
      </c>
      <c r="B119" s="48" t="s">
        <v>56</v>
      </c>
      <c r="C119" s="39">
        <v>39745</v>
      </c>
      <c r="D119" s="42" t="s">
        <v>136</v>
      </c>
      <c r="E119" s="42" t="s">
        <v>46</v>
      </c>
      <c r="F119" s="54">
        <v>104</v>
      </c>
      <c r="G119" s="54">
        <v>6</v>
      </c>
      <c r="H119" s="54">
        <v>11</v>
      </c>
      <c r="I119" s="305">
        <v>4346</v>
      </c>
      <c r="J119" s="306">
        <v>1003</v>
      </c>
      <c r="K119" s="152">
        <f>IF(I119&lt;&gt;0,J119/G119,"")</f>
        <v>167.16666666666666</v>
      </c>
      <c r="L119" s="153">
        <f>IF(I119&lt;&gt;0,I119/J119,"")</f>
        <v>4.333000997008973</v>
      </c>
      <c r="M119" s="157">
        <f>821522+622841.5+494230+434015.5+185757.5+145248.5+16130+16159+2033+6489+4346</f>
        <v>2748772</v>
      </c>
      <c r="N119" s="155">
        <f>99216+78381+65128+58419+30420+24530+3077+3918+431+1704+1003</f>
        <v>366227</v>
      </c>
      <c r="O119" s="104">
        <f>IF(M119&lt;&gt;0,M119/N119,"")</f>
        <v>7.505650866812114</v>
      </c>
      <c r="P119" s="321"/>
    </row>
    <row r="120" spans="1:16" ht="15">
      <c r="A120" s="66">
        <v>118</v>
      </c>
      <c r="B120" s="368" t="s">
        <v>167</v>
      </c>
      <c r="C120" s="39">
        <v>39766</v>
      </c>
      <c r="D120" s="44" t="s">
        <v>285</v>
      </c>
      <c r="E120" s="44" t="s">
        <v>168</v>
      </c>
      <c r="F120" s="41">
        <v>17</v>
      </c>
      <c r="G120" s="41">
        <v>3</v>
      </c>
      <c r="H120" s="41">
        <v>20</v>
      </c>
      <c r="I120" s="267">
        <v>4306</v>
      </c>
      <c r="J120" s="155">
        <v>837</v>
      </c>
      <c r="K120" s="155">
        <f>J120/G120</f>
        <v>279</v>
      </c>
      <c r="L120" s="356">
        <f aca="true" t="shared" si="4" ref="L120:L125">I120/J120</f>
        <v>5.144563918757467</v>
      </c>
      <c r="M120" s="267">
        <v>83743</v>
      </c>
      <c r="N120" s="155">
        <v>11888</v>
      </c>
      <c r="O120" s="358">
        <f>+M120/N120</f>
        <v>7.044330417227457</v>
      </c>
      <c r="P120" s="332">
        <v>1</v>
      </c>
    </row>
    <row r="121" spans="1:16" ht="15">
      <c r="A121" s="66">
        <v>119</v>
      </c>
      <c r="B121" s="293" t="s">
        <v>26</v>
      </c>
      <c r="C121" s="286">
        <v>39808</v>
      </c>
      <c r="D121" s="285" t="s">
        <v>134</v>
      </c>
      <c r="E121" s="285" t="s">
        <v>133</v>
      </c>
      <c r="F121" s="287">
        <v>75</v>
      </c>
      <c r="G121" s="287">
        <v>8</v>
      </c>
      <c r="H121" s="287">
        <v>7</v>
      </c>
      <c r="I121" s="288">
        <v>4225</v>
      </c>
      <c r="J121" s="289">
        <v>644</v>
      </c>
      <c r="K121" s="290">
        <f>(J121/G121)</f>
        <v>80.5</v>
      </c>
      <c r="L121" s="291">
        <f t="shared" si="4"/>
        <v>6.5605590062111805</v>
      </c>
      <c r="M121" s="292">
        <f>681566+578530+317284.5+141025.5+34373.5+6375+4225</f>
        <v>1763379.5</v>
      </c>
      <c r="N121" s="290">
        <f>64102+57106+32401+16644+4655+1030+644</f>
        <v>176582</v>
      </c>
      <c r="O121" s="294">
        <f>M121/N121</f>
        <v>9.986179225515624</v>
      </c>
      <c r="P121" s="332">
        <v>1</v>
      </c>
    </row>
    <row r="122" spans="1:16" ht="15">
      <c r="A122" s="66">
        <v>120</v>
      </c>
      <c r="B122" s="281" t="s">
        <v>142</v>
      </c>
      <c r="C122" s="40">
        <v>39794</v>
      </c>
      <c r="D122" s="127" t="s">
        <v>134</v>
      </c>
      <c r="E122" s="261" t="s">
        <v>133</v>
      </c>
      <c r="F122" s="262">
        <v>100</v>
      </c>
      <c r="G122" s="262">
        <v>9</v>
      </c>
      <c r="H122" s="262">
        <v>7</v>
      </c>
      <c r="I122" s="273">
        <v>4129</v>
      </c>
      <c r="J122" s="274">
        <v>539</v>
      </c>
      <c r="K122" s="275">
        <f>(J122/G122)</f>
        <v>59.888888888888886</v>
      </c>
      <c r="L122" s="159">
        <f t="shared" si="4"/>
        <v>7.6604823747680895</v>
      </c>
      <c r="M122" s="276">
        <f>1276778.5+626123+380324+112679.5+54533+36086+4129</f>
        <v>2490653</v>
      </c>
      <c r="N122" s="277">
        <f>133555+68793+41581+14968+8873+6454+539</f>
        <v>274763</v>
      </c>
      <c r="O122" s="105">
        <f>M122/N122</f>
        <v>9.064732150981028</v>
      </c>
      <c r="P122" s="332">
        <v>1</v>
      </c>
    </row>
    <row r="123" spans="1:16" ht="15">
      <c r="A123" s="66">
        <v>121</v>
      </c>
      <c r="B123" s="49" t="s">
        <v>53</v>
      </c>
      <c r="C123" s="40">
        <v>39738</v>
      </c>
      <c r="D123" s="45" t="s">
        <v>134</v>
      </c>
      <c r="E123" s="44" t="s">
        <v>54</v>
      </c>
      <c r="F123" s="41">
        <v>67</v>
      </c>
      <c r="G123" s="41">
        <v>10</v>
      </c>
      <c r="H123" s="41">
        <v>14</v>
      </c>
      <c r="I123" s="303">
        <v>4006</v>
      </c>
      <c r="J123" s="304">
        <v>905</v>
      </c>
      <c r="K123" s="158">
        <f>(J123/G123)</f>
        <v>90.5</v>
      </c>
      <c r="L123" s="159">
        <f t="shared" si="4"/>
        <v>4.4265193370165745</v>
      </c>
      <c r="M123" s="150">
        <f>167196+176809+54428+37340+38330.5+23467+11581+5867+4382+2577+3552+2137+545+4006</f>
        <v>532217.5</v>
      </c>
      <c r="N123" s="151">
        <f>19168+21164+7719+6215+6404+4964+2339+1306+907+580+859+440+127+905</f>
        <v>73097</v>
      </c>
      <c r="O123" s="105">
        <f>M123/N123</f>
        <v>7.280975963445832</v>
      </c>
      <c r="P123" s="332"/>
    </row>
    <row r="124" spans="1:16" ht="15">
      <c r="A124" s="66">
        <v>122</v>
      </c>
      <c r="B124" s="293" t="s">
        <v>64</v>
      </c>
      <c r="C124" s="286">
        <v>39759</v>
      </c>
      <c r="D124" s="285" t="s">
        <v>65</v>
      </c>
      <c r="E124" s="285" t="s">
        <v>66</v>
      </c>
      <c r="F124" s="287">
        <v>5</v>
      </c>
      <c r="G124" s="287">
        <v>5</v>
      </c>
      <c r="H124" s="287">
        <v>20</v>
      </c>
      <c r="I124" s="288">
        <v>3980.5</v>
      </c>
      <c r="J124" s="289">
        <v>760</v>
      </c>
      <c r="K124" s="290">
        <f>J124/G124</f>
        <v>152</v>
      </c>
      <c r="L124" s="291">
        <f t="shared" si="4"/>
        <v>5.2375</v>
      </c>
      <c r="M124" s="292">
        <v>23363918</v>
      </c>
      <c r="N124" s="290">
        <v>2778456</v>
      </c>
      <c r="O124" s="294">
        <f>+M124/N124</f>
        <v>8.408957348973674</v>
      </c>
      <c r="P124" s="332">
        <v>1</v>
      </c>
    </row>
    <row r="125" spans="1:16" ht="15">
      <c r="A125" s="66">
        <v>123</v>
      </c>
      <c r="B125" s="293" t="s">
        <v>139</v>
      </c>
      <c r="C125" s="286">
        <v>39787</v>
      </c>
      <c r="D125" s="285" t="s">
        <v>132</v>
      </c>
      <c r="E125" s="285" t="s">
        <v>140</v>
      </c>
      <c r="F125" s="287">
        <v>2</v>
      </c>
      <c r="G125" s="287">
        <v>2</v>
      </c>
      <c r="H125" s="287">
        <v>11</v>
      </c>
      <c r="I125" s="288">
        <v>3858</v>
      </c>
      <c r="J125" s="289">
        <v>781</v>
      </c>
      <c r="K125" s="290">
        <f>(J125/G125)</f>
        <v>390.5</v>
      </c>
      <c r="L125" s="291">
        <f t="shared" si="4"/>
        <v>4.939820742637644</v>
      </c>
      <c r="M125" s="292">
        <f>9280968+4694050.5+1992628+1117778+528440.5+225948.5+100229.5+60712.5+23747.5+18022-1837+3858</f>
        <v>18044546</v>
      </c>
      <c r="N125" s="290">
        <f>1147876+614752+261380+141495+73035+33259+17736+11735+4194+3845-458+781</f>
        <v>2309630</v>
      </c>
      <c r="O125" s="294">
        <f>+M125/N125</f>
        <v>7.812743166654399</v>
      </c>
      <c r="P125" s="332">
        <v>1</v>
      </c>
    </row>
    <row r="126" spans="1:16" ht="15">
      <c r="A126" s="66">
        <v>124</v>
      </c>
      <c r="B126" s="53" t="s">
        <v>58</v>
      </c>
      <c r="C126" s="39">
        <v>39745</v>
      </c>
      <c r="D126" s="45" t="s">
        <v>4</v>
      </c>
      <c r="E126" s="45" t="s">
        <v>59</v>
      </c>
      <c r="F126" s="50">
        <v>72</v>
      </c>
      <c r="G126" s="50">
        <v>1</v>
      </c>
      <c r="H126" s="50">
        <v>13</v>
      </c>
      <c r="I126" s="303">
        <v>3795</v>
      </c>
      <c r="J126" s="304">
        <v>578</v>
      </c>
      <c r="K126" s="152">
        <f>+J126/G126</f>
        <v>578</v>
      </c>
      <c r="L126" s="153">
        <f>+I126/J126</f>
        <v>6.5657439446366785</v>
      </c>
      <c r="M126" s="150">
        <v>1288149</v>
      </c>
      <c r="N126" s="151">
        <v>145860</v>
      </c>
      <c r="O126" s="104">
        <f>+M126/N126</f>
        <v>8.831406828465653</v>
      </c>
      <c r="P126" s="332"/>
    </row>
    <row r="127" spans="1:16" ht="15">
      <c r="A127" s="66">
        <v>125</v>
      </c>
      <c r="B127" s="48" t="s">
        <v>68</v>
      </c>
      <c r="C127" s="39">
        <v>39759</v>
      </c>
      <c r="D127" s="42" t="s">
        <v>136</v>
      </c>
      <c r="E127" s="240" t="s">
        <v>31</v>
      </c>
      <c r="F127" s="54">
        <v>40</v>
      </c>
      <c r="G127" s="54">
        <v>3</v>
      </c>
      <c r="H127" s="54">
        <v>11</v>
      </c>
      <c r="I127" s="305">
        <v>3725</v>
      </c>
      <c r="J127" s="306">
        <v>659</v>
      </c>
      <c r="K127" s="152">
        <f>IF(I127&lt;&gt;0,J127/G127,"")</f>
        <v>219.66666666666666</v>
      </c>
      <c r="L127" s="153">
        <f>IF(I127&lt;&gt;0,I127/J127,"")</f>
        <v>5.652503793626707</v>
      </c>
      <c r="M127" s="157">
        <f>84918+52341+11404+7823+3207+2014+937+2034+556+1450+3725</f>
        <v>170409</v>
      </c>
      <c r="N127" s="155">
        <f>10694+7043+2046+1560+538+345+174+389+77+318+659</f>
        <v>23843</v>
      </c>
      <c r="O127" s="104">
        <f>IF(M127&lt;&gt;0,M127/N127,"")</f>
        <v>7.147129136434174</v>
      </c>
      <c r="P127" s="332">
        <v>1</v>
      </c>
    </row>
    <row r="128" spans="1:16" ht="15">
      <c r="A128" s="66">
        <v>126</v>
      </c>
      <c r="B128" s="293" t="s">
        <v>49</v>
      </c>
      <c r="C128" s="286">
        <v>39710</v>
      </c>
      <c r="D128" s="285" t="s">
        <v>132</v>
      </c>
      <c r="E128" s="285" t="s">
        <v>179</v>
      </c>
      <c r="F128" s="287">
        <v>1</v>
      </c>
      <c r="G128" s="287">
        <v>1</v>
      </c>
      <c r="H128" s="287">
        <v>19</v>
      </c>
      <c r="I128" s="288">
        <v>3655</v>
      </c>
      <c r="J128" s="289">
        <v>1215</v>
      </c>
      <c r="K128" s="290">
        <f>J128/G128</f>
        <v>1215</v>
      </c>
      <c r="L128" s="291">
        <f>I128/J128</f>
        <v>3.0082304526748973</v>
      </c>
      <c r="M128" s="292">
        <f>152576+127511+68854.5+21974+10111.5+7103+7290+0.5+1014+3149+989+3524+0.5+3768+138+2528+257+351.5+573.5+184+3655</f>
        <v>415552</v>
      </c>
      <c r="N128" s="290">
        <f>50018+825+47+65+137+67+1215</f>
        <v>52374</v>
      </c>
      <c r="O128" s="294">
        <f>+M128/N128</f>
        <v>7.93431855500821</v>
      </c>
      <c r="P128" s="332"/>
    </row>
    <row r="129" spans="1:16" ht="15">
      <c r="A129" s="66">
        <v>127</v>
      </c>
      <c r="B129" s="293" t="s">
        <v>142</v>
      </c>
      <c r="C129" s="286">
        <v>39794</v>
      </c>
      <c r="D129" s="285" t="s">
        <v>134</v>
      </c>
      <c r="E129" s="285" t="s">
        <v>133</v>
      </c>
      <c r="F129" s="287">
        <v>100</v>
      </c>
      <c r="G129" s="287">
        <v>4</v>
      </c>
      <c r="H129" s="287">
        <v>8</v>
      </c>
      <c r="I129" s="288">
        <v>3620.5</v>
      </c>
      <c r="J129" s="289">
        <v>324</v>
      </c>
      <c r="K129" s="290">
        <f>(J129/G129)</f>
        <v>81</v>
      </c>
      <c r="L129" s="291">
        <f>I129/J129</f>
        <v>11.174382716049383</v>
      </c>
      <c r="M129" s="292">
        <f>1276778.5+626123+380324+112679.5+54533+36086+4129+3620.5</f>
        <v>2494273.5</v>
      </c>
      <c r="N129" s="290">
        <f>133555+68793+41581+14968+8873+6454+539+324</f>
        <v>275087</v>
      </c>
      <c r="O129" s="294">
        <f>+M129/N129</f>
        <v>9.067216916829949</v>
      </c>
      <c r="P129" s="332">
        <v>1</v>
      </c>
    </row>
    <row r="130" spans="1:16" ht="15">
      <c r="A130" s="66">
        <v>128</v>
      </c>
      <c r="B130" s="293" t="s">
        <v>72</v>
      </c>
      <c r="C130" s="286">
        <v>39773</v>
      </c>
      <c r="D130" s="285" t="s">
        <v>131</v>
      </c>
      <c r="E130" s="285" t="s">
        <v>126</v>
      </c>
      <c r="F130" s="287">
        <v>204</v>
      </c>
      <c r="G130" s="287">
        <v>4</v>
      </c>
      <c r="H130" s="287">
        <v>11</v>
      </c>
      <c r="I130" s="288">
        <v>3611</v>
      </c>
      <c r="J130" s="289">
        <v>1110</v>
      </c>
      <c r="K130" s="290">
        <f>J130/G130</f>
        <v>277.5</v>
      </c>
      <c r="L130" s="291">
        <f>I130/J130</f>
        <v>3.253153153153153</v>
      </c>
      <c r="M130" s="292">
        <v>11430807</v>
      </c>
      <c r="N130" s="290">
        <v>1413852</v>
      </c>
      <c r="O130" s="294">
        <f>+M130/N130</f>
        <v>8.084868147444004</v>
      </c>
      <c r="P130" s="332"/>
    </row>
    <row r="131" spans="1:16" ht="15">
      <c r="A131" s="66">
        <v>129</v>
      </c>
      <c r="B131" s="368" t="s">
        <v>20</v>
      </c>
      <c r="C131" s="39">
        <v>39773</v>
      </c>
      <c r="D131" s="44" t="s">
        <v>132</v>
      </c>
      <c r="E131" s="44" t="s">
        <v>21</v>
      </c>
      <c r="F131" s="41">
        <v>10</v>
      </c>
      <c r="G131" s="41">
        <v>1</v>
      </c>
      <c r="H131" s="41">
        <v>8</v>
      </c>
      <c r="I131" s="263">
        <v>3597</v>
      </c>
      <c r="J131" s="308">
        <v>600</v>
      </c>
      <c r="K131" s="155">
        <f>(J131/G131)</f>
        <v>600</v>
      </c>
      <c r="L131" s="356">
        <f>I131/J131</f>
        <v>5.995</v>
      </c>
      <c r="M131" s="267">
        <f>43532.5+13875+1400+341+344+969+42+3597</f>
        <v>64100.5</v>
      </c>
      <c r="N131" s="155">
        <f>3969+1359+251+52+61+210+7+600</f>
        <v>6509</v>
      </c>
      <c r="O131" s="358">
        <f>M131/N131</f>
        <v>9.847979720387157</v>
      </c>
      <c r="P131" s="332"/>
    </row>
    <row r="132" spans="1:16" ht="15">
      <c r="A132" s="66">
        <v>130</v>
      </c>
      <c r="B132" s="232" t="s">
        <v>56</v>
      </c>
      <c r="C132" s="216">
        <v>39745</v>
      </c>
      <c r="D132" s="217" t="s">
        <v>136</v>
      </c>
      <c r="E132" s="217" t="s">
        <v>46</v>
      </c>
      <c r="F132" s="218">
        <v>104</v>
      </c>
      <c r="G132" s="218">
        <v>6</v>
      </c>
      <c r="H132" s="218">
        <v>12</v>
      </c>
      <c r="I132" s="311">
        <v>3565</v>
      </c>
      <c r="J132" s="312">
        <v>785</v>
      </c>
      <c r="K132" s="219">
        <f>IF(I132&lt;&gt;0,J132/G132,"")</f>
        <v>130.83333333333334</v>
      </c>
      <c r="L132" s="220">
        <f>IF(I132&lt;&gt;0,I132/J132,"")</f>
        <v>4.54140127388535</v>
      </c>
      <c r="M132" s="221">
        <f>821522+622841.5+494230+434015.5+185757.5+145248.5+16130+16159+2033+6489+4346+3565</f>
        <v>2752337</v>
      </c>
      <c r="N132" s="222">
        <f>99216+78381+65128+58419+30420+24530+3077+3918+431+1704+1003+785</f>
        <v>367012</v>
      </c>
      <c r="O132" s="237">
        <f>IF(M132&lt;&gt;0,M132/N132,"")</f>
        <v>7.4993106492430766</v>
      </c>
      <c r="P132" s="332"/>
    </row>
    <row r="133" spans="1:16" ht="15">
      <c r="A133" s="66">
        <v>131</v>
      </c>
      <c r="B133" s="281" t="s">
        <v>22</v>
      </c>
      <c r="C133" s="286">
        <v>39787</v>
      </c>
      <c r="D133" s="285" t="s">
        <v>131</v>
      </c>
      <c r="E133" s="261" t="s">
        <v>138</v>
      </c>
      <c r="F133" s="287">
        <v>406</v>
      </c>
      <c r="G133" s="287">
        <v>7</v>
      </c>
      <c r="H133" s="287">
        <v>9</v>
      </c>
      <c r="I133" s="288">
        <v>3565</v>
      </c>
      <c r="J133" s="289">
        <v>541</v>
      </c>
      <c r="K133" s="290">
        <f aca="true" t="shared" si="5" ref="K133:K138">J133/G133</f>
        <v>77.28571428571429</v>
      </c>
      <c r="L133" s="291">
        <f>I133/J133</f>
        <v>6.589648798521257</v>
      </c>
      <c r="M133" s="292">
        <v>30389114</v>
      </c>
      <c r="N133" s="290">
        <v>3699746</v>
      </c>
      <c r="O133" s="294">
        <f aca="true" t="shared" si="6" ref="O133:O139">+M133/N133</f>
        <v>8.213837922927683</v>
      </c>
      <c r="P133" s="332"/>
    </row>
    <row r="134" spans="1:16" ht="15">
      <c r="A134" s="66">
        <v>132</v>
      </c>
      <c r="B134" s="293" t="s">
        <v>44</v>
      </c>
      <c r="C134" s="286">
        <v>39780</v>
      </c>
      <c r="D134" s="285" t="s">
        <v>131</v>
      </c>
      <c r="E134" s="285" t="s">
        <v>127</v>
      </c>
      <c r="F134" s="287">
        <v>121</v>
      </c>
      <c r="G134" s="287">
        <v>4</v>
      </c>
      <c r="H134" s="287">
        <v>18</v>
      </c>
      <c r="I134" s="288">
        <v>3563</v>
      </c>
      <c r="J134" s="289">
        <v>697</v>
      </c>
      <c r="K134" s="290">
        <f t="shared" si="5"/>
        <v>174.25</v>
      </c>
      <c r="L134" s="291">
        <f>+I134/J134</f>
        <v>5.111908177905309</v>
      </c>
      <c r="M134" s="292">
        <v>3461806</v>
      </c>
      <c r="N134" s="290">
        <v>407238</v>
      </c>
      <c r="O134" s="294">
        <f t="shared" si="6"/>
        <v>8.500694925326222</v>
      </c>
      <c r="P134" s="332"/>
    </row>
    <row r="135" spans="1:16" ht="15">
      <c r="A135" s="66">
        <v>133</v>
      </c>
      <c r="B135" s="53" t="s">
        <v>62</v>
      </c>
      <c r="C135" s="39">
        <v>39689</v>
      </c>
      <c r="D135" s="127" t="s">
        <v>130</v>
      </c>
      <c r="E135" s="127" t="s">
        <v>63</v>
      </c>
      <c r="F135" s="50">
        <v>100</v>
      </c>
      <c r="G135" s="50">
        <v>4</v>
      </c>
      <c r="H135" s="50">
        <v>12</v>
      </c>
      <c r="I135" s="273">
        <v>3423</v>
      </c>
      <c r="J135" s="274">
        <v>1037</v>
      </c>
      <c r="K135" s="275">
        <f t="shared" si="5"/>
        <v>259.25</v>
      </c>
      <c r="L135" s="159">
        <f>I135/J135</f>
        <v>3.3008678881388622</v>
      </c>
      <c r="M135" s="276">
        <f>17818+1364876+864151+384239+240974+16635+2871+5064-50+5187+276+2654+1278+3423</f>
        <v>2909396</v>
      </c>
      <c r="N135" s="277">
        <f>1487+139515+89937+39711+26370+2302+499+787-9+1471+55+1243+206+1037</f>
        <v>304611</v>
      </c>
      <c r="O135" s="105">
        <f t="shared" si="6"/>
        <v>9.551184953924842</v>
      </c>
      <c r="P135" s="330">
        <v>1</v>
      </c>
    </row>
    <row r="136" spans="1:16" ht="15">
      <c r="A136" s="66">
        <v>134</v>
      </c>
      <c r="B136" s="293" t="s">
        <v>203</v>
      </c>
      <c r="C136" s="286">
        <v>39808</v>
      </c>
      <c r="D136" s="285" t="s">
        <v>131</v>
      </c>
      <c r="E136" s="285" t="s">
        <v>111</v>
      </c>
      <c r="F136" s="287">
        <v>112</v>
      </c>
      <c r="G136" s="287">
        <v>2</v>
      </c>
      <c r="H136" s="287">
        <v>12</v>
      </c>
      <c r="I136" s="288">
        <v>3376</v>
      </c>
      <c r="J136" s="289">
        <v>555</v>
      </c>
      <c r="K136" s="290">
        <f t="shared" si="5"/>
        <v>277.5</v>
      </c>
      <c r="L136" s="291">
        <f>+I136/J136</f>
        <v>6.082882882882883</v>
      </c>
      <c r="M136" s="292">
        <v>2041864</v>
      </c>
      <c r="N136" s="290">
        <v>210512</v>
      </c>
      <c r="O136" s="294">
        <f t="shared" si="6"/>
        <v>9.699513566922551</v>
      </c>
      <c r="P136" s="332">
        <v>1</v>
      </c>
    </row>
    <row r="137" spans="1:16" ht="15">
      <c r="A137" s="66">
        <v>135</v>
      </c>
      <c r="B137" s="293" t="s">
        <v>25</v>
      </c>
      <c r="C137" s="286">
        <v>39808</v>
      </c>
      <c r="D137" s="285" t="s">
        <v>131</v>
      </c>
      <c r="E137" s="285" t="s">
        <v>111</v>
      </c>
      <c r="F137" s="287">
        <v>112</v>
      </c>
      <c r="G137" s="287">
        <v>5</v>
      </c>
      <c r="H137" s="287">
        <v>10</v>
      </c>
      <c r="I137" s="288">
        <v>3272</v>
      </c>
      <c r="J137" s="289">
        <v>611</v>
      </c>
      <c r="K137" s="290">
        <f t="shared" si="5"/>
        <v>122.2</v>
      </c>
      <c r="L137" s="291">
        <f>+I137/J137</f>
        <v>5.355155482815057</v>
      </c>
      <c r="M137" s="292">
        <v>2035193</v>
      </c>
      <c r="N137" s="290">
        <v>209290</v>
      </c>
      <c r="O137" s="294">
        <f t="shared" si="6"/>
        <v>9.72427254049405</v>
      </c>
      <c r="P137" s="332">
        <v>1</v>
      </c>
    </row>
    <row r="138" spans="1:16" ht="15">
      <c r="A138" s="66">
        <v>136</v>
      </c>
      <c r="B138" s="293" t="s">
        <v>145</v>
      </c>
      <c r="C138" s="286">
        <v>39801</v>
      </c>
      <c r="D138" s="285" t="s">
        <v>136</v>
      </c>
      <c r="E138" s="285" t="s">
        <v>146</v>
      </c>
      <c r="F138" s="287">
        <v>84</v>
      </c>
      <c r="G138" s="287">
        <v>2</v>
      </c>
      <c r="H138" s="287">
        <v>12</v>
      </c>
      <c r="I138" s="288">
        <v>3267</v>
      </c>
      <c r="J138" s="289">
        <v>653</v>
      </c>
      <c r="K138" s="290">
        <f t="shared" si="5"/>
        <v>326.5</v>
      </c>
      <c r="L138" s="291">
        <f>I138/J138</f>
        <v>5.003062787136294</v>
      </c>
      <c r="M138" s="292">
        <v>616632</v>
      </c>
      <c r="N138" s="290">
        <v>74493</v>
      </c>
      <c r="O138" s="294">
        <f t="shared" si="6"/>
        <v>8.27771736941726</v>
      </c>
      <c r="P138" s="333"/>
    </row>
    <row r="139" spans="1:16" ht="15">
      <c r="A139" s="66">
        <v>137</v>
      </c>
      <c r="B139" s="293" t="s">
        <v>145</v>
      </c>
      <c r="C139" s="286">
        <v>39801</v>
      </c>
      <c r="D139" s="285" t="s">
        <v>136</v>
      </c>
      <c r="E139" s="285" t="s">
        <v>146</v>
      </c>
      <c r="F139" s="287">
        <v>84</v>
      </c>
      <c r="G139" s="287">
        <v>8</v>
      </c>
      <c r="H139" s="287">
        <v>8</v>
      </c>
      <c r="I139" s="288">
        <v>3225</v>
      </c>
      <c r="J139" s="289">
        <v>545</v>
      </c>
      <c r="K139" s="290">
        <f>IF(I139&lt;&gt;0,J139/G139,"")</f>
        <v>68.125</v>
      </c>
      <c r="L139" s="291">
        <f>I139/J139</f>
        <v>5.91743119266055</v>
      </c>
      <c r="M139" s="292">
        <f>369313.5+145108.5+43813+31258+11772.5+5392.5+2080+3225</f>
        <v>611963</v>
      </c>
      <c r="N139" s="290">
        <f>41017+16460+6346+5364+2357+1094+419+545</f>
        <v>73602</v>
      </c>
      <c r="O139" s="294">
        <f t="shared" si="6"/>
        <v>8.314488736719111</v>
      </c>
      <c r="P139" s="333"/>
    </row>
    <row r="140" spans="1:16" ht="15">
      <c r="A140" s="66">
        <v>138</v>
      </c>
      <c r="B140" s="293" t="s">
        <v>147</v>
      </c>
      <c r="C140" s="286">
        <v>39801</v>
      </c>
      <c r="D140" s="285" t="s">
        <v>134</v>
      </c>
      <c r="E140" s="285" t="s">
        <v>148</v>
      </c>
      <c r="F140" s="287">
        <v>42</v>
      </c>
      <c r="G140" s="287">
        <v>4</v>
      </c>
      <c r="H140" s="287">
        <v>14</v>
      </c>
      <c r="I140" s="288">
        <v>3166.5</v>
      </c>
      <c r="J140" s="289">
        <v>724</v>
      </c>
      <c r="K140" s="290">
        <f>(J140/G140)</f>
        <v>181</v>
      </c>
      <c r="L140" s="291">
        <f>I140/J140</f>
        <v>4.373618784530387</v>
      </c>
      <c r="M140" s="292">
        <f>295344+204961.5+145464.5+116108.5+111972.5+49984+26327+32042+18579+20005+19180+15980+2686.5+3166.5</f>
        <v>1061801</v>
      </c>
      <c r="N140" s="290">
        <f>36142+24747+19417+15404+14719+7567+3314+5289+3173+3275+3534+2826+540+724</f>
        <v>140671</v>
      </c>
      <c r="O140" s="294">
        <f>M140/N140</f>
        <v>7.548115816337411</v>
      </c>
      <c r="P140" s="333">
        <v>1</v>
      </c>
    </row>
    <row r="141" spans="1:16" ht="15">
      <c r="A141" s="66">
        <v>139</v>
      </c>
      <c r="B141" s="318" t="s">
        <v>139</v>
      </c>
      <c r="C141" s="286">
        <v>39787</v>
      </c>
      <c r="D141" s="285" t="s">
        <v>132</v>
      </c>
      <c r="E141" s="285" t="s">
        <v>140</v>
      </c>
      <c r="F141" s="287">
        <v>2</v>
      </c>
      <c r="G141" s="287">
        <v>2</v>
      </c>
      <c r="H141" s="287">
        <v>15</v>
      </c>
      <c r="I141" s="288">
        <v>3147</v>
      </c>
      <c r="J141" s="289">
        <v>770</v>
      </c>
      <c r="K141" s="290">
        <f>J141/G141</f>
        <v>385</v>
      </c>
      <c r="L141" s="291">
        <f>I141/J141</f>
        <v>4.087012987012987</v>
      </c>
      <c r="M141" s="292">
        <f>9280968+4694050.5+1992628+1117778+528440.5+225948.5+100229.5+60712.5+23747.5+18022-1837+3858+1591+1095+16460.5+3147</f>
        <v>18066839.5</v>
      </c>
      <c r="N141" s="290">
        <f>1147876+614752+261380+141495+73035+33259+17736+11735+4194+3845-458+781+321+218+3333+770</f>
        <v>2314272</v>
      </c>
      <c r="O141" s="294">
        <f>+M141/N141</f>
        <v>7.806705305167241</v>
      </c>
      <c r="P141" s="333"/>
    </row>
    <row r="142" spans="1:16" ht="15">
      <c r="A142" s="66">
        <v>140</v>
      </c>
      <c r="B142" s="293" t="s">
        <v>70</v>
      </c>
      <c r="C142" s="286">
        <v>39766</v>
      </c>
      <c r="D142" s="285" t="s">
        <v>132</v>
      </c>
      <c r="E142" s="285" t="s">
        <v>71</v>
      </c>
      <c r="F142" s="287">
        <v>3</v>
      </c>
      <c r="G142" s="287">
        <v>3</v>
      </c>
      <c r="H142" s="287">
        <v>12</v>
      </c>
      <c r="I142" s="288">
        <v>3138</v>
      </c>
      <c r="J142" s="289">
        <v>596</v>
      </c>
      <c r="K142" s="290">
        <f>J142/G142</f>
        <v>198.66666666666666</v>
      </c>
      <c r="L142" s="291">
        <f>I142/J142</f>
        <v>5.26510067114094</v>
      </c>
      <c r="M142" s="292">
        <f>191668+16358.5+8305+0.5+19699.5+16705.5+7289+4467+3138</f>
        <v>267631</v>
      </c>
      <c r="N142" s="290">
        <f>10324+8249+7871+7121+4755+3362+1751+2958+2636+1185+800+596</f>
        <v>51608</v>
      </c>
      <c r="O142" s="294">
        <f>+M142/N142</f>
        <v>5.1858432801116106</v>
      </c>
      <c r="P142" s="333"/>
    </row>
    <row r="143" spans="1:16" ht="15">
      <c r="A143" s="66">
        <v>141</v>
      </c>
      <c r="B143" s="293" t="s">
        <v>72</v>
      </c>
      <c r="C143" s="286">
        <v>39773</v>
      </c>
      <c r="D143" s="285" t="s">
        <v>131</v>
      </c>
      <c r="E143" s="285" t="s">
        <v>126</v>
      </c>
      <c r="F143" s="287">
        <v>204</v>
      </c>
      <c r="G143" s="287">
        <v>2</v>
      </c>
      <c r="H143" s="287">
        <v>13</v>
      </c>
      <c r="I143" s="288">
        <v>3039</v>
      </c>
      <c r="J143" s="289">
        <v>1034</v>
      </c>
      <c r="K143" s="290">
        <f>J143/G143</f>
        <v>517</v>
      </c>
      <c r="L143" s="291">
        <f>+I143/J143</f>
        <v>2.9390715667311413</v>
      </c>
      <c r="M143" s="292">
        <v>11440084</v>
      </c>
      <c r="N143" s="290">
        <v>1417157</v>
      </c>
      <c r="O143" s="294">
        <f>+M143/N143</f>
        <v>8.072559356514486</v>
      </c>
      <c r="P143" s="333"/>
    </row>
    <row r="144" spans="1:16" ht="15">
      <c r="A144" s="66">
        <v>142</v>
      </c>
      <c r="B144" s="53" t="s">
        <v>141</v>
      </c>
      <c r="C144" s="39">
        <v>39780</v>
      </c>
      <c r="D144" s="127" t="s">
        <v>79</v>
      </c>
      <c r="E144" s="127" t="s">
        <v>48</v>
      </c>
      <c r="F144" s="54">
        <v>3</v>
      </c>
      <c r="G144" s="54">
        <v>3</v>
      </c>
      <c r="H144" s="54">
        <v>6</v>
      </c>
      <c r="I144" s="314">
        <v>2890</v>
      </c>
      <c r="J144" s="315">
        <v>437</v>
      </c>
      <c r="K144" s="158">
        <f>(J144/G144)</f>
        <v>145.66666666666666</v>
      </c>
      <c r="L144" s="159">
        <f>I144/J144</f>
        <v>6.613272311212815</v>
      </c>
      <c r="M144" s="160">
        <v>45175.5</v>
      </c>
      <c r="N144" s="161">
        <v>4356</v>
      </c>
      <c r="O144" s="105">
        <f>M144/N144</f>
        <v>10.37086776859504</v>
      </c>
      <c r="P144" s="332">
        <v>1</v>
      </c>
    </row>
    <row r="145" spans="1:16" ht="15">
      <c r="A145" s="66">
        <v>143</v>
      </c>
      <c r="B145" s="293" t="s">
        <v>53</v>
      </c>
      <c r="C145" s="286">
        <v>39738</v>
      </c>
      <c r="D145" s="285" t="s">
        <v>134</v>
      </c>
      <c r="E145" s="285" t="s">
        <v>54</v>
      </c>
      <c r="F145" s="287">
        <v>67</v>
      </c>
      <c r="G145" s="287">
        <v>3</v>
      </c>
      <c r="H145" s="287">
        <v>22</v>
      </c>
      <c r="I145" s="292">
        <v>2842</v>
      </c>
      <c r="J145" s="290">
        <v>734</v>
      </c>
      <c r="K145" s="290">
        <f>(J145/G145)</f>
        <v>244.66666666666666</v>
      </c>
      <c r="L145" s="291">
        <f>I145/J145</f>
        <v>3.871934604904632</v>
      </c>
      <c r="M145" s="292">
        <f>167196+176809+54428+37340+38330.5+23467+11581+5867+4382+2577+3552+2137+545+4006+9422+7992+4936+1547+1147+288+371+2842</f>
        <v>560762.5</v>
      </c>
      <c r="N145" s="290">
        <f>19168+21164+7719+6215+6404+4964+2339+1306+907+580+859+440+127+905+2170+1822+1050+392+333+56+73+734</f>
        <v>79727</v>
      </c>
      <c r="O145" s="294">
        <f>M145/N145</f>
        <v>7.033533181983519</v>
      </c>
      <c r="P145" s="333">
        <v>1</v>
      </c>
    </row>
    <row r="146" spans="1:16" ht="15">
      <c r="A146" s="66">
        <v>144</v>
      </c>
      <c r="B146" s="232" t="s">
        <v>55</v>
      </c>
      <c r="C146" s="216">
        <v>39750</v>
      </c>
      <c r="D146" s="217" t="s">
        <v>130</v>
      </c>
      <c r="E146" s="217" t="s">
        <v>30</v>
      </c>
      <c r="F146" s="218">
        <v>198</v>
      </c>
      <c r="G146" s="218">
        <v>2</v>
      </c>
      <c r="H146" s="218">
        <v>12</v>
      </c>
      <c r="I146" s="297">
        <v>2787</v>
      </c>
      <c r="J146" s="298">
        <v>717</v>
      </c>
      <c r="K146" s="223">
        <f>J146/G146</f>
        <v>358.5</v>
      </c>
      <c r="L146" s="224">
        <f>I146/J146</f>
        <v>3.8870292887029287</v>
      </c>
      <c r="M146" s="225">
        <f>4975832+1882135+1034271+412191+151618-1635+10999+12408+14293+6423+2375+2787</f>
        <v>8503697</v>
      </c>
      <c r="N146" s="226">
        <f>642956+245951+129523+51207+21082-161+1623+2391+2711+1404+495+717</f>
        <v>1099899</v>
      </c>
      <c r="O146" s="233">
        <f>+M146/N146</f>
        <v>7.731343514268128</v>
      </c>
      <c r="P146" s="333"/>
    </row>
    <row r="147" spans="1:16" ht="15">
      <c r="A147" s="66">
        <v>145</v>
      </c>
      <c r="B147" s="281" t="s">
        <v>69</v>
      </c>
      <c r="C147" s="40">
        <v>39766</v>
      </c>
      <c r="D147" s="127" t="s">
        <v>134</v>
      </c>
      <c r="E147" s="261" t="s">
        <v>50</v>
      </c>
      <c r="F147" s="262">
        <v>20</v>
      </c>
      <c r="G147" s="262">
        <v>4</v>
      </c>
      <c r="H147" s="262">
        <v>11</v>
      </c>
      <c r="I147" s="273">
        <v>2775</v>
      </c>
      <c r="J147" s="274">
        <v>544</v>
      </c>
      <c r="K147" s="275">
        <f>(J147/G147)</f>
        <v>136</v>
      </c>
      <c r="L147" s="159">
        <f>I147/J147</f>
        <v>5.101102941176471</v>
      </c>
      <c r="M147" s="276">
        <f>109364.5+38539+31287+12101+5368+8640.5+12331+9410+9143+5719+2775</f>
        <v>244678</v>
      </c>
      <c r="N147" s="277">
        <f>11866+4674+4443+2133+1061+1670+2334+1542+1728+1224+544</f>
        <v>33219</v>
      </c>
      <c r="O147" s="105">
        <f>M147/N147</f>
        <v>7.365604021794756</v>
      </c>
      <c r="P147" s="333">
        <v>1</v>
      </c>
    </row>
    <row r="148" spans="1:16" ht="15">
      <c r="A148" s="66">
        <v>146</v>
      </c>
      <c r="B148" s="49" t="s">
        <v>73</v>
      </c>
      <c r="C148" s="40">
        <v>39772</v>
      </c>
      <c r="D148" s="45" t="s">
        <v>134</v>
      </c>
      <c r="E148" s="44" t="s">
        <v>105</v>
      </c>
      <c r="F148" s="41">
        <v>195</v>
      </c>
      <c r="G148" s="41">
        <v>5</v>
      </c>
      <c r="H148" s="41">
        <v>9</v>
      </c>
      <c r="I148" s="303">
        <v>2692</v>
      </c>
      <c r="J148" s="304">
        <v>553</v>
      </c>
      <c r="K148" s="158">
        <f>(J148/G148)</f>
        <v>110.6</v>
      </c>
      <c r="L148" s="159">
        <f>I148/J148</f>
        <v>4.867992766726944</v>
      </c>
      <c r="M148" s="150">
        <f>1011017+512350.5+217314+64545+38656.5+8087+9376.5+5786+2692</f>
        <v>1869824.5</v>
      </c>
      <c r="N148" s="151">
        <f>136878+68007+31396+9807+8372+1564+2234+1216+553</f>
        <v>260027</v>
      </c>
      <c r="O148" s="105">
        <f>M148/N148</f>
        <v>7.190885946459406</v>
      </c>
      <c r="P148" s="332"/>
    </row>
    <row r="149" spans="1:16" ht="15">
      <c r="A149" s="66">
        <v>147</v>
      </c>
      <c r="B149" s="293" t="s">
        <v>149</v>
      </c>
      <c r="C149" s="286">
        <v>39801</v>
      </c>
      <c r="D149" s="285" t="s">
        <v>4</v>
      </c>
      <c r="E149" s="285" t="s">
        <v>77</v>
      </c>
      <c r="F149" s="287">
        <v>19</v>
      </c>
      <c r="G149" s="287">
        <v>5</v>
      </c>
      <c r="H149" s="287">
        <v>16</v>
      </c>
      <c r="I149" s="292">
        <v>2689</v>
      </c>
      <c r="J149" s="290">
        <v>388</v>
      </c>
      <c r="K149" s="290">
        <f>+J149/G149</f>
        <v>77.6</v>
      </c>
      <c r="L149" s="291">
        <f>+I149/J149</f>
        <v>6.930412371134021</v>
      </c>
      <c r="M149" s="292">
        <v>147629</v>
      </c>
      <c r="N149" s="290">
        <v>14511</v>
      </c>
      <c r="O149" s="294">
        <f>+M149/N149</f>
        <v>10.17359244710909</v>
      </c>
      <c r="P149" s="332">
        <v>1</v>
      </c>
    </row>
    <row r="150" spans="1:16" ht="15">
      <c r="A150" s="66">
        <v>148</v>
      </c>
      <c r="B150" s="293" t="s">
        <v>26</v>
      </c>
      <c r="C150" s="286">
        <v>39808</v>
      </c>
      <c r="D150" s="285" t="s">
        <v>134</v>
      </c>
      <c r="E150" s="285" t="s">
        <v>133</v>
      </c>
      <c r="F150" s="287">
        <v>75</v>
      </c>
      <c r="G150" s="287">
        <v>3</v>
      </c>
      <c r="H150" s="287">
        <v>11</v>
      </c>
      <c r="I150" s="288">
        <v>2688</v>
      </c>
      <c r="J150" s="289">
        <v>480</v>
      </c>
      <c r="K150" s="290">
        <f>(J150/G150)</f>
        <v>160</v>
      </c>
      <c r="L150" s="291">
        <f>I150/J150</f>
        <v>5.6</v>
      </c>
      <c r="M150" s="292">
        <f>681566+578530+317284.5+141025.5+34373.5+6375+4225+7402.5+1014+4479+2688</f>
        <v>1778963</v>
      </c>
      <c r="N150" s="290">
        <f>64102+57106+32401+16644+4655+1030+644+1623+143+828+480</f>
        <v>179656</v>
      </c>
      <c r="O150" s="294">
        <f>M150/N150</f>
        <v>9.902051698802156</v>
      </c>
      <c r="P150" s="333">
        <v>1</v>
      </c>
    </row>
    <row r="151" spans="1:16" ht="15">
      <c r="A151" s="66">
        <v>149</v>
      </c>
      <c r="B151" s="232" t="s">
        <v>62</v>
      </c>
      <c r="C151" s="216">
        <v>39689</v>
      </c>
      <c r="D151" s="217" t="s">
        <v>130</v>
      </c>
      <c r="E151" s="217" t="s">
        <v>63</v>
      </c>
      <c r="F151" s="218">
        <v>100</v>
      </c>
      <c r="G151" s="218">
        <v>2</v>
      </c>
      <c r="H151" s="218">
        <v>10</v>
      </c>
      <c r="I151" s="297">
        <v>2654</v>
      </c>
      <c r="J151" s="298">
        <v>1243</v>
      </c>
      <c r="K151" s="223">
        <f>J151/G151</f>
        <v>621.5</v>
      </c>
      <c r="L151" s="224">
        <f>I151/J151</f>
        <v>2.1351568785197106</v>
      </c>
      <c r="M151" s="225">
        <f>17818+1364876+864151+384239+240974+16635+2871+5064-50+5187+276+2654</f>
        <v>2904695</v>
      </c>
      <c r="N151" s="226">
        <f>1487+139515+89937+39711+26370+2302+499+787-9+1471+55+1243</f>
        <v>303368</v>
      </c>
      <c r="O151" s="233">
        <f>+M151/N151</f>
        <v>9.574823316895651</v>
      </c>
      <c r="P151" s="333">
        <v>1</v>
      </c>
    </row>
    <row r="152" spans="1:16" ht="15">
      <c r="A152" s="66">
        <v>150</v>
      </c>
      <c r="B152" s="49" t="s">
        <v>67</v>
      </c>
      <c r="C152" s="40">
        <v>39759</v>
      </c>
      <c r="D152" s="45" t="s">
        <v>134</v>
      </c>
      <c r="E152" s="44" t="s">
        <v>143</v>
      </c>
      <c r="F152" s="41">
        <v>93</v>
      </c>
      <c r="G152" s="41">
        <v>3</v>
      </c>
      <c r="H152" s="41">
        <v>11</v>
      </c>
      <c r="I152" s="303">
        <v>2635</v>
      </c>
      <c r="J152" s="304">
        <v>636</v>
      </c>
      <c r="K152" s="158">
        <f>(J152/G152)</f>
        <v>212</v>
      </c>
      <c r="L152" s="159">
        <f>I152/J152</f>
        <v>4.1430817610062896</v>
      </c>
      <c r="M152" s="150">
        <f>224223+136351+27895+24212+1274+3482+7147+2804+5279+2025+2635</f>
        <v>437327</v>
      </c>
      <c r="N152" s="151">
        <f>27969+18593+4268+4646+311+857+1472+745+1285+386+636</f>
        <v>61168</v>
      </c>
      <c r="O152" s="105">
        <f>M152/N152</f>
        <v>7.149604368297148</v>
      </c>
      <c r="P152" s="333">
        <v>1</v>
      </c>
    </row>
    <row r="153" spans="1:16" ht="15">
      <c r="A153" s="66">
        <v>151</v>
      </c>
      <c r="B153" s="293" t="s">
        <v>25</v>
      </c>
      <c r="C153" s="286">
        <v>39808</v>
      </c>
      <c r="D153" s="285" t="s">
        <v>131</v>
      </c>
      <c r="E153" s="285" t="s">
        <v>111</v>
      </c>
      <c r="F153" s="287">
        <v>112</v>
      </c>
      <c r="G153" s="287">
        <v>6</v>
      </c>
      <c r="H153" s="287">
        <v>11</v>
      </c>
      <c r="I153" s="288">
        <v>2596</v>
      </c>
      <c r="J153" s="289">
        <v>528</v>
      </c>
      <c r="K153" s="290">
        <f>J153/G153</f>
        <v>88</v>
      </c>
      <c r="L153" s="291">
        <f>+I153/J153</f>
        <v>4.916666666666667</v>
      </c>
      <c r="M153" s="292">
        <v>2037789</v>
      </c>
      <c r="N153" s="290">
        <v>209818</v>
      </c>
      <c r="O153" s="294">
        <f>+M153/N153</f>
        <v>9.71217436063636</v>
      </c>
      <c r="P153" s="333">
        <v>1</v>
      </c>
    </row>
    <row r="154" spans="1:16" ht="15">
      <c r="A154" s="66">
        <v>152</v>
      </c>
      <c r="B154" s="368" t="s">
        <v>25</v>
      </c>
      <c r="C154" s="39">
        <v>39808</v>
      </c>
      <c r="D154" s="44" t="s">
        <v>131</v>
      </c>
      <c r="E154" s="44" t="s">
        <v>111</v>
      </c>
      <c r="F154" s="41">
        <v>112</v>
      </c>
      <c r="G154" s="41">
        <v>4</v>
      </c>
      <c r="H154" s="41">
        <v>18</v>
      </c>
      <c r="I154" s="263">
        <v>2578</v>
      </c>
      <c r="J154" s="308">
        <v>687</v>
      </c>
      <c r="K154" s="155">
        <f>J154/G154</f>
        <v>171.75</v>
      </c>
      <c r="L154" s="356">
        <f>+I154/J154</f>
        <v>3.7525473071324598</v>
      </c>
      <c r="M154" s="267">
        <v>2058265</v>
      </c>
      <c r="N154" s="155">
        <v>214631</v>
      </c>
      <c r="O154" s="358">
        <f>+M154/N154</f>
        <v>9.589784327520256</v>
      </c>
      <c r="P154" s="332"/>
    </row>
    <row r="155" spans="1:16" ht="15">
      <c r="A155" s="66">
        <v>153</v>
      </c>
      <c r="B155" s="48" t="s">
        <v>56</v>
      </c>
      <c r="C155" s="39">
        <v>39745</v>
      </c>
      <c r="D155" s="42" t="s">
        <v>136</v>
      </c>
      <c r="E155" s="240" t="s">
        <v>46</v>
      </c>
      <c r="F155" s="54">
        <v>104</v>
      </c>
      <c r="G155" s="54">
        <v>4</v>
      </c>
      <c r="H155" s="54">
        <v>13</v>
      </c>
      <c r="I155" s="305">
        <v>2540</v>
      </c>
      <c r="J155" s="306">
        <v>507</v>
      </c>
      <c r="K155" s="152">
        <f>IF(I155&lt;&gt;0,J155/G155,"")</f>
        <v>126.75</v>
      </c>
      <c r="L155" s="153">
        <f>IF(I155&lt;&gt;0,I155/J155,"")</f>
        <v>5.009861932938856</v>
      </c>
      <c r="M155" s="157">
        <f>821522+622841.5+494230+434015.5+185757.5+145248.5+16130+16159+2033+6489+4346+3565+2540</f>
        <v>2754877</v>
      </c>
      <c r="N155" s="155">
        <f>99216+78381+65128+58419+30420+24530+3077+3918+431+1704+1003+785+507</f>
        <v>367519</v>
      </c>
      <c r="O155" s="104">
        <f>IF(M155&lt;&gt;0,M155/N155,"")</f>
        <v>7.495876403668926</v>
      </c>
      <c r="P155" s="333"/>
    </row>
    <row r="156" spans="1:16" ht="15">
      <c r="A156" s="66">
        <v>154</v>
      </c>
      <c r="B156" s="368" t="s">
        <v>147</v>
      </c>
      <c r="C156" s="39">
        <v>39801</v>
      </c>
      <c r="D156" s="44" t="s">
        <v>134</v>
      </c>
      <c r="E156" s="44" t="s">
        <v>148</v>
      </c>
      <c r="F156" s="41">
        <v>42</v>
      </c>
      <c r="G156" s="41">
        <v>3</v>
      </c>
      <c r="H156" s="41">
        <v>20</v>
      </c>
      <c r="I156" s="267">
        <v>2481</v>
      </c>
      <c r="J156" s="155">
        <v>605</v>
      </c>
      <c r="K156" s="155">
        <f>(J156/G156)</f>
        <v>201.66666666666666</v>
      </c>
      <c r="L156" s="356">
        <f>I156/J156</f>
        <v>4.100826446280991</v>
      </c>
      <c r="M156" s="267">
        <f>295344+204961.5+145464.5+116108.5+111972.5+49984+26327+32042+18579+20005+19180+15980+2686.5+3166.5+366+13433+4493+735.5+607.5+2481</f>
        <v>1083917</v>
      </c>
      <c r="N156" s="155">
        <f>36142+24747+19417+15404+14719+7567+3314+5289+3173+3275+3534+2826+540+724+52+2536+882+130+150+605</f>
        <v>145026</v>
      </c>
      <c r="O156" s="358">
        <f>M156/N156</f>
        <v>7.473949498710576</v>
      </c>
      <c r="P156" s="332">
        <v>1</v>
      </c>
    </row>
    <row r="157" spans="1:16" ht="15">
      <c r="A157" s="66">
        <v>155</v>
      </c>
      <c r="B157" s="49" t="s">
        <v>70</v>
      </c>
      <c r="C157" s="39">
        <v>39766</v>
      </c>
      <c r="D157" s="44" t="s">
        <v>132</v>
      </c>
      <c r="E157" s="44" t="s">
        <v>71</v>
      </c>
      <c r="F157" s="41">
        <v>1</v>
      </c>
      <c r="G157" s="41">
        <v>1</v>
      </c>
      <c r="H157" s="41">
        <v>20</v>
      </c>
      <c r="I157" s="307">
        <v>2416</v>
      </c>
      <c r="J157" s="308">
        <v>528</v>
      </c>
      <c r="K157" s="155">
        <f>J157/G157</f>
        <v>528</v>
      </c>
      <c r="L157" s="156">
        <f>I157/J157</f>
        <v>4.575757575757576</v>
      </c>
      <c r="M157" s="154">
        <f>191668+16358.5+8305+0.5+19699.5+16705.5+7289+4467+3138+2267+1882+6536+9273+1289+852+1124+2416</f>
        <v>293270</v>
      </c>
      <c r="N157" s="155">
        <f>10324+8249+7871+7121+4755+3362+1751+2958+2636+1185+800+596+440+265+961+1648+202+172+213+528</f>
        <v>56037</v>
      </c>
      <c r="O157" s="103">
        <f aca="true" t="shared" si="7" ref="O157:O164">+M157/N157</f>
        <v>5.2335064332494605</v>
      </c>
      <c r="P157" s="332">
        <v>1</v>
      </c>
    </row>
    <row r="158" spans="1:16" ht="15">
      <c r="A158" s="66">
        <v>156</v>
      </c>
      <c r="B158" s="281" t="s">
        <v>162</v>
      </c>
      <c r="C158" s="40">
        <v>39717</v>
      </c>
      <c r="D158" s="261" t="s">
        <v>132</v>
      </c>
      <c r="E158" s="261" t="s">
        <v>9</v>
      </c>
      <c r="F158" s="262">
        <v>1</v>
      </c>
      <c r="G158" s="262">
        <v>1</v>
      </c>
      <c r="H158" s="262">
        <v>12</v>
      </c>
      <c r="I158" s="263">
        <v>2408.5</v>
      </c>
      <c r="J158" s="264">
        <v>602</v>
      </c>
      <c r="K158" s="275">
        <f>J158/G158</f>
        <v>602</v>
      </c>
      <c r="L158" s="159">
        <f>I158/J158</f>
        <v>4.000830564784053</v>
      </c>
      <c r="M158" s="267">
        <f>2923050.5+2408+0.5</f>
        <v>2925459</v>
      </c>
      <c r="N158" s="268">
        <f>394197+602</f>
        <v>394799</v>
      </c>
      <c r="O158" s="105">
        <f t="shared" si="7"/>
        <v>7.409995972634176</v>
      </c>
      <c r="P158" s="333">
        <v>1</v>
      </c>
    </row>
    <row r="159" spans="1:16" ht="15">
      <c r="A159" s="66">
        <v>157</v>
      </c>
      <c r="B159" s="49" t="s">
        <v>55</v>
      </c>
      <c r="C159" s="39">
        <v>39750</v>
      </c>
      <c r="D159" s="44" t="s">
        <v>130</v>
      </c>
      <c r="E159" s="44" t="s">
        <v>30</v>
      </c>
      <c r="F159" s="41">
        <v>198</v>
      </c>
      <c r="G159" s="41">
        <v>1</v>
      </c>
      <c r="H159" s="41">
        <v>14</v>
      </c>
      <c r="I159" s="307">
        <v>2380</v>
      </c>
      <c r="J159" s="308">
        <v>793</v>
      </c>
      <c r="K159" s="155">
        <f>J159/G159</f>
        <v>793</v>
      </c>
      <c r="L159" s="156">
        <f>I159/J159</f>
        <v>3.001261034047919</v>
      </c>
      <c r="M159" s="154">
        <v>8506941</v>
      </c>
      <c r="N159" s="155">
        <v>1101014</v>
      </c>
      <c r="O159" s="103">
        <f t="shared" si="7"/>
        <v>7.726460335654224</v>
      </c>
      <c r="P159" s="333">
        <v>1</v>
      </c>
    </row>
    <row r="160" spans="1:16" ht="15">
      <c r="A160" s="66">
        <v>158</v>
      </c>
      <c r="B160" s="48" t="s">
        <v>55</v>
      </c>
      <c r="C160" s="39">
        <v>39750</v>
      </c>
      <c r="D160" s="43" t="s">
        <v>130</v>
      </c>
      <c r="E160" s="42" t="s">
        <v>30</v>
      </c>
      <c r="F160" s="54">
        <v>198</v>
      </c>
      <c r="G160" s="54">
        <v>6</v>
      </c>
      <c r="H160" s="54">
        <v>11</v>
      </c>
      <c r="I160" s="303">
        <v>2375</v>
      </c>
      <c r="J160" s="304">
        <v>495</v>
      </c>
      <c r="K160" s="158">
        <f>J160/G160</f>
        <v>82.5</v>
      </c>
      <c r="L160" s="159">
        <f>I160/J160</f>
        <v>4.797979797979798</v>
      </c>
      <c r="M160" s="150">
        <f>4975832+1882135+1034271+412191+151618-1635+10999+12408+14293+6423+2375</f>
        <v>8500910</v>
      </c>
      <c r="N160" s="151">
        <f>642956+245951+129523+51207+21082-161+1623+2391+2711+1404+495</f>
        <v>1099182</v>
      </c>
      <c r="O160" s="105">
        <f t="shared" si="7"/>
        <v>7.733851172963167</v>
      </c>
      <c r="P160" s="332">
        <v>1</v>
      </c>
    </row>
    <row r="161" spans="1:16" ht="15">
      <c r="A161" s="66">
        <v>159</v>
      </c>
      <c r="B161" s="293" t="s">
        <v>25</v>
      </c>
      <c r="C161" s="286">
        <v>39808</v>
      </c>
      <c r="D161" s="285" t="s">
        <v>131</v>
      </c>
      <c r="E161" s="285" t="s">
        <v>111</v>
      </c>
      <c r="F161" s="287">
        <v>112</v>
      </c>
      <c r="G161" s="287">
        <v>6</v>
      </c>
      <c r="H161" s="287">
        <v>15</v>
      </c>
      <c r="I161" s="292">
        <v>2352</v>
      </c>
      <c r="J161" s="290">
        <v>433</v>
      </c>
      <c r="K161" s="290">
        <f>J161/G161</f>
        <v>72.16666666666667</v>
      </c>
      <c r="L161" s="291">
        <f>+I161/J161</f>
        <v>5.431870669745958</v>
      </c>
      <c r="M161" s="292">
        <v>2050689</v>
      </c>
      <c r="N161" s="290">
        <v>212062</v>
      </c>
      <c r="O161" s="294">
        <f t="shared" si="7"/>
        <v>9.670233233676944</v>
      </c>
      <c r="P161" s="332">
        <v>1</v>
      </c>
    </row>
    <row r="162" spans="1:16" ht="15">
      <c r="A162" s="66">
        <v>160</v>
      </c>
      <c r="B162" s="293" t="s">
        <v>56</v>
      </c>
      <c r="C162" s="286">
        <v>39745</v>
      </c>
      <c r="D162" s="285" t="s">
        <v>136</v>
      </c>
      <c r="E162" s="285" t="s">
        <v>46</v>
      </c>
      <c r="F162" s="287">
        <v>104</v>
      </c>
      <c r="G162" s="287">
        <v>2</v>
      </c>
      <c r="H162" s="287">
        <v>17</v>
      </c>
      <c r="I162" s="288">
        <v>2328</v>
      </c>
      <c r="J162" s="289">
        <v>426</v>
      </c>
      <c r="K162" s="290">
        <f>IF(I162&lt;&gt;0,J162/G162,"")</f>
        <v>213</v>
      </c>
      <c r="L162" s="291">
        <f>IF(I162&lt;&gt;0,I162/J162,"")</f>
        <v>5.464788732394366</v>
      </c>
      <c r="M162" s="292">
        <f>821522+622841.5+494230+434015.5+185757.5+145248.5+16130+16159+2033+6489+4346+3565+2540+1323+139+686+2328</f>
        <v>2759353</v>
      </c>
      <c r="N162" s="290">
        <f>99216+78381+65128+58419+30420+24530+3077+3918+431+1704+1003+785+507+195+19+106+426</f>
        <v>368265</v>
      </c>
      <c r="O162" s="294">
        <f t="shared" si="7"/>
        <v>7.492846184133708</v>
      </c>
      <c r="P162" s="332">
        <v>1</v>
      </c>
    </row>
    <row r="163" spans="1:16" ht="15">
      <c r="A163" s="66">
        <v>161</v>
      </c>
      <c r="B163" s="293" t="s">
        <v>167</v>
      </c>
      <c r="C163" s="286">
        <v>39703</v>
      </c>
      <c r="D163" s="285" t="s">
        <v>200</v>
      </c>
      <c r="E163" s="285" t="s">
        <v>168</v>
      </c>
      <c r="F163" s="287">
        <v>16</v>
      </c>
      <c r="G163" s="287">
        <v>2</v>
      </c>
      <c r="H163" s="287">
        <v>14</v>
      </c>
      <c r="I163" s="288">
        <v>2287</v>
      </c>
      <c r="J163" s="289">
        <v>374</v>
      </c>
      <c r="K163" s="290">
        <f>J163/G163</f>
        <v>187</v>
      </c>
      <c r="L163" s="291">
        <f>I163/J163</f>
        <v>6.114973262032086</v>
      </c>
      <c r="M163" s="292">
        <v>76575</v>
      </c>
      <c r="N163" s="290">
        <v>10553</v>
      </c>
      <c r="O163" s="294">
        <f t="shared" si="7"/>
        <v>7.256230455794561</v>
      </c>
      <c r="P163" s="333">
        <v>1</v>
      </c>
    </row>
    <row r="164" spans="1:16" ht="15">
      <c r="A164" s="66">
        <v>162</v>
      </c>
      <c r="B164" s="293" t="s">
        <v>163</v>
      </c>
      <c r="C164" s="286">
        <v>39766</v>
      </c>
      <c r="D164" s="285" t="s">
        <v>285</v>
      </c>
      <c r="E164" s="285" t="s">
        <v>165</v>
      </c>
      <c r="F164" s="287">
        <v>50</v>
      </c>
      <c r="G164" s="287">
        <v>2</v>
      </c>
      <c r="H164" s="287">
        <v>20</v>
      </c>
      <c r="I164" s="292">
        <v>2279</v>
      </c>
      <c r="J164" s="290">
        <v>456</v>
      </c>
      <c r="K164" s="290">
        <f>J164/G164</f>
        <v>228</v>
      </c>
      <c r="L164" s="291">
        <f>I164/J164</f>
        <v>4.99780701754386</v>
      </c>
      <c r="M164" s="292">
        <v>239346</v>
      </c>
      <c r="N164" s="290">
        <v>35789</v>
      </c>
      <c r="O164" s="294">
        <f t="shared" si="7"/>
        <v>6.687697337170639</v>
      </c>
      <c r="P164" s="333">
        <v>1</v>
      </c>
    </row>
    <row r="165" spans="1:16" ht="15">
      <c r="A165" s="66">
        <v>163</v>
      </c>
      <c r="B165" s="293" t="s">
        <v>26</v>
      </c>
      <c r="C165" s="286">
        <v>39808</v>
      </c>
      <c r="D165" s="285" t="s">
        <v>134</v>
      </c>
      <c r="E165" s="285" t="s">
        <v>133</v>
      </c>
      <c r="F165" s="287">
        <v>75</v>
      </c>
      <c r="G165" s="287">
        <v>4</v>
      </c>
      <c r="H165" s="287">
        <v>12</v>
      </c>
      <c r="I165" s="288">
        <v>2267</v>
      </c>
      <c r="J165" s="289">
        <v>469</v>
      </c>
      <c r="K165" s="290">
        <f>(J165/G165)</f>
        <v>117.25</v>
      </c>
      <c r="L165" s="291">
        <f>I165/J165</f>
        <v>4.833688699360341</v>
      </c>
      <c r="M165" s="292">
        <f>681566+578530+317284.5+141025.5+34373.5+6375+4225+7402.5+1014+4479+2688+2267</f>
        <v>1781230</v>
      </c>
      <c r="N165" s="290">
        <f>64102+57106+32401+16644+4655+1030+644+1623+143+828+480+469</f>
        <v>180125</v>
      </c>
      <c r="O165" s="294">
        <f>M165/N165</f>
        <v>9.888854961832061</v>
      </c>
      <c r="P165" s="333"/>
    </row>
    <row r="166" spans="1:16" ht="15">
      <c r="A166" s="66">
        <v>164</v>
      </c>
      <c r="B166" s="293" t="s">
        <v>70</v>
      </c>
      <c r="C166" s="286">
        <v>39766</v>
      </c>
      <c r="D166" s="285" t="s">
        <v>132</v>
      </c>
      <c r="E166" s="285" t="s">
        <v>71</v>
      </c>
      <c r="F166" s="287">
        <v>3</v>
      </c>
      <c r="G166" s="287">
        <v>3</v>
      </c>
      <c r="H166" s="287">
        <v>13</v>
      </c>
      <c r="I166" s="288">
        <v>2267</v>
      </c>
      <c r="J166" s="289">
        <v>440</v>
      </c>
      <c r="K166" s="290">
        <f>J166/G166</f>
        <v>146.66666666666666</v>
      </c>
      <c r="L166" s="291">
        <f>I166/J166</f>
        <v>5.152272727272727</v>
      </c>
      <c r="M166" s="292">
        <f>191668+16358.5+8305+0.5+19699.5+16705.5+7289+4467+3138+2267</f>
        <v>269898</v>
      </c>
      <c r="N166" s="290">
        <f>10324+8249+7871+7121+4755+3362+1751+2958+2636+1185+800+596+440</f>
        <v>52048</v>
      </c>
      <c r="O166" s="294">
        <f>+M166/N166</f>
        <v>5.185559483553643</v>
      </c>
      <c r="P166" s="333"/>
    </row>
    <row r="167" spans="1:16" ht="15">
      <c r="A167" s="66">
        <v>165</v>
      </c>
      <c r="B167" s="293" t="s">
        <v>142</v>
      </c>
      <c r="C167" s="286">
        <v>39794</v>
      </c>
      <c r="D167" s="285" t="s">
        <v>134</v>
      </c>
      <c r="E167" s="285" t="s">
        <v>133</v>
      </c>
      <c r="F167" s="287">
        <v>100</v>
      </c>
      <c r="G167" s="287">
        <v>3</v>
      </c>
      <c r="H167" s="287">
        <v>15</v>
      </c>
      <c r="I167" s="292">
        <v>2263</v>
      </c>
      <c r="J167" s="290">
        <v>444</v>
      </c>
      <c r="K167" s="290">
        <f>(J167/G167)</f>
        <v>148</v>
      </c>
      <c r="L167" s="291">
        <f>I167/J167</f>
        <v>5.096846846846847</v>
      </c>
      <c r="M167" s="292">
        <f>1276778.5+626123+380324+112679.5+54533+36086+4129+3620.5+4348+1030+1904+420+1049+5940+2263</f>
        <v>2511227.5</v>
      </c>
      <c r="N167" s="290">
        <f>133555+68793+41581+14968+8873+6454+539+324+976+204+524+65+169+1485+444</f>
        <v>278954</v>
      </c>
      <c r="O167" s="294">
        <f>M167/N167</f>
        <v>9.002299662309914</v>
      </c>
      <c r="P167" s="333"/>
    </row>
    <row r="168" spans="1:16" ht="15">
      <c r="A168" s="66">
        <v>166</v>
      </c>
      <c r="B168" s="293" t="s">
        <v>44</v>
      </c>
      <c r="C168" s="286">
        <v>39780</v>
      </c>
      <c r="D168" s="285" t="s">
        <v>131</v>
      </c>
      <c r="E168" s="285" t="s">
        <v>127</v>
      </c>
      <c r="F168" s="287">
        <v>121</v>
      </c>
      <c r="G168" s="287">
        <v>6</v>
      </c>
      <c r="H168" s="287">
        <v>12</v>
      </c>
      <c r="I168" s="288">
        <v>2217</v>
      </c>
      <c r="J168" s="289">
        <v>602</v>
      </c>
      <c r="K168" s="290">
        <f>J168/G168</f>
        <v>100.33333333333333</v>
      </c>
      <c r="L168" s="291">
        <f>+I168/J168</f>
        <v>3.6827242524916945</v>
      </c>
      <c r="M168" s="292">
        <v>3455066</v>
      </c>
      <c r="N168" s="290">
        <v>405547</v>
      </c>
      <c r="O168" s="294">
        <f>+M168/N168</f>
        <v>8.519520548789659</v>
      </c>
      <c r="P168" s="333"/>
    </row>
    <row r="169" spans="1:16" ht="15">
      <c r="A169" s="66">
        <v>167</v>
      </c>
      <c r="B169" s="281" t="s">
        <v>67</v>
      </c>
      <c r="C169" s="40">
        <v>39759</v>
      </c>
      <c r="D169" s="127" t="s">
        <v>134</v>
      </c>
      <c r="E169" s="261" t="s">
        <v>143</v>
      </c>
      <c r="F169" s="262">
        <v>93</v>
      </c>
      <c r="G169" s="262">
        <v>2</v>
      </c>
      <c r="H169" s="262">
        <v>12</v>
      </c>
      <c r="I169" s="273">
        <v>2196</v>
      </c>
      <c r="J169" s="274">
        <v>549</v>
      </c>
      <c r="K169" s="275">
        <f>(J169/G169)</f>
        <v>274.5</v>
      </c>
      <c r="L169" s="159">
        <f aca="true" t="shared" si="8" ref="L169:L175">I169/J169</f>
        <v>4</v>
      </c>
      <c r="M169" s="276">
        <f>224223+136351+27895+24212+1274+3482+7147+2804+5279+2025+2635+2196</f>
        <v>439523</v>
      </c>
      <c r="N169" s="277">
        <f>27969+18593+4268+4646+311+857+1472+745+1285+386+636+549</f>
        <v>61717</v>
      </c>
      <c r="O169" s="105">
        <f>M169/N169</f>
        <v>7.121587245005428</v>
      </c>
      <c r="P169" s="333">
        <v>1</v>
      </c>
    </row>
    <row r="170" spans="1:16" ht="15">
      <c r="A170" s="66">
        <v>168</v>
      </c>
      <c r="B170" s="232" t="s">
        <v>41</v>
      </c>
      <c r="C170" s="216">
        <v>39745</v>
      </c>
      <c r="D170" s="217" t="s">
        <v>130</v>
      </c>
      <c r="E170" s="217" t="s">
        <v>35</v>
      </c>
      <c r="F170" s="218">
        <v>202</v>
      </c>
      <c r="G170" s="218">
        <v>2</v>
      </c>
      <c r="H170" s="218">
        <v>11</v>
      </c>
      <c r="I170" s="297">
        <v>2189</v>
      </c>
      <c r="J170" s="298">
        <v>433</v>
      </c>
      <c r="K170" s="223">
        <f>J170/G170</f>
        <v>216.5</v>
      </c>
      <c r="L170" s="224">
        <f t="shared" si="8"/>
        <v>5.055427251732102</v>
      </c>
      <c r="M170" s="225">
        <f>2979211+551475+289248+35506+23768+5044+549+3932+1192+2189</f>
        <v>3892114</v>
      </c>
      <c r="N170" s="226">
        <f>374252+72341+40702+5164+4326+1290+108+783+296+433</f>
        <v>499695</v>
      </c>
      <c r="O170" s="233">
        <f>+M170/N170</f>
        <v>7.788979277359189</v>
      </c>
      <c r="P170" s="333">
        <v>1</v>
      </c>
    </row>
    <row r="171" spans="1:16" ht="15">
      <c r="A171" s="66">
        <v>169</v>
      </c>
      <c r="B171" s="293" t="s">
        <v>64</v>
      </c>
      <c r="C171" s="286">
        <v>39759</v>
      </c>
      <c r="D171" s="285" t="s">
        <v>65</v>
      </c>
      <c r="E171" s="285" t="s">
        <v>66</v>
      </c>
      <c r="F171" s="287">
        <v>6</v>
      </c>
      <c r="G171" s="287">
        <v>6</v>
      </c>
      <c r="H171" s="287">
        <v>19</v>
      </c>
      <c r="I171" s="288">
        <v>2175</v>
      </c>
      <c r="J171" s="289">
        <v>333</v>
      </c>
      <c r="K171" s="290">
        <f>J171/G171</f>
        <v>55.5</v>
      </c>
      <c r="L171" s="291">
        <f t="shared" si="8"/>
        <v>6.531531531531532</v>
      </c>
      <c r="M171" s="292">
        <v>23358862.5</v>
      </c>
      <c r="N171" s="290">
        <v>2777586</v>
      </c>
      <c r="O171" s="294">
        <f>+M171/N171</f>
        <v>8.409771110597475</v>
      </c>
      <c r="P171" s="333"/>
    </row>
    <row r="172" spans="1:16" ht="15">
      <c r="A172" s="66">
        <v>170</v>
      </c>
      <c r="B172" s="368" t="s">
        <v>214</v>
      </c>
      <c r="C172" s="39">
        <v>39668</v>
      </c>
      <c r="D172" s="44" t="s">
        <v>134</v>
      </c>
      <c r="E172" s="44" t="s">
        <v>215</v>
      </c>
      <c r="F172" s="41">
        <v>1</v>
      </c>
      <c r="G172" s="41">
        <v>1</v>
      </c>
      <c r="H172" s="41">
        <v>7</v>
      </c>
      <c r="I172" s="267">
        <v>2140</v>
      </c>
      <c r="J172" s="155">
        <v>535</v>
      </c>
      <c r="K172" s="155">
        <f>(J172/G172)</f>
        <v>535</v>
      </c>
      <c r="L172" s="356">
        <f t="shared" si="8"/>
        <v>4</v>
      </c>
      <c r="M172" s="267">
        <f>3110+2328+234+98+1424+1544+2140</f>
        <v>10878</v>
      </c>
      <c r="N172" s="155">
        <f>365+272+41+14+356+386+535</f>
        <v>1969</v>
      </c>
      <c r="O172" s="358">
        <f>M172/N172</f>
        <v>5.524631792788218</v>
      </c>
      <c r="P172" s="332"/>
    </row>
    <row r="173" spans="1:16" ht="15">
      <c r="A173" s="66">
        <v>171</v>
      </c>
      <c r="B173" s="368" t="s">
        <v>67</v>
      </c>
      <c r="C173" s="39">
        <v>39759</v>
      </c>
      <c r="D173" s="44" t="s">
        <v>134</v>
      </c>
      <c r="E173" s="44" t="s">
        <v>143</v>
      </c>
      <c r="F173" s="41">
        <v>93</v>
      </c>
      <c r="G173" s="41">
        <v>1</v>
      </c>
      <c r="H173" s="41">
        <v>15</v>
      </c>
      <c r="I173" s="267">
        <v>2140</v>
      </c>
      <c r="J173" s="155">
        <v>535</v>
      </c>
      <c r="K173" s="155">
        <f>(J173/G173)</f>
        <v>535</v>
      </c>
      <c r="L173" s="356">
        <f t="shared" si="8"/>
        <v>4</v>
      </c>
      <c r="M173" s="267">
        <f>224223+136351+27895+24212+1274+3482+7147+2804+5279+2025+2635+2196+1188+832+2140</f>
        <v>443683</v>
      </c>
      <c r="N173" s="155">
        <f>27969+18593+4268+4646+311+857+1472+745+1285+386+636+549+297+208+535</f>
        <v>62757</v>
      </c>
      <c r="O173" s="358">
        <f>M173/N173</f>
        <v>7.069856749047915</v>
      </c>
      <c r="P173" s="332">
        <v>1</v>
      </c>
    </row>
    <row r="174" spans="1:16" ht="15">
      <c r="A174" s="66">
        <v>172</v>
      </c>
      <c r="B174" s="368" t="s">
        <v>69</v>
      </c>
      <c r="C174" s="39">
        <v>39766</v>
      </c>
      <c r="D174" s="44" t="s">
        <v>134</v>
      </c>
      <c r="E174" s="44" t="s">
        <v>50</v>
      </c>
      <c r="F174" s="41">
        <v>20</v>
      </c>
      <c r="G174" s="41">
        <v>1</v>
      </c>
      <c r="H174" s="41">
        <v>19</v>
      </c>
      <c r="I174" s="267">
        <v>2140</v>
      </c>
      <c r="J174" s="155">
        <v>535</v>
      </c>
      <c r="K174" s="155">
        <f>(J174/G174)</f>
        <v>535</v>
      </c>
      <c r="L174" s="356">
        <f t="shared" si="8"/>
        <v>4</v>
      </c>
      <c r="M174" s="267">
        <f>109364.5+38539+31287+12101+5368+8640.5+12331+9410+9143+5719+2775+1424+1017+338+1223+1447+5587+2013+2140</f>
        <v>259867</v>
      </c>
      <c r="N174" s="155">
        <f>11866+4674+4443+2133+1061+1670+2334+1542+1728+1224+544+356+207+68+185+229+749+298+535</f>
        <v>35846</v>
      </c>
      <c r="O174" s="358">
        <f>M174/N174</f>
        <v>7.249539697595269</v>
      </c>
      <c r="P174" s="332"/>
    </row>
    <row r="175" spans="1:16" ht="15">
      <c r="A175" s="66">
        <v>173</v>
      </c>
      <c r="B175" s="49" t="s">
        <v>53</v>
      </c>
      <c r="C175" s="40">
        <v>39738</v>
      </c>
      <c r="D175" s="45" t="s">
        <v>134</v>
      </c>
      <c r="E175" s="44" t="s">
        <v>54</v>
      </c>
      <c r="F175" s="41">
        <v>67</v>
      </c>
      <c r="G175" s="41">
        <v>6</v>
      </c>
      <c r="H175" s="41">
        <v>12</v>
      </c>
      <c r="I175" s="303">
        <v>2137</v>
      </c>
      <c r="J175" s="304">
        <v>440</v>
      </c>
      <c r="K175" s="158">
        <f>(J175/G175)</f>
        <v>73.33333333333333</v>
      </c>
      <c r="L175" s="159">
        <f t="shared" si="8"/>
        <v>4.8568181818181815</v>
      </c>
      <c r="M175" s="150">
        <f>167196+176809+54428+37340+38330.5+23467+11581+5867+4382+2577+3552+2137</f>
        <v>527666.5</v>
      </c>
      <c r="N175" s="151">
        <f>19168+21164+7719+6215+6404+4964+2339+1306+907+580+859+440</f>
        <v>72065</v>
      </c>
      <c r="O175" s="105">
        <f>M175/N175</f>
        <v>7.32209116769583</v>
      </c>
      <c r="P175" s="333">
        <v>1</v>
      </c>
    </row>
    <row r="176" spans="1:16" ht="15">
      <c r="A176" s="66">
        <v>174</v>
      </c>
      <c r="B176" s="293" t="s">
        <v>145</v>
      </c>
      <c r="C176" s="286">
        <v>39801</v>
      </c>
      <c r="D176" s="285" t="s">
        <v>136</v>
      </c>
      <c r="E176" s="285" t="s">
        <v>146</v>
      </c>
      <c r="F176" s="287">
        <v>84</v>
      </c>
      <c r="G176" s="287">
        <v>2</v>
      </c>
      <c r="H176" s="287">
        <v>13</v>
      </c>
      <c r="I176" s="288">
        <v>2130</v>
      </c>
      <c r="J176" s="289">
        <v>426</v>
      </c>
      <c r="K176" s="290">
        <f>J176/G176</f>
        <v>213</v>
      </c>
      <c r="L176" s="291">
        <f>IF(I176&lt;&gt;0,I176/J176,"")</f>
        <v>5</v>
      </c>
      <c r="M176" s="292">
        <v>618762</v>
      </c>
      <c r="N176" s="290">
        <v>74919</v>
      </c>
      <c r="O176" s="294">
        <f>IF(M176&lt;&gt;0,M176/N176,"")</f>
        <v>8.259079806190686</v>
      </c>
      <c r="P176" s="333"/>
    </row>
    <row r="177" spans="1:16" ht="15">
      <c r="A177" s="66">
        <v>175</v>
      </c>
      <c r="B177" s="49" t="s">
        <v>15</v>
      </c>
      <c r="C177" s="40">
        <v>39696</v>
      </c>
      <c r="D177" s="44" t="s">
        <v>132</v>
      </c>
      <c r="E177" s="44" t="s">
        <v>16</v>
      </c>
      <c r="F177" s="41">
        <v>75</v>
      </c>
      <c r="G177" s="41">
        <v>1</v>
      </c>
      <c r="H177" s="41">
        <v>11</v>
      </c>
      <c r="I177" s="307">
        <v>2100</v>
      </c>
      <c r="J177" s="308">
        <v>350</v>
      </c>
      <c r="K177" s="158">
        <f>(J177/G177)</f>
        <v>350</v>
      </c>
      <c r="L177" s="159">
        <f>I177/J177</f>
        <v>6</v>
      </c>
      <c r="M177" s="154">
        <f>86230.5+60757+25197.5+7924+1147+850+226+56+3673+3630+2100</f>
        <v>191791</v>
      </c>
      <c r="N177" s="155">
        <f>10350+7537+3961+1406+201+213+26+9+924+1210+350</f>
        <v>26187</v>
      </c>
      <c r="O177" s="105">
        <f>M177/N177</f>
        <v>7.323901172337419</v>
      </c>
      <c r="P177" s="332"/>
    </row>
    <row r="178" spans="1:16" ht="15">
      <c r="A178" s="66">
        <v>176</v>
      </c>
      <c r="B178" s="368" t="s">
        <v>163</v>
      </c>
      <c r="C178" s="39">
        <v>39766</v>
      </c>
      <c r="D178" s="44" t="s">
        <v>200</v>
      </c>
      <c r="E178" s="44" t="s">
        <v>201</v>
      </c>
      <c r="F178" s="41">
        <v>50</v>
      </c>
      <c r="G178" s="41">
        <v>3</v>
      </c>
      <c r="H178" s="41">
        <v>22</v>
      </c>
      <c r="I178" s="263">
        <v>2096</v>
      </c>
      <c r="J178" s="308">
        <v>578</v>
      </c>
      <c r="K178" s="155">
        <f>J178/G178</f>
        <v>192.66666666666666</v>
      </c>
      <c r="L178" s="356">
        <f>I178/J178</f>
        <v>3.6262975778546713</v>
      </c>
      <c r="M178" s="267">
        <v>242035</v>
      </c>
      <c r="N178" s="155">
        <v>36486</v>
      </c>
      <c r="O178" s="358">
        <f>+M178/N178</f>
        <v>6.633640300389191</v>
      </c>
      <c r="P178" s="376">
        <v>1</v>
      </c>
    </row>
    <row r="179" spans="1:16" ht="15">
      <c r="A179" s="66">
        <v>177</v>
      </c>
      <c r="B179" s="293" t="s">
        <v>163</v>
      </c>
      <c r="C179" s="286">
        <v>39696</v>
      </c>
      <c r="D179" s="285" t="s">
        <v>200</v>
      </c>
      <c r="E179" s="285" t="s">
        <v>201</v>
      </c>
      <c r="F179" s="287">
        <v>50</v>
      </c>
      <c r="G179" s="287">
        <v>2</v>
      </c>
      <c r="H179" s="287">
        <v>14</v>
      </c>
      <c r="I179" s="288">
        <v>2096</v>
      </c>
      <c r="J179" s="289">
        <v>501</v>
      </c>
      <c r="K179" s="290">
        <f>J179/G179</f>
        <v>250.5</v>
      </c>
      <c r="L179" s="291">
        <f>I179/J179</f>
        <v>4.1836327345309385</v>
      </c>
      <c r="M179" s="292">
        <v>219236</v>
      </c>
      <c r="N179" s="290">
        <v>31568</v>
      </c>
      <c r="O179" s="294">
        <f>+M179/N179</f>
        <v>6.944880892042574</v>
      </c>
      <c r="P179" s="333">
        <v>1</v>
      </c>
    </row>
    <row r="180" spans="1:16" ht="15">
      <c r="A180" s="66">
        <v>178</v>
      </c>
      <c r="B180" s="293" t="s">
        <v>145</v>
      </c>
      <c r="C180" s="286">
        <v>39801</v>
      </c>
      <c r="D180" s="285" t="s">
        <v>136</v>
      </c>
      <c r="E180" s="285" t="s">
        <v>146</v>
      </c>
      <c r="F180" s="287">
        <v>84</v>
      </c>
      <c r="G180" s="287">
        <v>4</v>
      </c>
      <c r="H180" s="287">
        <v>7</v>
      </c>
      <c r="I180" s="288">
        <v>2080</v>
      </c>
      <c r="J180" s="289">
        <v>419</v>
      </c>
      <c r="K180" s="290">
        <f>IF(I180&lt;&gt;0,J180/G180,"")</f>
        <v>104.75</v>
      </c>
      <c r="L180" s="291">
        <f>IF(I180&lt;&gt;0,I180/J180,"")</f>
        <v>4.964200477326969</v>
      </c>
      <c r="M180" s="292">
        <f>369313.5+145108.5+43813+31258+11772.5+5392.5+2080</f>
        <v>608738</v>
      </c>
      <c r="N180" s="290">
        <f>41017+16460+6346+5364+2357+1094+419</f>
        <v>73057</v>
      </c>
      <c r="O180" s="294">
        <f>IF(M180&lt;&gt;0,M180/N180,"")</f>
        <v>8.332370614725487</v>
      </c>
      <c r="P180" s="333"/>
    </row>
    <row r="181" spans="1:16" ht="15">
      <c r="A181" s="66">
        <v>179</v>
      </c>
      <c r="B181" s="234" t="s">
        <v>67</v>
      </c>
      <c r="C181" s="229">
        <v>39759</v>
      </c>
      <c r="D181" s="217" t="s">
        <v>134</v>
      </c>
      <c r="E181" s="227" t="s">
        <v>143</v>
      </c>
      <c r="F181" s="228">
        <v>93</v>
      </c>
      <c r="G181" s="228">
        <v>2</v>
      </c>
      <c r="H181" s="228">
        <v>10</v>
      </c>
      <c r="I181" s="297">
        <v>2025</v>
      </c>
      <c r="J181" s="298">
        <v>386</v>
      </c>
      <c r="K181" s="223">
        <f>(J181/G181)</f>
        <v>193</v>
      </c>
      <c r="L181" s="224">
        <f aca="true" t="shared" si="9" ref="L181:L188">I181/J181</f>
        <v>5.246113989637306</v>
      </c>
      <c r="M181" s="225">
        <f>224223+136351+27895+24212+1274+3482+7147+2804+5279+2025</f>
        <v>434692</v>
      </c>
      <c r="N181" s="226">
        <f>27969+18593+4268+4646+311+857+1472+745+1285+386</f>
        <v>60532</v>
      </c>
      <c r="O181" s="233">
        <f>M181/N181</f>
        <v>7.181193418357233</v>
      </c>
      <c r="P181" s="333"/>
    </row>
    <row r="182" spans="1:16" ht="15">
      <c r="A182" s="66">
        <v>180</v>
      </c>
      <c r="B182" s="293" t="s">
        <v>23</v>
      </c>
      <c r="C182" s="286">
        <v>39808</v>
      </c>
      <c r="D182" s="285" t="s">
        <v>136</v>
      </c>
      <c r="E182" s="285" t="s">
        <v>24</v>
      </c>
      <c r="F182" s="287">
        <v>198</v>
      </c>
      <c r="G182" s="287">
        <v>5</v>
      </c>
      <c r="H182" s="287">
        <v>7</v>
      </c>
      <c r="I182" s="288">
        <v>2023</v>
      </c>
      <c r="J182" s="289">
        <v>452</v>
      </c>
      <c r="K182" s="290">
        <f>IF(I182&lt;&gt;0,J182/G182,"")</f>
        <v>90.4</v>
      </c>
      <c r="L182" s="291">
        <f t="shared" si="9"/>
        <v>4.475663716814159</v>
      </c>
      <c r="M182" s="292">
        <f>909072+532572.5+214521.5+64908+15178.5+4216.5+2023</f>
        <v>1742492</v>
      </c>
      <c r="N182" s="290">
        <f>112486+67146+29772+10700+3086+733+452</f>
        <v>224375</v>
      </c>
      <c r="O182" s="294">
        <f>+M182/N182</f>
        <v>7.7659810584958215</v>
      </c>
      <c r="P182" s="333"/>
    </row>
    <row r="183" spans="1:16" ht="15">
      <c r="A183" s="66">
        <v>181</v>
      </c>
      <c r="B183" s="49" t="s">
        <v>69</v>
      </c>
      <c r="C183" s="39">
        <v>39766</v>
      </c>
      <c r="D183" s="44" t="s">
        <v>134</v>
      </c>
      <c r="E183" s="44" t="s">
        <v>50</v>
      </c>
      <c r="F183" s="41">
        <v>20</v>
      </c>
      <c r="G183" s="41">
        <v>5</v>
      </c>
      <c r="H183" s="41">
        <v>17</v>
      </c>
      <c r="I183" s="307">
        <v>2013</v>
      </c>
      <c r="J183" s="308">
        <v>298</v>
      </c>
      <c r="K183" s="155">
        <f>(J183/G183)</f>
        <v>59.6</v>
      </c>
      <c r="L183" s="156">
        <f t="shared" si="9"/>
        <v>6.75503355704698</v>
      </c>
      <c r="M183" s="154">
        <f>109364.5+38539+31287+12101+5368+8640.5+12331+9410+9143+5719+2775+1424+1017+338+1223+1447+5587+2013</f>
        <v>257727</v>
      </c>
      <c r="N183" s="155">
        <f>11866+4674+4443+2133+1061+1670+2334+1542+1728+1224+544+356+207+68+185+229+749+298</f>
        <v>35311</v>
      </c>
      <c r="O183" s="103">
        <f>M183/N183</f>
        <v>7.298773753221376</v>
      </c>
      <c r="P183" s="333">
        <v>1</v>
      </c>
    </row>
    <row r="184" spans="1:16" ht="15">
      <c r="A184" s="66">
        <v>182</v>
      </c>
      <c r="B184" s="293" t="s">
        <v>169</v>
      </c>
      <c r="C184" s="286">
        <v>39472</v>
      </c>
      <c r="D184" s="285" t="s">
        <v>132</v>
      </c>
      <c r="E184" s="285" t="s">
        <v>92</v>
      </c>
      <c r="F184" s="287">
        <v>1</v>
      </c>
      <c r="G184" s="287">
        <v>1</v>
      </c>
      <c r="H184" s="287">
        <v>31</v>
      </c>
      <c r="I184" s="288">
        <v>1976</v>
      </c>
      <c r="J184" s="289">
        <v>652</v>
      </c>
      <c r="K184" s="290">
        <f>J184/G184</f>
        <v>652</v>
      </c>
      <c r="L184" s="291">
        <f t="shared" si="9"/>
        <v>3.0306748466257667</v>
      </c>
      <c r="M184" s="292">
        <f>395290.5+262822+75939+23709.5+4083+1327+9321+1445+1267+2173+4575+201+1748+3343+728+28+948+1329+163+182+173+15521.5+171+40+110+75+183.5+127+124.5+1976</f>
        <v>809123.5</v>
      </c>
      <c r="N184" s="290">
        <f>47426+32442+9866+4010+887+225+2185+263+226+460+1077+33+367+887+230+4+139+355+32+35+32+3859+49+8+22+15+68+46+45+659</f>
        <v>105952</v>
      </c>
      <c r="O184" s="294">
        <f>+M184/N184</f>
        <v>7.636698693748112</v>
      </c>
      <c r="P184" s="332">
        <v>1</v>
      </c>
    </row>
    <row r="185" spans="1:16" ht="15">
      <c r="A185" s="66">
        <v>183</v>
      </c>
      <c r="B185" s="368" t="s">
        <v>25</v>
      </c>
      <c r="C185" s="39">
        <v>39808</v>
      </c>
      <c r="D185" s="44" t="s">
        <v>131</v>
      </c>
      <c r="E185" s="44" t="s">
        <v>111</v>
      </c>
      <c r="F185" s="41">
        <v>112</v>
      </c>
      <c r="G185" s="41">
        <v>6</v>
      </c>
      <c r="H185" s="41">
        <v>21</v>
      </c>
      <c r="I185" s="263">
        <v>1946</v>
      </c>
      <c r="J185" s="308">
        <v>831</v>
      </c>
      <c r="K185" s="155">
        <f>J185/G185</f>
        <v>138.5</v>
      </c>
      <c r="L185" s="356">
        <f t="shared" si="9"/>
        <v>2.341756919374248</v>
      </c>
      <c r="M185" s="267">
        <v>2061292</v>
      </c>
      <c r="N185" s="155">
        <v>215946</v>
      </c>
      <c r="O185" s="358">
        <f>+M185/N185</f>
        <v>9.545404869735952</v>
      </c>
      <c r="P185" s="376"/>
    </row>
    <row r="186" spans="1:16" ht="15">
      <c r="A186" s="66">
        <v>184</v>
      </c>
      <c r="B186" s="368" t="s">
        <v>44</v>
      </c>
      <c r="C186" s="39">
        <v>39780</v>
      </c>
      <c r="D186" s="44" t="s">
        <v>131</v>
      </c>
      <c r="E186" s="44" t="s">
        <v>127</v>
      </c>
      <c r="F186" s="41">
        <v>121</v>
      </c>
      <c r="G186" s="41">
        <v>3</v>
      </c>
      <c r="H186" s="41">
        <v>24</v>
      </c>
      <c r="I186" s="267">
        <v>1906</v>
      </c>
      <c r="J186" s="155">
        <v>550</v>
      </c>
      <c r="K186" s="155">
        <f>J186/G186</f>
        <v>183.33333333333334</v>
      </c>
      <c r="L186" s="356">
        <f t="shared" si="9"/>
        <v>3.4654545454545453</v>
      </c>
      <c r="M186" s="267">
        <v>3469497</v>
      </c>
      <c r="N186" s="155">
        <v>409368</v>
      </c>
      <c r="O186" s="358">
        <f>+M186/N186</f>
        <v>8.475252095913701</v>
      </c>
      <c r="P186" s="321"/>
    </row>
    <row r="187" spans="1:16" ht="15">
      <c r="A187" s="66">
        <v>185</v>
      </c>
      <c r="B187" s="293" t="s">
        <v>142</v>
      </c>
      <c r="C187" s="286">
        <v>39794</v>
      </c>
      <c r="D187" s="285" t="s">
        <v>134</v>
      </c>
      <c r="E187" s="285" t="s">
        <v>133</v>
      </c>
      <c r="F187" s="287">
        <v>100</v>
      </c>
      <c r="G187" s="287">
        <v>2</v>
      </c>
      <c r="H187" s="287">
        <v>11</v>
      </c>
      <c r="I187" s="288">
        <v>1904</v>
      </c>
      <c r="J187" s="289">
        <v>524</v>
      </c>
      <c r="K187" s="290">
        <f>(J187/G187)</f>
        <v>262</v>
      </c>
      <c r="L187" s="291">
        <f t="shared" si="9"/>
        <v>3.633587786259542</v>
      </c>
      <c r="M187" s="292">
        <f>1276778.5+626123+380324+112679.5+54533+36086+4129+3620.5+4348+1030+1904</f>
        <v>2501555.5</v>
      </c>
      <c r="N187" s="290">
        <f>133555+68793+41581+14968+8873+6454+539+324+976+204+524</f>
        <v>276791</v>
      </c>
      <c r="O187" s="294">
        <f>M187/N187</f>
        <v>9.03770534446568</v>
      </c>
      <c r="P187" s="333"/>
    </row>
    <row r="188" spans="1:16" ht="15">
      <c r="A188" s="66">
        <v>186</v>
      </c>
      <c r="B188" s="293" t="s">
        <v>70</v>
      </c>
      <c r="C188" s="286">
        <v>39766</v>
      </c>
      <c r="D188" s="285" t="s">
        <v>132</v>
      </c>
      <c r="E188" s="285" t="s">
        <v>202</v>
      </c>
      <c r="F188" s="287">
        <v>2</v>
      </c>
      <c r="G188" s="287">
        <v>2</v>
      </c>
      <c r="H188" s="287">
        <v>14</v>
      </c>
      <c r="I188" s="288">
        <v>1882</v>
      </c>
      <c r="J188" s="289">
        <v>265</v>
      </c>
      <c r="K188" s="290">
        <f>(J188/G188)</f>
        <v>132.5</v>
      </c>
      <c r="L188" s="291">
        <f t="shared" si="9"/>
        <v>7.10188679245283</v>
      </c>
      <c r="M188" s="292">
        <f>191668+16358.5+8305+0.5+19699.5+16705.5+7289+4467+3138+2267+1882</f>
        <v>271780</v>
      </c>
      <c r="N188" s="290">
        <f>10324+8249+7871+7121+4755+3362+1751+2958+2636+1185+800+596+440+265</f>
        <v>52313</v>
      </c>
      <c r="O188" s="294">
        <f>+M188/N188</f>
        <v>5.195266950853516</v>
      </c>
      <c r="P188" s="332"/>
    </row>
    <row r="189" spans="1:16" ht="15">
      <c r="A189" s="66">
        <v>187</v>
      </c>
      <c r="B189" s="293" t="s">
        <v>203</v>
      </c>
      <c r="C189" s="286">
        <v>39808</v>
      </c>
      <c r="D189" s="285" t="s">
        <v>131</v>
      </c>
      <c r="E189" s="285" t="s">
        <v>111</v>
      </c>
      <c r="F189" s="287">
        <v>112</v>
      </c>
      <c r="G189" s="287">
        <v>7</v>
      </c>
      <c r="H189" s="287">
        <v>8</v>
      </c>
      <c r="I189" s="288">
        <v>1869</v>
      </c>
      <c r="J189" s="289">
        <v>598</v>
      </c>
      <c r="K189" s="290">
        <f>J189/G189</f>
        <v>85.42857142857143</v>
      </c>
      <c r="L189" s="291">
        <f>+I189/J189</f>
        <v>3.1254180602006687</v>
      </c>
      <c r="M189" s="292">
        <v>2030509</v>
      </c>
      <c r="N189" s="290">
        <v>208405</v>
      </c>
      <c r="O189" s="294">
        <f>+M189/N189</f>
        <v>9.743091576497685</v>
      </c>
      <c r="P189" s="333">
        <v>1</v>
      </c>
    </row>
    <row r="190" spans="1:16" ht="15">
      <c r="A190" s="66">
        <v>188</v>
      </c>
      <c r="B190" s="293" t="s">
        <v>144</v>
      </c>
      <c r="C190" s="286">
        <v>39801</v>
      </c>
      <c r="D190" s="285" t="s">
        <v>130</v>
      </c>
      <c r="E190" s="285" t="s">
        <v>122</v>
      </c>
      <c r="F190" s="287">
        <v>69</v>
      </c>
      <c r="G190" s="287">
        <v>2</v>
      </c>
      <c r="H190" s="287">
        <v>12</v>
      </c>
      <c r="I190" s="288">
        <v>1821</v>
      </c>
      <c r="J190" s="289">
        <v>386</v>
      </c>
      <c r="K190" s="290">
        <f>J190/G190</f>
        <v>193</v>
      </c>
      <c r="L190" s="291">
        <f>I190/J190</f>
        <v>4.717616580310881</v>
      </c>
      <c r="M190" s="292">
        <f>820286+588484+413907+112495+41441-111+9385+4586+8718+1191+251+1065+1821</f>
        <v>2003519</v>
      </c>
      <c r="N190" s="290">
        <f>83839+57678+42374+12212+5722-11+2124+1350+1256+191+41+182+386</f>
        <v>207344</v>
      </c>
      <c r="O190" s="294">
        <f>+M190/N190</f>
        <v>9.662777799212902</v>
      </c>
      <c r="P190" s="332"/>
    </row>
    <row r="191" spans="1:16" ht="15">
      <c r="A191" s="66">
        <v>189</v>
      </c>
      <c r="B191" s="245" t="s">
        <v>57</v>
      </c>
      <c r="C191" s="241">
        <v>39745</v>
      </c>
      <c r="D191" s="65" t="s">
        <v>131</v>
      </c>
      <c r="E191" s="243" t="s">
        <v>32</v>
      </c>
      <c r="F191" s="41">
        <v>57</v>
      </c>
      <c r="G191" s="41">
        <v>1</v>
      </c>
      <c r="H191" s="41">
        <v>13</v>
      </c>
      <c r="I191" s="307">
        <v>1816</v>
      </c>
      <c r="J191" s="308">
        <v>347</v>
      </c>
      <c r="K191" s="155">
        <f>J191/G191</f>
        <v>347</v>
      </c>
      <c r="L191" s="156">
        <f>+I191/J191</f>
        <v>5.23342939481268</v>
      </c>
      <c r="M191" s="154">
        <v>11692550</v>
      </c>
      <c r="N191" s="155">
        <v>126132</v>
      </c>
      <c r="O191" s="103">
        <f>+M191/N191</f>
        <v>92.70090064377001</v>
      </c>
      <c r="P191" s="331">
        <v>1</v>
      </c>
    </row>
    <row r="192" spans="1:16" ht="15">
      <c r="A192" s="66">
        <v>190</v>
      </c>
      <c r="B192" s="293" t="s">
        <v>194</v>
      </c>
      <c r="C192" s="286">
        <v>39787</v>
      </c>
      <c r="D192" s="285" t="s">
        <v>131</v>
      </c>
      <c r="E192" s="285" t="s">
        <v>138</v>
      </c>
      <c r="F192" s="287">
        <v>406</v>
      </c>
      <c r="G192" s="287">
        <v>7</v>
      </c>
      <c r="H192" s="287">
        <v>10</v>
      </c>
      <c r="I192" s="288">
        <v>1802</v>
      </c>
      <c r="J192" s="289">
        <v>296</v>
      </c>
      <c r="K192" s="290">
        <f>J192/G192</f>
        <v>42.285714285714285</v>
      </c>
      <c r="L192" s="291">
        <f>I192/J192</f>
        <v>6.087837837837838</v>
      </c>
      <c r="M192" s="292">
        <v>30390916</v>
      </c>
      <c r="N192" s="290">
        <v>3700042</v>
      </c>
      <c r="O192" s="294">
        <f>+M192/N192</f>
        <v>8.213667844851491</v>
      </c>
      <c r="P192" s="332"/>
    </row>
    <row r="193" spans="1:16" ht="15">
      <c r="A193" s="66">
        <v>191</v>
      </c>
      <c r="B193" s="293" t="s">
        <v>23</v>
      </c>
      <c r="C193" s="286">
        <v>39808</v>
      </c>
      <c r="D193" s="285" t="s">
        <v>136</v>
      </c>
      <c r="E193" s="285" t="s">
        <v>24</v>
      </c>
      <c r="F193" s="287">
        <v>198</v>
      </c>
      <c r="G193" s="287">
        <v>1</v>
      </c>
      <c r="H193" s="287">
        <v>13</v>
      </c>
      <c r="I193" s="288">
        <v>1782</v>
      </c>
      <c r="J193" s="289">
        <v>356</v>
      </c>
      <c r="K193" s="290">
        <f>IF(I193&lt;&gt;0,J193/G193,"")</f>
        <v>356</v>
      </c>
      <c r="L193" s="291">
        <f>IF(I193&lt;&gt;0,I193/J193,"")</f>
        <v>5.00561797752809</v>
      </c>
      <c r="M193" s="292">
        <v>1759400</v>
      </c>
      <c r="N193" s="290">
        <v>227872</v>
      </c>
      <c r="O193" s="294">
        <f>IF(M193&lt;&gt;0,M193/N193,"")</f>
        <v>7.721001263867434</v>
      </c>
      <c r="P193" s="332"/>
    </row>
    <row r="194" spans="1:16" ht="15">
      <c r="A194" s="66">
        <v>192</v>
      </c>
      <c r="B194" s="293" t="s">
        <v>17</v>
      </c>
      <c r="C194" s="286">
        <v>39717</v>
      </c>
      <c r="D194" s="285" t="s">
        <v>134</v>
      </c>
      <c r="E194" s="285" t="s">
        <v>18</v>
      </c>
      <c r="F194" s="287">
        <v>113</v>
      </c>
      <c r="G194" s="287">
        <v>1</v>
      </c>
      <c r="H194" s="287">
        <v>11</v>
      </c>
      <c r="I194" s="288">
        <v>1780</v>
      </c>
      <c r="J194" s="289">
        <v>445</v>
      </c>
      <c r="K194" s="290">
        <f>(J194/G194)</f>
        <v>445</v>
      </c>
      <c r="L194" s="291">
        <f>I194/J194</f>
        <v>4</v>
      </c>
      <c r="M194" s="292">
        <f>632132.5+337048.5+126471+47854+18242+7477+2804+4752+7760+1424+1780</f>
        <v>1187745</v>
      </c>
      <c r="N194" s="290">
        <f>68536+38225+16179+8425+3627+1827+662+1188+1940+356+445</f>
        <v>141410</v>
      </c>
      <c r="O194" s="294">
        <f>M194/N194</f>
        <v>8.399299908068736</v>
      </c>
      <c r="P194" s="332"/>
    </row>
    <row r="195" spans="1:16" ht="15">
      <c r="A195" s="66">
        <v>193</v>
      </c>
      <c r="B195" s="293" t="s">
        <v>26</v>
      </c>
      <c r="C195" s="286">
        <v>39808</v>
      </c>
      <c r="D195" s="285" t="s">
        <v>134</v>
      </c>
      <c r="E195" s="285" t="s">
        <v>133</v>
      </c>
      <c r="F195" s="287">
        <v>75</v>
      </c>
      <c r="G195" s="287">
        <v>4</v>
      </c>
      <c r="H195" s="287">
        <v>13</v>
      </c>
      <c r="I195" s="288">
        <v>1765</v>
      </c>
      <c r="J195" s="289">
        <v>323</v>
      </c>
      <c r="K195" s="290">
        <f>(J195/G195)</f>
        <v>80.75</v>
      </c>
      <c r="L195" s="291">
        <f>I195/J195</f>
        <v>5.464396284829721</v>
      </c>
      <c r="M195" s="292">
        <f>681566+578530+317284.5+141025.5+34373.5+6375+4225+7402.5+1014+4479+2688+2267+1765</f>
        <v>1782995</v>
      </c>
      <c r="N195" s="290">
        <f>64102+57106+32401+16644+4655+1030+644+1623+143+828+480+469+323</f>
        <v>180448</v>
      </c>
      <c r="O195" s="294">
        <f>M195/N195</f>
        <v>9.880935227877282</v>
      </c>
      <c r="P195" s="332">
        <v>1</v>
      </c>
    </row>
    <row r="196" spans="1:16" ht="15">
      <c r="A196" s="66">
        <v>194</v>
      </c>
      <c r="B196" s="49">
        <v>120</v>
      </c>
      <c r="C196" s="40">
        <v>39493</v>
      </c>
      <c r="D196" s="44" t="s">
        <v>132</v>
      </c>
      <c r="E196" s="44" t="s">
        <v>94</v>
      </c>
      <c r="F196" s="41">
        <v>179</v>
      </c>
      <c r="G196" s="41">
        <v>1</v>
      </c>
      <c r="H196" s="41">
        <v>39</v>
      </c>
      <c r="I196" s="307">
        <v>1758</v>
      </c>
      <c r="J196" s="308">
        <v>586</v>
      </c>
      <c r="K196" s="158">
        <f>(J196/G196)</f>
        <v>586</v>
      </c>
      <c r="L196" s="159">
        <f>I196/J196</f>
        <v>3</v>
      </c>
      <c r="M196" s="154">
        <f>940515+844172.5+750489+533469+396399.5+362067.5+228159+211115.5+153941.5+48+73076.5+60280+47290.5+46690+13789+13717.5+9809+2709.5+1288.5+22597.5+10821.5+12218+7313+44774.5+111294+3629+0.5+41599.5+20470.5+5217-3719.5+10067+1376+10253+13391+15635+48+500+2820+500+666+1758</f>
        <v>5022256.5</v>
      </c>
      <c r="N196" s="155">
        <f>135921+127724+124508+97493+101422+99063+62455+57586+44490+6+19837+19877+15923+15427+4822+4847+3310+822+280+7405+3528+4050+2428+14923+37098+1709+6180+3303+3114+328+3418+4411+5191+12+100+806+100+222+586</f>
        <v>1034725</v>
      </c>
      <c r="O196" s="105">
        <f>M196/N196</f>
        <v>4.853711372586919</v>
      </c>
      <c r="P196" s="330"/>
    </row>
    <row r="197" spans="1:16" ht="15">
      <c r="A197" s="66">
        <v>195</v>
      </c>
      <c r="B197" s="244" t="s">
        <v>97</v>
      </c>
      <c r="C197" s="241">
        <v>39752</v>
      </c>
      <c r="D197" s="243" t="s">
        <v>131</v>
      </c>
      <c r="E197" s="65" t="s">
        <v>124</v>
      </c>
      <c r="F197" s="322">
        <v>45</v>
      </c>
      <c r="G197" s="322">
        <v>2</v>
      </c>
      <c r="H197" s="322">
        <v>11</v>
      </c>
      <c r="I197" s="323">
        <v>1753</v>
      </c>
      <c r="J197" s="324">
        <v>344</v>
      </c>
      <c r="K197" s="325">
        <f>J197/G197</f>
        <v>172</v>
      </c>
      <c r="L197" s="326">
        <f>+I197/J197</f>
        <v>5.09593023255814</v>
      </c>
      <c r="M197" s="327">
        <v>456099</v>
      </c>
      <c r="N197" s="325">
        <v>49688</v>
      </c>
      <c r="O197" s="328">
        <f>+M197/N197</f>
        <v>9.17925857349863</v>
      </c>
      <c r="P197" s="332">
        <v>1</v>
      </c>
    </row>
    <row r="198" spans="1:16" ht="15">
      <c r="A198" s="66">
        <v>196</v>
      </c>
      <c r="B198" s="293" t="s">
        <v>149</v>
      </c>
      <c r="C198" s="286">
        <v>39801</v>
      </c>
      <c r="D198" s="285" t="s">
        <v>4</v>
      </c>
      <c r="E198" s="285" t="s">
        <v>77</v>
      </c>
      <c r="F198" s="287">
        <v>19</v>
      </c>
      <c r="G198" s="287">
        <v>2</v>
      </c>
      <c r="H198" s="287">
        <v>10</v>
      </c>
      <c r="I198" s="288">
        <v>1747</v>
      </c>
      <c r="J198" s="289">
        <v>341</v>
      </c>
      <c r="K198" s="290">
        <f>+J198/G198</f>
        <v>170.5</v>
      </c>
      <c r="L198" s="291">
        <f>I198/J198</f>
        <v>5.12316715542522</v>
      </c>
      <c r="M198" s="292">
        <v>141757</v>
      </c>
      <c r="N198" s="290">
        <v>13583</v>
      </c>
      <c r="O198" s="294">
        <f>+M198/N198</f>
        <v>10.436354266362365</v>
      </c>
      <c r="P198" s="330"/>
    </row>
    <row r="199" spans="1:16" ht="15">
      <c r="A199" s="66">
        <v>197</v>
      </c>
      <c r="B199" s="281" t="s">
        <v>163</v>
      </c>
      <c r="C199" s="40">
        <v>39766</v>
      </c>
      <c r="D199" s="261" t="s">
        <v>164</v>
      </c>
      <c r="E199" s="261" t="s">
        <v>165</v>
      </c>
      <c r="F199" s="262">
        <v>50</v>
      </c>
      <c r="G199" s="262">
        <v>3</v>
      </c>
      <c r="H199" s="262">
        <v>11</v>
      </c>
      <c r="I199" s="278">
        <v>1724</v>
      </c>
      <c r="J199" s="279">
        <v>419</v>
      </c>
      <c r="K199" s="265">
        <f>J199/G199</f>
        <v>139.66666666666666</v>
      </c>
      <c r="L199" s="266">
        <f>I199/J199</f>
        <v>4.114558472553699</v>
      </c>
      <c r="M199" s="280">
        <v>217051</v>
      </c>
      <c r="N199" s="265">
        <v>31055</v>
      </c>
      <c r="O199" s="282">
        <f>M199/N199</f>
        <v>6.989244888101755</v>
      </c>
      <c r="P199" s="331"/>
    </row>
    <row r="200" spans="1:16" ht="15">
      <c r="A200" s="66">
        <v>198</v>
      </c>
      <c r="B200" s="281" t="s">
        <v>28</v>
      </c>
      <c r="C200" s="40">
        <v>39808</v>
      </c>
      <c r="D200" s="261" t="s">
        <v>132</v>
      </c>
      <c r="E200" s="261" t="s">
        <v>29</v>
      </c>
      <c r="F200" s="262">
        <v>3</v>
      </c>
      <c r="G200" s="262">
        <v>3</v>
      </c>
      <c r="H200" s="262">
        <v>5</v>
      </c>
      <c r="I200" s="263">
        <v>1707</v>
      </c>
      <c r="J200" s="264">
        <v>346</v>
      </c>
      <c r="K200" s="271">
        <f>+J200/G200</f>
        <v>115.33333333333333</v>
      </c>
      <c r="L200" s="153">
        <f>+I200/J200</f>
        <v>4.933526011560693</v>
      </c>
      <c r="M200" s="267">
        <f>173290.5+101994+52183.5+11344+1707</f>
        <v>340519</v>
      </c>
      <c r="N200" s="268">
        <f>23989+15166+8100+1911+346</f>
        <v>49512</v>
      </c>
      <c r="O200" s="104">
        <f>+M200/N200</f>
        <v>6.877504443367265</v>
      </c>
      <c r="P200" s="331"/>
    </row>
    <row r="201" spans="1:16" ht="15">
      <c r="A201" s="66">
        <v>199</v>
      </c>
      <c r="B201" s="293" t="s">
        <v>149</v>
      </c>
      <c r="C201" s="286">
        <v>39801</v>
      </c>
      <c r="D201" s="285" t="s">
        <v>4</v>
      </c>
      <c r="E201" s="285" t="s">
        <v>77</v>
      </c>
      <c r="F201" s="287">
        <v>19</v>
      </c>
      <c r="G201" s="287">
        <v>3</v>
      </c>
      <c r="H201" s="287">
        <v>11</v>
      </c>
      <c r="I201" s="288">
        <v>1681</v>
      </c>
      <c r="J201" s="289">
        <v>280</v>
      </c>
      <c r="K201" s="290">
        <f>+J201/G201</f>
        <v>93.33333333333333</v>
      </c>
      <c r="L201" s="291">
        <f>+I201/J201</f>
        <v>6.003571428571429</v>
      </c>
      <c r="M201" s="292">
        <v>143438</v>
      </c>
      <c r="N201" s="290">
        <v>13863</v>
      </c>
      <c r="O201" s="294">
        <f>+M201/N201</f>
        <v>10.346822477097309</v>
      </c>
      <c r="P201" s="330"/>
    </row>
    <row r="202" spans="1:16" ht="15">
      <c r="A202" s="66">
        <v>200</v>
      </c>
      <c r="B202" s="49" t="s">
        <v>44</v>
      </c>
      <c r="C202" s="39">
        <v>39780</v>
      </c>
      <c r="D202" s="44" t="s">
        <v>131</v>
      </c>
      <c r="E202" s="44" t="s">
        <v>127</v>
      </c>
      <c r="F202" s="41">
        <v>121</v>
      </c>
      <c r="G202" s="41">
        <v>5</v>
      </c>
      <c r="H202" s="41">
        <v>21</v>
      </c>
      <c r="I202" s="267">
        <v>1666</v>
      </c>
      <c r="J202" s="155">
        <v>814</v>
      </c>
      <c r="K202" s="155">
        <f>J202/G202</f>
        <v>162.8</v>
      </c>
      <c r="L202" s="356">
        <f>+I202/J202</f>
        <v>2.0466830466830466</v>
      </c>
      <c r="M202" s="267">
        <v>3465467</v>
      </c>
      <c r="N202" s="155">
        <v>408440</v>
      </c>
      <c r="O202" s="358">
        <f>+M202/N202</f>
        <v>8.484641563020272</v>
      </c>
      <c r="P202" s="332"/>
    </row>
    <row r="203" spans="1:16" ht="15">
      <c r="A203" s="66">
        <v>201</v>
      </c>
      <c r="B203" s="49" t="s">
        <v>17</v>
      </c>
      <c r="C203" s="39">
        <v>39717</v>
      </c>
      <c r="D203" s="44" t="s">
        <v>134</v>
      </c>
      <c r="E203" s="44" t="s">
        <v>18</v>
      </c>
      <c r="F203" s="41">
        <v>113</v>
      </c>
      <c r="G203" s="41">
        <v>2</v>
      </c>
      <c r="H203" s="41">
        <v>13</v>
      </c>
      <c r="I203" s="307">
        <v>1664</v>
      </c>
      <c r="J203" s="308">
        <v>416</v>
      </c>
      <c r="K203" s="155">
        <f>(J203/G203)</f>
        <v>208</v>
      </c>
      <c r="L203" s="156">
        <f>I203/J203</f>
        <v>4</v>
      </c>
      <c r="M203" s="154">
        <f>632132.5+337048.5+126471+47854+18242+7477+2804+4752+7760+1424+1780+1664+1664</f>
        <v>1191073</v>
      </c>
      <c r="N203" s="155">
        <f>68536+38225+16179+8425+3627+1827+662+1188+1940+356+445+416+416</f>
        <v>142242</v>
      </c>
      <c r="O203" s="103">
        <f>M203/N203</f>
        <v>8.373567582008127</v>
      </c>
      <c r="P203" s="331">
        <v>1</v>
      </c>
    </row>
    <row r="204" spans="1:16" ht="15">
      <c r="A204" s="66">
        <v>202</v>
      </c>
      <c r="B204" s="293" t="s">
        <v>17</v>
      </c>
      <c r="C204" s="286">
        <v>39717</v>
      </c>
      <c r="D204" s="285" t="s">
        <v>134</v>
      </c>
      <c r="E204" s="285" t="s">
        <v>18</v>
      </c>
      <c r="F204" s="287">
        <v>113</v>
      </c>
      <c r="G204" s="287">
        <v>2</v>
      </c>
      <c r="H204" s="287">
        <v>12</v>
      </c>
      <c r="I204" s="292">
        <v>1664</v>
      </c>
      <c r="J204" s="290">
        <v>416</v>
      </c>
      <c r="K204" s="290">
        <f>(J204/G204)</f>
        <v>208</v>
      </c>
      <c r="L204" s="291">
        <f>I204/J204</f>
        <v>4</v>
      </c>
      <c r="M204" s="292">
        <f>632132.5+337048.5+126471+47854+18242+7477+2804+4752+7760+1424+1780+1664</f>
        <v>1189409</v>
      </c>
      <c r="N204" s="290">
        <f>68536+38225+16179+8425+3627+1827+662+1188+1940+356+445+416</f>
        <v>141826</v>
      </c>
      <c r="O204" s="294">
        <f>M204/N204</f>
        <v>8.386396006374008</v>
      </c>
      <c r="P204" s="331">
        <v>1</v>
      </c>
    </row>
    <row r="205" spans="1:16" ht="15">
      <c r="A205" s="66">
        <v>203</v>
      </c>
      <c r="B205" s="293" t="s">
        <v>205</v>
      </c>
      <c r="C205" s="286">
        <v>39808</v>
      </c>
      <c r="D205" s="285" t="s">
        <v>131</v>
      </c>
      <c r="E205" s="285" t="s">
        <v>124</v>
      </c>
      <c r="F205" s="287">
        <v>34</v>
      </c>
      <c r="G205" s="287">
        <v>2</v>
      </c>
      <c r="H205" s="287">
        <v>11</v>
      </c>
      <c r="I205" s="288">
        <v>1614</v>
      </c>
      <c r="J205" s="289">
        <v>245</v>
      </c>
      <c r="K205" s="290">
        <f>J205/G205</f>
        <v>122.5</v>
      </c>
      <c r="L205" s="291">
        <f>+I205/J205</f>
        <v>6.587755102040816</v>
      </c>
      <c r="M205" s="292">
        <v>805454</v>
      </c>
      <c r="N205" s="290">
        <v>90576</v>
      </c>
      <c r="O205" s="294">
        <f>+M205/N205</f>
        <v>8.892576399929341</v>
      </c>
      <c r="P205" s="345"/>
    </row>
    <row r="206" spans="1:16" ht="15">
      <c r="A206" s="66">
        <v>204</v>
      </c>
      <c r="B206" s="293" t="s">
        <v>139</v>
      </c>
      <c r="C206" s="286">
        <v>39787</v>
      </c>
      <c r="D206" s="285" t="s">
        <v>132</v>
      </c>
      <c r="E206" s="285" t="s">
        <v>140</v>
      </c>
      <c r="F206" s="287">
        <v>1</v>
      </c>
      <c r="G206" s="287">
        <v>1</v>
      </c>
      <c r="H206" s="287">
        <v>12</v>
      </c>
      <c r="I206" s="288">
        <v>1591</v>
      </c>
      <c r="J206" s="289">
        <v>321</v>
      </c>
      <c r="K206" s="290">
        <f>(J206/G206)</f>
        <v>321</v>
      </c>
      <c r="L206" s="291">
        <f>I206/J206</f>
        <v>4.956386292834891</v>
      </c>
      <c r="M206" s="292">
        <f>9280968+4694050.5+1992628+1117778+528440.5+225948.5+100229.5+60712.5+23747.5+18022-1837+3858+1591</f>
        <v>18046137</v>
      </c>
      <c r="N206" s="290">
        <f>1147876+614752+261380+141495+73035+33259+17736+11735+4194+3845-458+781+321</f>
        <v>2309951</v>
      </c>
      <c r="O206" s="294">
        <f>M206/N206</f>
        <v>7.812346235915827</v>
      </c>
      <c r="P206" s="332"/>
    </row>
    <row r="207" spans="1:16" ht="15">
      <c r="A207" s="66">
        <v>205</v>
      </c>
      <c r="B207" s="49" t="s">
        <v>40</v>
      </c>
      <c r="C207" s="40">
        <v>39752</v>
      </c>
      <c r="D207" s="45" t="s">
        <v>134</v>
      </c>
      <c r="E207" s="44" t="s">
        <v>1</v>
      </c>
      <c r="F207" s="41">
        <v>1</v>
      </c>
      <c r="G207" s="41">
        <v>1</v>
      </c>
      <c r="H207" s="41">
        <v>6</v>
      </c>
      <c r="I207" s="303">
        <v>1590</v>
      </c>
      <c r="J207" s="304">
        <v>189</v>
      </c>
      <c r="K207" s="158">
        <f>(J207/G207)</f>
        <v>189</v>
      </c>
      <c r="L207" s="159">
        <f>I207/J207</f>
        <v>8.412698412698413</v>
      </c>
      <c r="M207" s="150">
        <f>5026+4844+3356+2376+712+1590</f>
        <v>17904</v>
      </c>
      <c r="N207" s="151">
        <f>591+575+394+594+178+189</f>
        <v>2521</v>
      </c>
      <c r="O207" s="105">
        <f>M207/N207</f>
        <v>7.101943673145577</v>
      </c>
      <c r="P207" s="330">
        <v>1</v>
      </c>
    </row>
    <row r="208" spans="1:16" ht="15">
      <c r="A208" s="66">
        <v>206</v>
      </c>
      <c r="B208" s="293" t="s">
        <v>44</v>
      </c>
      <c r="C208" s="286">
        <v>39780</v>
      </c>
      <c r="D208" s="285" t="s">
        <v>131</v>
      </c>
      <c r="E208" s="285" t="s">
        <v>286</v>
      </c>
      <c r="F208" s="287">
        <v>121</v>
      </c>
      <c r="G208" s="287">
        <v>2</v>
      </c>
      <c r="H208" s="287">
        <v>19</v>
      </c>
      <c r="I208" s="292">
        <v>1560</v>
      </c>
      <c r="J208" s="290">
        <v>312</v>
      </c>
      <c r="K208" s="290">
        <f>J208/G208</f>
        <v>156</v>
      </c>
      <c r="L208" s="291">
        <f>+I208/J208</f>
        <v>5</v>
      </c>
      <c r="M208" s="292">
        <v>3463366</v>
      </c>
      <c r="N208" s="290">
        <v>407550</v>
      </c>
      <c r="O208" s="294">
        <f>+M208/N208</f>
        <v>8.498014967488652</v>
      </c>
      <c r="P208" s="332"/>
    </row>
    <row r="209" spans="1:16" ht="15">
      <c r="A209" s="66">
        <v>207</v>
      </c>
      <c r="B209" s="53" t="s">
        <v>141</v>
      </c>
      <c r="C209" s="39">
        <v>39780</v>
      </c>
      <c r="D209" s="127" t="s">
        <v>79</v>
      </c>
      <c r="E209" s="127" t="s">
        <v>48</v>
      </c>
      <c r="F209" s="50">
        <v>3</v>
      </c>
      <c r="G209" s="50">
        <v>3</v>
      </c>
      <c r="H209" s="50">
        <v>7</v>
      </c>
      <c r="I209" s="346">
        <v>1556</v>
      </c>
      <c r="J209" s="347">
        <v>247</v>
      </c>
      <c r="K209" s="271">
        <f>IF(I209&lt;&gt;0,J209/G209,"")</f>
        <v>82.33333333333333</v>
      </c>
      <c r="L209" s="215">
        <f>IF(I209&lt;&gt;0,I209/J209,"")</f>
        <v>6.299595141700405</v>
      </c>
      <c r="M209" s="348">
        <v>46731.5</v>
      </c>
      <c r="N209" s="349">
        <v>4603</v>
      </c>
      <c r="O209" s="104">
        <f>IF(M209&lt;&gt;0,M209/N209,"")</f>
        <v>10.152400608298935</v>
      </c>
      <c r="P209" s="332"/>
    </row>
    <row r="210" spans="1:16" ht="15">
      <c r="A210" s="66">
        <v>208</v>
      </c>
      <c r="B210" s="293" t="s">
        <v>53</v>
      </c>
      <c r="C210" s="286">
        <v>39738</v>
      </c>
      <c r="D210" s="285" t="s">
        <v>134</v>
      </c>
      <c r="E210" s="285" t="s">
        <v>54</v>
      </c>
      <c r="F210" s="287">
        <v>67</v>
      </c>
      <c r="G210" s="287">
        <v>2</v>
      </c>
      <c r="H210" s="287">
        <v>18</v>
      </c>
      <c r="I210" s="288">
        <v>1547</v>
      </c>
      <c r="J210" s="289">
        <v>392</v>
      </c>
      <c r="K210" s="290">
        <f>(J210/G210)</f>
        <v>196</v>
      </c>
      <c r="L210" s="291">
        <f>I210/J210</f>
        <v>3.9464285714285716</v>
      </c>
      <c r="M210" s="292">
        <f>167196+176809+54428+37340+38330.5+23467+11581+5867+4382+2577+3552+2137+545+4006+9422+7992+4936+1547</f>
        <v>556114.5</v>
      </c>
      <c r="N210" s="290">
        <f>19168+21164+7719+6215+6404+4964+2339+1306+907+580+859+440+127+905+2170+1822+1050+392</f>
        <v>78531</v>
      </c>
      <c r="O210" s="294">
        <f>+M210/N210</f>
        <v>7.081464644535279</v>
      </c>
      <c r="P210" s="332"/>
    </row>
    <row r="211" spans="1:16" ht="15">
      <c r="A211" s="66">
        <v>209</v>
      </c>
      <c r="B211" s="293" t="s">
        <v>214</v>
      </c>
      <c r="C211" s="286">
        <v>39668</v>
      </c>
      <c r="D211" s="285" t="s">
        <v>134</v>
      </c>
      <c r="E211" s="285" t="s">
        <v>215</v>
      </c>
      <c r="F211" s="287">
        <v>1</v>
      </c>
      <c r="G211" s="287">
        <v>1</v>
      </c>
      <c r="H211" s="287">
        <v>6</v>
      </c>
      <c r="I211" s="288">
        <v>1544</v>
      </c>
      <c r="J211" s="289">
        <v>386</v>
      </c>
      <c r="K211" s="290">
        <f>(J211/G211)</f>
        <v>386</v>
      </c>
      <c r="L211" s="291">
        <f>I211/J211</f>
        <v>4</v>
      </c>
      <c r="M211" s="292">
        <f>3110+2328+234+98+1424+1544</f>
        <v>8738</v>
      </c>
      <c r="N211" s="290">
        <f>365+272+41+14+356+386</f>
        <v>1434</v>
      </c>
      <c r="O211" s="294">
        <f>M211/N211</f>
        <v>6.093444909344491</v>
      </c>
      <c r="P211" s="331">
        <v>1</v>
      </c>
    </row>
    <row r="212" spans="1:16" ht="15">
      <c r="A212" s="66">
        <v>210</v>
      </c>
      <c r="B212" s="293" t="s">
        <v>180</v>
      </c>
      <c r="C212" s="286">
        <v>39675</v>
      </c>
      <c r="D212" s="285" t="s">
        <v>134</v>
      </c>
      <c r="E212" s="285" t="s">
        <v>181</v>
      </c>
      <c r="F212" s="287">
        <v>1</v>
      </c>
      <c r="G212" s="287">
        <v>1</v>
      </c>
      <c r="H212" s="287">
        <v>7</v>
      </c>
      <c r="I212" s="288">
        <v>1544</v>
      </c>
      <c r="J212" s="289">
        <v>386</v>
      </c>
      <c r="K212" s="290">
        <f>(J212/G212)</f>
        <v>386</v>
      </c>
      <c r="L212" s="291">
        <f>I212/J212</f>
        <v>4</v>
      </c>
      <c r="M212" s="292">
        <f>2342+965+725+344+92+189+1544</f>
        <v>6201</v>
      </c>
      <c r="N212" s="290">
        <f>283+144+96+45+14+27+386</f>
        <v>995</v>
      </c>
      <c r="O212" s="294">
        <f>+M212/N212</f>
        <v>6.232160804020101</v>
      </c>
      <c r="P212" s="332"/>
    </row>
    <row r="213" spans="1:16" ht="15">
      <c r="A213" s="66">
        <v>211</v>
      </c>
      <c r="B213" s="293" t="s">
        <v>44</v>
      </c>
      <c r="C213" s="286">
        <v>39780</v>
      </c>
      <c r="D213" s="285" t="s">
        <v>131</v>
      </c>
      <c r="E213" s="285" t="s">
        <v>127</v>
      </c>
      <c r="F213" s="287">
        <v>121</v>
      </c>
      <c r="G213" s="287">
        <v>6</v>
      </c>
      <c r="H213" s="287">
        <v>13</v>
      </c>
      <c r="I213" s="288">
        <v>1513</v>
      </c>
      <c r="J213" s="289">
        <v>509</v>
      </c>
      <c r="K213" s="290">
        <f>J213/G213</f>
        <v>84.83333333333333</v>
      </c>
      <c r="L213" s="291">
        <f>+I213/J213</f>
        <v>2.9724950884086443</v>
      </c>
      <c r="M213" s="292">
        <v>3456579</v>
      </c>
      <c r="N213" s="290">
        <v>406056</v>
      </c>
      <c r="O213" s="294">
        <f>+M213/N213</f>
        <v>8.512567232105916</v>
      </c>
      <c r="P213" s="330"/>
    </row>
    <row r="214" spans="1:16" ht="15">
      <c r="A214" s="66">
        <v>212</v>
      </c>
      <c r="B214" s="293" t="s">
        <v>149</v>
      </c>
      <c r="C214" s="286">
        <v>39801</v>
      </c>
      <c r="D214" s="285" t="s">
        <v>4</v>
      </c>
      <c r="E214" s="285" t="s">
        <v>77</v>
      </c>
      <c r="F214" s="287">
        <v>19</v>
      </c>
      <c r="G214" s="287">
        <v>5</v>
      </c>
      <c r="H214" s="287">
        <v>12</v>
      </c>
      <c r="I214" s="288">
        <v>1502</v>
      </c>
      <c r="J214" s="289">
        <v>260</v>
      </c>
      <c r="K214" s="290">
        <f>J214/G214</f>
        <v>52</v>
      </c>
      <c r="L214" s="291">
        <f>I214/J214</f>
        <v>5.776923076923077</v>
      </c>
      <c r="M214" s="292">
        <v>144940</v>
      </c>
      <c r="N214" s="290">
        <v>14123</v>
      </c>
      <c r="O214" s="294">
        <f>+M214/N214</f>
        <v>10.262692062592933</v>
      </c>
      <c r="P214" s="332"/>
    </row>
    <row r="215" spans="1:16" ht="15">
      <c r="A215" s="66">
        <v>213</v>
      </c>
      <c r="B215" s="293" t="s">
        <v>216</v>
      </c>
      <c r="C215" s="286">
        <v>39710</v>
      </c>
      <c r="D215" s="285" t="s">
        <v>134</v>
      </c>
      <c r="E215" s="285" t="s">
        <v>1</v>
      </c>
      <c r="F215" s="287">
        <v>1</v>
      </c>
      <c r="G215" s="287">
        <v>1</v>
      </c>
      <c r="H215" s="287">
        <v>11</v>
      </c>
      <c r="I215" s="288">
        <v>1484</v>
      </c>
      <c r="J215" s="289">
        <v>371</v>
      </c>
      <c r="K215" s="290">
        <f>(J215/G215)</f>
        <v>371</v>
      </c>
      <c r="L215" s="291">
        <f>I215/J215</f>
        <v>4</v>
      </c>
      <c r="M215" s="292">
        <f>11305+5960+2538+2056+455+891+1621+1302+712+1484+1484</f>
        <v>29808</v>
      </c>
      <c r="N215" s="290">
        <f>835+676+295+239+136+275+187+148+178+371+371</f>
        <v>3711</v>
      </c>
      <c r="O215" s="294">
        <f>M215/N215</f>
        <v>8.032336297493936</v>
      </c>
      <c r="P215" s="331"/>
    </row>
    <row r="216" spans="1:16" ht="15">
      <c r="A216" s="66">
        <v>214</v>
      </c>
      <c r="B216" s="293" t="s">
        <v>216</v>
      </c>
      <c r="C216" s="286">
        <v>39710</v>
      </c>
      <c r="D216" s="285" t="s">
        <v>134</v>
      </c>
      <c r="E216" s="285" t="s">
        <v>1</v>
      </c>
      <c r="F216" s="287">
        <v>1</v>
      </c>
      <c r="G216" s="287">
        <v>1</v>
      </c>
      <c r="H216" s="287">
        <v>10</v>
      </c>
      <c r="I216" s="288">
        <v>1484</v>
      </c>
      <c r="J216" s="289">
        <v>371</v>
      </c>
      <c r="K216" s="290">
        <f>(J216/G216)</f>
        <v>371</v>
      </c>
      <c r="L216" s="291">
        <f>I216/J216</f>
        <v>4</v>
      </c>
      <c r="M216" s="292">
        <f>11305+5960+2538+2056+455+891+1621+1302+712+1484</f>
        <v>28324</v>
      </c>
      <c r="N216" s="290">
        <f>835+676+295+239+136+275+187+148+178+371</f>
        <v>3340</v>
      </c>
      <c r="O216" s="294">
        <f>M216/N216</f>
        <v>8.480239520958083</v>
      </c>
      <c r="P216" s="332">
        <v>1</v>
      </c>
    </row>
    <row r="217" spans="1:16" ht="15">
      <c r="A217" s="66">
        <v>215</v>
      </c>
      <c r="B217" s="49" t="s">
        <v>45</v>
      </c>
      <c r="C217" s="40">
        <v>39780</v>
      </c>
      <c r="D217" s="45" t="s">
        <v>134</v>
      </c>
      <c r="E217" s="44" t="s">
        <v>78</v>
      </c>
      <c r="F217" s="41">
        <v>61</v>
      </c>
      <c r="G217" s="41">
        <v>2</v>
      </c>
      <c r="H217" s="41">
        <v>8</v>
      </c>
      <c r="I217" s="303">
        <v>1470</v>
      </c>
      <c r="J217" s="304">
        <v>224</v>
      </c>
      <c r="K217" s="158">
        <f>(J217/G217)</f>
        <v>112</v>
      </c>
      <c r="L217" s="159">
        <f>I217/J217</f>
        <v>6.5625</v>
      </c>
      <c r="M217" s="150">
        <f>499000.5+313125.5+89561.5+27980+2002.5+4772+1387+1470</f>
        <v>939299</v>
      </c>
      <c r="N217" s="151">
        <f>48458+27725+9315+4737+330+944+309+224</f>
        <v>92042</v>
      </c>
      <c r="O217" s="105">
        <f>M217/N217</f>
        <v>10.205112883248951</v>
      </c>
      <c r="P217" s="332">
        <v>1</v>
      </c>
    </row>
    <row r="218" spans="1:16" ht="15">
      <c r="A218" s="66">
        <v>216</v>
      </c>
      <c r="B218" s="232" t="s">
        <v>68</v>
      </c>
      <c r="C218" s="216">
        <v>39759</v>
      </c>
      <c r="D218" s="217" t="s">
        <v>136</v>
      </c>
      <c r="E218" s="217" t="s">
        <v>31</v>
      </c>
      <c r="F218" s="218">
        <v>40</v>
      </c>
      <c r="G218" s="218">
        <v>3</v>
      </c>
      <c r="H218" s="218">
        <v>10</v>
      </c>
      <c r="I218" s="311">
        <v>1450</v>
      </c>
      <c r="J218" s="312">
        <v>318</v>
      </c>
      <c r="K218" s="219">
        <f>IF(I218&lt;&gt;0,J218/G218,"")</f>
        <v>106</v>
      </c>
      <c r="L218" s="220">
        <f>IF(I218&lt;&gt;0,I218/J218,"")</f>
        <v>4.559748427672956</v>
      </c>
      <c r="M218" s="221">
        <f>84918+52341+11404+7823+3207+2014+937+2034+556+1450</f>
        <v>166684</v>
      </c>
      <c r="N218" s="222">
        <f>10694+7043+2046+1560+538+345+174+389+77+318</f>
        <v>23184</v>
      </c>
      <c r="O218" s="237">
        <f>IF(M218&lt;&gt;0,M218/N218,"")</f>
        <v>7.1896135265700485</v>
      </c>
      <c r="P218" s="330">
        <v>1</v>
      </c>
    </row>
    <row r="219" spans="1:16" ht="15">
      <c r="A219" s="66">
        <v>217</v>
      </c>
      <c r="B219" s="293" t="s">
        <v>69</v>
      </c>
      <c r="C219" s="286">
        <v>39766</v>
      </c>
      <c r="D219" s="285" t="s">
        <v>134</v>
      </c>
      <c r="E219" s="285" t="s">
        <v>50</v>
      </c>
      <c r="F219" s="287">
        <v>20</v>
      </c>
      <c r="G219" s="287">
        <v>3</v>
      </c>
      <c r="H219" s="287">
        <v>15</v>
      </c>
      <c r="I219" s="288">
        <v>1447</v>
      </c>
      <c r="J219" s="289">
        <v>229</v>
      </c>
      <c r="K219" s="290">
        <f>(J219/G219)</f>
        <v>76.33333333333333</v>
      </c>
      <c r="L219" s="291">
        <f>I219/J219</f>
        <v>6.318777292576419</v>
      </c>
      <c r="M219" s="292">
        <f>109364.5+38539+31287+12101+5368+8640.5+12331+9410+9143+5719+2775+1424+1017+338+1223+1447</f>
        <v>250127</v>
      </c>
      <c r="N219" s="290">
        <f>11866+4674+4443+2133+1061+1670+2334+1542+1728+1224+544+356+207+68+185+229</f>
        <v>34264</v>
      </c>
      <c r="O219" s="294">
        <f>M219/N219</f>
        <v>7.299994162969881</v>
      </c>
      <c r="P219" s="332">
        <v>1</v>
      </c>
    </row>
    <row r="220" spans="1:16" ht="15">
      <c r="A220" s="66">
        <v>218</v>
      </c>
      <c r="B220" s="293" t="s">
        <v>216</v>
      </c>
      <c r="C220" s="286">
        <v>39710</v>
      </c>
      <c r="D220" s="285" t="s">
        <v>134</v>
      </c>
      <c r="E220" s="285" t="s">
        <v>1</v>
      </c>
      <c r="F220" s="287">
        <v>1</v>
      </c>
      <c r="G220" s="287">
        <v>1</v>
      </c>
      <c r="H220" s="287">
        <v>12</v>
      </c>
      <c r="I220" s="288">
        <v>1424</v>
      </c>
      <c r="J220" s="289">
        <v>356</v>
      </c>
      <c r="K220" s="290">
        <f>(J220/G220)</f>
        <v>356</v>
      </c>
      <c r="L220" s="291">
        <f>I220/J220</f>
        <v>4</v>
      </c>
      <c r="M220" s="292">
        <f>11305+5960+2538+2056+455+891+1621+1302+712+1484+1484+1424</f>
        <v>31232</v>
      </c>
      <c r="N220" s="290">
        <f>835+676+295+239+136+275+187+148+178+371+371+356</f>
        <v>4067</v>
      </c>
      <c r="O220" s="294">
        <f>M220/N220</f>
        <v>7.679370543398083</v>
      </c>
      <c r="P220" s="331"/>
    </row>
    <row r="221" spans="1:16" ht="15">
      <c r="A221" s="66">
        <v>219</v>
      </c>
      <c r="B221" s="293" t="s">
        <v>69</v>
      </c>
      <c r="C221" s="286">
        <v>39766</v>
      </c>
      <c r="D221" s="285" t="s">
        <v>134</v>
      </c>
      <c r="E221" s="285" t="s">
        <v>50</v>
      </c>
      <c r="F221" s="287">
        <v>20</v>
      </c>
      <c r="G221" s="287">
        <v>1</v>
      </c>
      <c r="H221" s="287">
        <v>12</v>
      </c>
      <c r="I221" s="288">
        <v>1424</v>
      </c>
      <c r="J221" s="289">
        <v>356</v>
      </c>
      <c r="K221" s="290">
        <f>(J221/G221)</f>
        <v>356</v>
      </c>
      <c r="L221" s="291">
        <f>I221/J221</f>
        <v>4</v>
      </c>
      <c r="M221" s="292">
        <f>109364.5+38539+31287+12101+5368+8640.5+12331+9410+9143+5719+2775+1424</f>
        <v>246102</v>
      </c>
      <c r="N221" s="290">
        <f>11866+4674+4443+2133+1061+1670+2334+1542+1728+1224+544+356</f>
        <v>33575</v>
      </c>
      <c r="O221" s="294">
        <f>+M221/N221</f>
        <v>7.329918093819806</v>
      </c>
      <c r="P221" s="332">
        <v>1</v>
      </c>
    </row>
    <row r="222" spans="1:16" ht="15">
      <c r="A222" s="66">
        <v>220</v>
      </c>
      <c r="B222" s="49" t="s">
        <v>17</v>
      </c>
      <c r="C222" s="40">
        <v>39717</v>
      </c>
      <c r="D222" s="45" t="s">
        <v>134</v>
      </c>
      <c r="E222" s="44" t="s">
        <v>18</v>
      </c>
      <c r="F222" s="41">
        <v>113</v>
      </c>
      <c r="G222" s="41">
        <v>1</v>
      </c>
      <c r="H222" s="41">
        <v>10</v>
      </c>
      <c r="I222" s="303">
        <v>1424</v>
      </c>
      <c r="J222" s="304">
        <v>356</v>
      </c>
      <c r="K222" s="158">
        <f>(J222/G222)</f>
        <v>356</v>
      </c>
      <c r="L222" s="159">
        <f>I222/J222</f>
        <v>4</v>
      </c>
      <c r="M222" s="150">
        <f>632132.5+337048.5+126471+47854+18242+7477+2804+4752+7760+1424</f>
        <v>1185965</v>
      </c>
      <c r="N222" s="151">
        <f>68536+38225+16179+8425+3627+1827+662+1188+1940+356</f>
        <v>140965</v>
      </c>
      <c r="O222" s="105">
        <f>M222/N222</f>
        <v>8.4131876706984</v>
      </c>
      <c r="P222" s="331"/>
    </row>
    <row r="223" spans="1:16" ht="15">
      <c r="A223" s="66">
        <v>221</v>
      </c>
      <c r="B223" s="293" t="s">
        <v>217</v>
      </c>
      <c r="C223" s="286">
        <v>39808</v>
      </c>
      <c r="D223" s="285" t="s">
        <v>131</v>
      </c>
      <c r="E223" s="285" t="s">
        <v>111</v>
      </c>
      <c r="F223" s="287">
        <v>112</v>
      </c>
      <c r="G223" s="287">
        <v>5</v>
      </c>
      <c r="H223" s="287">
        <v>9</v>
      </c>
      <c r="I223" s="288">
        <v>1412</v>
      </c>
      <c r="J223" s="289">
        <v>274</v>
      </c>
      <c r="K223" s="290">
        <f>J223/G223</f>
        <v>54.8</v>
      </c>
      <c r="L223" s="291">
        <f>+I223/J223</f>
        <v>5.153284671532846</v>
      </c>
      <c r="M223" s="292">
        <v>208679</v>
      </c>
      <c r="N223" s="290">
        <v>208405</v>
      </c>
      <c r="O223" s="294">
        <f>+M223/N223</f>
        <v>1.001314747726782</v>
      </c>
      <c r="P223" s="331">
        <v>1</v>
      </c>
    </row>
    <row r="224" spans="1:16" ht="15">
      <c r="A224" s="66">
        <v>222</v>
      </c>
      <c r="B224" s="293" t="s">
        <v>64</v>
      </c>
      <c r="C224" s="286">
        <v>39759</v>
      </c>
      <c r="D224" s="285" t="s">
        <v>65</v>
      </c>
      <c r="E224" s="285" t="s">
        <v>66</v>
      </c>
      <c r="F224" s="287">
        <v>2</v>
      </c>
      <c r="G224" s="287">
        <v>2</v>
      </c>
      <c r="H224" s="287">
        <v>22</v>
      </c>
      <c r="I224" s="292">
        <v>1396</v>
      </c>
      <c r="J224" s="290">
        <v>171</v>
      </c>
      <c r="K224" s="290">
        <f>J224/G224</f>
        <v>85.5</v>
      </c>
      <c r="L224" s="291">
        <f aca="true" t="shared" si="10" ref="L224:L229">I224/J224</f>
        <v>8.163742690058479</v>
      </c>
      <c r="M224" s="292">
        <v>23372742.5</v>
      </c>
      <c r="N224" s="290">
        <v>2779988</v>
      </c>
      <c r="O224" s="294">
        <f>+M224/N224</f>
        <v>8.407497622291896</v>
      </c>
      <c r="P224" s="330">
        <v>1</v>
      </c>
    </row>
    <row r="225" spans="1:16" ht="15">
      <c r="A225" s="66">
        <v>223</v>
      </c>
      <c r="B225" s="234" t="s">
        <v>45</v>
      </c>
      <c r="C225" s="229">
        <v>39780</v>
      </c>
      <c r="D225" s="217" t="s">
        <v>134</v>
      </c>
      <c r="E225" s="227" t="s">
        <v>78</v>
      </c>
      <c r="F225" s="228">
        <v>61</v>
      </c>
      <c r="G225" s="228">
        <v>3</v>
      </c>
      <c r="H225" s="228">
        <v>7</v>
      </c>
      <c r="I225" s="297">
        <v>1387</v>
      </c>
      <c r="J225" s="298">
        <v>309</v>
      </c>
      <c r="K225" s="223">
        <f>(J225/G225)</f>
        <v>103</v>
      </c>
      <c r="L225" s="224">
        <f t="shared" si="10"/>
        <v>4.488673139158576</v>
      </c>
      <c r="M225" s="225">
        <f>499000.5+313125.5+89561.5+27980+2002.5+4772+1387</f>
        <v>937829</v>
      </c>
      <c r="N225" s="226">
        <f>48458+27725+9315+4737+330+944+309</f>
        <v>91818</v>
      </c>
      <c r="O225" s="233">
        <f>M225/N225</f>
        <v>10.213999433662245</v>
      </c>
      <c r="P225" s="332"/>
    </row>
    <row r="226" spans="1:16" ht="15">
      <c r="A226" s="66">
        <v>224</v>
      </c>
      <c r="B226" s="293" t="s">
        <v>45</v>
      </c>
      <c r="C226" s="286">
        <v>39780</v>
      </c>
      <c r="D226" s="285" t="s">
        <v>134</v>
      </c>
      <c r="E226" s="285" t="s">
        <v>78</v>
      </c>
      <c r="F226" s="287">
        <v>61</v>
      </c>
      <c r="G226" s="287">
        <v>1</v>
      </c>
      <c r="H226" s="287">
        <v>10</v>
      </c>
      <c r="I226" s="288">
        <v>1387</v>
      </c>
      <c r="J226" s="289">
        <v>250</v>
      </c>
      <c r="K226" s="290">
        <f>(J226/G226)</f>
        <v>250</v>
      </c>
      <c r="L226" s="291">
        <f t="shared" si="10"/>
        <v>5.548</v>
      </c>
      <c r="M226" s="292">
        <f>499000.5+313125.5+89561.5+27980+2002.5+4772+1387+1470+1387+1387</f>
        <v>942073</v>
      </c>
      <c r="N226" s="290">
        <f>48458+27725+9315+4737+330+944+309+224+175+250</f>
        <v>92467</v>
      </c>
      <c r="O226" s="294">
        <f>M226/N226</f>
        <v>10.188207684903803</v>
      </c>
      <c r="P226" s="332"/>
    </row>
    <row r="227" spans="1:16" ht="15">
      <c r="A227" s="66">
        <v>225</v>
      </c>
      <c r="B227" s="281" t="s">
        <v>45</v>
      </c>
      <c r="C227" s="40">
        <v>39780</v>
      </c>
      <c r="D227" s="127" t="s">
        <v>134</v>
      </c>
      <c r="E227" s="261" t="s">
        <v>78</v>
      </c>
      <c r="F227" s="262">
        <v>61</v>
      </c>
      <c r="G227" s="262">
        <v>2</v>
      </c>
      <c r="H227" s="262">
        <v>9</v>
      </c>
      <c r="I227" s="273">
        <v>1387</v>
      </c>
      <c r="J227" s="274">
        <v>175</v>
      </c>
      <c r="K227" s="275">
        <f>(J227/G227)</f>
        <v>87.5</v>
      </c>
      <c r="L227" s="159">
        <f t="shared" si="10"/>
        <v>7.925714285714286</v>
      </c>
      <c r="M227" s="276">
        <f>499000.5+313125.5+89561.5+27980+2002.5+4772+1387+1470+1387</f>
        <v>940686</v>
      </c>
      <c r="N227" s="277">
        <f>48458+27725+9315+4737+330+944+309+224+175</f>
        <v>92217</v>
      </c>
      <c r="O227" s="105">
        <f>M227/N227</f>
        <v>10.20078727349621</v>
      </c>
      <c r="P227" s="332">
        <v>1</v>
      </c>
    </row>
    <row r="228" spans="1:16" ht="15">
      <c r="A228" s="66">
        <v>226</v>
      </c>
      <c r="B228" s="293" t="s">
        <v>273</v>
      </c>
      <c r="C228" s="286">
        <v>39724</v>
      </c>
      <c r="D228" s="285" t="s">
        <v>132</v>
      </c>
      <c r="E228" s="285" t="s">
        <v>107</v>
      </c>
      <c r="F228" s="287">
        <v>1</v>
      </c>
      <c r="G228" s="287">
        <v>1</v>
      </c>
      <c r="H228" s="287">
        <v>13</v>
      </c>
      <c r="I228" s="292">
        <v>1363</v>
      </c>
      <c r="J228" s="290">
        <v>227</v>
      </c>
      <c r="K228" s="290">
        <f>J228/G228</f>
        <v>227</v>
      </c>
      <c r="L228" s="291">
        <f t="shared" si="10"/>
        <v>6.004405286343612</v>
      </c>
      <c r="M228" s="292">
        <f>192113+96740+52854+14954+6896+10470+13434+2509+289+62+1274+1363</f>
        <v>392958</v>
      </c>
      <c r="N228" s="290">
        <f>19993+10602+7693+2633+1151+1896+3059+485+49+7+235+227</f>
        <v>48030</v>
      </c>
      <c r="O228" s="294">
        <f>+M228/N228</f>
        <v>8.181511555277952</v>
      </c>
      <c r="P228" s="345">
        <v>1</v>
      </c>
    </row>
    <row r="229" spans="1:16" ht="15">
      <c r="A229" s="66">
        <v>227</v>
      </c>
      <c r="B229" s="48" t="s">
        <v>41</v>
      </c>
      <c r="C229" s="39">
        <v>39745</v>
      </c>
      <c r="D229" s="43" t="s">
        <v>130</v>
      </c>
      <c r="E229" s="42" t="s">
        <v>35</v>
      </c>
      <c r="F229" s="54">
        <v>202</v>
      </c>
      <c r="G229" s="54">
        <v>1</v>
      </c>
      <c r="H229" s="54">
        <v>12</v>
      </c>
      <c r="I229" s="303">
        <v>1334</v>
      </c>
      <c r="J229" s="304">
        <v>265</v>
      </c>
      <c r="K229" s="158">
        <f>J229/G229</f>
        <v>265</v>
      </c>
      <c r="L229" s="159">
        <f t="shared" si="10"/>
        <v>5.033962264150944</v>
      </c>
      <c r="M229" s="150">
        <f>2979211+551475+289248+35506+23768+5044+549+3932+1192+2189+1334</f>
        <v>3893448</v>
      </c>
      <c r="N229" s="151">
        <f>374252+72341+40702+5164+4326+1290+108+783+296+433+265</f>
        <v>499960</v>
      </c>
      <c r="O229" s="105">
        <f>+M229/N229</f>
        <v>7.787519001520121</v>
      </c>
      <c r="P229" s="332"/>
    </row>
    <row r="230" spans="1:16" ht="15">
      <c r="A230" s="66">
        <v>228</v>
      </c>
      <c r="B230" s="53" t="s">
        <v>56</v>
      </c>
      <c r="C230" s="39">
        <v>39745</v>
      </c>
      <c r="D230" s="127" t="s">
        <v>136</v>
      </c>
      <c r="E230" s="127" t="s">
        <v>46</v>
      </c>
      <c r="F230" s="50">
        <v>104</v>
      </c>
      <c r="G230" s="50">
        <v>3</v>
      </c>
      <c r="H230" s="50">
        <v>14</v>
      </c>
      <c r="I230" s="269">
        <v>1323</v>
      </c>
      <c r="J230" s="270">
        <v>195</v>
      </c>
      <c r="K230" s="271">
        <f>IF(I230&lt;&gt;0,J230/G230,"")</f>
        <v>65</v>
      </c>
      <c r="L230" s="153">
        <f>IF(I230&lt;&gt;0,I230/J230,"")</f>
        <v>6.7846153846153845</v>
      </c>
      <c r="M230" s="272">
        <f>821522+622841.5+494230+434015.5+185757.5+145248.5+16130+16159+2033+6489+4346+3565+2540+1323</f>
        <v>2756200</v>
      </c>
      <c r="N230" s="268">
        <f>99216+78381+65128+58419+30420+24530+3077+3918+431+1704+1003+785+507+195</f>
        <v>367714</v>
      </c>
      <c r="O230" s="104">
        <f>IF(M230&lt;&gt;0,M230/N230,"")</f>
        <v>7.495499219502113</v>
      </c>
      <c r="P230" s="345">
        <v>1</v>
      </c>
    </row>
    <row r="231" spans="1:16" ht="15">
      <c r="A231" s="66">
        <v>229</v>
      </c>
      <c r="B231" s="281" t="s">
        <v>57</v>
      </c>
      <c r="C231" s="40">
        <v>39745</v>
      </c>
      <c r="D231" s="261" t="s">
        <v>131</v>
      </c>
      <c r="E231" s="261" t="s">
        <v>166</v>
      </c>
      <c r="F231" s="262">
        <v>57</v>
      </c>
      <c r="G231" s="262">
        <v>3</v>
      </c>
      <c r="H231" s="262">
        <v>14</v>
      </c>
      <c r="I231" s="263">
        <v>1302</v>
      </c>
      <c r="J231" s="264">
        <v>805</v>
      </c>
      <c r="K231" s="268">
        <f>J231/G231</f>
        <v>268.3333333333333</v>
      </c>
      <c r="L231" s="156">
        <f>+I231/J231</f>
        <v>1.617391304347826</v>
      </c>
      <c r="M231" s="267">
        <v>1170552</v>
      </c>
      <c r="N231" s="268">
        <v>126937</v>
      </c>
      <c r="O231" s="103">
        <f>+M231/N231</f>
        <v>9.221519336363707</v>
      </c>
      <c r="P231" s="332">
        <v>1</v>
      </c>
    </row>
    <row r="232" spans="1:16" ht="15">
      <c r="A232" s="66">
        <v>230</v>
      </c>
      <c r="B232" s="293" t="s">
        <v>70</v>
      </c>
      <c r="C232" s="286">
        <v>39766</v>
      </c>
      <c r="D232" s="285" t="s">
        <v>132</v>
      </c>
      <c r="E232" s="285" t="s">
        <v>202</v>
      </c>
      <c r="F232" s="287">
        <v>2</v>
      </c>
      <c r="G232" s="287">
        <v>2</v>
      </c>
      <c r="H232" s="287">
        <v>17</v>
      </c>
      <c r="I232" s="288">
        <v>1289</v>
      </c>
      <c r="J232" s="289">
        <v>202</v>
      </c>
      <c r="K232" s="290">
        <f>J232/G232</f>
        <v>101</v>
      </c>
      <c r="L232" s="291">
        <f aca="true" t="shared" si="11" ref="L232:L245">I232/J232</f>
        <v>6.381188118811881</v>
      </c>
      <c r="M232" s="292">
        <f>191668+16358.5+8305+0.5+19699.5+16705.5+7289+4467+3138+2267+1882+6536+9273+1289</f>
        <v>288878</v>
      </c>
      <c r="N232" s="290">
        <f>10324+8249+7871+7121+4755+3362+1751+2958+2636+1185+800+596+440+265+961+1648+202</f>
        <v>55124</v>
      </c>
      <c r="O232" s="294">
        <f>+M232/N232</f>
        <v>5.240512299542849</v>
      </c>
      <c r="P232" s="330">
        <v>1</v>
      </c>
    </row>
    <row r="233" spans="1:16" ht="15">
      <c r="A233" s="66">
        <v>231</v>
      </c>
      <c r="B233" s="293" t="s">
        <v>47</v>
      </c>
      <c r="C233" s="286">
        <v>39780</v>
      </c>
      <c r="D233" s="285" t="s">
        <v>134</v>
      </c>
      <c r="E233" s="285" t="s">
        <v>236</v>
      </c>
      <c r="F233" s="287">
        <v>6</v>
      </c>
      <c r="G233" s="287">
        <v>1</v>
      </c>
      <c r="H233" s="287">
        <v>10</v>
      </c>
      <c r="I233" s="288">
        <v>1289</v>
      </c>
      <c r="J233" s="289">
        <v>142</v>
      </c>
      <c r="K233" s="290">
        <f>(J233/G233)</f>
        <v>142</v>
      </c>
      <c r="L233" s="291">
        <f t="shared" si="11"/>
        <v>9.077464788732394</v>
      </c>
      <c r="M233" s="292">
        <f>25457+3030+1123+7370+430+997+6202+886+691.5+1289</f>
        <v>47475.5</v>
      </c>
      <c r="N233" s="290">
        <f>2151+404+165+1079+59+230+1523+213+105+142</f>
        <v>6071</v>
      </c>
      <c r="O233" s="294">
        <f>M233/N233</f>
        <v>7.820046120902652</v>
      </c>
      <c r="P233" s="331">
        <v>1</v>
      </c>
    </row>
    <row r="234" spans="1:16" ht="15">
      <c r="A234" s="66">
        <v>232</v>
      </c>
      <c r="B234" s="49" t="s">
        <v>53</v>
      </c>
      <c r="C234" s="39">
        <v>39738</v>
      </c>
      <c r="D234" s="44" t="s">
        <v>134</v>
      </c>
      <c r="E234" s="44" t="s">
        <v>54</v>
      </c>
      <c r="F234" s="41">
        <v>67</v>
      </c>
      <c r="G234" s="41">
        <v>3</v>
      </c>
      <c r="H234" s="41">
        <v>23</v>
      </c>
      <c r="I234" s="307">
        <v>1282</v>
      </c>
      <c r="J234" s="308">
        <v>411</v>
      </c>
      <c r="K234" s="155">
        <f>(J234/G234)</f>
        <v>137</v>
      </c>
      <c r="L234" s="156">
        <f t="shared" si="11"/>
        <v>3.119221411192214</v>
      </c>
      <c r="M234" s="154">
        <f>167196+176809+54428+37340+38330.5+23467+11581+5867+4382+2577+3552+2137+545+4006+9422+7992+4936+1547+1147+288+371+2842+1282</f>
        <v>562044.5</v>
      </c>
      <c r="N234" s="155">
        <f>19168+21164+7719+6215+6404+4964+2339+1306+907+580+859+440+127+905+2170+1822+1050+392+333+56+73+734+411</f>
        <v>80138</v>
      </c>
      <c r="O234" s="103">
        <f>M234/N234</f>
        <v>7.0134580348898155</v>
      </c>
      <c r="P234" s="330"/>
    </row>
    <row r="235" spans="1:16" ht="15">
      <c r="A235" s="66">
        <v>233</v>
      </c>
      <c r="B235" s="48" t="s">
        <v>62</v>
      </c>
      <c r="C235" s="39">
        <v>39689</v>
      </c>
      <c r="D235" s="43" t="s">
        <v>130</v>
      </c>
      <c r="E235" s="42" t="s">
        <v>63</v>
      </c>
      <c r="F235" s="54">
        <v>100</v>
      </c>
      <c r="G235" s="54">
        <v>2</v>
      </c>
      <c r="H235" s="54">
        <v>11</v>
      </c>
      <c r="I235" s="303">
        <v>1278</v>
      </c>
      <c r="J235" s="304">
        <v>206</v>
      </c>
      <c r="K235" s="158">
        <f>J235/G235</f>
        <v>103</v>
      </c>
      <c r="L235" s="159">
        <f t="shared" si="11"/>
        <v>6.203883495145631</v>
      </c>
      <c r="M235" s="150">
        <f>17818+1364876+864151+384239+240974+16635+2871+5064-50+5187+276+2654+1278</f>
        <v>2905973</v>
      </c>
      <c r="N235" s="151">
        <f>1487+139515+89937+39711+26370+2302+499+787-9+1471+55+1243+206</f>
        <v>303574</v>
      </c>
      <c r="O235" s="105">
        <f>+M235/N235</f>
        <v>9.572535856166866</v>
      </c>
      <c r="P235" s="332"/>
    </row>
    <row r="236" spans="1:16" ht="15">
      <c r="A236" s="66">
        <v>234</v>
      </c>
      <c r="B236" s="293" t="s">
        <v>273</v>
      </c>
      <c r="C236" s="286">
        <v>39724</v>
      </c>
      <c r="D236" s="285" t="s">
        <v>132</v>
      </c>
      <c r="E236" s="285" t="s">
        <v>107</v>
      </c>
      <c r="F236" s="287">
        <v>40</v>
      </c>
      <c r="G236" s="287">
        <v>1</v>
      </c>
      <c r="H236" s="287">
        <v>11</v>
      </c>
      <c r="I236" s="288">
        <v>1274</v>
      </c>
      <c r="J236" s="289">
        <v>235</v>
      </c>
      <c r="K236" s="290">
        <f>J236/G236</f>
        <v>235</v>
      </c>
      <c r="L236" s="291">
        <f t="shared" si="11"/>
        <v>5.421276595744681</v>
      </c>
      <c r="M236" s="292">
        <v>391595</v>
      </c>
      <c r="N236" s="290">
        <v>47803</v>
      </c>
      <c r="O236" s="294">
        <f>+M236/N236</f>
        <v>8.1918498838985</v>
      </c>
      <c r="P236" s="330">
        <v>1</v>
      </c>
    </row>
    <row r="237" spans="1:16" ht="15">
      <c r="A237" s="66">
        <v>235</v>
      </c>
      <c r="B237" s="368" t="s">
        <v>70</v>
      </c>
      <c r="C237" s="39">
        <v>39766</v>
      </c>
      <c r="D237" s="44" t="s">
        <v>132</v>
      </c>
      <c r="E237" s="44" t="s">
        <v>71</v>
      </c>
      <c r="F237" s="41">
        <v>24</v>
      </c>
      <c r="G237" s="41">
        <v>24</v>
      </c>
      <c r="H237" s="41">
        <v>24</v>
      </c>
      <c r="I237" s="263">
        <v>1249</v>
      </c>
      <c r="J237" s="308">
        <v>151</v>
      </c>
      <c r="K237" s="155">
        <f>J237/G237</f>
        <v>6.291666666666667</v>
      </c>
      <c r="L237" s="356">
        <f t="shared" si="11"/>
        <v>8.271523178807946</v>
      </c>
      <c r="M237" s="267">
        <f>191668+16358.5+8305+0.5+19699.5+16705.5+7289+4467+3138+2267+1882+6536+9273+1289+852+1124+2416+1164+28+80+1249</f>
        <v>295791</v>
      </c>
      <c r="N237" s="155">
        <f>10324+8249+7871+7121+4755+3362+1751+2958+2636+1185+800+596+440+265+961+1648+202+172+213+528+291+7+20+151</f>
        <v>56506</v>
      </c>
      <c r="O237" s="358">
        <f>+M237/N237</f>
        <v>5.2346830425087605</v>
      </c>
      <c r="P237" s="376">
        <v>1</v>
      </c>
    </row>
    <row r="238" spans="1:16" ht="15">
      <c r="A238" s="66">
        <v>236</v>
      </c>
      <c r="B238" s="53" t="s">
        <v>41</v>
      </c>
      <c r="C238" s="39">
        <v>39745</v>
      </c>
      <c r="D238" s="127" t="s">
        <v>130</v>
      </c>
      <c r="E238" s="127" t="s">
        <v>35</v>
      </c>
      <c r="F238" s="50">
        <v>202</v>
      </c>
      <c r="G238" s="50">
        <v>1</v>
      </c>
      <c r="H238" s="50">
        <v>13</v>
      </c>
      <c r="I238" s="273">
        <v>1224</v>
      </c>
      <c r="J238" s="274">
        <v>296</v>
      </c>
      <c r="K238" s="275">
        <f>J238/G238</f>
        <v>296</v>
      </c>
      <c r="L238" s="159">
        <f t="shared" si="11"/>
        <v>4.135135135135135</v>
      </c>
      <c r="M238" s="276">
        <f>2979211+551475+289248+35506+23768+5044+549+3932+1192+2189+1334+1224</f>
        <v>3894672</v>
      </c>
      <c r="N238" s="277">
        <f>374252+72341+40702+5164+4326+1290+108+783+296+433+265+296</f>
        <v>500256</v>
      </c>
      <c r="O238" s="105">
        <f>+M238/N238</f>
        <v>7.78535789675686</v>
      </c>
      <c r="P238" s="331"/>
    </row>
    <row r="239" spans="1:16" ht="15">
      <c r="A239" s="66">
        <v>237</v>
      </c>
      <c r="B239" s="293" t="s">
        <v>69</v>
      </c>
      <c r="C239" s="286">
        <v>39766</v>
      </c>
      <c r="D239" s="285" t="s">
        <v>134</v>
      </c>
      <c r="E239" s="285" t="s">
        <v>50</v>
      </c>
      <c r="F239" s="287">
        <v>20</v>
      </c>
      <c r="G239" s="287">
        <v>2</v>
      </c>
      <c r="H239" s="287">
        <v>14</v>
      </c>
      <c r="I239" s="288">
        <v>1223</v>
      </c>
      <c r="J239" s="289">
        <v>185</v>
      </c>
      <c r="K239" s="290">
        <f>(J239/G239)</f>
        <v>92.5</v>
      </c>
      <c r="L239" s="291">
        <f t="shared" si="11"/>
        <v>6.610810810810811</v>
      </c>
      <c r="M239" s="292">
        <f>109364.5+38539+31287+12101+5368+8640.5+12331+9410+9143+5719+2775+1424+1017+338+1223</f>
        <v>248680</v>
      </c>
      <c r="N239" s="290">
        <f>11866+4674+4443+2133+1061+1670+2334+1542+1728+1224+544+356+207+68+185</f>
        <v>34035</v>
      </c>
      <c r="O239" s="294">
        <f>M239/N239</f>
        <v>7.306596151021008</v>
      </c>
      <c r="P239" s="331">
        <v>1</v>
      </c>
    </row>
    <row r="240" spans="1:16" ht="15">
      <c r="A240" s="66">
        <v>238</v>
      </c>
      <c r="B240" s="293" t="s">
        <v>26</v>
      </c>
      <c r="C240" s="286">
        <v>39808</v>
      </c>
      <c r="D240" s="285" t="s">
        <v>134</v>
      </c>
      <c r="E240" s="285" t="s">
        <v>133</v>
      </c>
      <c r="F240" s="287">
        <v>75</v>
      </c>
      <c r="G240" s="287">
        <v>3</v>
      </c>
      <c r="H240" s="287">
        <v>14</v>
      </c>
      <c r="I240" s="292">
        <v>1219</v>
      </c>
      <c r="J240" s="290">
        <v>195</v>
      </c>
      <c r="K240" s="290">
        <f>(J240/G240)</f>
        <v>65</v>
      </c>
      <c r="L240" s="291">
        <f t="shared" si="11"/>
        <v>6.251282051282051</v>
      </c>
      <c r="M240" s="292">
        <f>681566+578530+317284.5+141025.5+34373.5+6375+4225+7402.5+1014+4479+2688+2267+1765+1219</f>
        <v>1784214</v>
      </c>
      <c r="N240" s="290">
        <f>64102+57106+32401+16644+4655+1030+644+1623+143+828+480+469+323+195</f>
        <v>180643</v>
      </c>
      <c r="O240" s="294">
        <f>M240/N240</f>
        <v>9.877017100026018</v>
      </c>
      <c r="P240" s="332"/>
    </row>
    <row r="241" spans="1:16" ht="15">
      <c r="A241" s="66">
        <v>239</v>
      </c>
      <c r="B241" s="293" t="s">
        <v>23</v>
      </c>
      <c r="C241" s="286">
        <v>39808</v>
      </c>
      <c r="D241" s="285" t="s">
        <v>136</v>
      </c>
      <c r="E241" s="285" t="s">
        <v>24</v>
      </c>
      <c r="F241" s="287">
        <v>198</v>
      </c>
      <c r="G241" s="287">
        <v>1</v>
      </c>
      <c r="H241" s="287">
        <v>9</v>
      </c>
      <c r="I241" s="288">
        <v>1208</v>
      </c>
      <c r="J241" s="289">
        <v>242</v>
      </c>
      <c r="K241" s="290">
        <f>IF(I241&lt;&gt;0,J241/G241,"")</f>
        <v>242</v>
      </c>
      <c r="L241" s="291">
        <f t="shared" si="11"/>
        <v>4.991735537190083</v>
      </c>
      <c r="M241" s="292">
        <f>909072+532572.5+214521.5+64908+15178.5+4216.5+2023+1098+1208</f>
        <v>1744798</v>
      </c>
      <c r="N241" s="290">
        <f>112486+67146+29772+10700+3086+733+452+228+242</f>
        <v>224845</v>
      </c>
      <c r="O241" s="294">
        <f>+M241/N241</f>
        <v>7.760003558006627</v>
      </c>
      <c r="P241" s="332">
        <v>1</v>
      </c>
    </row>
    <row r="242" spans="1:16" ht="15">
      <c r="A242" s="66">
        <v>240</v>
      </c>
      <c r="B242" s="48" t="s">
        <v>41</v>
      </c>
      <c r="C242" s="39">
        <v>39745</v>
      </c>
      <c r="D242" s="43" t="s">
        <v>130</v>
      </c>
      <c r="E242" s="42" t="s">
        <v>35</v>
      </c>
      <c r="F242" s="54">
        <v>202</v>
      </c>
      <c r="G242" s="54">
        <v>1</v>
      </c>
      <c r="H242" s="54">
        <v>10</v>
      </c>
      <c r="I242" s="303">
        <v>1192</v>
      </c>
      <c r="J242" s="304">
        <v>296</v>
      </c>
      <c r="K242" s="158">
        <f>J242/G242</f>
        <v>296</v>
      </c>
      <c r="L242" s="159">
        <f t="shared" si="11"/>
        <v>4.027027027027027</v>
      </c>
      <c r="M242" s="150">
        <f>2979211+551475+289248+35506+23768+5044+549+3932+1192</f>
        <v>3889925</v>
      </c>
      <c r="N242" s="151">
        <f>374252+72341+40702+5164+4326+1290+108+783+296</f>
        <v>499262</v>
      </c>
      <c r="O242" s="105">
        <f>+M242/N242</f>
        <v>7.791350032648189</v>
      </c>
      <c r="P242" s="332">
        <v>1</v>
      </c>
    </row>
    <row r="243" spans="1:16" ht="15">
      <c r="A243" s="66">
        <v>241</v>
      </c>
      <c r="B243" s="293" t="s">
        <v>144</v>
      </c>
      <c r="C243" s="286">
        <v>39801</v>
      </c>
      <c r="D243" s="285" t="s">
        <v>130</v>
      </c>
      <c r="E243" s="285" t="s">
        <v>122</v>
      </c>
      <c r="F243" s="287">
        <v>69</v>
      </c>
      <c r="G243" s="287">
        <v>1</v>
      </c>
      <c r="H243" s="287">
        <v>9</v>
      </c>
      <c r="I243" s="288">
        <v>1191</v>
      </c>
      <c r="J243" s="289">
        <v>191</v>
      </c>
      <c r="K243" s="290">
        <f>J243/G243</f>
        <v>191</v>
      </c>
      <c r="L243" s="291">
        <f t="shared" si="11"/>
        <v>6.2356020942408374</v>
      </c>
      <c r="M243" s="292">
        <f>820286+588484+413907+112495+41441-111+9385+4586+8718+1191</f>
        <v>2000382</v>
      </c>
      <c r="N243" s="290">
        <f>83839+57678+42374+12212+5722-11+2124+1350+1256+191</f>
        <v>206735</v>
      </c>
      <c r="O243" s="294">
        <f>+M243/N243</f>
        <v>9.676068396739788</v>
      </c>
      <c r="P243" s="332">
        <v>1</v>
      </c>
    </row>
    <row r="244" spans="1:16" ht="15">
      <c r="A244" s="66">
        <v>242</v>
      </c>
      <c r="B244" s="293" t="s">
        <v>47</v>
      </c>
      <c r="C244" s="286">
        <v>39780</v>
      </c>
      <c r="D244" s="285" t="s">
        <v>134</v>
      </c>
      <c r="E244" s="285" t="s">
        <v>271</v>
      </c>
      <c r="F244" s="287">
        <v>6</v>
      </c>
      <c r="G244" s="287">
        <v>1</v>
      </c>
      <c r="H244" s="287">
        <v>11</v>
      </c>
      <c r="I244" s="288">
        <v>1188</v>
      </c>
      <c r="J244" s="289">
        <v>297</v>
      </c>
      <c r="K244" s="290">
        <f>(J244/G244)</f>
        <v>297</v>
      </c>
      <c r="L244" s="291">
        <f t="shared" si="11"/>
        <v>4</v>
      </c>
      <c r="M244" s="292">
        <f>25457+3030+1123+7370+430+997+6202+886+691.5+1289+1188</f>
        <v>48663.5</v>
      </c>
      <c r="N244" s="290">
        <f>2151+404+165+1079+59+230+1523+213+105+142+297</f>
        <v>6368</v>
      </c>
      <c r="O244" s="294">
        <f>M244/N244</f>
        <v>7.641881281407035</v>
      </c>
      <c r="P244" s="332"/>
    </row>
    <row r="245" spans="1:16" ht="15">
      <c r="A245" s="66">
        <v>243</v>
      </c>
      <c r="B245" s="293" t="s">
        <v>67</v>
      </c>
      <c r="C245" s="286">
        <v>39759</v>
      </c>
      <c r="D245" s="285" t="s">
        <v>134</v>
      </c>
      <c r="E245" s="285" t="s">
        <v>143</v>
      </c>
      <c r="F245" s="287">
        <v>93</v>
      </c>
      <c r="G245" s="287">
        <v>1</v>
      </c>
      <c r="H245" s="287">
        <v>13</v>
      </c>
      <c r="I245" s="288">
        <v>1188</v>
      </c>
      <c r="J245" s="289">
        <v>297</v>
      </c>
      <c r="K245" s="290">
        <f>(J245/G245)</f>
        <v>297</v>
      </c>
      <c r="L245" s="291">
        <f t="shared" si="11"/>
        <v>4</v>
      </c>
      <c r="M245" s="292">
        <f>224223+136351+27895+24212+1274+3482+7147+2804+5279+2025+2635+2196+1188</f>
        <v>440711</v>
      </c>
      <c r="N245" s="290">
        <f>27969+18593+4268+4646+311+857+1472+745+1285+386+636+549+297</f>
        <v>62014</v>
      </c>
      <c r="O245" s="294">
        <f>+M245/N245</f>
        <v>7.106637210952366</v>
      </c>
      <c r="P245" s="332">
        <v>1</v>
      </c>
    </row>
    <row r="246" spans="1:16" ht="15">
      <c r="A246" s="66">
        <v>244</v>
      </c>
      <c r="B246" s="293" t="s">
        <v>56</v>
      </c>
      <c r="C246" s="286">
        <v>39745</v>
      </c>
      <c r="D246" s="285" t="s">
        <v>136</v>
      </c>
      <c r="E246" s="285" t="s">
        <v>287</v>
      </c>
      <c r="F246" s="287">
        <v>104</v>
      </c>
      <c r="G246" s="287">
        <v>1</v>
      </c>
      <c r="H246" s="287">
        <v>20</v>
      </c>
      <c r="I246" s="292">
        <v>1188</v>
      </c>
      <c r="J246" s="290">
        <v>238</v>
      </c>
      <c r="K246" s="290">
        <f>IF(I246&lt;&gt;0,J246/G246,"")</f>
        <v>238</v>
      </c>
      <c r="L246" s="291">
        <f>IF(I246&lt;&gt;0,I246/J246,"")</f>
        <v>4.991596638655462</v>
      </c>
      <c r="M246" s="292">
        <v>2760828</v>
      </c>
      <c r="N246" s="290">
        <v>368560</v>
      </c>
      <c r="O246" s="294">
        <f>IF(M246&lt;&gt;0,M246/N246,"")</f>
        <v>7.490850879097026</v>
      </c>
      <c r="P246" s="332">
        <v>1</v>
      </c>
    </row>
    <row r="247" spans="1:16" ht="15">
      <c r="A247" s="66">
        <v>245</v>
      </c>
      <c r="B247" s="368" t="s">
        <v>70</v>
      </c>
      <c r="C247" s="39">
        <v>39766</v>
      </c>
      <c r="D247" s="44" t="s">
        <v>132</v>
      </c>
      <c r="E247" s="44" t="s">
        <v>71</v>
      </c>
      <c r="F247" s="41">
        <v>24</v>
      </c>
      <c r="G247" s="41">
        <v>1</v>
      </c>
      <c r="H247" s="41">
        <v>21</v>
      </c>
      <c r="I247" s="263">
        <v>1164</v>
      </c>
      <c r="J247" s="308">
        <v>291</v>
      </c>
      <c r="K247" s="155">
        <f>(J247/G247)</f>
        <v>291</v>
      </c>
      <c r="L247" s="356">
        <f>I247/J247</f>
        <v>4</v>
      </c>
      <c r="M247" s="267">
        <f>191668+16358.5+8305+0.5+19699.5+16705.5+7289+4467+3138+2267+1882+6536+9273+1289+852+1124+2416+1164</f>
        <v>294434</v>
      </c>
      <c r="N247" s="155">
        <f>10324+8249+7871+7121+4755+3362+1751+2958+2636+1185+800+596+440+265+961+1648+202+172+213+528+291</f>
        <v>56328</v>
      </c>
      <c r="O247" s="358">
        <f>M247/N247</f>
        <v>5.227133929839511</v>
      </c>
      <c r="P247" s="332">
        <v>1</v>
      </c>
    </row>
    <row r="248" spans="1:16" ht="15">
      <c r="A248" s="66">
        <v>246</v>
      </c>
      <c r="B248" s="293" t="s">
        <v>53</v>
      </c>
      <c r="C248" s="286">
        <v>39738</v>
      </c>
      <c r="D248" s="285" t="s">
        <v>134</v>
      </c>
      <c r="E248" s="285" t="s">
        <v>54</v>
      </c>
      <c r="F248" s="287">
        <v>67</v>
      </c>
      <c r="G248" s="287">
        <v>2</v>
      </c>
      <c r="H248" s="287">
        <v>19</v>
      </c>
      <c r="I248" s="288">
        <v>1147</v>
      </c>
      <c r="J248" s="289">
        <v>333</v>
      </c>
      <c r="K248" s="290">
        <f>(J248/G248)</f>
        <v>166.5</v>
      </c>
      <c r="L248" s="291">
        <f>I248/J248</f>
        <v>3.4444444444444446</v>
      </c>
      <c r="M248" s="292">
        <f>167196+176809+54428+37340+38330.5+23467+11581+5867+4382+2577+3552+2137+545+4006+9422+7992+4936+1547+1147</f>
        <v>557261.5</v>
      </c>
      <c r="N248" s="290">
        <f>19168+21164+7719+6215+6404+4964+2339+1306+907+580+859+440+127+905+2170+1822+1050+392+333</f>
        <v>78864</v>
      </c>
      <c r="O248" s="294">
        <f>M248/N248</f>
        <v>7.066107476161493</v>
      </c>
      <c r="P248" s="331">
        <v>1</v>
      </c>
    </row>
    <row r="249" spans="1:16" ht="15">
      <c r="A249" s="66">
        <v>247</v>
      </c>
      <c r="B249" s="53" t="s">
        <v>58</v>
      </c>
      <c r="C249" s="39">
        <v>39745</v>
      </c>
      <c r="D249" s="45" t="s">
        <v>4</v>
      </c>
      <c r="E249" s="45" t="s">
        <v>59</v>
      </c>
      <c r="F249" s="50">
        <v>72</v>
      </c>
      <c r="G249" s="50">
        <v>3</v>
      </c>
      <c r="H249" s="50">
        <v>11</v>
      </c>
      <c r="I249" s="303">
        <v>1146</v>
      </c>
      <c r="J249" s="304">
        <v>178</v>
      </c>
      <c r="K249" s="152">
        <f>+J249/G249</f>
        <v>59.333333333333336</v>
      </c>
      <c r="L249" s="153">
        <f>+I249/J249</f>
        <v>6.438202247191011</v>
      </c>
      <c r="M249" s="150">
        <v>1284354</v>
      </c>
      <c r="N249" s="151">
        <v>145282</v>
      </c>
      <c r="O249" s="104">
        <f>+M249/N249</f>
        <v>8.840420699054253</v>
      </c>
      <c r="P249" s="330"/>
    </row>
    <row r="250" spans="1:16" ht="15">
      <c r="A250" s="66">
        <v>248</v>
      </c>
      <c r="B250" s="293" t="s">
        <v>70</v>
      </c>
      <c r="C250" s="286">
        <v>39766</v>
      </c>
      <c r="D250" s="285" t="s">
        <v>132</v>
      </c>
      <c r="E250" s="285" t="s">
        <v>71</v>
      </c>
      <c r="F250" s="287">
        <v>1</v>
      </c>
      <c r="G250" s="287">
        <v>1</v>
      </c>
      <c r="H250" s="287">
        <v>19</v>
      </c>
      <c r="I250" s="288">
        <v>1124</v>
      </c>
      <c r="J250" s="289">
        <v>213</v>
      </c>
      <c r="K250" s="290">
        <f>J250/G250</f>
        <v>213</v>
      </c>
      <c r="L250" s="291">
        <f>I250/J250</f>
        <v>5.276995305164319</v>
      </c>
      <c r="M250" s="292">
        <f>191668+16358.5+8305+0.5+19699.5+16705.5+7289+4467+3138+2267+1882+6536+9273+1289+852+1124</f>
        <v>290854</v>
      </c>
      <c r="N250" s="290">
        <f>10324+8249+7871+7121+4755+3362+1751+2958+2636+1185+800+596+440+265+961+1648+202+172+213</f>
        <v>55509</v>
      </c>
      <c r="O250" s="294">
        <f>+M250/N250</f>
        <v>5.239762921328073</v>
      </c>
      <c r="P250" s="332">
        <v>1</v>
      </c>
    </row>
    <row r="251" spans="1:16" ht="15">
      <c r="A251" s="66">
        <v>249</v>
      </c>
      <c r="B251" s="293" t="s">
        <v>45</v>
      </c>
      <c r="C251" s="286">
        <v>39780</v>
      </c>
      <c r="D251" s="285" t="s">
        <v>134</v>
      </c>
      <c r="E251" s="285" t="s">
        <v>78</v>
      </c>
      <c r="F251" s="287">
        <v>61</v>
      </c>
      <c r="G251" s="287">
        <v>1</v>
      </c>
      <c r="H251" s="287">
        <v>11</v>
      </c>
      <c r="I251" s="288">
        <v>1119</v>
      </c>
      <c r="J251" s="289">
        <v>246</v>
      </c>
      <c r="K251" s="290">
        <f>(J251/G251)</f>
        <v>246</v>
      </c>
      <c r="L251" s="291">
        <f>I251/J251</f>
        <v>4.548780487804878</v>
      </c>
      <c r="M251" s="292">
        <f>499000.5+313125.5+89561.5+27980+2002.5+4772+1387+1470+1387+1387+1119</f>
        <v>943192</v>
      </c>
      <c r="N251" s="290">
        <f>48458+27725+9315+4737+330+944+309+224+175+250+246</f>
        <v>92713</v>
      </c>
      <c r="O251" s="294">
        <f>M251/N251</f>
        <v>10.173244313095251</v>
      </c>
      <c r="P251" s="330"/>
    </row>
    <row r="252" spans="1:16" ht="15">
      <c r="A252" s="66">
        <v>250</v>
      </c>
      <c r="B252" s="293" t="s">
        <v>23</v>
      </c>
      <c r="C252" s="286">
        <v>39808</v>
      </c>
      <c r="D252" s="285" t="s">
        <v>136</v>
      </c>
      <c r="E252" s="285" t="s">
        <v>24</v>
      </c>
      <c r="F252" s="287">
        <v>198</v>
      </c>
      <c r="G252" s="287">
        <v>2</v>
      </c>
      <c r="H252" s="287">
        <v>8</v>
      </c>
      <c r="I252" s="288">
        <v>1098</v>
      </c>
      <c r="J252" s="289">
        <v>228</v>
      </c>
      <c r="K252" s="290">
        <f>IF(I252&lt;&gt;0,J252/G252,"")</f>
        <v>114</v>
      </c>
      <c r="L252" s="291">
        <f>IF(I252&lt;&gt;0,I252/J252,"")</f>
        <v>4.815789473684211</v>
      </c>
      <c r="M252" s="292">
        <f>909072+532572.5+214521.5+64908+15178.5+4216.5+2023+1098</f>
        <v>1743590</v>
      </c>
      <c r="N252" s="290">
        <f>112486+67146+29772+10700+3086+733+452+228</f>
        <v>224603</v>
      </c>
      <c r="O252" s="294">
        <f>+M252/N252</f>
        <v>7.762986246844433</v>
      </c>
      <c r="P252" s="331"/>
    </row>
    <row r="253" spans="1:16" ht="15">
      <c r="A253" s="66">
        <v>251</v>
      </c>
      <c r="B253" s="293" t="s">
        <v>139</v>
      </c>
      <c r="C253" s="286">
        <v>39787</v>
      </c>
      <c r="D253" s="285" t="s">
        <v>132</v>
      </c>
      <c r="E253" s="285" t="s">
        <v>140</v>
      </c>
      <c r="F253" s="287">
        <v>1</v>
      </c>
      <c r="G253" s="287">
        <v>1</v>
      </c>
      <c r="H253" s="287">
        <v>13</v>
      </c>
      <c r="I253" s="288">
        <v>1095</v>
      </c>
      <c r="J253" s="289">
        <v>218</v>
      </c>
      <c r="K253" s="290">
        <f>J253/G253</f>
        <v>218</v>
      </c>
      <c r="L253" s="291">
        <f>IF(I253&lt;&gt;0,I253/J253,"")</f>
        <v>5.022935779816514</v>
      </c>
      <c r="M253" s="292">
        <v>18047232</v>
      </c>
      <c r="N253" s="290">
        <v>2310169</v>
      </c>
      <c r="O253" s="294">
        <f>+M253/N253</f>
        <v>7.812083012108638</v>
      </c>
      <c r="P253" s="332">
        <v>1</v>
      </c>
    </row>
    <row r="254" spans="1:16" ht="15">
      <c r="A254" s="66">
        <v>252</v>
      </c>
      <c r="B254" s="293" t="s">
        <v>149</v>
      </c>
      <c r="C254" s="286">
        <v>39801</v>
      </c>
      <c r="D254" s="285" t="s">
        <v>4</v>
      </c>
      <c r="E254" s="285" t="s">
        <v>77</v>
      </c>
      <c r="F254" s="287">
        <v>19</v>
      </c>
      <c r="G254" s="287">
        <v>4</v>
      </c>
      <c r="H254" s="287">
        <v>8</v>
      </c>
      <c r="I254" s="288">
        <v>1078</v>
      </c>
      <c r="J254" s="289">
        <v>156</v>
      </c>
      <c r="K254" s="290">
        <f>J254/G254</f>
        <v>39</v>
      </c>
      <c r="L254" s="291">
        <f aca="true" t="shared" si="12" ref="L254:L259">I254/J254</f>
        <v>6.910256410256411</v>
      </c>
      <c r="M254" s="292">
        <v>139967</v>
      </c>
      <c r="N254" s="290">
        <v>13235</v>
      </c>
      <c r="O254" s="294">
        <f>+M254/N254</f>
        <v>10.57551945598791</v>
      </c>
      <c r="P254" s="332"/>
    </row>
    <row r="255" spans="1:16" ht="15">
      <c r="A255" s="66">
        <v>253</v>
      </c>
      <c r="B255" s="293" t="s">
        <v>60</v>
      </c>
      <c r="C255" s="286">
        <v>39745</v>
      </c>
      <c r="D255" s="285" t="s">
        <v>134</v>
      </c>
      <c r="E255" s="285" t="s">
        <v>106</v>
      </c>
      <c r="F255" s="287">
        <v>7</v>
      </c>
      <c r="G255" s="287">
        <v>1</v>
      </c>
      <c r="H255" s="287">
        <v>12</v>
      </c>
      <c r="I255" s="288">
        <v>1066</v>
      </c>
      <c r="J255" s="289">
        <v>258</v>
      </c>
      <c r="K255" s="290">
        <f>(J255/G255)</f>
        <v>258</v>
      </c>
      <c r="L255" s="291">
        <f t="shared" si="12"/>
        <v>4.131782945736434</v>
      </c>
      <c r="M255" s="292">
        <f>31758.5+8225.5+1958+2180+395+7254.5+494+2046+429+128+135+1066</f>
        <v>56069.5</v>
      </c>
      <c r="N255" s="290">
        <f>2732+851+288+247+46+761+52+333+72+22+23+258</f>
        <v>5685</v>
      </c>
      <c r="O255" s="294">
        <f>M255/N255</f>
        <v>9.862708883025507</v>
      </c>
      <c r="P255" s="332">
        <v>1</v>
      </c>
    </row>
    <row r="256" spans="1:16" ht="15">
      <c r="A256" s="66">
        <v>254</v>
      </c>
      <c r="B256" s="49" t="s">
        <v>25</v>
      </c>
      <c r="C256" s="39">
        <v>39808</v>
      </c>
      <c r="D256" s="44" t="s">
        <v>131</v>
      </c>
      <c r="E256" s="44" t="s">
        <v>111</v>
      </c>
      <c r="F256" s="41">
        <v>112</v>
      </c>
      <c r="G256" s="41">
        <v>4</v>
      </c>
      <c r="H256" s="41">
        <v>16</v>
      </c>
      <c r="I256" s="307">
        <v>1065</v>
      </c>
      <c r="J256" s="308">
        <v>583</v>
      </c>
      <c r="K256" s="155">
        <f>J256/G256</f>
        <v>145.75</v>
      </c>
      <c r="L256" s="156">
        <f t="shared" si="12"/>
        <v>1.8267581475128645</v>
      </c>
      <c r="M256" s="154">
        <v>2051754</v>
      </c>
      <c r="N256" s="155">
        <v>212645</v>
      </c>
      <c r="O256" s="103">
        <f>+M256/N256</f>
        <v>9.648729102494768</v>
      </c>
      <c r="P256" s="332"/>
    </row>
    <row r="257" spans="1:16" ht="15">
      <c r="A257" s="66">
        <v>255</v>
      </c>
      <c r="B257" s="293" t="s">
        <v>144</v>
      </c>
      <c r="C257" s="286">
        <v>39801</v>
      </c>
      <c r="D257" s="285" t="s">
        <v>130</v>
      </c>
      <c r="E257" s="285" t="s">
        <v>122</v>
      </c>
      <c r="F257" s="287">
        <v>69</v>
      </c>
      <c r="G257" s="287">
        <v>1</v>
      </c>
      <c r="H257" s="287">
        <v>11</v>
      </c>
      <c r="I257" s="288">
        <v>1065</v>
      </c>
      <c r="J257" s="289">
        <v>182</v>
      </c>
      <c r="K257" s="290">
        <f>J257/G257</f>
        <v>182</v>
      </c>
      <c r="L257" s="291">
        <f t="shared" si="12"/>
        <v>5.851648351648351</v>
      </c>
      <c r="M257" s="292">
        <f>820286+588484+413907+112495+41441-111+9385+4586+8718+1191+251+1065</f>
        <v>2001698</v>
      </c>
      <c r="N257" s="290">
        <f>83839+57678+42374+12212+5722-11+2124+1350+1256+191+41+182</f>
        <v>206958</v>
      </c>
      <c r="O257" s="294">
        <f>+M257/N257</f>
        <v>9.67200108234521</v>
      </c>
      <c r="P257" s="332">
        <v>1</v>
      </c>
    </row>
    <row r="258" spans="1:16" ht="15">
      <c r="A258" s="66">
        <v>256</v>
      </c>
      <c r="B258" s="368" t="s">
        <v>167</v>
      </c>
      <c r="C258" s="39">
        <v>39766</v>
      </c>
      <c r="D258" s="44" t="s">
        <v>200</v>
      </c>
      <c r="E258" s="44" t="s">
        <v>168</v>
      </c>
      <c r="F258" s="41">
        <v>17</v>
      </c>
      <c r="G258" s="41">
        <v>1</v>
      </c>
      <c r="H258" s="41">
        <v>21</v>
      </c>
      <c r="I258" s="263">
        <v>1054</v>
      </c>
      <c r="J258" s="308">
        <v>127</v>
      </c>
      <c r="K258" s="155">
        <f>J258/G258</f>
        <v>127</v>
      </c>
      <c r="L258" s="356">
        <f t="shared" si="12"/>
        <v>8.299212598425196</v>
      </c>
      <c r="M258" s="267">
        <v>85517</v>
      </c>
      <c r="N258" s="155">
        <v>12139</v>
      </c>
      <c r="O258" s="358">
        <f>+M258/N258</f>
        <v>7.0448142351099765</v>
      </c>
      <c r="P258" s="376">
        <v>1</v>
      </c>
    </row>
    <row r="259" spans="1:16" ht="15">
      <c r="A259" s="66">
        <v>257</v>
      </c>
      <c r="B259" s="293" t="s">
        <v>142</v>
      </c>
      <c r="C259" s="286">
        <v>39794</v>
      </c>
      <c r="D259" s="285" t="s">
        <v>134</v>
      </c>
      <c r="E259" s="285" t="s">
        <v>133</v>
      </c>
      <c r="F259" s="287">
        <v>100</v>
      </c>
      <c r="G259" s="287">
        <v>2</v>
      </c>
      <c r="H259" s="287">
        <v>13</v>
      </c>
      <c r="I259" s="288">
        <v>1049</v>
      </c>
      <c r="J259" s="289">
        <v>169</v>
      </c>
      <c r="K259" s="290">
        <f>(J259/G259)</f>
        <v>84.5</v>
      </c>
      <c r="L259" s="291">
        <f t="shared" si="12"/>
        <v>6.207100591715976</v>
      </c>
      <c r="M259" s="292">
        <f>1276778.5+626123+380324+112679.5+54533+36086+4129+3620.5+4348+1030+1904+420+1049</f>
        <v>2503024.5</v>
      </c>
      <c r="N259" s="290">
        <f>133555+68793+41581+14968+8873+6454+539+324+976+204+524+65+169</f>
        <v>277025</v>
      </c>
      <c r="O259" s="294">
        <f>M259/N259</f>
        <v>9.035374063712661</v>
      </c>
      <c r="P259" s="332">
        <v>1</v>
      </c>
    </row>
    <row r="260" spans="1:16" ht="15">
      <c r="A260" s="66">
        <v>258</v>
      </c>
      <c r="B260" s="49" t="s">
        <v>303</v>
      </c>
      <c r="C260" s="39">
        <v>39402</v>
      </c>
      <c r="D260" s="44" t="s">
        <v>136</v>
      </c>
      <c r="E260" s="44" t="s">
        <v>241</v>
      </c>
      <c r="F260" s="41">
        <v>165</v>
      </c>
      <c r="G260" s="41">
        <v>1</v>
      </c>
      <c r="H260" s="41">
        <v>46</v>
      </c>
      <c r="I260" s="307">
        <v>1044</v>
      </c>
      <c r="J260" s="308">
        <v>287</v>
      </c>
      <c r="K260" s="155">
        <f>IF(I260&lt;&gt;0,J260/G260,"")</f>
        <v>287</v>
      </c>
      <c r="L260" s="156">
        <f>IF(I260&lt;&gt;0,I260/J260,"")</f>
        <v>3.637630662020906</v>
      </c>
      <c r="M260" s="154">
        <v>14646024.5</v>
      </c>
      <c r="N260" s="155">
        <v>2030731</v>
      </c>
      <c r="O260" s="103">
        <f>IF(M260&lt;&gt;0,M260/N260,"")</f>
        <v>7.212193293941935</v>
      </c>
      <c r="P260" s="332"/>
    </row>
    <row r="261" spans="1:16" ht="15">
      <c r="A261" s="66">
        <v>259</v>
      </c>
      <c r="B261" s="293" t="s">
        <v>72</v>
      </c>
      <c r="C261" s="286">
        <v>39773</v>
      </c>
      <c r="D261" s="285" t="s">
        <v>131</v>
      </c>
      <c r="E261" s="285" t="s">
        <v>126</v>
      </c>
      <c r="F261" s="287">
        <v>204</v>
      </c>
      <c r="G261" s="287">
        <v>1</v>
      </c>
      <c r="H261" s="287">
        <v>16</v>
      </c>
      <c r="I261" s="288">
        <v>1043</v>
      </c>
      <c r="J261" s="289">
        <v>190</v>
      </c>
      <c r="K261" s="290">
        <f>J261/G261</f>
        <v>190</v>
      </c>
      <c r="L261" s="291">
        <f>+I261/J261</f>
        <v>5.489473684210527</v>
      </c>
      <c r="M261" s="292">
        <v>11441127</v>
      </c>
      <c r="N261" s="290">
        <v>1417347</v>
      </c>
      <c r="O261" s="294">
        <f>+M261/N261</f>
        <v>8.07221308543356</v>
      </c>
      <c r="P261" s="331">
        <v>1</v>
      </c>
    </row>
    <row r="262" spans="1:16" ht="15">
      <c r="A262" s="66">
        <v>260</v>
      </c>
      <c r="B262" s="293" t="s">
        <v>142</v>
      </c>
      <c r="C262" s="286">
        <v>39794</v>
      </c>
      <c r="D262" s="285" t="s">
        <v>134</v>
      </c>
      <c r="E262" s="285" t="s">
        <v>133</v>
      </c>
      <c r="F262" s="287">
        <v>100</v>
      </c>
      <c r="G262" s="287">
        <v>1</v>
      </c>
      <c r="H262" s="287">
        <v>10</v>
      </c>
      <c r="I262" s="288">
        <v>1030</v>
      </c>
      <c r="J262" s="289">
        <v>204</v>
      </c>
      <c r="K262" s="290">
        <f>(J262/G262)</f>
        <v>204</v>
      </c>
      <c r="L262" s="291">
        <f aca="true" t="shared" si="13" ref="L262:L267">I262/J262</f>
        <v>5.049019607843137</v>
      </c>
      <c r="M262" s="292">
        <f>1276778.5+626123+380324+112679.5+54533+36086+4129+3620.5+4348+1030</f>
        <v>2499651.5</v>
      </c>
      <c r="N262" s="290">
        <f>133555+68793+41581+14968+8873+6454+539+324+976+204</f>
        <v>276267</v>
      </c>
      <c r="O262" s="294">
        <f>+M262/N262</f>
        <v>9.047955419937958</v>
      </c>
      <c r="P262" s="332"/>
    </row>
    <row r="263" spans="1:16" ht="15">
      <c r="A263" s="66">
        <v>261</v>
      </c>
      <c r="B263" s="293" t="s">
        <v>144</v>
      </c>
      <c r="C263" s="286">
        <v>39801</v>
      </c>
      <c r="D263" s="285" t="s">
        <v>130</v>
      </c>
      <c r="E263" s="285" t="s">
        <v>122</v>
      </c>
      <c r="F263" s="287">
        <v>69</v>
      </c>
      <c r="G263" s="287">
        <v>1</v>
      </c>
      <c r="H263" s="287">
        <v>13</v>
      </c>
      <c r="I263" s="288">
        <v>1022</v>
      </c>
      <c r="J263" s="289">
        <v>174</v>
      </c>
      <c r="K263" s="290">
        <f>J263/G263</f>
        <v>174</v>
      </c>
      <c r="L263" s="291">
        <f t="shared" si="13"/>
        <v>5.873563218390805</v>
      </c>
      <c r="M263" s="292">
        <f>820286+588484+413907+112495+41441-111+9385+4586+8718+1191+251+1065+1821+1022</f>
        <v>2004541</v>
      </c>
      <c r="N263" s="290">
        <f>83839+57678+42374+12212+5722-11+2124+1350+1256+191+41+182+386+174</f>
        <v>207518</v>
      </c>
      <c r="O263" s="294">
        <f>+M263/N263</f>
        <v>9.659600612958876</v>
      </c>
      <c r="P263" s="332"/>
    </row>
    <row r="264" spans="1:16" ht="15">
      <c r="A264" s="66">
        <v>262</v>
      </c>
      <c r="B264" s="293" t="s">
        <v>69</v>
      </c>
      <c r="C264" s="286">
        <v>39766</v>
      </c>
      <c r="D264" s="285" t="s">
        <v>134</v>
      </c>
      <c r="E264" s="285" t="s">
        <v>50</v>
      </c>
      <c r="F264" s="287">
        <v>20</v>
      </c>
      <c r="G264" s="287">
        <v>1</v>
      </c>
      <c r="H264" s="287">
        <v>12</v>
      </c>
      <c r="I264" s="288">
        <v>1017</v>
      </c>
      <c r="J264" s="289">
        <v>207</v>
      </c>
      <c r="K264" s="290">
        <f>(J264/G264)</f>
        <v>207</v>
      </c>
      <c r="L264" s="291">
        <f t="shared" si="13"/>
        <v>4.913043478260869</v>
      </c>
      <c r="M264" s="292">
        <f>109364.5+38539+31287+12101+5368+8640.5+12331+9410+9143+5719+2775+1424+1017</f>
        <v>247119</v>
      </c>
      <c r="N264" s="290">
        <f>11866+4674+4443+2133+1061+1670+2334+1542+1728+1224+544+356+207</f>
        <v>33782</v>
      </c>
      <c r="O264" s="294">
        <f>M264/N264</f>
        <v>7.315108637736072</v>
      </c>
      <c r="P264" s="330">
        <v>1</v>
      </c>
    </row>
    <row r="265" spans="1:16" ht="15">
      <c r="A265" s="66">
        <v>263</v>
      </c>
      <c r="B265" s="293" t="s">
        <v>26</v>
      </c>
      <c r="C265" s="286">
        <v>39808</v>
      </c>
      <c r="D265" s="285" t="s">
        <v>134</v>
      </c>
      <c r="E265" s="285" t="s">
        <v>133</v>
      </c>
      <c r="F265" s="287">
        <v>75</v>
      </c>
      <c r="G265" s="287">
        <v>2</v>
      </c>
      <c r="H265" s="287">
        <v>9</v>
      </c>
      <c r="I265" s="288">
        <v>1014</v>
      </c>
      <c r="J265" s="289">
        <v>143</v>
      </c>
      <c r="K265" s="290">
        <f>(J265/G265)</f>
        <v>71.5</v>
      </c>
      <c r="L265" s="291">
        <f t="shared" si="13"/>
        <v>7.090909090909091</v>
      </c>
      <c r="M265" s="292">
        <f>681566+578530+317284.5+141025.5+34373.5+6375+4225+7402.5+1014</f>
        <v>1771796</v>
      </c>
      <c r="N265" s="290">
        <f>64102+57106+32401+16644+4655+1030+644+1623+143</f>
        <v>178348</v>
      </c>
      <c r="O265" s="294">
        <f>M265/N265</f>
        <v>9.934487630923812</v>
      </c>
      <c r="P265" s="332"/>
    </row>
    <row r="266" spans="1:16" ht="15">
      <c r="A266" s="66">
        <v>264</v>
      </c>
      <c r="B266" s="293" t="s">
        <v>97</v>
      </c>
      <c r="C266" s="286">
        <v>39752</v>
      </c>
      <c r="D266" s="285" t="s">
        <v>131</v>
      </c>
      <c r="E266" s="285" t="s">
        <v>124</v>
      </c>
      <c r="F266" s="287">
        <v>45</v>
      </c>
      <c r="G266" s="287">
        <v>1</v>
      </c>
      <c r="H266" s="287">
        <v>13</v>
      </c>
      <c r="I266" s="288">
        <v>1012</v>
      </c>
      <c r="J266" s="289">
        <v>165</v>
      </c>
      <c r="K266" s="290">
        <f>J266/G266</f>
        <v>165</v>
      </c>
      <c r="L266" s="291">
        <f t="shared" si="13"/>
        <v>6.133333333333334</v>
      </c>
      <c r="M266" s="292">
        <v>457111</v>
      </c>
      <c r="N266" s="290">
        <v>49853</v>
      </c>
      <c r="O266" s="294">
        <f>+M266/N266</f>
        <v>9.169177381501616</v>
      </c>
      <c r="P266" s="332">
        <v>1</v>
      </c>
    </row>
    <row r="267" spans="1:16" ht="15">
      <c r="A267" s="66">
        <v>265</v>
      </c>
      <c r="B267" s="293" t="s">
        <v>60</v>
      </c>
      <c r="C267" s="286">
        <v>39745</v>
      </c>
      <c r="D267" s="285" t="s">
        <v>134</v>
      </c>
      <c r="E267" s="285" t="s">
        <v>106</v>
      </c>
      <c r="F267" s="287">
        <v>7</v>
      </c>
      <c r="G267" s="287">
        <v>1</v>
      </c>
      <c r="H267" s="287">
        <v>13</v>
      </c>
      <c r="I267" s="292">
        <v>1003</v>
      </c>
      <c r="J267" s="290">
        <v>223</v>
      </c>
      <c r="K267" s="290">
        <f>(J267/G267)</f>
        <v>223</v>
      </c>
      <c r="L267" s="291">
        <f t="shared" si="13"/>
        <v>4.497757847533633</v>
      </c>
      <c r="M267" s="292">
        <f>31758.5+8225.5+1958+2180+395+7254.5+494+2046+429+128+135+1066+1003</f>
        <v>57072.5</v>
      </c>
      <c r="N267" s="290">
        <f>2732+851+288+247+46+761+52+333+72+22+23+258+223</f>
        <v>5908</v>
      </c>
      <c r="O267" s="294">
        <f>M267/N267</f>
        <v>9.660206499661475</v>
      </c>
      <c r="P267" s="330"/>
    </row>
    <row r="268" spans="1:16" ht="15">
      <c r="A268" s="66">
        <v>266</v>
      </c>
      <c r="B268" s="293" t="s">
        <v>145</v>
      </c>
      <c r="C268" s="286">
        <v>39801</v>
      </c>
      <c r="D268" s="285" t="s">
        <v>136</v>
      </c>
      <c r="E268" s="285" t="s">
        <v>146</v>
      </c>
      <c r="F268" s="287">
        <v>84</v>
      </c>
      <c r="G268" s="287">
        <v>1</v>
      </c>
      <c r="H268" s="287">
        <v>11</v>
      </c>
      <c r="I268" s="288">
        <v>998</v>
      </c>
      <c r="J268" s="289">
        <v>159</v>
      </c>
      <c r="K268" s="290">
        <f>J268/G268</f>
        <v>159</v>
      </c>
      <c r="L268" s="291">
        <f>IF(I268&lt;&gt;0,I268/J268,"")</f>
        <v>6.276729559748428</v>
      </c>
      <c r="M268" s="292">
        <f>369313.5+145108.5+43813+31258+11772.5+5392.5+2080+3225+50+354+998</f>
        <v>613365</v>
      </c>
      <c r="N268" s="290">
        <f>41017+16460+6346+5364+2357+1094+419+545+10+69+159</f>
        <v>73840</v>
      </c>
      <c r="O268" s="294">
        <f>+M268/N268</f>
        <v>8.306676598049837</v>
      </c>
      <c r="P268" s="330"/>
    </row>
    <row r="269" spans="1:16" ht="15">
      <c r="A269" s="66">
        <v>267</v>
      </c>
      <c r="B269" s="49" t="s">
        <v>47</v>
      </c>
      <c r="C269" s="40">
        <v>39780</v>
      </c>
      <c r="D269" s="45" t="s">
        <v>134</v>
      </c>
      <c r="E269" s="44" t="s">
        <v>33</v>
      </c>
      <c r="F269" s="41">
        <v>6</v>
      </c>
      <c r="G269" s="41">
        <v>2</v>
      </c>
      <c r="H269" s="41">
        <v>6</v>
      </c>
      <c r="I269" s="303">
        <v>997</v>
      </c>
      <c r="J269" s="304">
        <v>230</v>
      </c>
      <c r="K269" s="158">
        <f>(J269/G269)</f>
        <v>115</v>
      </c>
      <c r="L269" s="159">
        <f>I269/J269</f>
        <v>4.334782608695652</v>
      </c>
      <c r="M269" s="150">
        <f>25457+3030+1123+7370+430+997</f>
        <v>38407</v>
      </c>
      <c r="N269" s="151">
        <f>2151+404+165+1079+59+230</f>
        <v>4088</v>
      </c>
      <c r="O269" s="105">
        <f>M269/N269</f>
        <v>9.395058708414872</v>
      </c>
      <c r="P269" s="332"/>
    </row>
    <row r="270" spans="1:16" ht="15">
      <c r="A270" s="66">
        <v>268</v>
      </c>
      <c r="B270" s="293" t="s">
        <v>149</v>
      </c>
      <c r="C270" s="286">
        <v>39801</v>
      </c>
      <c r="D270" s="285" t="s">
        <v>4</v>
      </c>
      <c r="E270" s="285" t="s">
        <v>77</v>
      </c>
      <c r="F270" s="287">
        <v>19</v>
      </c>
      <c r="G270" s="287">
        <v>3</v>
      </c>
      <c r="H270" s="287">
        <v>7</v>
      </c>
      <c r="I270" s="288">
        <v>996</v>
      </c>
      <c r="J270" s="289">
        <v>189</v>
      </c>
      <c r="K270" s="290">
        <f aca="true" t="shared" si="14" ref="K270:K276">J270/G270</f>
        <v>63</v>
      </c>
      <c r="L270" s="291">
        <f>I270/J270</f>
        <v>5.26984126984127</v>
      </c>
      <c r="M270" s="292">
        <v>138889</v>
      </c>
      <c r="N270" s="290">
        <v>13079</v>
      </c>
      <c r="O270" s="294">
        <f aca="true" t="shared" si="15" ref="O270:O276">+M270/N270</f>
        <v>10.619236944720544</v>
      </c>
      <c r="P270" s="332"/>
    </row>
    <row r="271" spans="1:16" ht="15">
      <c r="A271" s="66">
        <v>269</v>
      </c>
      <c r="B271" s="293" t="s">
        <v>20</v>
      </c>
      <c r="C271" s="286">
        <v>39773</v>
      </c>
      <c r="D271" s="285" t="s">
        <v>132</v>
      </c>
      <c r="E271" s="285" t="s">
        <v>21</v>
      </c>
      <c r="F271" s="287">
        <v>2</v>
      </c>
      <c r="G271" s="287">
        <v>2</v>
      </c>
      <c r="H271" s="287">
        <v>6</v>
      </c>
      <c r="I271" s="288">
        <v>969</v>
      </c>
      <c r="J271" s="289">
        <v>210</v>
      </c>
      <c r="K271" s="290">
        <f t="shared" si="14"/>
        <v>105</v>
      </c>
      <c r="L271" s="291">
        <f>I271/J271</f>
        <v>4.614285714285714</v>
      </c>
      <c r="M271" s="292">
        <f>43532.5+13875+1400+341+344+969</f>
        <v>60461.5</v>
      </c>
      <c r="N271" s="290">
        <f>3969+1359+251+52+61+210</f>
        <v>5902</v>
      </c>
      <c r="O271" s="294">
        <f t="shared" si="15"/>
        <v>10.244239240935276</v>
      </c>
      <c r="P271" s="330">
        <v>1</v>
      </c>
    </row>
    <row r="272" spans="1:16" ht="15">
      <c r="A272" s="66">
        <v>270</v>
      </c>
      <c r="B272" s="368" t="s">
        <v>329</v>
      </c>
      <c r="C272" s="39">
        <v>39577</v>
      </c>
      <c r="D272" s="44" t="s">
        <v>131</v>
      </c>
      <c r="E272" s="44" t="s">
        <v>124</v>
      </c>
      <c r="F272" s="41">
        <v>52</v>
      </c>
      <c r="G272" s="41">
        <v>1</v>
      </c>
      <c r="H272" s="41">
        <v>51</v>
      </c>
      <c r="I272" s="263">
        <v>945</v>
      </c>
      <c r="J272" s="308">
        <v>350</v>
      </c>
      <c r="K272" s="155">
        <f t="shared" si="14"/>
        <v>350</v>
      </c>
      <c r="L272" s="356">
        <f>+I272/J272</f>
        <v>2.7</v>
      </c>
      <c r="M272" s="267">
        <v>258720</v>
      </c>
      <c r="N272" s="155">
        <v>34204</v>
      </c>
      <c r="O272" s="358">
        <f t="shared" si="15"/>
        <v>7.564027599111215</v>
      </c>
      <c r="P272" s="332"/>
    </row>
    <row r="273" spans="1:16" ht="15">
      <c r="A273" s="66">
        <v>271</v>
      </c>
      <c r="B273" s="49" t="s">
        <v>313</v>
      </c>
      <c r="C273" s="39">
        <v>39556</v>
      </c>
      <c r="D273" s="44" t="s">
        <v>131</v>
      </c>
      <c r="E273" s="44" t="s">
        <v>43</v>
      </c>
      <c r="F273" s="41">
        <v>37</v>
      </c>
      <c r="G273" s="41">
        <v>1</v>
      </c>
      <c r="H273" s="41">
        <v>53</v>
      </c>
      <c r="I273" s="267">
        <v>945</v>
      </c>
      <c r="J273" s="155">
        <v>350</v>
      </c>
      <c r="K273" s="155">
        <f t="shared" si="14"/>
        <v>350</v>
      </c>
      <c r="L273" s="356">
        <f>+I273/J273</f>
        <v>2.7</v>
      </c>
      <c r="M273" s="267">
        <v>591266</v>
      </c>
      <c r="N273" s="155">
        <v>66803</v>
      </c>
      <c r="O273" s="358">
        <f t="shared" si="15"/>
        <v>8.85088993009296</v>
      </c>
      <c r="P273" s="332"/>
    </row>
    <row r="274" spans="1:16" ht="15">
      <c r="A274" s="66">
        <v>272</v>
      </c>
      <c r="B274" s="293" t="s">
        <v>57</v>
      </c>
      <c r="C274" s="286">
        <v>39745</v>
      </c>
      <c r="D274" s="285" t="s">
        <v>131</v>
      </c>
      <c r="E274" s="285" t="s">
        <v>32</v>
      </c>
      <c r="F274" s="287">
        <v>57</v>
      </c>
      <c r="G274" s="287">
        <v>1</v>
      </c>
      <c r="H274" s="287">
        <v>24</v>
      </c>
      <c r="I274" s="292">
        <v>913</v>
      </c>
      <c r="J274" s="290">
        <v>138</v>
      </c>
      <c r="K274" s="290">
        <f t="shared" si="14"/>
        <v>138</v>
      </c>
      <c r="L274" s="291">
        <f>+I274/J274</f>
        <v>6.615942028985507</v>
      </c>
      <c r="M274" s="292">
        <v>1172773</v>
      </c>
      <c r="N274" s="290">
        <v>127283</v>
      </c>
      <c r="O274" s="294">
        <f t="shared" si="15"/>
        <v>9.213901306537402</v>
      </c>
      <c r="P274" s="332"/>
    </row>
    <row r="275" spans="1:16" ht="15">
      <c r="A275" s="66">
        <v>273</v>
      </c>
      <c r="B275" s="293" t="s">
        <v>57</v>
      </c>
      <c r="C275" s="286">
        <v>39745</v>
      </c>
      <c r="D275" s="285" t="s">
        <v>131</v>
      </c>
      <c r="E275" s="285" t="s">
        <v>32</v>
      </c>
      <c r="F275" s="287">
        <v>57</v>
      </c>
      <c r="G275" s="287">
        <v>1</v>
      </c>
      <c r="H275" s="287">
        <v>23</v>
      </c>
      <c r="I275" s="288">
        <v>908</v>
      </c>
      <c r="J275" s="289">
        <v>141</v>
      </c>
      <c r="K275" s="290">
        <f t="shared" si="14"/>
        <v>141</v>
      </c>
      <c r="L275" s="291">
        <f>+I275/J275</f>
        <v>6.439716312056738</v>
      </c>
      <c r="M275" s="292">
        <v>1171860</v>
      </c>
      <c r="N275" s="290">
        <v>127145</v>
      </c>
      <c r="O275" s="294">
        <f t="shared" si="15"/>
        <v>9.216721066498879</v>
      </c>
      <c r="P275" s="332"/>
    </row>
    <row r="276" spans="1:16" ht="15">
      <c r="A276" s="66">
        <v>274</v>
      </c>
      <c r="B276" s="368" t="s">
        <v>44</v>
      </c>
      <c r="C276" s="39">
        <v>39780</v>
      </c>
      <c r="D276" s="44" t="s">
        <v>131</v>
      </c>
      <c r="E276" s="44" t="s">
        <v>127</v>
      </c>
      <c r="F276" s="41">
        <v>121</v>
      </c>
      <c r="G276" s="41">
        <v>3</v>
      </c>
      <c r="H276" s="41">
        <v>23</v>
      </c>
      <c r="I276" s="267">
        <v>893</v>
      </c>
      <c r="J276" s="155">
        <v>165</v>
      </c>
      <c r="K276" s="155">
        <f t="shared" si="14"/>
        <v>55</v>
      </c>
      <c r="L276" s="356">
        <f>+I276/J276</f>
        <v>5.412121212121212</v>
      </c>
      <c r="M276" s="267">
        <v>3467591</v>
      </c>
      <c r="N276" s="155">
        <v>408818</v>
      </c>
      <c r="O276" s="358">
        <f t="shared" si="15"/>
        <v>8.481991986654208</v>
      </c>
      <c r="P276" s="332"/>
    </row>
    <row r="277" spans="1:16" ht="15">
      <c r="A277" s="66">
        <v>275</v>
      </c>
      <c r="B277" s="49" t="s">
        <v>52</v>
      </c>
      <c r="C277" s="40">
        <v>39738</v>
      </c>
      <c r="D277" s="45" t="s">
        <v>134</v>
      </c>
      <c r="E277" s="44" t="s">
        <v>133</v>
      </c>
      <c r="F277" s="41">
        <v>65</v>
      </c>
      <c r="G277" s="41">
        <v>4</v>
      </c>
      <c r="H277" s="41">
        <v>11</v>
      </c>
      <c r="I277" s="303">
        <v>891</v>
      </c>
      <c r="J277" s="304">
        <v>149</v>
      </c>
      <c r="K277" s="158">
        <f>(J277/G277)</f>
        <v>37.25</v>
      </c>
      <c r="L277" s="159">
        <f>I277/J277</f>
        <v>5.97986577181208</v>
      </c>
      <c r="M277" s="150">
        <f>502954.7+385847+127398.5+41644+35371+15703.5+9494+704+1120.5+952+891</f>
        <v>1122080.2</v>
      </c>
      <c r="N277" s="151">
        <f>51438+39611+14487+7156+6343+2488+1591+176+567+238+149</f>
        <v>124244</v>
      </c>
      <c r="O277" s="105">
        <f>M277/N277</f>
        <v>9.03126267666849</v>
      </c>
      <c r="P277" s="332"/>
    </row>
    <row r="278" spans="1:16" ht="15">
      <c r="A278" s="66">
        <v>276</v>
      </c>
      <c r="B278" s="281" t="s">
        <v>47</v>
      </c>
      <c r="C278" s="40">
        <v>39780</v>
      </c>
      <c r="D278" s="127" t="s">
        <v>134</v>
      </c>
      <c r="E278" s="261" t="s">
        <v>33</v>
      </c>
      <c r="F278" s="262">
        <v>6</v>
      </c>
      <c r="G278" s="262">
        <v>2</v>
      </c>
      <c r="H278" s="262">
        <v>8</v>
      </c>
      <c r="I278" s="273">
        <v>886</v>
      </c>
      <c r="J278" s="274">
        <v>213</v>
      </c>
      <c r="K278" s="275">
        <f>(J278/G278)</f>
        <v>106.5</v>
      </c>
      <c r="L278" s="159">
        <f>I278/J278</f>
        <v>4.15962441314554</v>
      </c>
      <c r="M278" s="276">
        <f>25457+3030+1123+7370+430+997+6202+886</f>
        <v>45495</v>
      </c>
      <c r="N278" s="277">
        <f>2151+404+165+1079+59+230+1523+213</f>
        <v>5824</v>
      </c>
      <c r="O278" s="105">
        <f>M278/N278</f>
        <v>7.811641483516484</v>
      </c>
      <c r="P278" s="332"/>
    </row>
    <row r="279" spans="1:16" ht="15">
      <c r="A279" s="66">
        <v>277</v>
      </c>
      <c r="B279" s="368" t="s">
        <v>44</v>
      </c>
      <c r="C279" s="39">
        <v>39780</v>
      </c>
      <c r="D279" s="44" t="s">
        <v>131</v>
      </c>
      <c r="E279" s="44" t="s">
        <v>127</v>
      </c>
      <c r="F279" s="41">
        <v>121</v>
      </c>
      <c r="G279" s="41">
        <v>2</v>
      </c>
      <c r="H279" s="41">
        <v>22</v>
      </c>
      <c r="I279" s="263">
        <v>885</v>
      </c>
      <c r="J279" s="308">
        <v>145</v>
      </c>
      <c r="K279" s="155">
        <f>J279/G279</f>
        <v>72.5</v>
      </c>
      <c r="L279" s="356">
        <f>+I279/J279</f>
        <v>6.103448275862069</v>
      </c>
      <c r="M279" s="267">
        <v>3466352</v>
      </c>
      <c r="N279" s="155">
        <v>408585</v>
      </c>
      <c r="O279" s="358">
        <f>+M279/N279</f>
        <v>8.483796517248553</v>
      </c>
      <c r="P279" s="332"/>
    </row>
    <row r="280" spans="1:16" ht="15">
      <c r="A280" s="66">
        <v>278</v>
      </c>
      <c r="B280" s="281" t="s">
        <v>73</v>
      </c>
      <c r="C280" s="40">
        <v>39772</v>
      </c>
      <c r="D280" s="127" t="s">
        <v>134</v>
      </c>
      <c r="E280" s="261" t="s">
        <v>105</v>
      </c>
      <c r="F280" s="262">
        <v>195</v>
      </c>
      <c r="G280" s="262">
        <v>2</v>
      </c>
      <c r="H280" s="262">
        <v>10</v>
      </c>
      <c r="I280" s="273">
        <v>882</v>
      </c>
      <c r="J280" s="274">
        <v>202</v>
      </c>
      <c r="K280" s="275">
        <f>(J280/G280)</f>
        <v>101</v>
      </c>
      <c r="L280" s="159">
        <f>I280/J280</f>
        <v>4.366336633663367</v>
      </c>
      <c r="M280" s="276">
        <f>1011017+512350.5+217314+64545+38656.5+8087+9376.5+5786+2876+882</f>
        <v>1870890.5</v>
      </c>
      <c r="N280" s="277">
        <f>136878+68007+31396+9807+8372+1564+2234+1216+601+202</f>
        <v>260277</v>
      </c>
      <c r="O280" s="105">
        <f>M280/N280</f>
        <v>7.188074628184588</v>
      </c>
      <c r="P280" s="332">
        <v>1</v>
      </c>
    </row>
    <row r="281" spans="1:16" ht="15">
      <c r="A281" s="66">
        <v>279</v>
      </c>
      <c r="B281" s="48" t="s">
        <v>55</v>
      </c>
      <c r="C281" s="39">
        <v>39750</v>
      </c>
      <c r="D281" s="43" t="s">
        <v>130</v>
      </c>
      <c r="E281" s="42" t="s">
        <v>30</v>
      </c>
      <c r="F281" s="54">
        <v>198</v>
      </c>
      <c r="G281" s="54">
        <v>2</v>
      </c>
      <c r="H281" s="54">
        <v>13</v>
      </c>
      <c r="I281" s="303">
        <v>864</v>
      </c>
      <c r="J281" s="313">
        <v>322</v>
      </c>
      <c r="K281" s="158">
        <f>J281/G281</f>
        <v>161</v>
      </c>
      <c r="L281" s="159">
        <f>I281/J281</f>
        <v>2.6832298136645965</v>
      </c>
      <c r="M281" s="150">
        <f>4975832+1882135+1034271+412191+151618-1635+10999+12408+14293+6423+2375+2787+864</f>
        <v>8504561</v>
      </c>
      <c r="N281" s="151">
        <f>642956+245951+129523+51207+21082-161+1623+2391+2711+1404+495+717+322</f>
        <v>1100221</v>
      </c>
      <c r="O281" s="105">
        <f>+M281/N281</f>
        <v>7.729866090539992</v>
      </c>
      <c r="P281" s="332">
        <v>1</v>
      </c>
    </row>
    <row r="282" spans="1:16" ht="15">
      <c r="A282" s="66">
        <v>280</v>
      </c>
      <c r="B282" s="49" t="s">
        <v>315</v>
      </c>
      <c r="C282" s="39">
        <v>39542</v>
      </c>
      <c r="D282" s="44" t="s">
        <v>4</v>
      </c>
      <c r="E282" s="44" t="s">
        <v>77</v>
      </c>
      <c r="F282" s="41">
        <v>25</v>
      </c>
      <c r="G282" s="41">
        <v>1</v>
      </c>
      <c r="H282" s="41">
        <v>42</v>
      </c>
      <c r="I282" s="267">
        <v>860</v>
      </c>
      <c r="J282" s="155">
        <v>199</v>
      </c>
      <c r="K282" s="155">
        <f>+J282/G282</f>
        <v>199</v>
      </c>
      <c r="L282" s="356">
        <f>+I282/J282</f>
        <v>4.321608040201005</v>
      </c>
      <c r="M282" s="267">
        <v>179895</v>
      </c>
      <c r="N282" s="155">
        <v>19678</v>
      </c>
      <c r="O282" s="358">
        <f>+M282/N282</f>
        <v>9.14193515601179</v>
      </c>
      <c r="P282" s="332"/>
    </row>
    <row r="283" spans="1:16" ht="15">
      <c r="A283" s="66">
        <v>281</v>
      </c>
      <c r="B283" s="293" t="s">
        <v>205</v>
      </c>
      <c r="C283" s="286">
        <v>39808</v>
      </c>
      <c r="D283" s="285" t="s">
        <v>131</v>
      </c>
      <c r="E283" s="285" t="s">
        <v>124</v>
      </c>
      <c r="F283" s="287">
        <v>34</v>
      </c>
      <c r="G283" s="287">
        <v>1</v>
      </c>
      <c r="H283" s="287">
        <v>10</v>
      </c>
      <c r="I283" s="288">
        <v>856</v>
      </c>
      <c r="J283" s="289">
        <v>129</v>
      </c>
      <c r="K283" s="290">
        <f>J283/G283</f>
        <v>129</v>
      </c>
      <c r="L283" s="291">
        <f>+I283/J283</f>
        <v>6.635658914728682</v>
      </c>
      <c r="M283" s="292">
        <v>803840</v>
      </c>
      <c r="N283" s="290">
        <v>90331</v>
      </c>
      <c r="O283" s="294">
        <f>+M283/N283</f>
        <v>8.89882764499452</v>
      </c>
      <c r="P283" s="331">
        <v>1</v>
      </c>
    </row>
    <row r="284" spans="1:16" ht="15">
      <c r="A284" s="66">
        <v>282</v>
      </c>
      <c r="B284" s="293" t="s">
        <v>70</v>
      </c>
      <c r="C284" s="286">
        <v>39766</v>
      </c>
      <c r="D284" s="285" t="s">
        <v>132</v>
      </c>
      <c r="E284" s="285" t="s">
        <v>71</v>
      </c>
      <c r="F284" s="287">
        <v>1</v>
      </c>
      <c r="G284" s="287">
        <v>1</v>
      </c>
      <c r="H284" s="287">
        <v>18</v>
      </c>
      <c r="I284" s="288">
        <v>852</v>
      </c>
      <c r="J284" s="289">
        <v>172</v>
      </c>
      <c r="K284" s="290">
        <f>J284/G284</f>
        <v>172</v>
      </c>
      <c r="L284" s="291">
        <f>I284/J284</f>
        <v>4.953488372093023</v>
      </c>
      <c r="M284" s="292">
        <f>191668+16358.5+8305+0.5+19699.5+16705.5+7289+4467+3138+2267+1882+6536+9273+1289+852</f>
        <v>289730</v>
      </c>
      <c r="N284" s="290">
        <f>10324+8249+7871+7121+4755+3362+1751+2958+2636+1185+800+596+440+265+961+1648+202+172</f>
        <v>55296</v>
      </c>
      <c r="O284" s="294">
        <f>+M284/N284</f>
        <v>5.239619502314815</v>
      </c>
      <c r="P284" s="332"/>
    </row>
    <row r="285" spans="1:16" ht="15">
      <c r="A285" s="66">
        <v>283</v>
      </c>
      <c r="B285" s="293" t="s">
        <v>195</v>
      </c>
      <c r="C285" s="286">
        <v>39556</v>
      </c>
      <c r="D285" s="285" t="s">
        <v>132</v>
      </c>
      <c r="E285" s="285" t="s">
        <v>133</v>
      </c>
      <c r="F285" s="287">
        <v>1</v>
      </c>
      <c r="G285" s="287">
        <v>1</v>
      </c>
      <c r="H285" s="287">
        <v>20</v>
      </c>
      <c r="I285" s="288">
        <v>840</v>
      </c>
      <c r="J285" s="289">
        <v>117</v>
      </c>
      <c r="K285" s="290">
        <f>J285/G285</f>
        <v>117</v>
      </c>
      <c r="L285" s="291">
        <f>I285/J285</f>
        <v>7.17948717948718</v>
      </c>
      <c r="M285" s="292">
        <f>547723+268930+138072.5+72001+47770.5+20534.5+29707+9377+8368.5+23017+5732.5+1280+238+81+2408+580+1042+0.5+260+107+840</f>
        <v>1178070</v>
      </c>
      <c r="N285" s="290">
        <f>69527+33465+19378+11928+8462+4284+6759+1860+1698+5423+992+174+49+18+602+163+76+32+14+117</f>
        <v>165021</v>
      </c>
      <c r="O285" s="294">
        <f>+M285/N285</f>
        <v>7.138909593324486</v>
      </c>
      <c r="P285" s="332"/>
    </row>
    <row r="286" spans="1:16" ht="15">
      <c r="A286" s="66">
        <v>284</v>
      </c>
      <c r="B286" s="293" t="s">
        <v>67</v>
      </c>
      <c r="C286" s="286">
        <v>39759</v>
      </c>
      <c r="D286" s="285" t="s">
        <v>134</v>
      </c>
      <c r="E286" s="285" t="s">
        <v>226</v>
      </c>
      <c r="F286" s="287">
        <v>93</v>
      </c>
      <c r="G286" s="287">
        <v>1</v>
      </c>
      <c r="H286" s="287">
        <v>14</v>
      </c>
      <c r="I286" s="288">
        <v>832</v>
      </c>
      <c r="J286" s="289">
        <v>208</v>
      </c>
      <c r="K286" s="290">
        <f>(J286/G286)</f>
        <v>208</v>
      </c>
      <c r="L286" s="291">
        <f>I286/J286</f>
        <v>4</v>
      </c>
      <c r="M286" s="292">
        <f>224223+136351+27895+24212+1274+3482+7147+2804+5279+2025+2635+2196+1188+832</f>
        <v>441543</v>
      </c>
      <c r="N286" s="290">
        <f>27969+18593+4268+4646+311+857+1472+745+1285+386+636+549+297+208</f>
        <v>62222</v>
      </c>
      <c r="O286" s="294">
        <f>M286/N286</f>
        <v>7.096252129471891</v>
      </c>
      <c r="P286" s="332"/>
    </row>
    <row r="287" spans="1:16" ht="15">
      <c r="A287" s="66">
        <v>285</v>
      </c>
      <c r="B287" s="49" t="s">
        <v>42</v>
      </c>
      <c r="C287" s="40">
        <v>39640</v>
      </c>
      <c r="D287" s="65" t="s">
        <v>131</v>
      </c>
      <c r="E287" s="65" t="s">
        <v>43</v>
      </c>
      <c r="F287" s="41">
        <v>137</v>
      </c>
      <c r="G287" s="41">
        <v>1</v>
      </c>
      <c r="H287" s="41">
        <v>25</v>
      </c>
      <c r="I287" s="307">
        <v>805</v>
      </c>
      <c r="J287" s="308">
        <v>350</v>
      </c>
      <c r="K287" s="155">
        <f aca="true" t="shared" si="16" ref="K287:K293">J287/G287</f>
        <v>350</v>
      </c>
      <c r="L287" s="156">
        <f>+I287/J287</f>
        <v>2.3</v>
      </c>
      <c r="M287" s="154">
        <v>1629170</v>
      </c>
      <c r="N287" s="155">
        <v>217304</v>
      </c>
      <c r="O287" s="103">
        <f aca="true" t="shared" si="17" ref="O287:O293">+M287/N287</f>
        <v>7.497192872657659</v>
      </c>
      <c r="P287" s="331">
        <v>1</v>
      </c>
    </row>
    <row r="288" spans="1:16" ht="15">
      <c r="A288" s="66">
        <v>286</v>
      </c>
      <c r="B288" s="368" t="s">
        <v>72</v>
      </c>
      <c r="C288" s="39">
        <v>39773</v>
      </c>
      <c r="D288" s="44" t="s">
        <v>131</v>
      </c>
      <c r="E288" s="44" t="s">
        <v>126</v>
      </c>
      <c r="F288" s="41">
        <v>204</v>
      </c>
      <c r="G288" s="41">
        <v>1</v>
      </c>
      <c r="H288" s="41">
        <v>23</v>
      </c>
      <c r="I288" s="263">
        <v>805</v>
      </c>
      <c r="J288" s="308">
        <v>161</v>
      </c>
      <c r="K288" s="155">
        <f t="shared" si="16"/>
        <v>161</v>
      </c>
      <c r="L288" s="356">
        <f>+I288/J288</f>
        <v>5</v>
      </c>
      <c r="M288" s="267">
        <v>11442948</v>
      </c>
      <c r="N288" s="155">
        <v>1417650</v>
      </c>
      <c r="O288" s="358">
        <f t="shared" si="17"/>
        <v>8.071772299227595</v>
      </c>
      <c r="P288" s="332">
        <v>1</v>
      </c>
    </row>
    <row r="289" spans="1:16" ht="15">
      <c r="A289" s="66">
        <v>287</v>
      </c>
      <c r="B289" s="293" t="s">
        <v>25</v>
      </c>
      <c r="C289" s="286">
        <v>39808</v>
      </c>
      <c r="D289" s="285" t="s">
        <v>131</v>
      </c>
      <c r="E289" s="285" t="s">
        <v>111</v>
      </c>
      <c r="F289" s="287">
        <v>112</v>
      </c>
      <c r="G289" s="287">
        <v>2</v>
      </c>
      <c r="H289" s="287">
        <v>13</v>
      </c>
      <c r="I289" s="288">
        <v>805</v>
      </c>
      <c r="J289" s="289">
        <v>160</v>
      </c>
      <c r="K289" s="290">
        <f t="shared" si="16"/>
        <v>80</v>
      </c>
      <c r="L289" s="291">
        <f>I289/J289</f>
        <v>5.03125</v>
      </c>
      <c r="M289" s="292">
        <v>2042669</v>
      </c>
      <c r="N289" s="290">
        <v>210672</v>
      </c>
      <c r="O289" s="294">
        <f t="shared" si="17"/>
        <v>9.695968140047087</v>
      </c>
      <c r="P289" s="332">
        <v>1</v>
      </c>
    </row>
    <row r="290" spans="1:16" ht="15">
      <c r="A290" s="66">
        <v>288</v>
      </c>
      <c r="B290" s="49" t="s">
        <v>57</v>
      </c>
      <c r="C290" s="40">
        <v>39745</v>
      </c>
      <c r="D290" s="65" t="s">
        <v>131</v>
      </c>
      <c r="E290" s="65" t="s">
        <v>32</v>
      </c>
      <c r="F290" s="41">
        <v>57</v>
      </c>
      <c r="G290" s="41">
        <v>1</v>
      </c>
      <c r="H290" s="41">
        <v>11</v>
      </c>
      <c r="I290" s="307">
        <v>801</v>
      </c>
      <c r="J290" s="308">
        <v>157</v>
      </c>
      <c r="K290" s="155">
        <f t="shared" si="16"/>
        <v>157</v>
      </c>
      <c r="L290" s="156">
        <f>+I290/J290</f>
        <v>5.101910828025478</v>
      </c>
      <c r="M290" s="154">
        <v>1167434</v>
      </c>
      <c r="N290" s="155">
        <v>125785</v>
      </c>
      <c r="O290" s="103">
        <f t="shared" si="17"/>
        <v>9.281186150971896</v>
      </c>
      <c r="P290" s="331"/>
    </row>
    <row r="291" spans="1:16" ht="15">
      <c r="A291" s="66">
        <v>289</v>
      </c>
      <c r="B291" s="293" t="s">
        <v>28</v>
      </c>
      <c r="C291" s="286">
        <v>39808</v>
      </c>
      <c r="D291" s="285" t="s">
        <v>132</v>
      </c>
      <c r="E291" s="285" t="s">
        <v>29</v>
      </c>
      <c r="F291" s="287">
        <v>1</v>
      </c>
      <c r="G291" s="287">
        <v>1</v>
      </c>
      <c r="H291" s="287">
        <v>6</v>
      </c>
      <c r="I291" s="288">
        <v>788</v>
      </c>
      <c r="J291" s="289">
        <v>263</v>
      </c>
      <c r="K291" s="290">
        <f t="shared" si="16"/>
        <v>263</v>
      </c>
      <c r="L291" s="291">
        <f>I291/J291</f>
        <v>2.9961977186311786</v>
      </c>
      <c r="M291" s="292">
        <f>173290.5+101994+52183.5+11344+1707+788</f>
        <v>341307</v>
      </c>
      <c r="N291" s="290">
        <f>23989+15166+8100+1911+346+263</f>
        <v>49775</v>
      </c>
      <c r="O291" s="294">
        <f t="shared" si="17"/>
        <v>6.856996484178804</v>
      </c>
      <c r="P291" s="332">
        <v>1</v>
      </c>
    </row>
    <row r="292" spans="1:16" ht="15">
      <c r="A292" s="66">
        <v>290</v>
      </c>
      <c r="B292" s="293" t="s">
        <v>205</v>
      </c>
      <c r="C292" s="286">
        <v>39808</v>
      </c>
      <c r="D292" s="285" t="s">
        <v>131</v>
      </c>
      <c r="E292" s="285" t="s">
        <v>124</v>
      </c>
      <c r="F292" s="287">
        <v>34</v>
      </c>
      <c r="G292" s="287">
        <v>2</v>
      </c>
      <c r="H292" s="287">
        <v>9</v>
      </c>
      <c r="I292" s="288">
        <v>787</v>
      </c>
      <c r="J292" s="289">
        <v>136</v>
      </c>
      <c r="K292" s="290">
        <f t="shared" si="16"/>
        <v>68</v>
      </c>
      <c r="L292" s="291">
        <f>+I292/J292</f>
        <v>5.786764705882353</v>
      </c>
      <c r="M292" s="292">
        <v>802984</v>
      </c>
      <c r="N292" s="290">
        <v>90202</v>
      </c>
      <c r="O292" s="294">
        <f t="shared" si="17"/>
        <v>8.902064255781468</v>
      </c>
      <c r="P292" s="332">
        <v>1</v>
      </c>
    </row>
    <row r="293" spans="1:16" ht="15">
      <c r="A293" s="66">
        <v>291</v>
      </c>
      <c r="B293" s="293" t="s">
        <v>23</v>
      </c>
      <c r="C293" s="286">
        <v>39808</v>
      </c>
      <c r="D293" s="285" t="s">
        <v>136</v>
      </c>
      <c r="E293" s="285" t="s">
        <v>24</v>
      </c>
      <c r="F293" s="287">
        <v>198</v>
      </c>
      <c r="G293" s="287">
        <v>1</v>
      </c>
      <c r="H293" s="287">
        <v>10</v>
      </c>
      <c r="I293" s="288">
        <v>765</v>
      </c>
      <c r="J293" s="289">
        <v>151</v>
      </c>
      <c r="K293" s="290">
        <f t="shared" si="16"/>
        <v>151</v>
      </c>
      <c r="L293" s="291">
        <f>IF(I293&lt;&gt;0,I293/J293,"")</f>
        <v>5.066225165562914</v>
      </c>
      <c r="M293" s="292">
        <f>909072+532572.5+214521.5+64908+15178.5+4216.5+2023+1098+1208+765</f>
        <v>1745563</v>
      </c>
      <c r="N293" s="290">
        <f>112486+67146+29772+10700+3086+733+452+228+242+151</f>
        <v>224996</v>
      </c>
      <c r="O293" s="294">
        <f t="shared" si="17"/>
        <v>7.758195701256911</v>
      </c>
      <c r="P293" s="330">
        <v>1</v>
      </c>
    </row>
    <row r="294" spans="1:16" ht="15">
      <c r="A294" s="66">
        <v>292</v>
      </c>
      <c r="B294" s="368" t="s">
        <v>167</v>
      </c>
      <c r="C294" s="39">
        <v>39766</v>
      </c>
      <c r="D294" s="44" t="s">
        <v>285</v>
      </c>
      <c r="E294" s="44" t="s">
        <v>168</v>
      </c>
      <c r="F294" s="41">
        <v>17</v>
      </c>
      <c r="G294" s="41">
        <v>1</v>
      </c>
      <c r="H294" s="41">
        <v>19</v>
      </c>
      <c r="I294" s="263">
        <v>755</v>
      </c>
      <c r="J294" s="308">
        <v>133</v>
      </c>
      <c r="K294" s="155">
        <v>133</v>
      </c>
      <c r="L294" s="356">
        <v>5.676691729323308</v>
      </c>
      <c r="M294" s="267">
        <v>79437</v>
      </c>
      <c r="N294" s="155">
        <v>11051</v>
      </c>
      <c r="O294" s="358">
        <v>7.188218260790879</v>
      </c>
      <c r="P294" s="332">
        <v>1</v>
      </c>
    </row>
    <row r="295" spans="1:16" ht="15">
      <c r="A295" s="66">
        <v>293</v>
      </c>
      <c r="B295" s="232" t="s">
        <v>91</v>
      </c>
      <c r="C295" s="216">
        <v>36413</v>
      </c>
      <c r="D295" s="217" t="s">
        <v>92</v>
      </c>
      <c r="E295" s="217" t="s">
        <v>93</v>
      </c>
      <c r="F295" s="218">
        <v>6</v>
      </c>
      <c r="G295" s="218">
        <v>1</v>
      </c>
      <c r="H295" s="218">
        <v>24</v>
      </c>
      <c r="I295" s="297">
        <v>712</v>
      </c>
      <c r="J295" s="298">
        <v>178</v>
      </c>
      <c r="K295" s="223">
        <f>J295/G295</f>
        <v>178</v>
      </c>
      <c r="L295" s="224">
        <f aca="true" t="shared" si="18" ref="L295:L309">I295/J295</f>
        <v>4</v>
      </c>
      <c r="M295" s="225">
        <v>39786.6</v>
      </c>
      <c r="N295" s="226">
        <v>21271</v>
      </c>
      <c r="O295" s="233">
        <f>+M295/N295</f>
        <v>1.8704621315405952</v>
      </c>
      <c r="P295" s="332">
        <v>1</v>
      </c>
    </row>
    <row r="296" spans="1:16" ht="15">
      <c r="A296" s="66">
        <v>294</v>
      </c>
      <c r="B296" s="293" t="s">
        <v>47</v>
      </c>
      <c r="C296" s="286">
        <v>39780</v>
      </c>
      <c r="D296" s="285" t="s">
        <v>134</v>
      </c>
      <c r="E296" s="285" t="s">
        <v>33</v>
      </c>
      <c r="F296" s="287">
        <v>6</v>
      </c>
      <c r="G296" s="287">
        <v>1</v>
      </c>
      <c r="H296" s="287">
        <v>9</v>
      </c>
      <c r="I296" s="288">
        <v>691.5</v>
      </c>
      <c r="J296" s="289">
        <v>105</v>
      </c>
      <c r="K296" s="290">
        <f>(J296/G296)</f>
        <v>105</v>
      </c>
      <c r="L296" s="291">
        <f t="shared" si="18"/>
        <v>6.585714285714285</v>
      </c>
      <c r="M296" s="292">
        <f>25457+3030+1123+7370+430+997+6202+886+691.5</f>
        <v>46186.5</v>
      </c>
      <c r="N296" s="290">
        <f>2151+404+165+1079+59+230+1523+213+105</f>
        <v>5929</v>
      </c>
      <c r="O296" s="294">
        <f>M296/N296</f>
        <v>7.789930848372407</v>
      </c>
      <c r="P296" s="331"/>
    </row>
    <row r="297" spans="1:16" ht="15">
      <c r="A297" s="66">
        <v>295</v>
      </c>
      <c r="B297" s="293" t="s">
        <v>204</v>
      </c>
      <c r="C297" s="286">
        <v>39675</v>
      </c>
      <c r="D297" s="285" t="s">
        <v>200</v>
      </c>
      <c r="E297" s="285" t="s">
        <v>200</v>
      </c>
      <c r="F297" s="287">
        <v>54</v>
      </c>
      <c r="G297" s="287">
        <v>1</v>
      </c>
      <c r="H297" s="287">
        <v>10</v>
      </c>
      <c r="I297" s="288">
        <v>690</v>
      </c>
      <c r="J297" s="289">
        <v>230</v>
      </c>
      <c r="K297" s="290">
        <f>J297/G297</f>
        <v>230</v>
      </c>
      <c r="L297" s="291">
        <f t="shared" si="18"/>
        <v>3</v>
      </c>
      <c r="M297" s="292">
        <v>679944</v>
      </c>
      <c r="N297" s="290">
        <v>66454</v>
      </c>
      <c r="O297" s="294">
        <f aca="true" t="shared" si="19" ref="O297:O304">+M297/N297</f>
        <v>10.231799440214283</v>
      </c>
      <c r="P297" s="332"/>
    </row>
    <row r="298" spans="1:16" ht="15">
      <c r="A298" s="66">
        <v>296</v>
      </c>
      <c r="B298" s="293" t="s">
        <v>56</v>
      </c>
      <c r="C298" s="286">
        <v>39745</v>
      </c>
      <c r="D298" s="285" t="s">
        <v>136</v>
      </c>
      <c r="E298" s="285" t="s">
        <v>46</v>
      </c>
      <c r="F298" s="287">
        <v>104</v>
      </c>
      <c r="G298" s="287">
        <v>1</v>
      </c>
      <c r="H298" s="287">
        <v>16</v>
      </c>
      <c r="I298" s="288">
        <v>686</v>
      </c>
      <c r="J298" s="289">
        <v>106</v>
      </c>
      <c r="K298" s="290">
        <f>IF(I298&lt;&gt;0,J298/G298,"")</f>
        <v>106</v>
      </c>
      <c r="L298" s="291">
        <f t="shared" si="18"/>
        <v>6.471698113207547</v>
      </c>
      <c r="M298" s="292">
        <f>821522+622841.5+494230+434015.5+185757.5+145248.5+16130+16159+2033+6489+4346+3565+2540+1323+139+686</f>
        <v>2757025</v>
      </c>
      <c r="N298" s="290">
        <f>99216+78381+65128+58419+30420+24530+3077+3918+431+1704+1003+785+507+195+19+106</f>
        <v>367839</v>
      </c>
      <c r="O298" s="294">
        <f t="shared" si="19"/>
        <v>7.495194908642096</v>
      </c>
      <c r="P298" s="330"/>
    </row>
    <row r="299" spans="1:16" ht="15">
      <c r="A299" s="66">
        <v>297</v>
      </c>
      <c r="B299" s="368" t="s">
        <v>44</v>
      </c>
      <c r="C299" s="39">
        <v>39780</v>
      </c>
      <c r="D299" s="44" t="s">
        <v>131</v>
      </c>
      <c r="E299" s="44" t="s">
        <v>127</v>
      </c>
      <c r="F299" s="41">
        <v>121</v>
      </c>
      <c r="G299" s="41">
        <v>3</v>
      </c>
      <c r="H299" s="41">
        <v>25</v>
      </c>
      <c r="I299" s="263">
        <v>673</v>
      </c>
      <c r="J299" s="308">
        <v>391</v>
      </c>
      <c r="K299" s="155">
        <f aca="true" t="shared" si="20" ref="K299:K304">J299/G299</f>
        <v>130.33333333333334</v>
      </c>
      <c r="L299" s="356">
        <f t="shared" si="18"/>
        <v>1.721227621483376</v>
      </c>
      <c r="M299" s="267">
        <v>3470170</v>
      </c>
      <c r="N299" s="155">
        <v>409759</v>
      </c>
      <c r="O299" s="358">
        <f t="shared" si="19"/>
        <v>8.4688072745199</v>
      </c>
      <c r="P299" s="376"/>
    </row>
    <row r="300" spans="1:16" ht="15">
      <c r="A300" s="66">
        <v>298</v>
      </c>
      <c r="B300" s="235">
        <v>120</v>
      </c>
      <c r="C300" s="229">
        <v>39493</v>
      </c>
      <c r="D300" s="227" t="s">
        <v>132</v>
      </c>
      <c r="E300" s="227" t="s">
        <v>94</v>
      </c>
      <c r="F300" s="228">
        <v>179</v>
      </c>
      <c r="G300" s="228">
        <v>1</v>
      </c>
      <c r="H300" s="228">
        <v>38</v>
      </c>
      <c r="I300" s="309">
        <v>666</v>
      </c>
      <c r="J300" s="310">
        <v>222</v>
      </c>
      <c r="K300" s="223">
        <f t="shared" si="20"/>
        <v>222</v>
      </c>
      <c r="L300" s="224">
        <f t="shared" si="18"/>
        <v>3</v>
      </c>
      <c r="M300" s="231">
        <f>940515+844172.5+750489+533469+396399.5+362067.5+228159+211115.5+153941.5+48+73076.5+60280+47290.5+46690+13789+13717.5+9809+2709.5+1288.5+22597.5+10821.5+12218+7313+44774.5+111294+3629+0.5+41599.5+20470.5+5217-3719.5+10067+1376+10253+13391+15635+48+500+2820+500+666</f>
        <v>5020498.5</v>
      </c>
      <c r="N300" s="222">
        <f>135921+127724+124508+97493+101422+99063+62455+57586+44490+6+19837+19877+15923+15427+4822+4847+3310+822+280+7405+3528+4050+2428+14923+37098+1709+6180+3303+3114+328+3418+4411+5191+12+100+806+100+222</f>
        <v>1034139</v>
      </c>
      <c r="O300" s="233">
        <f t="shared" si="19"/>
        <v>4.854761787341934</v>
      </c>
      <c r="P300" s="332"/>
    </row>
    <row r="301" spans="1:16" ht="15">
      <c r="A301" s="66">
        <v>299</v>
      </c>
      <c r="B301" s="293" t="s">
        <v>289</v>
      </c>
      <c r="C301" s="286">
        <v>39472</v>
      </c>
      <c r="D301" s="285" t="s">
        <v>285</v>
      </c>
      <c r="E301" s="285" t="s">
        <v>290</v>
      </c>
      <c r="F301" s="287">
        <v>70</v>
      </c>
      <c r="G301" s="287">
        <v>1</v>
      </c>
      <c r="H301" s="287">
        <v>29</v>
      </c>
      <c r="I301" s="292">
        <v>666</v>
      </c>
      <c r="J301" s="290">
        <v>164</v>
      </c>
      <c r="K301" s="290">
        <f t="shared" si="20"/>
        <v>164</v>
      </c>
      <c r="L301" s="291">
        <f t="shared" si="18"/>
        <v>4.060975609756097</v>
      </c>
      <c r="M301" s="292">
        <v>879310</v>
      </c>
      <c r="N301" s="290">
        <v>111317</v>
      </c>
      <c r="O301" s="294">
        <f t="shared" si="19"/>
        <v>7.899152869732386</v>
      </c>
      <c r="P301" s="332">
        <v>1</v>
      </c>
    </row>
    <row r="302" spans="1:16" ht="15">
      <c r="A302" s="66">
        <v>300</v>
      </c>
      <c r="B302" s="232" t="s">
        <v>149</v>
      </c>
      <c r="C302" s="216">
        <v>39801</v>
      </c>
      <c r="D302" s="217" t="s">
        <v>4</v>
      </c>
      <c r="E302" s="217" t="s">
        <v>77</v>
      </c>
      <c r="F302" s="218">
        <v>19</v>
      </c>
      <c r="G302" s="218">
        <v>4</v>
      </c>
      <c r="H302" s="218">
        <v>4</v>
      </c>
      <c r="I302" s="297">
        <v>661</v>
      </c>
      <c r="J302" s="298">
        <v>120</v>
      </c>
      <c r="K302" s="223">
        <f t="shared" si="20"/>
        <v>30</v>
      </c>
      <c r="L302" s="224">
        <f t="shared" si="18"/>
        <v>5.508333333333334</v>
      </c>
      <c r="M302" s="225">
        <v>137299</v>
      </c>
      <c r="N302" s="226">
        <v>12776</v>
      </c>
      <c r="O302" s="233">
        <f t="shared" si="19"/>
        <v>10.746634314339387</v>
      </c>
      <c r="P302" s="332"/>
    </row>
    <row r="303" spans="1:16" ht="15">
      <c r="A303" s="66">
        <v>301</v>
      </c>
      <c r="B303" s="49" t="s">
        <v>144</v>
      </c>
      <c r="C303" s="39">
        <v>39801</v>
      </c>
      <c r="D303" s="44" t="s">
        <v>130</v>
      </c>
      <c r="E303" s="44" t="s">
        <v>122</v>
      </c>
      <c r="F303" s="41">
        <v>69</v>
      </c>
      <c r="G303" s="41">
        <v>1</v>
      </c>
      <c r="H303" s="41">
        <v>15</v>
      </c>
      <c r="I303" s="307">
        <v>647</v>
      </c>
      <c r="J303" s="308">
        <v>159</v>
      </c>
      <c r="K303" s="155">
        <f t="shared" si="20"/>
        <v>159</v>
      </c>
      <c r="L303" s="156">
        <f t="shared" si="18"/>
        <v>4.069182389937107</v>
      </c>
      <c r="M303" s="154">
        <f>820286+588484+413907+112495+41441-111+9385+4586+8718+1191+251+1065+1821+1022+443+647</f>
        <v>2005631</v>
      </c>
      <c r="N303" s="155">
        <f>83839+57678+42374+12212+5722-11+2124+1350+1256+191+41+182+386+174+82+159</f>
        <v>207759</v>
      </c>
      <c r="O303" s="103">
        <f t="shared" si="19"/>
        <v>9.653641960155758</v>
      </c>
      <c r="P303" s="332">
        <v>1</v>
      </c>
    </row>
    <row r="304" spans="1:16" ht="15">
      <c r="A304" s="66">
        <v>302</v>
      </c>
      <c r="B304" s="368" t="s">
        <v>25</v>
      </c>
      <c r="C304" s="39">
        <v>39808</v>
      </c>
      <c r="D304" s="44" t="s">
        <v>131</v>
      </c>
      <c r="E304" s="44" t="s">
        <v>111</v>
      </c>
      <c r="F304" s="41">
        <v>112</v>
      </c>
      <c r="G304" s="41">
        <v>3</v>
      </c>
      <c r="H304" s="41">
        <v>20</v>
      </c>
      <c r="I304" s="267">
        <v>626</v>
      </c>
      <c r="J304" s="155">
        <v>386</v>
      </c>
      <c r="K304" s="155">
        <f t="shared" si="20"/>
        <v>128.66666666666666</v>
      </c>
      <c r="L304" s="356">
        <f t="shared" si="18"/>
        <v>1.621761658031088</v>
      </c>
      <c r="M304" s="267">
        <v>2059346</v>
      </c>
      <c r="N304" s="155">
        <v>215115</v>
      </c>
      <c r="O304" s="358">
        <f t="shared" si="19"/>
        <v>9.573232921925483</v>
      </c>
      <c r="P304" s="321"/>
    </row>
    <row r="305" spans="1:16" ht="15">
      <c r="A305" s="66">
        <v>303</v>
      </c>
      <c r="B305" s="49" t="s">
        <v>60</v>
      </c>
      <c r="C305" s="39">
        <v>39745</v>
      </c>
      <c r="D305" s="44" t="s">
        <v>134</v>
      </c>
      <c r="E305" s="44" t="s">
        <v>106</v>
      </c>
      <c r="F305" s="41">
        <v>7</v>
      </c>
      <c r="G305" s="41">
        <v>1</v>
      </c>
      <c r="H305" s="41">
        <v>14</v>
      </c>
      <c r="I305" s="307">
        <v>620</v>
      </c>
      <c r="J305" s="308">
        <v>133</v>
      </c>
      <c r="K305" s="155">
        <f>(J305/G305)</f>
        <v>133</v>
      </c>
      <c r="L305" s="156">
        <f t="shared" si="18"/>
        <v>4.661654135338346</v>
      </c>
      <c r="M305" s="154">
        <f>31758.5+8225.5+1958+2180+395+7254.5+494+2046+429+128+135+1066+1003+620</f>
        <v>57692.5</v>
      </c>
      <c r="N305" s="155">
        <f>2732+851+288+247+46+761+52+333+72+22+23+258+223+133</f>
        <v>6041</v>
      </c>
      <c r="O305" s="103">
        <f>M305/N305</f>
        <v>9.550157258731998</v>
      </c>
      <c r="P305" s="332">
        <v>1</v>
      </c>
    </row>
    <row r="306" spans="1:16" ht="15">
      <c r="A306" s="66">
        <v>304</v>
      </c>
      <c r="B306" s="368" t="s">
        <v>147</v>
      </c>
      <c r="C306" s="39">
        <v>39801</v>
      </c>
      <c r="D306" s="44" t="s">
        <v>134</v>
      </c>
      <c r="E306" s="44" t="s">
        <v>148</v>
      </c>
      <c r="F306" s="41">
        <v>42</v>
      </c>
      <c r="G306" s="41">
        <v>1</v>
      </c>
      <c r="H306" s="41">
        <v>19</v>
      </c>
      <c r="I306" s="263">
        <v>607.5</v>
      </c>
      <c r="J306" s="308">
        <v>150</v>
      </c>
      <c r="K306" s="155">
        <f>(J306/G306)</f>
        <v>150</v>
      </c>
      <c r="L306" s="356">
        <f t="shared" si="18"/>
        <v>4.05</v>
      </c>
      <c r="M306" s="267">
        <f>295344+204961.5+145464.5+116108.5+111972.5+49984+26327+32042+18579+20005+19180+15980+2686.5+3166.5+366+13433+4493+735.5+607.5</f>
        <v>1081436</v>
      </c>
      <c r="N306" s="155">
        <f>36142+24747+19417+15404+14719+7567+3314+5289+3173+3275+3534+2826+540+724+52+2536+882+130+150</f>
        <v>144421</v>
      </c>
      <c r="O306" s="358">
        <f>M306/N306</f>
        <v>7.488079988367343</v>
      </c>
      <c r="P306" s="332">
        <v>1</v>
      </c>
    </row>
    <row r="307" spans="1:16" ht="15">
      <c r="A307" s="66">
        <v>305</v>
      </c>
      <c r="B307" s="49" t="s">
        <v>19</v>
      </c>
      <c r="C307" s="40">
        <v>39731</v>
      </c>
      <c r="D307" s="45" t="s">
        <v>134</v>
      </c>
      <c r="E307" s="44" t="s">
        <v>35</v>
      </c>
      <c r="F307" s="41">
        <v>37</v>
      </c>
      <c r="G307" s="41">
        <v>1</v>
      </c>
      <c r="H307" s="41">
        <v>12</v>
      </c>
      <c r="I307" s="303">
        <v>594.5</v>
      </c>
      <c r="J307" s="313">
        <v>146</v>
      </c>
      <c r="K307" s="158">
        <f>(J307/G307)</f>
        <v>146</v>
      </c>
      <c r="L307" s="159">
        <f t="shared" si="18"/>
        <v>4.071917808219178</v>
      </c>
      <c r="M307" s="150">
        <f>129467.5+88890.1+34771+30141+12902+22737.5+2404+24305+405+301+3764.5+594.5</f>
        <v>350683.1</v>
      </c>
      <c r="N307" s="151">
        <f>14410+10160+4854+5433+2399+3960+492+3729+81+64+566+146</f>
        <v>46294</v>
      </c>
      <c r="O307" s="105">
        <f>M307/N307</f>
        <v>7.575130686482049</v>
      </c>
      <c r="P307" s="332"/>
    </row>
    <row r="308" spans="1:16" ht="15">
      <c r="A308" s="66">
        <v>306</v>
      </c>
      <c r="B308" s="235" t="s">
        <v>49</v>
      </c>
      <c r="C308" s="229">
        <v>39710</v>
      </c>
      <c r="D308" s="227" t="s">
        <v>107</v>
      </c>
      <c r="E308" s="227" t="s">
        <v>107</v>
      </c>
      <c r="F308" s="228">
        <v>66</v>
      </c>
      <c r="G308" s="228">
        <v>2</v>
      </c>
      <c r="H308" s="228">
        <v>17</v>
      </c>
      <c r="I308" s="309">
        <v>573.5</v>
      </c>
      <c r="J308" s="310">
        <v>137</v>
      </c>
      <c r="K308" s="223">
        <f>J308/G308</f>
        <v>68.5</v>
      </c>
      <c r="L308" s="224">
        <f t="shared" si="18"/>
        <v>4.186131386861314</v>
      </c>
      <c r="M308" s="231">
        <f>152576+127511+68854.5+21974+10111.5+7103+7290+0.5+1014+3149+989+3524+0.5+3768+138+2528+257+351.5+573.5</f>
        <v>411713</v>
      </c>
      <c r="N308" s="222">
        <f>50018+825+47+65+137</f>
        <v>51092</v>
      </c>
      <c r="O308" s="233">
        <f>+M308/N308</f>
        <v>8.058267439129414</v>
      </c>
      <c r="P308" s="332"/>
    </row>
    <row r="309" spans="1:16" ht="15">
      <c r="A309" s="66">
        <v>307</v>
      </c>
      <c r="B309" s="368" t="s">
        <v>368</v>
      </c>
      <c r="C309" s="39">
        <v>39297</v>
      </c>
      <c r="D309" s="44" t="s">
        <v>136</v>
      </c>
      <c r="E309" s="44" t="s">
        <v>369</v>
      </c>
      <c r="F309" s="41">
        <v>40</v>
      </c>
      <c r="G309" s="41">
        <v>1</v>
      </c>
      <c r="H309" s="41">
        <v>14</v>
      </c>
      <c r="I309" s="267">
        <v>560</v>
      </c>
      <c r="J309" s="155">
        <v>112</v>
      </c>
      <c r="K309" s="155">
        <f>J309/G309</f>
        <v>112</v>
      </c>
      <c r="L309" s="356">
        <f t="shared" si="18"/>
        <v>5</v>
      </c>
      <c r="M309" s="267">
        <v>389130.5</v>
      </c>
      <c r="N309" s="155">
        <v>50598</v>
      </c>
      <c r="O309" s="358">
        <f>+M309/N309</f>
        <v>7.690630064429424</v>
      </c>
      <c r="P309" s="321"/>
    </row>
    <row r="310" spans="1:16" ht="15">
      <c r="A310" s="66">
        <v>308</v>
      </c>
      <c r="B310" s="368" t="s">
        <v>383</v>
      </c>
      <c r="C310" s="39">
        <v>39556</v>
      </c>
      <c r="D310" s="44" t="s">
        <v>4</v>
      </c>
      <c r="E310" s="44" t="s">
        <v>77</v>
      </c>
      <c r="F310" s="41">
        <v>48</v>
      </c>
      <c r="G310" s="41">
        <v>1</v>
      </c>
      <c r="H310" s="41">
        <v>58</v>
      </c>
      <c r="I310" s="263">
        <v>560</v>
      </c>
      <c r="J310" s="308">
        <v>93</v>
      </c>
      <c r="K310" s="155">
        <f>+J310/G310</f>
        <v>93</v>
      </c>
      <c r="L310" s="356">
        <f>+I310/J310</f>
        <v>6.021505376344086</v>
      </c>
      <c r="M310" s="267">
        <v>59132</v>
      </c>
      <c r="N310" s="155">
        <v>8014</v>
      </c>
      <c r="O310" s="358">
        <f>+M310/N310</f>
        <v>7.378587471924133</v>
      </c>
      <c r="P310" s="376"/>
    </row>
    <row r="311" spans="1:16" ht="15">
      <c r="A311" s="66">
        <v>309</v>
      </c>
      <c r="B311" s="48" t="s">
        <v>68</v>
      </c>
      <c r="C311" s="39">
        <v>39759</v>
      </c>
      <c r="D311" s="42" t="s">
        <v>136</v>
      </c>
      <c r="E311" s="42" t="s">
        <v>31</v>
      </c>
      <c r="F311" s="54">
        <v>40</v>
      </c>
      <c r="G311" s="54">
        <v>1</v>
      </c>
      <c r="H311" s="54">
        <v>9</v>
      </c>
      <c r="I311" s="305">
        <v>556</v>
      </c>
      <c r="J311" s="306">
        <v>77</v>
      </c>
      <c r="K311" s="152">
        <f>IF(I311&lt;&gt;0,J311/G311,"")</f>
        <v>77</v>
      </c>
      <c r="L311" s="153">
        <f>IF(I311&lt;&gt;0,I311/J311,"")</f>
        <v>7.220779220779221</v>
      </c>
      <c r="M311" s="157">
        <f>84918+52341+11404+7823+3207+2014+937+2034+556</f>
        <v>165234</v>
      </c>
      <c r="N311" s="155">
        <f>10694+7043+2046+1560+538+345+174+389+77</f>
        <v>22866</v>
      </c>
      <c r="O311" s="104">
        <f>IF(M311&lt;&gt;0,M311/N311,"")</f>
        <v>7.226187352400944</v>
      </c>
      <c r="P311" s="332"/>
    </row>
    <row r="312" spans="1:16" ht="15">
      <c r="A312" s="66">
        <v>310</v>
      </c>
      <c r="B312" s="53" t="s">
        <v>149</v>
      </c>
      <c r="C312" s="39">
        <v>39801</v>
      </c>
      <c r="D312" s="45" t="s">
        <v>4</v>
      </c>
      <c r="E312" s="45" t="s">
        <v>77</v>
      </c>
      <c r="F312" s="50">
        <v>19</v>
      </c>
      <c r="G312" s="50">
        <v>2</v>
      </c>
      <c r="H312" s="50">
        <v>5</v>
      </c>
      <c r="I312" s="303">
        <v>554</v>
      </c>
      <c r="J312" s="304">
        <v>108</v>
      </c>
      <c r="K312" s="152">
        <f>+J312/G312</f>
        <v>54</v>
      </c>
      <c r="L312" s="153">
        <f>+I312/J312</f>
        <v>5.12962962962963</v>
      </c>
      <c r="M312" s="150">
        <v>137853</v>
      </c>
      <c r="N312" s="151">
        <v>12884</v>
      </c>
      <c r="O312" s="104">
        <f>+M312/N312</f>
        <v>10.699549829245576</v>
      </c>
      <c r="P312" s="332"/>
    </row>
    <row r="313" spans="1:16" ht="15">
      <c r="A313" s="66">
        <v>311</v>
      </c>
      <c r="B313" s="234" t="s">
        <v>53</v>
      </c>
      <c r="C313" s="229">
        <v>39738</v>
      </c>
      <c r="D313" s="217" t="s">
        <v>134</v>
      </c>
      <c r="E313" s="227" t="s">
        <v>54</v>
      </c>
      <c r="F313" s="228">
        <v>67</v>
      </c>
      <c r="G313" s="228">
        <v>5</v>
      </c>
      <c r="H313" s="228">
        <v>13</v>
      </c>
      <c r="I313" s="297">
        <v>545</v>
      </c>
      <c r="J313" s="298">
        <v>127</v>
      </c>
      <c r="K313" s="223">
        <f>(J313/G313)</f>
        <v>25.4</v>
      </c>
      <c r="L313" s="224">
        <f>I313/J313</f>
        <v>4.291338582677166</v>
      </c>
      <c r="M313" s="225">
        <f>167196+176809+54428+37340+38330.5+23467+11581+5867+4382+2577+3552+2137+545</f>
        <v>528211.5</v>
      </c>
      <c r="N313" s="226">
        <f>19168+21164+7719+6215+6404+4964+2339+1306+907+580+859+440+127</f>
        <v>72192</v>
      </c>
      <c r="O313" s="233">
        <f>M313/N313</f>
        <v>7.3167594747340425</v>
      </c>
      <c r="P313" s="332"/>
    </row>
    <row r="314" spans="1:16" ht="14.25" customHeight="1">
      <c r="A314" s="66">
        <v>312</v>
      </c>
      <c r="B314" s="49" t="s">
        <v>149</v>
      </c>
      <c r="C314" s="39">
        <v>39801</v>
      </c>
      <c r="D314" s="44" t="s">
        <v>4</v>
      </c>
      <c r="E314" s="44" t="s">
        <v>77</v>
      </c>
      <c r="F314" s="41">
        <v>19</v>
      </c>
      <c r="G314" s="41">
        <v>2</v>
      </c>
      <c r="H314" s="41">
        <v>17</v>
      </c>
      <c r="I314" s="307">
        <v>543</v>
      </c>
      <c r="J314" s="308">
        <v>86</v>
      </c>
      <c r="K314" s="155">
        <f>+J314/G314</f>
        <v>43</v>
      </c>
      <c r="L314" s="156">
        <f>+I314/J314</f>
        <v>6.313953488372093</v>
      </c>
      <c r="M314" s="154">
        <v>148172</v>
      </c>
      <c r="N314" s="155">
        <v>14597</v>
      </c>
      <c r="O314" s="103">
        <f>+M314/N314</f>
        <v>10.150852914982531</v>
      </c>
      <c r="P314" s="332"/>
    </row>
    <row r="315" spans="1:16" ht="15">
      <c r="A315" s="66">
        <v>313</v>
      </c>
      <c r="B315" s="293" t="s">
        <v>47</v>
      </c>
      <c r="C315" s="286">
        <v>39780</v>
      </c>
      <c r="D315" s="285" t="s">
        <v>134</v>
      </c>
      <c r="E315" s="285" t="s">
        <v>271</v>
      </c>
      <c r="F315" s="287">
        <v>6</v>
      </c>
      <c r="G315" s="287">
        <v>1</v>
      </c>
      <c r="H315" s="287">
        <v>12</v>
      </c>
      <c r="I315" s="292">
        <v>504</v>
      </c>
      <c r="J315" s="290">
        <v>108</v>
      </c>
      <c r="K315" s="290">
        <f>(J315/G315)</f>
        <v>108</v>
      </c>
      <c r="L315" s="291">
        <f>I315/J315</f>
        <v>4.666666666666667</v>
      </c>
      <c r="M315" s="292">
        <f>25457+3030+1123+7370+430+997+6202+886+691.5+1289+1188+504</f>
        <v>49167.5</v>
      </c>
      <c r="N315" s="290">
        <f>2151+404+165+1079+59+230+1523+213+105+142+297+108</f>
        <v>6476</v>
      </c>
      <c r="O315" s="294">
        <f>M315/N315</f>
        <v>7.592263743051266</v>
      </c>
      <c r="P315" s="331">
        <v>1</v>
      </c>
    </row>
    <row r="316" spans="1:16" ht="15">
      <c r="A316" s="66">
        <v>314</v>
      </c>
      <c r="B316" s="53" t="s">
        <v>82</v>
      </c>
      <c r="C316" s="39">
        <v>39633</v>
      </c>
      <c r="D316" s="45" t="s">
        <v>4</v>
      </c>
      <c r="E316" s="45" t="s">
        <v>77</v>
      </c>
      <c r="F316" s="50">
        <v>28</v>
      </c>
      <c r="G316" s="50">
        <v>1</v>
      </c>
      <c r="H316" s="50">
        <v>27</v>
      </c>
      <c r="I316" s="303">
        <v>475</v>
      </c>
      <c r="J316" s="304">
        <v>95</v>
      </c>
      <c r="K316" s="152">
        <f>+J316/G316</f>
        <v>95</v>
      </c>
      <c r="L316" s="153">
        <f>+I316/J316</f>
        <v>5</v>
      </c>
      <c r="M316" s="150">
        <v>315463</v>
      </c>
      <c r="N316" s="151">
        <v>42108</v>
      </c>
      <c r="O316" s="104">
        <f aca="true" t="shared" si="21" ref="O316:O326">+M316/N316</f>
        <v>7.491759285646433</v>
      </c>
      <c r="P316" s="332">
        <v>1</v>
      </c>
    </row>
    <row r="317" spans="1:16" ht="15">
      <c r="A317" s="66">
        <v>315</v>
      </c>
      <c r="B317" s="368" t="s">
        <v>149</v>
      </c>
      <c r="C317" s="39">
        <v>39801</v>
      </c>
      <c r="D317" s="44" t="s">
        <v>4</v>
      </c>
      <c r="E317" s="44" t="s">
        <v>77</v>
      </c>
      <c r="F317" s="41">
        <v>19</v>
      </c>
      <c r="G317" s="41">
        <v>1</v>
      </c>
      <c r="H317" s="41">
        <v>20</v>
      </c>
      <c r="I317" s="267">
        <v>468</v>
      </c>
      <c r="J317" s="155">
        <v>133</v>
      </c>
      <c r="K317" s="155">
        <f>+J317/G317</f>
        <v>133</v>
      </c>
      <c r="L317" s="356">
        <f>+I317/J317</f>
        <v>3.518796992481203</v>
      </c>
      <c r="M317" s="267">
        <v>148640</v>
      </c>
      <c r="N317" s="155">
        <v>14730</v>
      </c>
      <c r="O317" s="358">
        <f t="shared" si="21"/>
        <v>10.090970807875085</v>
      </c>
      <c r="P317" s="332"/>
    </row>
    <row r="318" spans="1:16" ht="15">
      <c r="A318" s="66">
        <v>316</v>
      </c>
      <c r="B318" s="368" t="s">
        <v>25</v>
      </c>
      <c r="C318" s="39">
        <v>39808</v>
      </c>
      <c r="D318" s="44" t="s">
        <v>131</v>
      </c>
      <c r="E318" s="44" t="s">
        <v>111</v>
      </c>
      <c r="F318" s="41">
        <v>112</v>
      </c>
      <c r="G318" s="41">
        <v>3</v>
      </c>
      <c r="H318" s="41">
        <v>19</v>
      </c>
      <c r="I318" s="267">
        <v>455</v>
      </c>
      <c r="J318" s="155">
        <v>98</v>
      </c>
      <c r="K318" s="155">
        <f aca="true" t="shared" si="22" ref="K318:K323">J318/G318</f>
        <v>32.666666666666664</v>
      </c>
      <c r="L318" s="356">
        <f>+I318/J318</f>
        <v>4.642857142857143</v>
      </c>
      <c r="M318" s="267">
        <v>2058720</v>
      </c>
      <c r="N318" s="155">
        <v>214729</v>
      </c>
      <c r="O318" s="358">
        <f t="shared" si="21"/>
        <v>9.587526603299974</v>
      </c>
      <c r="P318" s="332"/>
    </row>
    <row r="319" spans="1:16" ht="15">
      <c r="A319" s="66">
        <v>317</v>
      </c>
      <c r="B319" s="293" t="s">
        <v>144</v>
      </c>
      <c r="C319" s="286">
        <v>39801</v>
      </c>
      <c r="D319" s="285" t="s">
        <v>130</v>
      </c>
      <c r="E319" s="285" t="s">
        <v>122</v>
      </c>
      <c r="F319" s="287">
        <v>69</v>
      </c>
      <c r="G319" s="287">
        <v>1</v>
      </c>
      <c r="H319" s="287">
        <v>14</v>
      </c>
      <c r="I319" s="292">
        <v>443</v>
      </c>
      <c r="J319" s="290">
        <v>82</v>
      </c>
      <c r="K319" s="290">
        <f t="shared" si="22"/>
        <v>82</v>
      </c>
      <c r="L319" s="291">
        <f>I319/J319</f>
        <v>5.402439024390244</v>
      </c>
      <c r="M319" s="292">
        <f>820286+588484+413907+112495+41441-111+9385+4586+8718+1191+251+1065+1821+1022+443</f>
        <v>2004984</v>
      </c>
      <c r="N319" s="290">
        <f>83839+57678+42374+12212+5722-11+2124+1350+1256+191+41+182+386+174+82</f>
        <v>207600</v>
      </c>
      <c r="O319" s="294">
        <f t="shared" si="21"/>
        <v>9.657919075144509</v>
      </c>
      <c r="P319" s="332">
        <v>1</v>
      </c>
    </row>
    <row r="320" spans="1:16" ht="15">
      <c r="A320" s="66">
        <v>318</v>
      </c>
      <c r="B320" s="293" t="s">
        <v>22</v>
      </c>
      <c r="C320" s="286">
        <v>39787</v>
      </c>
      <c r="D320" s="285" t="s">
        <v>131</v>
      </c>
      <c r="E320" s="285" t="s">
        <v>138</v>
      </c>
      <c r="F320" s="287">
        <v>406</v>
      </c>
      <c r="G320" s="287">
        <v>1</v>
      </c>
      <c r="H320" s="287">
        <v>17</v>
      </c>
      <c r="I320" s="288">
        <v>441</v>
      </c>
      <c r="J320" s="289">
        <v>350</v>
      </c>
      <c r="K320" s="290">
        <f t="shared" si="22"/>
        <v>350</v>
      </c>
      <c r="L320" s="291">
        <f>+I320/J320</f>
        <v>1.26</v>
      </c>
      <c r="M320" s="292">
        <v>30401184</v>
      </c>
      <c r="N320" s="290">
        <v>3702640</v>
      </c>
      <c r="O320" s="294">
        <f t="shared" si="21"/>
        <v>8.210677786660328</v>
      </c>
      <c r="P320" s="345">
        <v>1</v>
      </c>
    </row>
    <row r="321" spans="1:16" ht="15">
      <c r="A321" s="66">
        <v>319</v>
      </c>
      <c r="B321" s="235" t="s">
        <v>95</v>
      </c>
      <c r="C321" s="229">
        <v>39717</v>
      </c>
      <c r="D321" s="227" t="s">
        <v>131</v>
      </c>
      <c r="E321" s="227" t="s">
        <v>96</v>
      </c>
      <c r="F321" s="228">
        <v>130</v>
      </c>
      <c r="G321" s="228">
        <v>1</v>
      </c>
      <c r="H321" s="228">
        <v>16</v>
      </c>
      <c r="I321" s="309">
        <v>441</v>
      </c>
      <c r="J321" s="310">
        <v>350</v>
      </c>
      <c r="K321" s="222">
        <f t="shared" si="22"/>
        <v>350</v>
      </c>
      <c r="L321" s="230">
        <f>+I321/J321</f>
        <v>1.26</v>
      </c>
      <c r="M321" s="231">
        <v>1478708</v>
      </c>
      <c r="N321" s="222">
        <v>170677</v>
      </c>
      <c r="O321" s="236">
        <f t="shared" si="21"/>
        <v>8.663780122687884</v>
      </c>
      <c r="P321" s="332">
        <v>1</v>
      </c>
    </row>
    <row r="322" spans="1:16" ht="15">
      <c r="A322" s="66">
        <v>320</v>
      </c>
      <c r="B322" s="49" t="s">
        <v>83</v>
      </c>
      <c r="C322" s="40">
        <v>39633</v>
      </c>
      <c r="D322" s="65" t="s">
        <v>131</v>
      </c>
      <c r="E322" s="44" t="s">
        <v>127</v>
      </c>
      <c r="F322" s="41">
        <v>123</v>
      </c>
      <c r="G322" s="41">
        <v>1</v>
      </c>
      <c r="H322" s="41">
        <v>24</v>
      </c>
      <c r="I322" s="307">
        <v>441</v>
      </c>
      <c r="J322" s="308">
        <v>350</v>
      </c>
      <c r="K322" s="155">
        <f t="shared" si="22"/>
        <v>350</v>
      </c>
      <c r="L322" s="156">
        <f>+I322/J322</f>
        <v>1.26</v>
      </c>
      <c r="M322" s="154">
        <v>1541323</v>
      </c>
      <c r="N322" s="155">
        <v>212942</v>
      </c>
      <c r="O322" s="103">
        <f t="shared" si="21"/>
        <v>7.238229189168882</v>
      </c>
      <c r="P322" s="332"/>
    </row>
    <row r="323" spans="1:16" ht="15">
      <c r="A323" s="66">
        <v>321</v>
      </c>
      <c r="B323" s="368" t="s">
        <v>72</v>
      </c>
      <c r="C323" s="39">
        <v>39773</v>
      </c>
      <c r="D323" s="44" t="s">
        <v>131</v>
      </c>
      <c r="E323" s="44" t="s">
        <v>126</v>
      </c>
      <c r="F323" s="41">
        <v>204</v>
      </c>
      <c r="G323" s="41">
        <v>1</v>
      </c>
      <c r="H323" s="41">
        <v>25</v>
      </c>
      <c r="I323" s="267">
        <v>441</v>
      </c>
      <c r="J323" s="155">
        <v>350</v>
      </c>
      <c r="K323" s="155">
        <f t="shared" si="22"/>
        <v>350</v>
      </c>
      <c r="L323" s="356">
        <f>I323/J323</f>
        <v>1.26</v>
      </c>
      <c r="M323" s="267">
        <v>11443781</v>
      </c>
      <c r="N323" s="155">
        <v>1418076</v>
      </c>
      <c r="O323" s="358">
        <f t="shared" si="21"/>
        <v>8.069934897706469</v>
      </c>
      <c r="P323" s="321">
        <v>1</v>
      </c>
    </row>
    <row r="324" spans="1:16" ht="15">
      <c r="A324" s="66">
        <v>322</v>
      </c>
      <c r="B324" s="293" t="s">
        <v>58</v>
      </c>
      <c r="C324" s="286">
        <v>39745</v>
      </c>
      <c r="D324" s="285" t="s">
        <v>4</v>
      </c>
      <c r="E324" s="285" t="s">
        <v>59</v>
      </c>
      <c r="F324" s="287">
        <v>71</v>
      </c>
      <c r="G324" s="287">
        <v>1</v>
      </c>
      <c r="H324" s="287">
        <v>17</v>
      </c>
      <c r="I324" s="288">
        <v>440</v>
      </c>
      <c r="J324" s="289">
        <v>83</v>
      </c>
      <c r="K324" s="290">
        <f>+J324/G324</f>
        <v>83</v>
      </c>
      <c r="L324" s="291">
        <f>+I324/J324</f>
        <v>5.301204819277109</v>
      </c>
      <c r="M324" s="292">
        <v>1288589</v>
      </c>
      <c r="N324" s="290">
        <v>145943</v>
      </c>
      <c r="O324" s="294">
        <f t="shared" si="21"/>
        <v>8.829399148982821</v>
      </c>
      <c r="P324" s="332"/>
    </row>
    <row r="325" spans="1:17" s="317" customFormat="1" ht="14.25" customHeight="1">
      <c r="A325" s="66">
        <v>323</v>
      </c>
      <c r="B325" s="235" t="s">
        <v>97</v>
      </c>
      <c r="C325" s="229">
        <v>39752</v>
      </c>
      <c r="D325" s="227" t="s">
        <v>131</v>
      </c>
      <c r="E325" s="227" t="s">
        <v>124</v>
      </c>
      <c r="F325" s="228">
        <v>45</v>
      </c>
      <c r="G325" s="228">
        <v>1</v>
      </c>
      <c r="H325" s="228">
        <v>10</v>
      </c>
      <c r="I325" s="309">
        <v>435</v>
      </c>
      <c r="J325" s="310">
        <v>87</v>
      </c>
      <c r="K325" s="222">
        <f>J325/G325</f>
        <v>87</v>
      </c>
      <c r="L325" s="230">
        <f>+I325/J325</f>
        <v>5</v>
      </c>
      <c r="M325" s="231">
        <v>454346</v>
      </c>
      <c r="N325" s="222">
        <v>49344</v>
      </c>
      <c r="O325" s="236">
        <f t="shared" si="21"/>
        <v>9.207725356679637</v>
      </c>
      <c r="P325" s="330"/>
      <c r="Q325" s="316"/>
    </row>
    <row r="326" spans="1:16" ht="15">
      <c r="A326" s="66">
        <v>324</v>
      </c>
      <c r="B326" s="49" t="s">
        <v>44</v>
      </c>
      <c r="C326" s="39">
        <v>39780</v>
      </c>
      <c r="D326" s="44" t="s">
        <v>131</v>
      </c>
      <c r="E326" s="44" t="s">
        <v>127</v>
      </c>
      <c r="F326" s="41">
        <v>121</v>
      </c>
      <c r="G326" s="41">
        <v>2</v>
      </c>
      <c r="H326" s="41">
        <v>20</v>
      </c>
      <c r="I326" s="307">
        <v>435</v>
      </c>
      <c r="J326" s="308">
        <v>76</v>
      </c>
      <c r="K326" s="155">
        <f>J326/G326</f>
        <v>38</v>
      </c>
      <c r="L326" s="156">
        <f>I326/J326</f>
        <v>5.723684210526316</v>
      </c>
      <c r="M326" s="154">
        <v>3463801</v>
      </c>
      <c r="N326" s="155">
        <v>407626</v>
      </c>
      <c r="O326" s="103">
        <f t="shared" si="21"/>
        <v>8.497497706230712</v>
      </c>
      <c r="P326" s="332"/>
    </row>
    <row r="327" spans="1:16" ht="15">
      <c r="A327" s="66">
        <v>325</v>
      </c>
      <c r="B327" s="293" t="s">
        <v>142</v>
      </c>
      <c r="C327" s="286">
        <v>39794</v>
      </c>
      <c r="D327" s="285" t="s">
        <v>134</v>
      </c>
      <c r="E327" s="285" t="s">
        <v>133</v>
      </c>
      <c r="F327" s="287">
        <v>100</v>
      </c>
      <c r="G327" s="287">
        <v>1</v>
      </c>
      <c r="H327" s="287">
        <v>12</v>
      </c>
      <c r="I327" s="288">
        <v>420</v>
      </c>
      <c r="J327" s="289">
        <v>65</v>
      </c>
      <c r="K327" s="290">
        <f>(J327/G327)</f>
        <v>65</v>
      </c>
      <c r="L327" s="291">
        <f>I327/J327</f>
        <v>6.461538461538462</v>
      </c>
      <c r="M327" s="292">
        <f>1276778.5+626123+380324+112679.5+54533+36086+4129+3620.5+4348+1030+1904+420</f>
        <v>2501975.5</v>
      </c>
      <c r="N327" s="290">
        <f>133555+68793+41581+14968+8873+6454+539+324+976+204+524+65</f>
        <v>276856</v>
      </c>
      <c r="O327" s="294">
        <f>M327/N327</f>
        <v>9.03710051434681</v>
      </c>
      <c r="P327" s="331">
        <v>1</v>
      </c>
    </row>
    <row r="328" spans="1:16" ht="15">
      <c r="A328" s="66">
        <v>326</v>
      </c>
      <c r="B328" s="293" t="s">
        <v>61</v>
      </c>
      <c r="C328" s="286">
        <v>39752</v>
      </c>
      <c r="D328" s="285" t="s">
        <v>134</v>
      </c>
      <c r="E328" s="285" t="s">
        <v>112</v>
      </c>
      <c r="F328" s="287">
        <v>27</v>
      </c>
      <c r="G328" s="287">
        <v>1</v>
      </c>
      <c r="H328" s="287">
        <v>12</v>
      </c>
      <c r="I328" s="288">
        <v>416</v>
      </c>
      <c r="J328" s="289">
        <v>60</v>
      </c>
      <c r="K328" s="290">
        <f>(J328/G328)</f>
        <v>60</v>
      </c>
      <c r="L328" s="291">
        <f>I328/J328</f>
        <v>6.933333333333334</v>
      </c>
      <c r="M328" s="292">
        <f>122635.5+51150+18262+4454+16388.5+1375+1246+204+334+67+36+416</f>
        <v>216568</v>
      </c>
      <c r="N328" s="290">
        <f>11002+4826+2043+624+2156+227+195+32+110+10+6+60</f>
        <v>21291</v>
      </c>
      <c r="O328" s="294">
        <f>+M328/N328</f>
        <v>10.17180968484336</v>
      </c>
      <c r="P328" s="332"/>
    </row>
    <row r="329" spans="1:16" ht="15">
      <c r="A329" s="66">
        <v>327</v>
      </c>
      <c r="B329" s="293" t="s">
        <v>57</v>
      </c>
      <c r="C329" s="286">
        <v>39745</v>
      </c>
      <c r="D329" s="285" t="s">
        <v>131</v>
      </c>
      <c r="E329" s="285" t="s">
        <v>32</v>
      </c>
      <c r="F329" s="287">
        <v>57</v>
      </c>
      <c r="G329" s="287">
        <v>1</v>
      </c>
      <c r="H329" s="287">
        <v>20</v>
      </c>
      <c r="I329" s="288">
        <v>400</v>
      </c>
      <c r="J329" s="289">
        <v>67</v>
      </c>
      <c r="K329" s="290">
        <f>J329/G329</f>
        <v>67</v>
      </c>
      <c r="L329" s="291">
        <f>+I329/J329</f>
        <v>5.970149253731344</v>
      </c>
      <c r="M329" s="292">
        <v>1170952</v>
      </c>
      <c r="N329" s="290">
        <v>127004</v>
      </c>
      <c r="O329" s="294">
        <f>+M329/N329</f>
        <v>9.219804100658248</v>
      </c>
      <c r="P329" s="332"/>
    </row>
    <row r="330" spans="1:16" ht="15">
      <c r="A330" s="66">
        <v>328</v>
      </c>
      <c r="B330" s="293" t="s">
        <v>45</v>
      </c>
      <c r="C330" s="286">
        <v>39780</v>
      </c>
      <c r="D330" s="285" t="s">
        <v>134</v>
      </c>
      <c r="E330" s="285" t="s">
        <v>78</v>
      </c>
      <c r="F330" s="287">
        <v>61</v>
      </c>
      <c r="G330" s="287">
        <v>1</v>
      </c>
      <c r="H330" s="287">
        <v>12</v>
      </c>
      <c r="I330" s="288">
        <v>396</v>
      </c>
      <c r="J330" s="289">
        <v>84</v>
      </c>
      <c r="K330" s="290">
        <f>(J330/G330)</f>
        <v>84</v>
      </c>
      <c r="L330" s="291">
        <f>I330/J330</f>
        <v>4.714285714285714</v>
      </c>
      <c r="M330" s="292">
        <f>499000.5+313125.5+89561.5+27980+2002.5+4772+1387+1470+1387+1387+1119+396</f>
        <v>943588</v>
      </c>
      <c r="N330" s="290">
        <f>48458+27725+9315+4737+330+944+309+224+175+250+246+84</f>
        <v>92797</v>
      </c>
      <c r="O330" s="294">
        <f>M330/N330</f>
        <v>10.168302854618146</v>
      </c>
      <c r="P330" s="332">
        <v>1</v>
      </c>
    </row>
    <row r="331" spans="1:16" ht="15">
      <c r="A331" s="66">
        <v>329</v>
      </c>
      <c r="B331" s="368" t="s">
        <v>72</v>
      </c>
      <c r="C331" s="39">
        <v>39773</v>
      </c>
      <c r="D331" s="44" t="s">
        <v>131</v>
      </c>
      <c r="E331" s="44" t="s">
        <v>126</v>
      </c>
      <c r="F331" s="41">
        <v>204</v>
      </c>
      <c r="G331" s="41">
        <v>1</v>
      </c>
      <c r="H331" s="41">
        <v>24</v>
      </c>
      <c r="I331" s="267">
        <v>392</v>
      </c>
      <c r="J331" s="155">
        <v>76</v>
      </c>
      <c r="K331" s="155">
        <f>J331/G331</f>
        <v>76</v>
      </c>
      <c r="L331" s="356">
        <f>+I331/J331</f>
        <v>5.157894736842105</v>
      </c>
      <c r="M331" s="267">
        <v>11443340</v>
      </c>
      <c r="N331" s="155">
        <v>1417726</v>
      </c>
      <c r="O331" s="358">
        <f aca="true" t="shared" si="23" ref="O331:O336">+M331/N331</f>
        <v>8.071616095070556</v>
      </c>
      <c r="P331" s="332">
        <v>1</v>
      </c>
    </row>
    <row r="332" spans="1:16" ht="15">
      <c r="A332" s="66">
        <v>330</v>
      </c>
      <c r="B332" s="48" t="s">
        <v>84</v>
      </c>
      <c r="C332" s="39">
        <v>39738</v>
      </c>
      <c r="D332" s="43" t="s">
        <v>130</v>
      </c>
      <c r="E332" s="42" t="s">
        <v>122</v>
      </c>
      <c r="F332" s="54">
        <v>52</v>
      </c>
      <c r="G332" s="54">
        <v>1</v>
      </c>
      <c r="H332" s="54">
        <v>11</v>
      </c>
      <c r="I332" s="303">
        <v>392</v>
      </c>
      <c r="J332" s="304">
        <v>67</v>
      </c>
      <c r="K332" s="158">
        <f>J332/G332</f>
        <v>67</v>
      </c>
      <c r="L332" s="159">
        <f>I332/J332</f>
        <v>5.850746268656716</v>
      </c>
      <c r="M332" s="150">
        <f>406562+322843+70349+13845+3121+7380+8038+2297+3564+114+392</f>
        <v>838505</v>
      </c>
      <c r="N332" s="151">
        <f>38224+30194+7191+2669+501+1117+1379+703+1188+19+67</f>
        <v>83252</v>
      </c>
      <c r="O332" s="105">
        <f t="shared" si="23"/>
        <v>10.071890164800845</v>
      </c>
      <c r="P332" s="332"/>
    </row>
    <row r="333" spans="1:16" ht="15">
      <c r="A333" s="66">
        <v>331</v>
      </c>
      <c r="B333" s="49" t="s">
        <v>22</v>
      </c>
      <c r="C333" s="286">
        <v>39787</v>
      </c>
      <c r="D333" s="285" t="s">
        <v>131</v>
      </c>
      <c r="E333" s="65" t="s">
        <v>138</v>
      </c>
      <c r="F333" s="287">
        <v>406</v>
      </c>
      <c r="G333" s="287">
        <v>1</v>
      </c>
      <c r="H333" s="287">
        <v>15</v>
      </c>
      <c r="I333" s="288">
        <v>385</v>
      </c>
      <c r="J333" s="289">
        <v>81</v>
      </c>
      <c r="K333" s="290">
        <f>J333/G333</f>
        <v>81</v>
      </c>
      <c r="L333" s="291">
        <f>+I333/J333</f>
        <v>4.753086419753086</v>
      </c>
      <c r="M333" s="292">
        <v>30400302</v>
      </c>
      <c r="N333" s="290">
        <v>3701940</v>
      </c>
      <c r="O333" s="294">
        <f t="shared" si="23"/>
        <v>8.21199209063356</v>
      </c>
      <c r="P333" s="331"/>
    </row>
    <row r="334" spans="1:16" ht="15">
      <c r="A334" s="66">
        <v>332</v>
      </c>
      <c r="B334" s="293" t="s">
        <v>291</v>
      </c>
      <c r="C334" s="286">
        <v>39465</v>
      </c>
      <c r="D334" s="285" t="s">
        <v>4</v>
      </c>
      <c r="E334" s="285" t="s">
        <v>292</v>
      </c>
      <c r="F334" s="287">
        <v>16</v>
      </c>
      <c r="G334" s="287">
        <v>1</v>
      </c>
      <c r="H334" s="287">
        <v>62</v>
      </c>
      <c r="I334" s="292">
        <v>379</v>
      </c>
      <c r="J334" s="290">
        <v>62</v>
      </c>
      <c r="K334" s="290">
        <f>+J334/G334</f>
        <v>62</v>
      </c>
      <c r="L334" s="291">
        <f>+I334/J334</f>
        <v>6.112903225806452</v>
      </c>
      <c r="M334" s="292">
        <v>157388</v>
      </c>
      <c r="N334" s="290">
        <v>16293</v>
      </c>
      <c r="O334" s="294">
        <f t="shared" si="23"/>
        <v>9.659853924998465</v>
      </c>
      <c r="P334" s="332"/>
    </row>
    <row r="335" spans="1:16" ht="15">
      <c r="A335" s="66">
        <v>333</v>
      </c>
      <c r="B335" s="368" t="s">
        <v>315</v>
      </c>
      <c r="C335" s="39">
        <v>39542</v>
      </c>
      <c r="D335" s="44" t="s">
        <v>4</v>
      </c>
      <c r="E335" s="44" t="s">
        <v>77</v>
      </c>
      <c r="F335" s="41">
        <v>24</v>
      </c>
      <c r="G335" s="41">
        <v>1</v>
      </c>
      <c r="H335" s="41">
        <v>58</v>
      </c>
      <c r="I335" s="267">
        <v>376</v>
      </c>
      <c r="J335" s="155">
        <v>83</v>
      </c>
      <c r="K335" s="155">
        <f>+J335/G335</f>
        <v>83</v>
      </c>
      <c r="L335" s="356">
        <f>+I335/J335</f>
        <v>4.530120481927711</v>
      </c>
      <c r="M335" s="267">
        <v>179895</v>
      </c>
      <c r="N335" s="155">
        <v>19678</v>
      </c>
      <c r="O335" s="358">
        <f t="shared" si="23"/>
        <v>9.14193515601179</v>
      </c>
      <c r="P335" s="332"/>
    </row>
    <row r="336" spans="1:16" ht="15">
      <c r="A336" s="66">
        <v>334</v>
      </c>
      <c r="B336" s="49" t="s">
        <v>304</v>
      </c>
      <c r="C336" s="39">
        <v>39766</v>
      </c>
      <c r="D336" s="44" t="s">
        <v>131</v>
      </c>
      <c r="E336" s="44" t="s">
        <v>111</v>
      </c>
      <c r="F336" s="41">
        <v>86</v>
      </c>
      <c r="G336" s="41">
        <v>2</v>
      </c>
      <c r="H336" s="41">
        <v>22</v>
      </c>
      <c r="I336" s="307">
        <v>369</v>
      </c>
      <c r="J336" s="308">
        <v>68</v>
      </c>
      <c r="K336" s="155">
        <f>J336/G336</f>
        <v>34</v>
      </c>
      <c r="L336" s="156">
        <f>I336/J336</f>
        <v>5.426470588235294</v>
      </c>
      <c r="M336" s="154">
        <v>962041</v>
      </c>
      <c r="N336" s="155">
        <v>103478</v>
      </c>
      <c r="O336" s="103">
        <f t="shared" si="23"/>
        <v>9.29705831191171</v>
      </c>
      <c r="P336" s="332">
        <v>1</v>
      </c>
    </row>
    <row r="337" spans="1:16" ht="15">
      <c r="A337" s="66">
        <v>335</v>
      </c>
      <c r="B337" s="293" t="s">
        <v>147</v>
      </c>
      <c r="C337" s="286">
        <v>39801</v>
      </c>
      <c r="D337" s="285" t="s">
        <v>134</v>
      </c>
      <c r="E337" s="285" t="s">
        <v>148</v>
      </c>
      <c r="F337" s="287">
        <v>42</v>
      </c>
      <c r="G337" s="287">
        <v>2</v>
      </c>
      <c r="H337" s="287">
        <v>15</v>
      </c>
      <c r="I337" s="288">
        <v>366</v>
      </c>
      <c r="J337" s="289">
        <v>52</v>
      </c>
      <c r="K337" s="290">
        <f>(J337/G337)</f>
        <v>26</v>
      </c>
      <c r="L337" s="291">
        <f>I337/J337</f>
        <v>7.038461538461538</v>
      </c>
      <c r="M337" s="292">
        <f>295344+204961.5+145464.5+116108.5+111972.5+49984+26327+32042+18579+20005+19180+15980+2686.5+3166.5+366</f>
        <v>1062167</v>
      </c>
      <c r="N337" s="290">
        <f>36142+24747+19417+15404+14719+7567+3314+5289+3173+3275+3534+2826+540+724+52</f>
        <v>140723</v>
      </c>
      <c r="O337" s="294">
        <f>M337/N337</f>
        <v>7.547927488754503</v>
      </c>
      <c r="P337" s="332"/>
    </row>
    <row r="338" spans="1:16" ht="15">
      <c r="A338" s="66">
        <v>336</v>
      </c>
      <c r="B338" s="293" t="s">
        <v>145</v>
      </c>
      <c r="C338" s="286">
        <v>39801</v>
      </c>
      <c r="D338" s="285" t="s">
        <v>136</v>
      </c>
      <c r="E338" s="285" t="s">
        <v>146</v>
      </c>
      <c r="F338" s="287">
        <v>84</v>
      </c>
      <c r="G338" s="287">
        <v>1</v>
      </c>
      <c r="H338" s="287">
        <v>10</v>
      </c>
      <c r="I338" s="288">
        <v>354</v>
      </c>
      <c r="J338" s="289">
        <v>69</v>
      </c>
      <c r="K338" s="290">
        <f>IF(I338&lt;&gt;0,J338/G338,"")</f>
        <v>69</v>
      </c>
      <c r="L338" s="291">
        <f>I338/J338</f>
        <v>5.130434782608695</v>
      </c>
      <c r="M338" s="292">
        <f>369313.5+145108.5+43813+31258+11772.5+5392.5+2080+3225+50+354</f>
        <v>612367</v>
      </c>
      <c r="N338" s="290">
        <f>41017+16460+6346+5364+2357+1094+419+545+10+69</f>
        <v>73681</v>
      </c>
      <c r="O338" s="294">
        <f>+M338/N338</f>
        <v>8.311057124631859</v>
      </c>
      <c r="P338" s="332"/>
    </row>
    <row r="339" spans="1:16" ht="15">
      <c r="A339" s="66">
        <v>337</v>
      </c>
      <c r="B339" s="49" t="s">
        <v>49</v>
      </c>
      <c r="C339" s="40">
        <v>39710</v>
      </c>
      <c r="D339" s="44" t="s">
        <v>107</v>
      </c>
      <c r="E339" s="44" t="s">
        <v>107</v>
      </c>
      <c r="F339" s="41">
        <v>66</v>
      </c>
      <c r="G339" s="41">
        <v>4</v>
      </c>
      <c r="H339" s="41">
        <v>16</v>
      </c>
      <c r="I339" s="307">
        <v>351.5</v>
      </c>
      <c r="J339" s="308">
        <v>65</v>
      </c>
      <c r="K339" s="152">
        <f>+J339/G339</f>
        <v>16.25</v>
      </c>
      <c r="L339" s="153">
        <f>+I339/J339</f>
        <v>5.407692307692308</v>
      </c>
      <c r="M339" s="154">
        <f>152576+127511+68854.5+21974+10111.5+7103+7290+0.5+1014+3149+989+3524+0.5+3768+138+2528+257+351.5</f>
        <v>411139.5</v>
      </c>
      <c r="N339" s="155">
        <f>50018+825+47+65</f>
        <v>50955</v>
      </c>
      <c r="O339" s="104">
        <f>+M339/N339</f>
        <v>8.068678245510744</v>
      </c>
      <c r="P339" s="332"/>
    </row>
    <row r="340" spans="1:16" ht="15">
      <c r="A340" s="66">
        <v>338</v>
      </c>
      <c r="B340" s="49" t="s">
        <v>305</v>
      </c>
      <c r="C340" s="39">
        <v>39528</v>
      </c>
      <c r="D340" s="44" t="s">
        <v>4</v>
      </c>
      <c r="E340" s="44" t="s">
        <v>306</v>
      </c>
      <c r="F340" s="41">
        <v>34</v>
      </c>
      <c r="G340" s="41">
        <v>1</v>
      </c>
      <c r="H340" s="41">
        <v>56</v>
      </c>
      <c r="I340" s="307">
        <v>347</v>
      </c>
      <c r="J340" s="308">
        <v>67</v>
      </c>
      <c r="K340" s="155">
        <f>+J340/G340</f>
        <v>67</v>
      </c>
      <c r="L340" s="156">
        <f>+I340/J340</f>
        <v>5.17910447761194</v>
      </c>
      <c r="M340" s="154">
        <v>910275</v>
      </c>
      <c r="N340" s="155">
        <v>102714</v>
      </c>
      <c r="O340" s="103">
        <f>+M340/N340</f>
        <v>8.862229102167182</v>
      </c>
      <c r="P340" s="332">
        <v>1</v>
      </c>
    </row>
    <row r="341" spans="1:16" ht="15">
      <c r="A341" s="66">
        <v>339</v>
      </c>
      <c r="B341" s="293" t="s">
        <v>40</v>
      </c>
      <c r="C341" s="286">
        <v>39752</v>
      </c>
      <c r="D341" s="285" t="s">
        <v>260</v>
      </c>
      <c r="E341" s="285" t="s">
        <v>1</v>
      </c>
      <c r="F341" s="287">
        <v>1</v>
      </c>
      <c r="G341" s="287">
        <v>1</v>
      </c>
      <c r="H341" s="287">
        <v>7</v>
      </c>
      <c r="I341" s="288">
        <v>345</v>
      </c>
      <c r="J341" s="289">
        <v>69</v>
      </c>
      <c r="K341" s="290">
        <f>(J341/G341)</f>
        <v>69</v>
      </c>
      <c r="L341" s="291">
        <f aca="true" t="shared" si="24" ref="L341:L346">I341/J341</f>
        <v>5</v>
      </c>
      <c r="M341" s="292">
        <f>5026+4844+3356+2376+712+1590+345</f>
        <v>18249</v>
      </c>
      <c r="N341" s="290">
        <f>591+575+394+594+178+189+69</f>
        <v>2590</v>
      </c>
      <c r="O341" s="294">
        <f>M341/N341</f>
        <v>7.045945945945946</v>
      </c>
      <c r="P341" s="332"/>
    </row>
    <row r="342" spans="1:16" ht="15">
      <c r="A342" s="66">
        <v>340</v>
      </c>
      <c r="B342" s="49" t="s">
        <v>20</v>
      </c>
      <c r="C342" s="40">
        <v>39773</v>
      </c>
      <c r="D342" s="44" t="s">
        <v>132</v>
      </c>
      <c r="E342" s="44" t="s">
        <v>21</v>
      </c>
      <c r="F342" s="41">
        <v>10</v>
      </c>
      <c r="G342" s="41">
        <v>2</v>
      </c>
      <c r="H342" s="41">
        <v>5</v>
      </c>
      <c r="I342" s="307">
        <v>344</v>
      </c>
      <c r="J342" s="308">
        <v>61</v>
      </c>
      <c r="K342" s="158">
        <f>(J342/G342)</f>
        <v>30.5</v>
      </c>
      <c r="L342" s="159">
        <f t="shared" si="24"/>
        <v>5.639344262295082</v>
      </c>
      <c r="M342" s="154">
        <f>43532.5+13875+1400+341+344</f>
        <v>59492.5</v>
      </c>
      <c r="N342" s="155">
        <f>3969+1359+251+52+61</f>
        <v>5692</v>
      </c>
      <c r="O342" s="105">
        <f>M342/N342</f>
        <v>10.451950105411104</v>
      </c>
      <c r="P342" s="330"/>
    </row>
    <row r="343" spans="1:16" ht="15">
      <c r="A343" s="66">
        <v>341</v>
      </c>
      <c r="B343" s="293" t="s">
        <v>44</v>
      </c>
      <c r="C343" s="286">
        <v>39780</v>
      </c>
      <c r="D343" s="285" t="s">
        <v>131</v>
      </c>
      <c r="E343" s="285" t="s">
        <v>127</v>
      </c>
      <c r="F343" s="287">
        <v>121</v>
      </c>
      <c r="G343" s="287">
        <v>2</v>
      </c>
      <c r="H343" s="287">
        <v>17</v>
      </c>
      <c r="I343" s="288">
        <v>341</v>
      </c>
      <c r="J343" s="289">
        <v>57</v>
      </c>
      <c r="K343" s="290">
        <f>J343/G343</f>
        <v>28.5</v>
      </c>
      <c r="L343" s="291">
        <f t="shared" si="24"/>
        <v>5.982456140350878</v>
      </c>
      <c r="M343" s="292">
        <v>3457039</v>
      </c>
      <c r="N343" s="290">
        <v>406135</v>
      </c>
      <c r="O343" s="294">
        <f>+M343/N343</f>
        <v>8.51204402477009</v>
      </c>
      <c r="P343" s="330">
        <v>1</v>
      </c>
    </row>
    <row r="344" spans="1:16" ht="15">
      <c r="A344" s="66">
        <v>342</v>
      </c>
      <c r="B344" s="293" t="s">
        <v>69</v>
      </c>
      <c r="C344" s="286">
        <v>39766</v>
      </c>
      <c r="D344" s="285" t="s">
        <v>134</v>
      </c>
      <c r="E344" s="285" t="s">
        <v>50</v>
      </c>
      <c r="F344" s="287">
        <v>20</v>
      </c>
      <c r="G344" s="287">
        <v>1</v>
      </c>
      <c r="H344" s="287">
        <v>13</v>
      </c>
      <c r="I344" s="288">
        <v>338</v>
      </c>
      <c r="J344" s="289">
        <v>68</v>
      </c>
      <c r="K344" s="290">
        <f>(J344/G344)</f>
        <v>68</v>
      </c>
      <c r="L344" s="291">
        <f t="shared" si="24"/>
        <v>4.970588235294118</v>
      </c>
      <c r="M344" s="292">
        <f>109364.5+38539+31287+12101+5368+8640.5+12331+9410+9143+5719+2775+1424+1017+338</f>
        <v>247457</v>
      </c>
      <c r="N344" s="290">
        <f>11866+4674+4443+2133+1061+1670+2334+1542+1728+1224+544+356+207+68</f>
        <v>33850</v>
      </c>
      <c r="O344" s="294">
        <f>M344/N344</f>
        <v>7.3103988183161</v>
      </c>
      <c r="P344" s="330"/>
    </row>
    <row r="345" spans="1:16" ht="15">
      <c r="A345" s="66">
        <v>343</v>
      </c>
      <c r="B345" s="368" t="s">
        <v>26</v>
      </c>
      <c r="C345" s="39">
        <v>39808</v>
      </c>
      <c r="D345" s="44" t="s">
        <v>134</v>
      </c>
      <c r="E345" s="44" t="s">
        <v>133</v>
      </c>
      <c r="F345" s="41">
        <v>75</v>
      </c>
      <c r="G345" s="41">
        <v>1</v>
      </c>
      <c r="H345" s="41">
        <v>16</v>
      </c>
      <c r="I345" s="263">
        <v>316</v>
      </c>
      <c r="J345" s="308">
        <v>62</v>
      </c>
      <c r="K345" s="155">
        <f>(J345/G345)</f>
        <v>62</v>
      </c>
      <c r="L345" s="356">
        <f t="shared" si="24"/>
        <v>5.096774193548387</v>
      </c>
      <c r="M345" s="267">
        <f>681566+578530+317284.5+141025.5+34373.5+6375+4225+7402.5+1014+4479+2688+2267+1765+1219+204+316</f>
        <v>1784734</v>
      </c>
      <c r="N345" s="155">
        <f>64102+57106+32401+16644+4655+1030+644+1623+143+828+480+469+323+195+43+62</f>
        <v>180748</v>
      </c>
      <c r="O345" s="358">
        <f>M345/N345</f>
        <v>9.87415628388696</v>
      </c>
      <c r="P345" s="332"/>
    </row>
    <row r="346" spans="1:16" ht="15">
      <c r="A346" s="66">
        <v>344</v>
      </c>
      <c r="B346" s="49" t="s">
        <v>47</v>
      </c>
      <c r="C346" s="39">
        <v>39780</v>
      </c>
      <c r="D346" s="44" t="s">
        <v>134</v>
      </c>
      <c r="E346" s="44" t="s">
        <v>302</v>
      </c>
      <c r="F346" s="41">
        <v>6</v>
      </c>
      <c r="G346" s="41">
        <v>1</v>
      </c>
      <c r="H346" s="41">
        <v>13</v>
      </c>
      <c r="I346" s="307">
        <v>312</v>
      </c>
      <c r="J346" s="308">
        <v>68</v>
      </c>
      <c r="K346" s="155">
        <f>(J346/G346)</f>
        <v>68</v>
      </c>
      <c r="L346" s="156">
        <f t="shared" si="24"/>
        <v>4.588235294117647</v>
      </c>
      <c r="M346" s="154">
        <f>25457+3030+1123+7370+430+997+6202+886+691.5+1289+1188+504+312</f>
        <v>49479.5</v>
      </c>
      <c r="N346" s="155">
        <f>2151+404+165+1079+59+230+1523+213+105+142+297+108+68</f>
        <v>6544</v>
      </c>
      <c r="O346" s="103">
        <f>M346/N346</f>
        <v>7.561048288508557</v>
      </c>
      <c r="P346" s="330"/>
    </row>
    <row r="347" spans="1:16" ht="15">
      <c r="A347" s="66">
        <v>345</v>
      </c>
      <c r="B347" s="53" t="s">
        <v>51</v>
      </c>
      <c r="C347" s="39">
        <v>39731</v>
      </c>
      <c r="D347" s="45" t="s">
        <v>4</v>
      </c>
      <c r="E347" s="45" t="s">
        <v>77</v>
      </c>
      <c r="F347" s="50">
        <v>20</v>
      </c>
      <c r="G347" s="50">
        <v>1</v>
      </c>
      <c r="H347" s="50">
        <v>13</v>
      </c>
      <c r="I347" s="303">
        <v>305</v>
      </c>
      <c r="J347" s="304">
        <v>61</v>
      </c>
      <c r="K347" s="152">
        <f>+J347/G347</f>
        <v>61</v>
      </c>
      <c r="L347" s="153">
        <f>+I347/J347</f>
        <v>5</v>
      </c>
      <c r="M347" s="150">
        <v>397120</v>
      </c>
      <c r="N347" s="151">
        <v>35350</v>
      </c>
      <c r="O347" s="104">
        <f>+M347/N347</f>
        <v>11.233946251768034</v>
      </c>
      <c r="P347" s="332">
        <v>1</v>
      </c>
    </row>
    <row r="348" spans="1:16" ht="15">
      <c r="A348" s="66">
        <v>346</v>
      </c>
      <c r="B348" s="234" t="s">
        <v>52</v>
      </c>
      <c r="C348" s="229">
        <v>39738</v>
      </c>
      <c r="D348" s="217" t="s">
        <v>134</v>
      </c>
      <c r="E348" s="227" t="s">
        <v>133</v>
      </c>
      <c r="F348" s="228">
        <v>65</v>
      </c>
      <c r="G348" s="228">
        <v>2</v>
      </c>
      <c r="H348" s="228">
        <v>12</v>
      </c>
      <c r="I348" s="297">
        <v>302</v>
      </c>
      <c r="J348" s="298">
        <v>50</v>
      </c>
      <c r="K348" s="223">
        <f>(J348/G348)</f>
        <v>25</v>
      </c>
      <c r="L348" s="224">
        <f aca="true" t="shared" si="25" ref="L348:L361">I348/J348</f>
        <v>6.04</v>
      </c>
      <c r="M348" s="225">
        <f>502954.7+385847+127398.5+41644+35371+15703.5+9494+704+1120.5+952+891+302</f>
        <v>1122382.2</v>
      </c>
      <c r="N348" s="226">
        <f>51438+39611+14487+7156+6343+2488+1591+176+567+238+149+50</f>
        <v>124294</v>
      </c>
      <c r="O348" s="233">
        <f>M348/N348</f>
        <v>9.030059375351987</v>
      </c>
      <c r="P348" s="330"/>
    </row>
    <row r="349" spans="1:16" ht="15">
      <c r="A349" s="66">
        <v>347</v>
      </c>
      <c r="B349" s="368" t="s">
        <v>26</v>
      </c>
      <c r="C349" s="39">
        <v>39808</v>
      </c>
      <c r="D349" s="44" t="s">
        <v>134</v>
      </c>
      <c r="E349" s="44" t="s">
        <v>133</v>
      </c>
      <c r="F349" s="41">
        <v>75</v>
      </c>
      <c r="G349" s="41">
        <v>1</v>
      </c>
      <c r="H349" s="41">
        <v>17</v>
      </c>
      <c r="I349" s="267">
        <v>300</v>
      </c>
      <c r="J349" s="155">
        <v>60</v>
      </c>
      <c r="K349" s="155">
        <f>(J349/G349)</f>
        <v>60</v>
      </c>
      <c r="L349" s="356">
        <f t="shared" si="25"/>
        <v>5</v>
      </c>
      <c r="M349" s="267">
        <f>681566+578530+317284.5+141025.5+34373.5+6375+4225+7402.5+1014+4479+2688+2267+1765+1219+204+316+300</f>
        <v>1785034</v>
      </c>
      <c r="N349" s="155">
        <f>64102+57106+32401+16644+4655+1030+644+1623+143+828+480+469+323+195+43+62+60</f>
        <v>180808</v>
      </c>
      <c r="O349" s="358">
        <f>M349/N349</f>
        <v>9.872538825715676</v>
      </c>
      <c r="P349" s="332"/>
    </row>
    <row r="350" spans="1:16" ht="15">
      <c r="A350" s="66">
        <v>348</v>
      </c>
      <c r="B350" s="368" t="s">
        <v>384</v>
      </c>
      <c r="C350" s="39">
        <v>39738</v>
      </c>
      <c r="D350" s="44" t="s">
        <v>131</v>
      </c>
      <c r="E350" s="44" t="s">
        <v>43</v>
      </c>
      <c r="F350" s="41">
        <v>62</v>
      </c>
      <c r="G350" s="41">
        <v>1</v>
      </c>
      <c r="H350" s="41">
        <v>31</v>
      </c>
      <c r="I350" s="263">
        <v>294</v>
      </c>
      <c r="J350" s="308">
        <v>113</v>
      </c>
      <c r="K350" s="155">
        <f>J350/G350</f>
        <v>113</v>
      </c>
      <c r="L350" s="356">
        <f t="shared" si="25"/>
        <v>2.601769911504425</v>
      </c>
      <c r="M350" s="267">
        <v>731858</v>
      </c>
      <c r="N350" s="155">
        <v>88302</v>
      </c>
      <c r="O350" s="358">
        <f>+M350/N350</f>
        <v>8.288124844284388</v>
      </c>
      <c r="P350" s="376"/>
    </row>
    <row r="351" spans="1:16" ht="15">
      <c r="A351" s="66">
        <v>349</v>
      </c>
      <c r="B351" s="293" t="s">
        <v>167</v>
      </c>
      <c r="C351" s="286">
        <v>39703</v>
      </c>
      <c r="D351" s="285" t="s">
        <v>200</v>
      </c>
      <c r="E351" s="285" t="s">
        <v>168</v>
      </c>
      <c r="F351" s="287">
        <v>16</v>
      </c>
      <c r="G351" s="287">
        <v>1</v>
      </c>
      <c r="H351" s="287">
        <v>13</v>
      </c>
      <c r="I351" s="288">
        <v>288</v>
      </c>
      <c r="J351" s="289">
        <v>59</v>
      </c>
      <c r="K351" s="290">
        <f>J351/G351</f>
        <v>59</v>
      </c>
      <c r="L351" s="291">
        <f t="shared" si="25"/>
        <v>4.88135593220339</v>
      </c>
      <c r="M351" s="292">
        <v>74288</v>
      </c>
      <c r="N351" s="290">
        <v>10179</v>
      </c>
      <c r="O351" s="294">
        <f>M351/N351</f>
        <v>7.298162884369781</v>
      </c>
      <c r="P351" s="330">
        <v>1</v>
      </c>
    </row>
    <row r="352" spans="1:16" ht="15">
      <c r="A352" s="66">
        <v>350</v>
      </c>
      <c r="B352" s="293" t="s">
        <v>53</v>
      </c>
      <c r="C352" s="286">
        <v>39738</v>
      </c>
      <c r="D352" s="285" t="s">
        <v>134</v>
      </c>
      <c r="E352" s="285" t="s">
        <v>54</v>
      </c>
      <c r="F352" s="287">
        <v>67</v>
      </c>
      <c r="G352" s="287">
        <v>1</v>
      </c>
      <c r="H352" s="287">
        <v>20</v>
      </c>
      <c r="I352" s="288">
        <v>288</v>
      </c>
      <c r="J352" s="289">
        <v>56</v>
      </c>
      <c r="K352" s="290">
        <f>(J352/G352)</f>
        <v>56</v>
      </c>
      <c r="L352" s="291">
        <f t="shared" si="25"/>
        <v>5.142857142857143</v>
      </c>
      <c r="M352" s="292">
        <f>167196+176809+54428+37340+38330.5+23467+11581+5867+4382+2577+3552+2137+545+4006+9422+7992+4936+1547+1147+288</f>
        <v>557549.5</v>
      </c>
      <c r="N352" s="290">
        <f>19168+21164+7719+6215+6404+4964+2339+1306+907+580+859+440+127+905+2170+1822+1050+392+333+56</f>
        <v>78920</v>
      </c>
      <c r="O352" s="294">
        <f>M352/N352</f>
        <v>7.064742777496199</v>
      </c>
      <c r="P352" s="331"/>
    </row>
    <row r="353" spans="1:16" ht="15">
      <c r="A353" s="66">
        <v>351</v>
      </c>
      <c r="B353" s="49" t="s">
        <v>142</v>
      </c>
      <c r="C353" s="39">
        <v>39794</v>
      </c>
      <c r="D353" s="44" t="s">
        <v>134</v>
      </c>
      <c r="E353" s="44" t="s">
        <v>133</v>
      </c>
      <c r="F353" s="41">
        <v>100</v>
      </c>
      <c r="G353" s="41">
        <v>1</v>
      </c>
      <c r="H353" s="41">
        <v>16</v>
      </c>
      <c r="I353" s="307">
        <v>280</v>
      </c>
      <c r="J353" s="308">
        <v>55</v>
      </c>
      <c r="K353" s="155">
        <f>(J353/G353)</f>
        <v>55</v>
      </c>
      <c r="L353" s="156">
        <f t="shared" si="25"/>
        <v>5.090909090909091</v>
      </c>
      <c r="M353" s="154">
        <f>1276778.5+626123+380324+112679.5+54533+36086+4129+3620.5+4348+1030+1904+420+1049+5940+2263+280</f>
        <v>2511507.5</v>
      </c>
      <c r="N353" s="155">
        <f>133555+68793+41581+14968+8873+6454+539+324+976+204+524+65+169+1485+444+55</f>
        <v>279009</v>
      </c>
      <c r="O353" s="103">
        <f>M353/N353</f>
        <v>9.001528624524656</v>
      </c>
      <c r="P353" s="331">
        <v>1</v>
      </c>
    </row>
    <row r="354" spans="1:16" ht="15">
      <c r="A354" s="66">
        <v>352</v>
      </c>
      <c r="B354" s="293" t="s">
        <v>58</v>
      </c>
      <c r="C354" s="286">
        <v>39745</v>
      </c>
      <c r="D354" s="285" t="s">
        <v>4</v>
      </c>
      <c r="E354" s="285" t="s">
        <v>59</v>
      </c>
      <c r="F354" s="287">
        <v>71</v>
      </c>
      <c r="G354" s="287">
        <v>1</v>
      </c>
      <c r="H354" s="287">
        <v>18</v>
      </c>
      <c r="I354" s="288">
        <v>278</v>
      </c>
      <c r="J354" s="289">
        <v>54</v>
      </c>
      <c r="K354" s="290">
        <f>+J354/G354</f>
        <v>54</v>
      </c>
      <c r="L354" s="291">
        <f t="shared" si="25"/>
        <v>5.148148148148148</v>
      </c>
      <c r="M354" s="292">
        <v>1288867</v>
      </c>
      <c r="N354" s="290">
        <v>145997</v>
      </c>
      <c r="O354" s="294">
        <f>+M354/N354</f>
        <v>8.828037562415666</v>
      </c>
      <c r="P354" s="332">
        <v>1</v>
      </c>
    </row>
    <row r="355" spans="1:16" ht="15">
      <c r="A355" s="66">
        <v>353</v>
      </c>
      <c r="B355" s="48" t="s">
        <v>62</v>
      </c>
      <c r="C355" s="39">
        <v>39689</v>
      </c>
      <c r="D355" s="43" t="s">
        <v>130</v>
      </c>
      <c r="E355" s="42" t="s">
        <v>63</v>
      </c>
      <c r="F355" s="54">
        <v>100</v>
      </c>
      <c r="G355" s="54">
        <v>1</v>
      </c>
      <c r="H355" s="54">
        <v>9</v>
      </c>
      <c r="I355" s="303">
        <v>276</v>
      </c>
      <c r="J355" s="304">
        <v>55</v>
      </c>
      <c r="K355" s="158">
        <f>J355/G355</f>
        <v>55</v>
      </c>
      <c r="L355" s="159">
        <f t="shared" si="25"/>
        <v>5.0181818181818185</v>
      </c>
      <c r="M355" s="150">
        <f>17818+1364876+864151+384239+240974+16635+2871+5064-50+5187+276</f>
        <v>2902041</v>
      </c>
      <c r="N355" s="151">
        <f>1487+139515+89937+39711+26370+2302+499+787-9+1471+55</f>
        <v>302125</v>
      </c>
      <c r="O355" s="105">
        <f>+M355/N355</f>
        <v>9.605431526685974</v>
      </c>
      <c r="P355" s="345">
        <v>1</v>
      </c>
    </row>
    <row r="356" spans="1:16" ht="15">
      <c r="A356" s="66">
        <v>354</v>
      </c>
      <c r="B356" s="281" t="s">
        <v>167</v>
      </c>
      <c r="C356" s="40">
        <v>39766</v>
      </c>
      <c r="D356" s="261" t="s">
        <v>164</v>
      </c>
      <c r="E356" s="261" t="s">
        <v>168</v>
      </c>
      <c r="F356" s="262">
        <v>17</v>
      </c>
      <c r="G356" s="262">
        <v>1</v>
      </c>
      <c r="H356" s="262">
        <v>11</v>
      </c>
      <c r="I356" s="278">
        <v>260</v>
      </c>
      <c r="J356" s="279">
        <v>57</v>
      </c>
      <c r="K356" s="265">
        <f>J356/G356</f>
        <v>57</v>
      </c>
      <c r="L356" s="266">
        <f t="shared" si="25"/>
        <v>4.56140350877193</v>
      </c>
      <c r="M356" s="280">
        <v>72802</v>
      </c>
      <c r="N356" s="265">
        <v>9877</v>
      </c>
      <c r="O356" s="282">
        <f>M356/N356</f>
        <v>7.370861597651109</v>
      </c>
      <c r="P356" s="331"/>
    </row>
    <row r="357" spans="1:16" ht="15">
      <c r="A357" s="66">
        <v>355</v>
      </c>
      <c r="B357" s="318" t="s">
        <v>139</v>
      </c>
      <c r="C357" s="286">
        <v>39787</v>
      </c>
      <c r="D357" s="285" t="s">
        <v>132</v>
      </c>
      <c r="E357" s="285" t="s">
        <v>140</v>
      </c>
      <c r="F357" s="287">
        <v>1</v>
      </c>
      <c r="G357" s="287">
        <v>1</v>
      </c>
      <c r="H357" s="287">
        <v>16</v>
      </c>
      <c r="I357" s="288">
        <v>260</v>
      </c>
      <c r="J357" s="289">
        <v>49</v>
      </c>
      <c r="K357" s="290">
        <f>J357/G357</f>
        <v>49</v>
      </c>
      <c r="L357" s="291">
        <f t="shared" si="25"/>
        <v>5.3061224489795915</v>
      </c>
      <c r="M357" s="292">
        <f>9280968+4694050.5+1992628+1117778+528440.5+225948.5+100229.5+60712.5+23747.5+18022-1837+3858+1591+1095+16460.5+3147+260</f>
        <v>18067099.5</v>
      </c>
      <c r="N357" s="290">
        <f>1147876+614752+261380+141495+73035+33259+17736+11735+4194+3845-458+781+321+218+3333+770+49</f>
        <v>2314321</v>
      </c>
      <c r="O357" s="294">
        <f>+M357/N357</f>
        <v>7.806652361534981</v>
      </c>
      <c r="P357" s="332"/>
    </row>
    <row r="358" spans="1:16" ht="15">
      <c r="A358" s="66">
        <v>356</v>
      </c>
      <c r="B358" s="293" t="s">
        <v>204</v>
      </c>
      <c r="C358" s="286">
        <v>39703</v>
      </c>
      <c r="D358" s="285" t="s">
        <v>200</v>
      </c>
      <c r="E358" s="285" t="s">
        <v>237</v>
      </c>
      <c r="F358" s="287">
        <v>54</v>
      </c>
      <c r="G358" s="287">
        <v>1</v>
      </c>
      <c r="H358" s="287">
        <v>11</v>
      </c>
      <c r="I358" s="288">
        <v>254</v>
      </c>
      <c r="J358" s="289">
        <v>46</v>
      </c>
      <c r="K358" s="290">
        <f>J358/G358</f>
        <v>46</v>
      </c>
      <c r="L358" s="291">
        <f t="shared" si="25"/>
        <v>5.521739130434782</v>
      </c>
      <c r="M358" s="292">
        <v>680198</v>
      </c>
      <c r="N358" s="290">
        <v>66500</v>
      </c>
      <c r="O358" s="294">
        <f>+M358/N358</f>
        <v>10.22854135338346</v>
      </c>
      <c r="P358" s="332"/>
    </row>
    <row r="359" spans="1:16" ht="15">
      <c r="A359" s="66">
        <v>357</v>
      </c>
      <c r="B359" s="293" t="s">
        <v>144</v>
      </c>
      <c r="C359" s="286">
        <v>39801</v>
      </c>
      <c r="D359" s="285" t="s">
        <v>130</v>
      </c>
      <c r="E359" s="285" t="s">
        <v>122</v>
      </c>
      <c r="F359" s="287">
        <v>69</v>
      </c>
      <c r="G359" s="287">
        <v>1</v>
      </c>
      <c r="H359" s="287">
        <v>10</v>
      </c>
      <c r="I359" s="288">
        <v>251</v>
      </c>
      <c r="J359" s="289">
        <v>41</v>
      </c>
      <c r="K359" s="290">
        <f>J359/G359</f>
        <v>41</v>
      </c>
      <c r="L359" s="291">
        <f t="shared" si="25"/>
        <v>6.121951219512195</v>
      </c>
      <c r="M359" s="292">
        <f>820286+588484+413907+112495+41441-111+9385+4586+8718+1191+251</f>
        <v>2000633</v>
      </c>
      <c r="N359" s="290">
        <f>83839+57678+42374+12212+5722-11+2124+1350+1256+191+41</f>
        <v>206776</v>
      </c>
      <c r="O359" s="294">
        <f>+M359/N359</f>
        <v>9.675363678570047</v>
      </c>
      <c r="P359" s="331"/>
    </row>
    <row r="360" spans="1:16" ht="15">
      <c r="A360" s="66">
        <v>358</v>
      </c>
      <c r="B360" s="368" t="s">
        <v>330</v>
      </c>
      <c r="C360" s="39">
        <v>39766</v>
      </c>
      <c r="D360" s="44" t="s">
        <v>132</v>
      </c>
      <c r="E360" s="44" t="s">
        <v>107</v>
      </c>
      <c r="F360" s="41">
        <v>44</v>
      </c>
      <c r="G360" s="41">
        <v>1</v>
      </c>
      <c r="H360" s="41">
        <v>6</v>
      </c>
      <c r="I360" s="263">
        <v>246</v>
      </c>
      <c r="J360" s="308">
        <v>41</v>
      </c>
      <c r="K360" s="155">
        <f>(J360/G360)</f>
        <v>41</v>
      </c>
      <c r="L360" s="356">
        <f t="shared" si="25"/>
        <v>6</v>
      </c>
      <c r="M360" s="267">
        <f>155654+80570.5+22675+7882+15+246</f>
        <v>267042.5</v>
      </c>
      <c r="N360" s="155">
        <f>15277+7852+3194+1551+3+41</f>
        <v>27918</v>
      </c>
      <c r="O360" s="358">
        <f>M360/N360</f>
        <v>9.565244645031878</v>
      </c>
      <c r="P360" s="332"/>
    </row>
    <row r="361" spans="1:16" ht="15">
      <c r="A361" s="66">
        <v>359</v>
      </c>
      <c r="B361" s="293" t="s">
        <v>293</v>
      </c>
      <c r="C361" s="286">
        <v>39521</v>
      </c>
      <c r="D361" s="285" t="s">
        <v>285</v>
      </c>
      <c r="E361" s="285" t="s">
        <v>294</v>
      </c>
      <c r="F361" s="287">
        <v>42</v>
      </c>
      <c r="G361" s="287">
        <v>1</v>
      </c>
      <c r="H361" s="287">
        <v>19</v>
      </c>
      <c r="I361" s="292">
        <v>230</v>
      </c>
      <c r="J361" s="290">
        <v>46</v>
      </c>
      <c r="K361" s="290">
        <f>J361/G361</f>
        <v>46</v>
      </c>
      <c r="L361" s="291">
        <f t="shared" si="25"/>
        <v>5</v>
      </c>
      <c r="M361" s="292">
        <v>1595933</v>
      </c>
      <c r="N361" s="290">
        <v>196123</v>
      </c>
      <c r="O361" s="294">
        <f>+M361/N361</f>
        <v>8.13740866700999</v>
      </c>
      <c r="P361" s="332">
        <v>1</v>
      </c>
    </row>
    <row r="362" spans="1:16" ht="15">
      <c r="A362" s="66">
        <v>360</v>
      </c>
      <c r="B362" s="53" t="s">
        <v>68</v>
      </c>
      <c r="C362" s="39">
        <v>39759</v>
      </c>
      <c r="D362" s="127" t="s">
        <v>136</v>
      </c>
      <c r="E362" s="127" t="s">
        <v>31</v>
      </c>
      <c r="F362" s="50">
        <v>40</v>
      </c>
      <c r="G362" s="50">
        <v>1</v>
      </c>
      <c r="H362" s="50">
        <v>12</v>
      </c>
      <c r="I362" s="269">
        <v>228</v>
      </c>
      <c r="J362" s="270">
        <v>39</v>
      </c>
      <c r="K362" s="271">
        <f>IF(I362&lt;&gt;0,J362/G362,"")</f>
        <v>39</v>
      </c>
      <c r="L362" s="153">
        <f>IF(I362&lt;&gt;0,I362/J362,"")</f>
        <v>5.846153846153846</v>
      </c>
      <c r="M362" s="272">
        <f>84918+52341+11404+7823+3207+2014+937+2034+556+1450+3725+228</f>
        <v>170637</v>
      </c>
      <c r="N362" s="268">
        <f>10694+7043+2046+1560+538+345+174+389+77+318+659+39</f>
        <v>23882</v>
      </c>
      <c r="O362" s="104">
        <f>IF(M362&lt;&gt;0,M362/N362,"")</f>
        <v>7.145004605979398</v>
      </c>
      <c r="P362" s="330">
        <v>1</v>
      </c>
    </row>
    <row r="363" spans="1:16" ht="15">
      <c r="A363" s="66">
        <v>361</v>
      </c>
      <c r="B363" s="293" t="s">
        <v>23</v>
      </c>
      <c r="C363" s="286">
        <v>39808</v>
      </c>
      <c r="D363" s="285" t="s">
        <v>136</v>
      </c>
      <c r="E363" s="285" t="s">
        <v>24</v>
      </c>
      <c r="F363" s="287">
        <v>198</v>
      </c>
      <c r="G363" s="287">
        <v>1</v>
      </c>
      <c r="H363" s="287">
        <v>12</v>
      </c>
      <c r="I363" s="288">
        <v>223</v>
      </c>
      <c r="J363" s="289">
        <v>43</v>
      </c>
      <c r="K363" s="290">
        <f>J363/G363</f>
        <v>43</v>
      </c>
      <c r="L363" s="291">
        <f>I363/J363</f>
        <v>5.186046511627907</v>
      </c>
      <c r="M363" s="292">
        <v>1757618</v>
      </c>
      <c r="N363" s="290">
        <v>227516</v>
      </c>
      <c r="O363" s="294">
        <f>+M363/N363</f>
        <v>7.7252500923012</v>
      </c>
      <c r="P363" s="332"/>
    </row>
    <row r="364" spans="1:16" ht="15">
      <c r="A364" s="66">
        <v>362</v>
      </c>
      <c r="B364" s="293" t="s">
        <v>205</v>
      </c>
      <c r="C364" s="286">
        <v>39808</v>
      </c>
      <c r="D364" s="285" t="s">
        <v>131</v>
      </c>
      <c r="E364" s="285" t="s">
        <v>124</v>
      </c>
      <c r="F364" s="287">
        <v>34</v>
      </c>
      <c r="G364" s="287">
        <v>1</v>
      </c>
      <c r="H364" s="287">
        <v>8</v>
      </c>
      <c r="I364" s="288">
        <v>223</v>
      </c>
      <c r="J364" s="289">
        <v>37</v>
      </c>
      <c r="K364" s="290">
        <f>J364/G364</f>
        <v>37</v>
      </c>
      <c r="L364" s="291">
        <f>+I364/J364</f>
        <v>6.027027027027027</v>
      </c>
      <c r="M364" s="292">
        <v>802197</v>
      </c>
      <c r="N364" s="290">
        <v>90066</v>
      </c>
      <c r="O364" s="294">
        <f>+M364/N364</f>
        <v>8.906768369862101</v>
      </c>
      <c r="P364" s="332"/>
    </row>
    <row r="365" spans="1:16" ht="15">
      <c r="A365" s="66">
        <v>363</v>
      </c>
      <c r="B365" s="49" t="s">
        <v>49</v>
      </c>
      <c r="C365" s="39">
        <v>39710</v>
      </c>
      <c r="D365" s="44" t="s">
        <v>132</v>
      </c>
      <c r="E365" s="44" t="s">
        <v>179</v>
      </c>
      <c r="F365" s="41">
        <v>24</v>
      </c>
      <c r="G365" s="41">
        <v>1</v>
      </c>
      <c r="H365" s="41">
        <v>1</v>
      </c>
      <c r="I365" s="267">
        <v>210</v>
      </c>
      <c r="J365" s="155">
        <v>35</v>
      </c>
      <c r="K365" s="155">
        <f>J365/G365</f>
        <v>35</v>
      </c>
      <c r="L365" s="356">
        <f>I365/J365</f>
        <v>6</v>
      </c>
      <c r="M365" s="267">
        <f>152576+127511+68854.5+21974+10111.5+7103+7290+0.5+1014+3149+989+3524+0.5+3768+138+2528+257+351.5+573.5+184+3655+10+15+10+210</f>
        <v>415797</v>
      </c>
      <c r="N365" s="155">
        <f>50018+825+47+65+137+67+1215+2+3+2+35</f>
        <v>52416</v>
      </c>
      <c r="O365" s="358">
        <f>+M365/N365</f>
        <v>7.932635073260073</v>
      </c>
      <c r="P365" s="332"/>
    </row>
    <row r="366" spans="1:16" ht="15">
      <c r="A366" s="66">
        <v>364</v>
      </c>
      <c r="B366" s="49" t="s">
        <v>26</v>
      </c>
      <c r="C366" s="39">
        <v>39808</v>
      </c>
      <c r="D366" s="44" t="s">
        <v>134</v>
      </c>
      <c r="E366" s="44" t="s">
        <v>133</v>
      </c>
      <c r="F366" s="41">
        <v>75</v>
      </c>
      <c r="G366" s="41">
        <v>1</v>
      </c>
      <c r="H366" s="41">
        <v>15</v>
      </c>
      <c r="I366" s="307">
        <v>204</v>
      </c>
      <c r="J366" s="308">
        <v>43</v>
      </c>
      <c r="K366" s="155">
        <f>(J366/G366)</f>
        <v>43</v>
      </c>
      <c r="L366" s="156">
        <f>I366/J366</f>
        <v>4.744186046511628</v>
      </c>
      <c r="M366" s="154">
        <f>681566+578530+317284.5+141025.5+34373.5+6375+4225+7402.5+1014+4479+2688+2267+1765+1219+204</f>
        <v>1784418</v>
      </c>
      <c r="N366" s="155">
        <f>64102+57106+32401+16644+4655+1030+644+1623+143+828+480+469+323+195+43</f>
        <v>180686</v>
      </c>
      <c r="O366" s="103">
        <f>M366/N366</f>
        <v>9.875795579070875</v>
      </c>
      <c r="P366" s="331"/>
    </row>
    <row r="367" spans="1:16" ht="15">
      <c r="A367" s="66">
        <v>365</v>
      </c>
      <c r="B367" s="49" t="s">
        <v>49</v>
      </c>
      <c r="C367" s="40">
        <v>39710</v>
      </c>
      <c r="D367" s="44" t="s">
        <v>107</v>
      </c>
      <c r="E367" s="44" t="s">
        <v>107</v>
      </c>
      <c r="F367" s="41">
        <v>66</v>
      </c>
      <c r="G367" s="41">
        <v>1</v>
      </c>
      <c r="H367" s="41">
        <v>18</v>
      </c>
      <c r="I367" s="307">
        <v>184</v>
      </c>
      <c r="J367" s="308">
        <v>67</v>
      </c>
      <c r="K367" s="158">
        <f>(J367/G367)</f>
        <v>67</v>
      </c>
      <c r="L367" s="159">
        <f>I367/J367</f>
        <v>2.746268656716418</v>
      </c>
      <c r="M367" s="154">
        <f>152576+127511+68854.5+21974+10111.5+7103+7290+0.5+1014+3149+989+3524+0.5+3768+138+2528+257+351.5+573.5+184</f>
        <v>411897</v>
      </c>
      <c r="N367" s="155">
        <f>50018+825+47+65+137+67</f>
        <v>51159</v>
      </c>
      <c r="O367" s="105">
        <f>M367/N367</f>
        <v>8.051310619832288</v>
      </c>
      <c r="P367" s="330"/>
    </row>
    <row r="368" spans="1:16" ht="15">
      <c r="A368" s="66">
        <v>366</v>
      </c>
      <c r="B368" s="281" t="s">
        <v>169</v>
      </c>
      <c r="C368" s="40">
        <v>39472</v>
      </c>
      <c r="D368" s="261" t="s">
        <v>107</v>
      </c>
      <c r="E368" s="261" t="s">
        <v>107</v>
      </c>
      <c r="F368" s="262">
        <v>1</v>
      </c>
      <c r="G368" s="262">
        <v>1</v>
      </c>
      <c r="H368" s="262">
        <v>29</v>
      </c>
      <c r="I368" s="263">
        <v>183.5</v>
      </c>
      <c r="J368" s="264">
        <v>68</v>
      </c>
      <c r="K368" s="271">
        <f>+J368/G368</f>
        <v>68</v>
      </c>
      <c r="L368" s="153">
        <f>+I368/J368</f>
        <v>2.698529411764706</v>
      </c>
      <c r="M368" s="267">
        <f>395290.5+262822+75939+23709.5+4083+1327+9321+1445+1267+2173+4575+201+1748+3343+728+28+948+1329+163+182+173+15521.5+171+40+110+75+183.5</f>
        <v>806896</v>
      </c>
      <c r="N368" s="268">
        <f>47426+32442+9866+4010+887+225+2185+263+226+460+1077+33+367+887+230+4+139+355+32+35+32+3859+49+8+22+15+68</f>
        <v>105202</v>
      </c>
      <c r="O368" s="104">
        <f>+M368/N368</f>
        <v>7.669968251554153</v>
      </c>
      <c r="P368" s="332">
        <v>1</v>
      </c>
    </row>
    <row r="369" spans="1:16" ht="15">
      <c r="A369" s="66">
        <v>367</v>
      </c>
      <c r="B369" s="293" t="s">
        <v>163</v>
      </c>
      <c r="C369" s="286">
        <v>39766</v>
      </c>
      <c r="D369" s="285" t="s">
        <v>200</v>
      </c>
      <c r="E369" s="285" t="s">
        <v>201</v>
      </c>
      <c r="F369" s="287">
        <v>50</v>
      </c>
      <c r="G369" s="287">
        <v>1</v>
      </c>
      <c r="H369" s="287">
        <v>16</v>
      </c>
      <c r="I369" s="288">
        <v>174</v>
      </c>
      <c r="J369" s="289">
        <v>58</v>
      </c>
      <c r="K369" s="290">
        <f>J369/G369</f>
        <v>58</v>
      </c>
      <c r="L369" s="291">
        <f>I369/J369</f>
        <v>3</v>
      </c>
      <c r="M369" s="292">
        <v>225537</v>
      </c>
      <c r="N369" s="290">
        <v>32942</v>
      </c>
      <c r="O369" s="294">
        <f>M369/N369</f>
        <v>6.846487766377269</v>
      </c>
      <c r="P369" s="332">
        <v>1</v>
      </c>
    </row>
    <row r="370" spans="1:16" ht="15">
      <c r="A370" s="66">
        <v>368</v>
      </c>
      <c r="B370" s="368" t="s">
        <v>49</v>
      </c>
      <c r="C370" s="39">
        <v>39710</v>
      </c>
      <c r="D370" s="44" t="s">
        <v>132</v>
      </c>
      <c r="E370" s="44" t="s">
        <v>179</v>
      </c>
      <c r="F370" s="41">
        <v>7</v>
      </c>
      <c r="G370" s="41">
        <v>1</v>
      </c>
      <c r="H370" s="41">
        <v>25</v>
      </c>
      <c r="I370" s="263">
        <v>156</v>
      </c>
      <c r="J370" s="308">
        <v>26</v>
      </c>
      <c r="K370" s="155">
        <f>(J370/G370)</f>
        <v>26</v>
      </c>
      <c r="L370" s="356">
        <f>I370/J370</f>
        <v>6</v>
      </c>
      <c r="M370" s="267">
        <f>152576+127511+68854.5+21974+10111.5+7103+7290+0.5+1014+3149+989+3524+0.5+3768+138+2528+257+351.5+573.5+184+3655+10+15+10+210+156</f>
        <v>415953</v>
      </c>
      <c r="N370" s="155">
        <f>50018+825+47+65+137+67+1215+2+3+2+35+26</f>
        <v>52442</v>
      </c>
      <c r="O370" s="358">
        <f>M370/N370</f>
        <v>7.931676900194501</v>
      </c>
      <c r="P370" s="332"/>
    </row>
    <row r="371" spans="1:16" ht="15">
      <c r="A371" s="66">
        <v>369</v>
      </c>
      <c r="B371" s="293" t="s">
        <v>238</v>
      </c>
      <c r="C371" s="286">
        <v>39717</v>
      </c>
      <c r="D371" s="285" t="s">
        <v>136</v>
      </c>
      <c r="E371" s="285" t="s">
        <v>239</v>
      </c>
      <c r="F371" s="287">
        <v>199</v>
      </c>
      <c r="G371" s="287">
        <v>2</v>
      </c>
      <c r="H371" s="287">
        <v>10</v>
      </c>
      <c r="I371" s="288">
        <v>153</v>
      </c>
      <c r="J371" s="289">
        <v>32</v>
      </c>
      <c r="K371" s="290">
        <f>J371/G371</f>
        <v>16</v>
      </c>
      <c r="L371" s="291">
        <f>I371/J371</f>
        <v>4.78125</v>
      </c>
      <c r="M371" s="292">
        <v>1396188</v>
      </c>
      <c r="N371" s="290">
        <v>190962</v>
      </c>
      <c r="O371" s="294">
        <f>+M371/N371</f>
        <v>7.311339428786879</v>
      </c>
      <c r="P371" s="331"/>
    </row>
    <row r="372" spans="1:16" ht="15">
      <c r="A372" s="66">
        <v>370</v>
      </c>
      <c r="B372" s="293" t="s">
        <v>56</v>
      </c>
      <c r="C372" s="286">
        <v>39745</v>
      </c>
      <c r="D372" s="285" t="s">
        <v>136</v>
      </c>
      <c r="E372" s="285" t="s">
        <v>46</v>
      </c>
      <c r="F372" s="287">
        <v>104</v>
      </c>
      <c r="G372" s="287">
        <v>1</v>
      </c>
      <c r="H372" s="287">
        <v>18</v>
      </c>
      <c r="I372" s="288">
        <v>150</v>
      </c>
      <c r="J372" s="289">
        <v>28</v>
      </c>
      <c r="K372" s="290">
        <f>IF(I372&lt;&gt;0,J372/G372,"")</f>
        <v>28</v>
      </c>
      <c r="L372" s="291">
        <f>I372/J372</f>
        <v>5.357142857142857</v>
      </c>
      <c r="M372" s="292">
        <f>821522+622841.5+494230+434015.5+185757.5+145248.5+16130+16159+2033+6489+4346+3565+2540+1323+139+686+2328+150</f>
        <v>2759503</v>
      </c>
      <c r="N372" s="290">
        <f>99216+78381+65128+58419+30420+24530+3077+3918+431+1704+1003+785+507+195+19+106+426+28</f>
        <v>368293</v>
      </c>
      <c r="O372" s="294">
        <f>+M372/N372</f>
        <v>7.492683814245723</v>
      </c>
      <c r="P372" s="330"/>
    </row>
    <row r="373" spans="1:16" ht="15">
      <c r="A373" s="66">
        <v>371</v>
      </c>
      <c r="B373" s="368" t="s">
        <v>82</v>
      </c>
      <c r="C373" s="39">
        <v>39633</v>
      </c>
      <c r="D373" s="44" t="s">
        <v>4</v>
      </c>
      <c r="E373" s="44" t="s">
        <v>77</v>
      </c>
      <c r="F373" s="41">
        <v>28</v>
      </c>
      <c r="G373" s="41">
        <v>1</v>
      </c>
      <c r="H373" s="41">
        <v>45</v>
      </c>
      <c r="I373" s="267">
        <v>140</v>
      </c>
      <c r="J373" s="155">
        <v>27</v>
      </c>
      <c r="K373" s="155">
        <f>+J373/G373</f>
        <v>27</v>
      </c>
      <c r="L373" s="356">
        <f>+I373/J373</f>
        <v>5.185185185185185</v>
      </c>
      <c r="M373" s="267">
        <v>315737</v>
      </c>
      <c r="N373" s="155">
        <v>42164</v>
      </c>
      <c r="O373" s="358">
        <f>+M373/N373</f>
        <v>7.488307560952471</v>
      </c>
      <c r="P373" s="321"/>
    </row>
    <row r="374" spans="1:16" ht="15">
      <c r="A374" s="66">
        <v>372</v>
      </c>
      <c r="B374" s="293" t="s">
        <v>56</v>
      </c>
      <c r="C374" s="286">
        <v>39745</v>
      </c>
      <c r="D374" s="285" t="s">
        <v>136</v>
      </c>
      <c r="E374" s="285" t="s">
        <v>46</v>
      </c>
      <c r="F374" s="287">
        <v>104</v>
      </c>
      <c r="G374" s="287">
        <v>1</v>
      </c>
      <c r="H374" s="287">
        <v>15</v>
      </c>
      <c r="I374" s="288">
        <v>139</v>
      </c>
      <c r="J374" s="289">
        <v>19</v>
      </c>
      <c r="K374" s="290">
        <f>IF(I374&lt;&gt;0,J374/G374,"")</f>
        <v>19</v>
      </c>
      <c r="L374" s="291">
        <f>IF(I374&lt;&gt;0,I374/J374,"")</f>
        <v>7.315789473684211</v>
      </c>
      <c r="M374" s="292">
        <f>821522+622841.5+494230+434015.5+185757.5+145248.5+16130+16159+2033+6489+4346+3565+2540+1323+139</f>
        <v>2756339</v>
      </c>
      <c r="N374" s="290">
        <f>99216+78381+65128+58419+30420+24530+3077+3918+431+1704+1003+785+507+195+19</f>
        <v>367733</v>
      </c>
      <c r="O374" s="294">
        <f>IF(M374&lt;&gt;0,M374/N374,"")</f>
        <v>7.495489934272964</v>
      </c>
      <c r="P374" s="332"/>
    </row>
    <row r="375" spans="1:16" ht="15">
      <c r="A375" s="66">
        <v>373</v>
      </c>
      <c r="B375" s="293" t="s">
        <v>56</v>
      </c>
      <c r="C375" s="286">
        <v>39745</v>
      </c>
      <c r="D375" s="285" t="s">
        <v>136</v>
      </c>
      <c r="E375" s="285" t="s">
        <v>46</v>
      </c>
      <c r="F375" s="287">
        <v>104</v>
      </c>
      <c r="G375" s="287">
        <v>1</v>
      </c>
      <c r="H375" s="287">
        <v>19</v>
      </c>
      <c r="I375" s="288">
        <v>137</v>
      </c>
      <c r="J375" s="289">
        <v>29</v>
      </c>
      <c r="K375" s="290">
        <f>J375/G375</f>
        <v>29</v>
      </c>
      <c r="L375" s="291">
        <f>I375/J375</f>
        <v>4.724137931034483</v>
      </c>
      <c r="M375" s="292">
        <v>2759640</v>
      </c>
      <c r="N375" s="290">
        <v>368322</v>
      </c>
      <c r="O375" s="294">
        <f>+M375/N375</f>
        <v>7.492465831527848</v>
      </c>
      <c r="P375" s="331"/>
    </row>
    <row r="376" spans="1:16" ht="15">
      <c r="A376" s="66">
        <v>374</v>
      </c>
      <c r="B376" s="234" t="s">
        <v>60</v>
      </c>
      <c r="C376" s="229">
        <v>39745</v>
      </c>
      <c r="D376" s="217" t="s">
        <v>134</v>
      </c>
      <c r="E376" s="227" t="s">
        <v>106</v>
      </c>
      <c r="F376" s="228">
        <v>7</v>
      </c>
      <c r="G376" s="228">
        <v>1</v>
      </c>
      <c r="H376" s="228">
        <v>11</v>
      </c>
      <c r="I376" s="297">
        <v>135</v>
      </c>
      <c r="J376" s="298">
        <v>23</v>
      </c>
      <c r="K376" s="223">
        <f>(J376/G376)</f>
        <v>23</v>
      </c>
      <c r="L376" s="224">
        <f>I376/J376</f>
        <v>5.869565217391305</v>
      </c>
      <c r="M376" s="225">
        <f>31758.5+8225.5+1958+2180+395+7254.5+494+2046+429+128+135</f>
        <v>55003.5</v>
      </c>
      <c r="N376" s="226">
        <f>2732+851+288+247+46+761+52+333+72+22+23</f>
        <v>5427</v>
      </c>
      <c r="O376" s="233">
        <f>M376/N376</f>
        <v>10.135157545605306</v>
      </c>
      <c r="P376" s="332"/>
    </row>
    <row r="377" spans="1:16" ht="15">
      <c r="A377" s="66">
        <v>375</v>
      </c>
      <c r="B377" s="368" t="s">
        <v>82</v>
      </c>
      <c r="C377" s="39">
        <v>39633</v>
      </c>
      <c r="D377" s="44" t="s">
        <v>4</v>
      </c>
      <c r="E377" s="44" t="s">
        <v>77</v>
      </c>
      <c r="F377" s="41">
        <v>28</v>
      </c>
      <c r="G377" s="41">
        <v>1</v>
      </c>
      <c r="H377" s="41">
        <v>45</v>
      </c>
      <c r="I377" s="267">
        <v>134</v>
      </c>
      <c r="J377" s="155">
        <v>29</v>
      </c>
      <c r="K377" s="155">
        <f>+J377/G377</f>
        <v>29</v>
      </c>
      <c r="L377" s="356">
        <f>+I377/J377</f>
        <v>4.620689655172414</v>
      </c>
      <c r="M377" s="267">
        <v>315597</v>
      </c>
      <c r="N377" s="155">
        <v>42137</v>
      </c>
      <c r="O377" s="358">
        <f>+M377/N377</f>
        <v>7.4897833258181645</v>
      </c>
      <c r="P377" s="332"/>
    </row>
    <row r="378" spans="1:16" ht="15">
      <c r="A378" s="66">
        <v>376</v>
      </c>
      <c r="B378" s="293" t="s">
        <v>97</v>
      </c>
      <c r="C378" s="286">
        <v>39752</v>
      </c>
      <c r="D378" s="285" t="s">
        <v>131</v>
      </c>
      <c r="E378" s="285" t="s">
        <v>124</v>
      </c>
      <c r="F378" s="287">
        <v>45</v>
      </c>
      <c r="G378" s="287">
        <v>1</v>
      </c>
      <c r="H378" s="287">
        <v>14</v>
      </c>
      <c r="I378" s="288">
        <v>134</v>
      </c>
      <c r="J378" s="289">
        <v>22</v>
      </c>
      <c r="K378" s="290">
        <f>J378/G378</f>
        <v>22</v>
      </c>
      <c r="L378" s="291">
        <f>I378/J378</f>
        <v>6.090909090909091</v>
      </c>
      <c r="M378" s="292">
        <v>457245</v>
      </c>
      <c r="N378" s="290">
        <v>49875</v>
      </c>
      <c r="O378" s="294">
        <f>+M378/N378</f>
        <v>9.167819548872181</v>
      </c>
      <c r="P378" s="330"/>
    </row>
    <row r="379" spans="1:16" ht="15">
      <c r="A379" s="66">
        <v>377</v>
      </c>
      <c r="B379" s="49" t="s">
        <v>60</v>
      </c>
      <c r="C379" s="40">
        <v>39745</v>
      </c>
      <c r="D379" s="45" t="s">
        <v>134</v>
      </c>
      <c r="E379" s="44" t="s">
        <v>106</v>
      </c>
      <c r="F379" s="41">
        <v>7</v>
      </c>
      <c r="G379" s="41">
        <v>1</v>
      </c>
      <c r="H379" s="41">
        <v>10</v>
      </c>
      <c r="I379" s="303">
        <v>128</v>
      </c>
      <c r="J379" s="304">
        <v>22</v>
      </c>
      <c r="K379" s="158">
        <f>(J379/G379)</f>
        <v>22</v>
      </c>
      <c r="L379" s="159">
        <f>I379/J379</f>
        <v>5.818181818181818</v>
      </c>
      <c r="M379" s="150">
        <f>31758.5+8225.5+1958+2180+395+7254.5+494+2046+429+128</f>
        <v>54868.5</v>
      </c>
      <c r="N379" s="151">
        <f>2732+851+288+247+46+761+52+333+72+22</f>
        <v>5404</v>
      </c>
      <c r="O379" s="105">
        <f>M379/N379</f>
        <v>10.153312361213915</v>
      </c>
      <c r="P379" s="330"/>
    </row>
    <row r="380" spans="1:16" ht="15">
      <c r="A380" s="66">
        <v>378</v>
      </c>
      <c r="B380" s="293" t="s">
        <v>167</v>
      </c>
      <c r="C380" s="286">
        <v>39766</v>
      </c>
      <c r="D380" s="285" t="s">
        <v>285</v>
      </c>
      <c r="E380" s="285" t="s">
        <v>168</v>
      </c>
      <c r="F380" s="287">
        <v>17</v>
      </c>
      <c r="G380" s="287">
        <v>1</v>
      </c>
      <c r="H380" s="287">
        <v>17</v>
      </c>
      <c r="I380" s="292">
        <v>127.5</v>
      </c>
      <c r="J380" s="290">
        <v>25</v>
      </c>
      <c r="K380" s="290">
        <f aca="true" t="shared" si="26" ref="K380:K385">J380/G380</f>
        <v>25</v>
      </c>
      <c r="L380" s="291">
        <f>I380/J380</f>
        <v>5.1</v>
      </c>
      <c r="M380" s="292">
        <v>77557</v>
      </c>
      <c r="N380" s="290">
        <v>10720</v>
      </c>
      <c r="O380" s="294">
        <f aca="true" t="shared" si="27" ref="O380:O385">+M380/N380</f>
        <v>7.234794776119403</v>
      </c>
      <c r="P380" s="332">
        <v>1</v>
      </c>
    </row>
    <row r="381" spans="1:16" ht="15">
      <c r="A381" s="66">
        <v>379</v>
      </c>
      <c r="B381" s="293" t="s">
        <v>169</v>
      </c>
      <c r="C381" s="286">
        <v>39472</v>
      </c>
      <c r="D381" s="285" t="s">
        <v>107</v>
      </c>
      <c r="E381" s="285" t="s">
        <v>107</v>
      </c>
      <c r="F381" s="287">
        <v>1</v>
      </c>
      <c r="G381" s="287">
        <v>1</v>
      </c>
      <c r="H381" s="287">
        <v>30</v>
      </c>
      <c r="I381" s="288">
        <v>127</v>
      </c>
      <c r="J381" s="289">
        <v>46</v>
      </c>
      <c r="K381" s="290">
        <f t="shared" si="26"/>
        <v>46</v>
      </c>
      <c r="L381" s="291">
        <f>I381/J381</f>
        <v>2.760869565217391</v>
      </c>
      <c r="M381" s="292">
        <f>395290.5+262822+75939+23709.5+4083+1327+9321+1445+1267+2173+4575+201+1748+3343+728+28+948+1329+163+182+173+15521.5+171+40+110+75+183.5+127</f>
        <v>807023</v>
      </c>
      <c r="N381" s="290">
        <f>47426+32442+9866+4010+887+225+2185+263+226+460+1077+33+367+887+230+4+139+355+32+35+32+3859+49+8+22+15+68+46</f>
        <v>105248</v>
      </c>
      <c r="O381" s="294">
        <f t="shared" si="27"/>
        <v>7.66782266646397</v>
      </c>
      <c r="P381" s="332">
        <v>1</v>
      </c>
    </row>
    <row r="382" spans="1:16" ht="15">
      <c r="A382" s="66">
        <v>380</v>
      </c>
      <c r="B382" s="293" t="s">
        <v>169</v>
      </c>
      <c r="C382" s="286">
        <v>39472</v>
      </c>
      <c r="D382" s="285" t="s">
        <v>132</v>
      </c>
      <c r="E382" s="285" t="s">
        <v>92</v>
      </c>
      <c r="F382" s="287">
        <v>1</v>
      </c>
      <c r="G382" s="287">
        <v>1</v>
      </c>
      <c r="H382" s="287">
        <v>31</v>
      </c>
      <c r="I382" s="288">
        <v>124.5</v>
      </c>
      <c r="J382" s="289">
        <v>45</v>
      </c>
      <c r="K382" s="290">
        <f t="shared" si="26"/>
        <v>45</v>
      </c>
      <c r="L382" s="291">
        <f>I382/J382</f>
        <v>2.7666666666666666</v>
      </c>
      <c r="M382" s="292">
        <f>395290.5+262822+75939+23709.5+4083+1327+9321+1445+1267+2173+4575+201+1748+3343+728+28+948+1329+163+182+173+15521.5+171+40+110+75+183.5+127+124.5</f>
        <v>807147.5</v>
      </c>
      <c r="N382" s="290">
        <f>47426+32442+9866+4010+887+225+2185+263+226+460+1077+33+367+887+230+4+139+355+32+35+32+3859+49+8+22+15+68+46+45</f>
        <v>105293</v>
      </c>
      <c r="O382" s="294">
        <f t="shared" si="27"/>
        <v>7.665728016107433</v>
      </c>
      <c r="P382" s="332"/>
    </row>
    <row r="383" spans="1:16" ht="15">
      <c r="A383" s="66">
        <v>381</v>
      </c>
      <c r="B383" s="293" t="s">
        <v>22</v>
      </c>
      <c r="C383" s="286">
        <v>39787</v>
      </c>
      <c r="D383" s="285" t="s">
        <v>131</v>
      </c>
      <c r="E383" s="285" t="s">
        <v>138</v>
      </c>
      <c r="F383" s="287">
        <v>406</v>
      </c>
      <c r="G383" s="287">
        <v>1</v>
      </c>
      <c r="H383" s="287">
        <v>11</v>
      </c>
      <c r="I383" s="288">
        <v>110</v>
      </c>
      <c r="J383" s="289">
        <v>11</v>
      </c>
      <c r="K383" s="290">
        <f t="shared" si="26"/>
        <v>11</v>
      </c>
      <c r="L383" s="291">
        <f>+I383/J383</f>
        <v>10</v>
      </c>
      <c r="M383" s="292">
        <v>30391026</v>
      </c>
      <c r="N383" s="290">
        <v>3700053</v>
      </c>
      <c r="O383" s="294">
        <f t="shared" si="27"/>
        <v>8.213673155492637</v>
      </c>
      <c r="P383" s="330"/>
    </row>
    <row r="384" spans="1:16" ht="15">
      <c r="A384" s="66">
        <v>382</v>
      </c>
      <c r="B384" s="293" t="s">
        <v>261</v>
      </c>
      <c r="C384" s="286">
        <v>39703</v>
      </c>
      <c r="D384" s="285" t="s">
        <v>136</v>
      </c>
      <c r="E384" s="285" t="s">
        <v>247</v>
      </c>
      <c r="F384" s="287">
        <v>24</v>
      </c>
      <c r="G384" s="287">
        <v>1</v>
      </c>
      <c r="H384" s="287">
        <v>11</v>
      </c>
      <c r="I384" s="288">
        <v>102</v>
      </c>
      <c r="J384" s="289">
        <v>22</v>
      </c>
      <c r="K384" s="290">
        <f t="shared" si="26"/>
        <v>22</v>
      </c>
      <c r="L384" s="291">
        <f>I384/J384</f>
        <v>4.636363636363637</v>
      </c>
      <c r="M384" s="292">
        <v>133004</v>
      </c>
      <c r="N384" s="290">
        <v>14872</v>
      </c>
      <c r="O384" s="294">
        <f t="shared" si="27"/>
        <v>8.943249058633674</v>
      </c>
      <c r="P384" s="332"/>
    </row>
    <row r="385" spans="1:16" ht="15">
      <c r="A385" s="66">
        <v>383</v>
      </c>
      <c r="B385" s="49" t="s">
        <v>25</v>
      </c>
      <c r="C385" s="39">
        <v>39808</v>
      </c>
      <c r="D385" s="44" t="s">
        <v>131</v>
      </c>
      <c r="E385" s="44" t="s">
        <v>111</v>
      </c>
      <c r="F385" s="41">
        <v>112</v>
      </c>
      <c r="G385" s="41">
        <v>1</v>
      </c>
      <c r="H385" s="41">
        <v>17</v>
      </c>
      <c r="I385" s="267">
        <v>90</v>
      </c>
      <c r="J385" s="155">
        <v>18</v>
      </c>
      <c r="K385" s="155">
        <f t="shared" si="26"/>
        <v>18</v>
      </c>
      <c r="L385" s="356">
        <f>+I385/J385</f>
        <v>5</v>
      </c>
      <c r="M385" s="267">
        <v>2051844</v>
      </c>
      <c r="N385" s="155">
        <v>212663</v>
      </c>
      <c r="O385" s="358">
        <f t="shared" si="27"/>
        <v>9.648335629611168</v>
      </c>
      <c r="P385" s="332"/>
    </row>
    <row r="386" spans="1:16" ht="15">
      <c r="A386" s="66">
        <v>384</v>
      </c>
      <c r="B386" s="368" t="s">
        <v>147</v>
      </c>
      <c r="C386" s="39">
        <v>39801</v>
      </c>
      <c r="D386" s="44" t="s">
        <v>134</v>
      </c>
      <c r="E386" s="44" t="s">
        <v>199</v>
      </c>
      <c r="F386" s="41">
        <v>42</v>
      </c>
      <c r="G386" s="41">
        <v>1</v>
      </c>
      <c r="H386" s="41">
        <v>21</v>
      </c>
      <c r="I386" s="267">
        <v>83</v>
      </c>
      <c r="J386" s="155">
        <v>21</v>
      </c>
      <c r="K386" s="155">
        <f>(J386/G386)</f>
        <v>21</v>
      </c>
      <c r="L386" s="356">
        <f>I386/J386</f>
        <v>3.9523809523809526</v>
      </c>
      <c r="M386" s="267">
        <f>295344+204961.5+145464.5+116108.5+111972.5+49984+26327+32042+18579+20005+19180+15980+2686.5+3166.5+366+13433+4493+735.5+607.5+2528+83</f>
        <v>1084047</v>
      </c>
      <c r="N386" s="155">
        <f>36142+24747+19417+15404+14719+7567+3314+5289+3173+3275+3534+2826+540+724+52+2536+882+130+150+615+21</f>
        <v>145057</v>
      </c>
      <c r="O386" s="358">
        <f>M386/N386</f>
        <v>7.47324844716215</v>
      </c>
      <c r="P386" s="321">
        <v>1</v>
      </c>
    </row>
    <row r="387" spans="1:16" ht="15">
      <c r="A387" s="66">
        <v>385</v>
      </c>
      <c r="B387" s="53" t="s">
        <v>141</v>
      </c>
      <c r="C387" s="39">
        <v>39780</v>
      </c>
      <c r="D387" s="127" t="s">
        <v>79</v>
      </c>
      <c r="E387" s="127" t="s">
        <v>48</v>
      </c>
      <c r="F387" s="54">
        <v>3</v>
      </c>
      <c r="G387" s="54">
        <v>1</v>
      </c>
      <c r="H387" s="54">
        <v>6</v>
      </c>
      <c r="I387" s="314">
        <v>81</v>
      </c>
      <c r="J387" s="315">
        <v>13</v>
      </c>
      <c r="K387" s="161"/>
      <c r="L387" s="215">
        <f>IF(I387&lt;&gt;0,I387/J387,"")</f>
        <v>6.230769230769231</v>
      </c>
      <c r="M387" s="160">
        <v>42285.5</v>
      </c>
      <c r="N387" s="161">
        <v>3919</v>
      </c>
      <c r="O387" s="104">
        <f>IF(M387&lt;&gt;0,M387/N387,"")</f>
        <v>10.78986986476142</v>
      </c>
      <c r="P387" s="331"/>
    </row>
    <row r="388" spans="1:16" ht="15">
      <c r="A388" s="66">
        <v>386</v>
      </c>
      <c r="B388" s="368" t="s">
        <v>70</v>
      </c>
      <c r="C388" s="39">
        <v>39766</v>
      </c>
      <c r="D388" s="44" t="s">
        <v>132</v>
      </c>
      <c r="E388" s="44" t="s">
        <v>71</v>
      </c>
      <c r="F388" s="41">
        <v>24</v>
      </c>
      <c r="G388" s="41">
        <v>1</v>
      </c>
      <c r="H388" s="41">
        <v>23</v>
      </c>
      <c r="I388" s="267">
        <v>80</v>
      </c>
      <c r="J388" s="155">
        <v>20</v>
      </c>
      <c r="K388" s="155">
        <f>J388/G388</f>
        <v>20</v>
      </c>
      <c r="L388" s="356">
        <f aca="true" t="shared" si="28" ref="L388:L393">I388/J388</f>
        <v>4</v>
      </c>
      <c r="M388" s="267">
        <f>191668+16358.5+8305+0.5+19699.5+16705.5+7289+4467+3138+2267+1882+6536+9273+1289+852+1124+2416+1164+28+80</f>
        <v>294542</v>
      </c>
      <c r="N388" s="155">
        <f>10324+8249+7871+7121+4755+3362+1751+2958+2636+1185+800+596+440+265+961+1648+202+172+213+528+291+7+20</f>
        <v>56355</v>
      </c>
      <c r="O388" s="358">
        <f>+M388/N388</f>
        <v>5.226546003016591</v>
      </c>
      <c r="P388" s="321">
        <v>1</v>
      </c>
    </row>
    <row r="389" spans="1:16" ht="15">
      <c r="A389" s="66">
        <v>387</v>
      </c>
      <c r="B389" s="49" t="s">
        <v>80</v>
      </c>
      <c r="C389" s="40">
        <v>39703</v>
      </c>
      <c r="D389" s="45" t="s">
        <v>134</v>
      </c>
      <c r="E389" s="44" t="s">
        <v>81</v>
      </c>
      <c r="F389" s="41">
        <v>6</v>
      </c>
      <c r="G389" s="41">
        <v>1</v>
      </c>
      <c r="H389" s="41">
        <v>14</v>
      </c>
      <c r="I389" s="303">
        <v>73</v>
      </c>
      <c r="J389" s="304">
        <v>11</v>
      </c>
      <c r="K389" s="158">
        <f>(J389/G389)</f>
        <v>11</v>
      </c>
      <c r="L389" s="159">
        <f t="shared" si="28"/>
        <v>6.636363636363637</v>
      </c>
      <c r="M389" s="150">
        <f>18453+18044+4959+3105.5+2221+2795+1156+907+1188+3416+108+86+53+73</f>
        <v>56564.5</v>
      </c>
      <c r="N389" s="151">
        <f>1896+1808+596+485+314+510+270+216+297+854+33+15+9+11</f>
        <v>7314</v>
      </c>
      <c r="O389" s="105">
        <f>M389/N389</f>
        <v>7.733729833196609</v>
      </c>
      <c r="P389" s="330"/>
    </row>
    <row r="390" spans="1:16" ht="15">
      <c r="A390" s="66">
        <v>388</v>
      </c>
      <c r="B390" s="49" t="s">
        <v>52</v>
      </c>
      <c r="C390" s="40">
        <v>39738</v>
      </c>
      <c r="D390" s="45" t="s">
        <v>134</v>
      </c>
      <c r="E390" s="44" t="s">
        <v>133</v>
      </c>
      <c r="F390" s="41">
        <v>65</v>
      </c>
      <c r="G390" s="41">
        <v>1</v>
      </c>
      <c r="H390" s="41">
        <v>13</v>
      </c>
      <c r="I390" s="303">
        <v>72</v>
      </c>
      <c r="J390" s="304">
        <v>12</v>
      </c>
      <c r="K390" s="158">
        <f>(J390/G390)</f>
        <v>12</v>
      </c>
      <c r="L390" s="159">
        <f t="shared" si="28"/>
        <v>6</v>
      </c>
      <c r="M390" s="150">
        <f>502954.7+385847+127398.5+41644+35371+15703.5+9494+704+1120.5+952+891+302+72</f>
        <v>1122454.2</v>
      </c>
      <c r="N390" s="151">
        <f>51438+39611+14487+7156+6343+2488+1591+176+567+238+149+50+12</f>
        <v>124306</v>
      </c>
      <c r="O390" s="105">
        <f>M390/N390</f>
        <v>9.029766865638022</v>
      </c>
      <c r="P390" s="332"/>
    </row>
    <row r="391" spans="1:16" ht="15">
      <c r="A391" s="66">
        <v>389</v>
      </c>
      <c r="B391" s="49" t="s">
        <v>98</v>
      </c>
      <c r="C391" s="40">
        <v>39724</v>
      </c>
      <c r="D391" s="45" t="s">
        <v>134</v>
      </c>
      <c r="E391" s="44" t="s">
        <v>106</v>
      </c>
      <c r="F391" s="41">
        <v>2</v>
      </c>
      <c r="G391" s="41">
        <v>1</v>
      </c>
      <c r="H391" s="41">
        <v>11</v>
      </c>
      <c r="I391" s="303">
        <v>67</v>
      </c>
      <c r="J391" s="304">
        <v>10</v>
      </c>
      <c r="K391" s="158">
        <f>(J391/G391)</f>
        <v>10</v>
      </c>
      <c r="L391" s="159">
        <f t="shared" si="28"/>
        <v>6.7</v>
      </c>
      <c r="M391" s="150">
        <f>10160+3974+2322+148+808+1106+1364.5+963+712+38+67</f>
        <v>21662.5</v>
      </c>
      <c r="N391" s="151">
        <f>966+422+271+18+130+124+165+258+178+6+10</f>
        <v>2548</v>
      </c>
      <c r="O391" s="105">
        <f>M391/N391</f>
        <v>8.501766091051806</v>
      </c>
      <c r="P391" s="332">
        <v>1</v>
      </c>
    </row>
    <row r="392" spans="1:16" ht="15">
      <c r="A392" s="66">
        <v>390</v>
      </c>
      <c r="B392" s="49" t="s">
        <v>61</v>
      </c>
      <c r="C392" s="40">
        <v>39752</v>
      </c>
      <c r="D392" s="45" t="s">
        <v>134</v>
      </c>
      <c r="E392" s="44" t="s">
        <v>112</v>
      </c>
      <c r="F392" s="41">
        <v>27</v>
      </c>
      <c r="G392" s="41">
        <v>1</v>
      </c>
      <c r="H392" s="41">
        <v>10</v>
      </c>
      <c r="I392" s="303">
        <v>67</v>
      </c>
      <c r="J392" s="304">
        <v>10</v>
      </c>
      <c r="K392" s="158">
        <f>(J392/G392)</f>
        <v>10</v>
      </c>
      <c r="L392" s="159">
        <f t="shared" si="28"/>
        <v>6.7</v>
      </c>
      <c r="M392" s="150">
        <f>122635.5+51150+18262+4454+16388.5+1375+1246+204+334+67</f>
        <v>216116</v>
      </c>
      <c r="N392" s="151">
        <f>11002+4826+2043+624+2156+227+195+32+110+10</f>
        <v>21225</v>
      </c>
      <c r="O392" s="105">
        <f>M392/N392</f>
        <v>10.182143698468787</v>
      </c>
      <c r="P392" s="332"/>
    </row>
    <row r="393" spans="1:16" ht="15">
      <c r="A393" s="66">
        <v>391</v>
      </c>
      <c r="B393" s="281" t="s">
        <v>98</v>
      </c>
      <c r="C393" s="40">
        <v>39724</v>
      </c>
      <c r="D393" s="127" t="s">
        <v>134</v>
      </c>
      <c r="E393" s="261" t="s">
        <v>106</v>
      </c>
      <c r="F393" s="262">
        <v>2</v>
      </c>
      <c r="G393" s="262">
        <v>1</v>
      </c>
      <c r="H393" s="262">
        <v>12</v>
      </c>
      <c r="I393" s="273">
        <v>64</v>
      </c>
      <c r="J393" s="274">
        <v>10</v>
      </c>
      <c r="K393" s="275">
        <f>(J393/G393)</f>
        <v>10</v>
      </c>
      <c r="L393" s="159">
        <f t="shared" si="28"/>
        <v>6.4</v>
      </c>
      <c r="M393" s="276">
        <f>10160+3974+2322+148+808+1106+1364.5+963+712+38+67+64</f>
        <v>21726.5</v>
      </c>
      <c r="N393" s="277">
        <f>966+422+271+18+130+124+165+258+178+6+10+10</f>
        <v>2558</v>
      </c>
      <c r="O393" s="105">
        <f>M393/N393</f>
        <v>8.493549648162627</v>
      </c>
      <c r="P393" s="331"/>
    </row>
    <row r="394" spans="1:16" ht="15">
      <c r="A394" s="66">
        <v>392</v>
      </c>
      <c r="B394" s="293" t="s">
        <v>250</v>
      </c>
      <c r="C394" s="286">
        <v>39731</v>
      </c>
      <c r="D394" s="285" t="s">
        <v>136</v>
      </c>
      <c r="E394" s="285" t="s">
        <v>251</v>
      </c>
      <c r="F394" s="287">
        <v>131</v>
      </c>
      <c r="G394" s="287">
        <v>1</v>
      </c>
      <c r="H394" s="287">
        <v>13</v>
      </c>
      <c r="I394" s="288">
        <v>55</v>
      </c>
      <c r="J394" s="289">
        <v>11</v>
      </c>
      <c r="K394" s="290">
        <f>IF(I394&lt;&gt;0,J394/G394,"")</f>
        <v>11</v>
      </c>
      <c r="L394" s="291">
        <f>IF(I394&lt;&gt;0,I394/J394,"")</f>
        <v>5</v>
      </c>
      <c r="M394" s="292">
        <v>1232074</v>
      </c>
      <c r="N394" s="290">
        <v>157539</v>
      </c>
      <c r="O394" s="294">
        <v>7.83</v>
      </c>
      <c r="P394" s="330"/>
    </row>
    <row r="395" spans="1:16" ht="15">
      <c r="A395" s="66">
        <v>393</v>
      </c>
      <c r="B395" s="281" t="s">
        <v>52</v>
      </c>
      <c r="C395" s="40">
        <v>39738</v>
      </c>
      <c r="D395" s="127" t="s">
        <v>134</v>
      </c>
      <c r="E395" s="261" t="s">
        <v>133</v>
      </c>
      <c r="F395" s="262">
        <v>65</v>
      </c>
      <c r="G395" s="262">
        <v>1</v>
      </c>
      <c r="H395" s="262">
        <v>14</v>
      </c>
      <c r="I395" s="273">
        <v>55</v>
      </c>
      <c r="J395" s="274">
        <v>9</v>
      </c>
      <c r="K395" s="275">
        <f>(J395/G395)</f>
        <v>9</v>
      </c>
      <c r="L395" s="159">
        <f>I395/J395</f>
        <v>6.111111111111111</v>
      </c>
      <c r="M395" s="276">
        <f>502954.7+385847+127398.5+41644+35371+15703.5+9494+704+1120.5+952+891+302+72+55</f>
        <v>1122509.2</v>
      </c>
      <c r="N395" s="277">
        <f>51438+39611+14487+7156+6343+2488+1591+176+567+238+149+50+12+9</f>
        <v>124315</v>
      </c>
      <c r="O395" s="105">
        <f>M395/N395</f>
        <v>9.029555564493423</v>
      </c>
      <c r="P395" s="330"/>
    </row>
    <row r="396" spans="1:16" ht="15">
      <c r="A396" s="66">
        <v>394</v>
      </c>
      <c r="B396" s="293" t="s">
        <v>44</v>
      </c>
      <c r="C396" s="286">
        <v>39780</v>
      </c>
      <c r="D396" s="285" t="s">
        <v>131</v>
      </c>
      <c r="E396" s="285" t="s">
        <v>127</v>
      </c>
      <c r="F396" s="287">
        <v>121</v>
      </c>
      <c r="G396" s="287">
        <v>2</v>
      </c>
      <c r="H396" s="287">
        <v>14</v>
      </c>
      <c r="I396" s="288">
        <v>54</v>
      </c>
      <c r="J396" s="289">
        <v>9</v>
      </c>
      <c r="K396" s="290">
        <f>J396/G396</f>
        <v>4.5</v>
      </c>
      <c r="L396" s="291">
        <f>+I396/J396</f>
        <v>6</v>
      </c>
      <c r="M396" s="292">
        <v>3456633</v>
      </c>
      <c r="N396" s="290">
        <v>406065</v>
      </c>
      <c r="O396" s="294">
        <f aca="true" t="shared" si="29" ref="O396:O404">+M396/N396</f>
        <v>8.51251154371837</v>
      </c>
      <c r="P396" s="330">
        <v>1</v>
      </c>
    </row>
    <row r="397" spans="1:16" ht="15">
      <c r="A397" s="66">
        <v>395</v>
      </c>
      <c r="B397" s="293" t="s">
        <v>44</v>
      </c>
      <c r="C397" s="286">
        <v>39780</v>
      </c>
      <c r="D397" s="285" t="s">
        <v>131</v>
      </c>
      <c r="E397" s="285" t="s">
        <v>127</v>
      </c>
      <c r="F397" s="287">
        <v>121</v>
      </c>
      <c r="G397" s="287">
        <v>2</v>
      </c>
      <c r="H397" s="287">
        <v>15</v>
      </c>
      <c r="I397" s="288">
        <v>50</v>
      </c>
      <c r="J397" s="289">
        <v>10</v>
      </c>
      <c r="K397" s="290">
        <f>J397/G397</f>
        <v>5</v>
      </c>
      <c r="L397" s="291">
        <f>+I397/J397</f>
        <v>5</v>
      </c>
      <c r="M397" s="292">
        <v>3456683</v>
      </c>
      <c r="N397" s="290">
        <v>406075</v>
      </c>
      <c r="O397" s="294">
        <f t="shared" si="29"/>
        <v>8.512425044634611</v>
      </c>
      <c r="P397" s="345">
        <v>1</v>
      </c>
    </row>
    <row r="398" spans="1:16" ht="15">
      <c r="A398" s="66">
        <v>396</v>
      </c>
      <c r="B398" s="293" t="s">
        <v>145</v>
      </c>
      <c r="C398" s="286">
        <v>39801</v>
      </c>
      <c r="D398" s="285" t="s">
        <v>136</v>
      </c>
      <c r="E398" s="285" t="s">
        <v>146</v>
      </c>
      <c r="F398" s="287">
        <v>84</v>
      </c>
      <c r="G398" s="287">
        <v>1</v>
      </c>
      <c r="H398" s="287">
        <v>9</v>
      </c>
      <c r="I398" s="288">
        <v>50</v>
      </c>
      <c r="J398" s="289">
        <v>10</v>
      </c>
      <c r="K398" s="290">
        <f>IF(I398&lt;&gt;0,J398/G398,"")</f>
        <v>10</v>
      </c>
      <c r="L398" s="291">
        <f>IF(I398&lt;&gt;0,I398/J398,"")</f>
        <v>5</v>
      </c>
      <c r="M398" s="292">
        <f>369313.5+145108.5+43813+31258+11772.5+5392.5+2080+3225+50</f>
        <v>612013</v>
      </c>
      <c r="N398" s="290">
        <f>41017+16460+6346+5364+2357+1094+419+545+10</f>
        <v>73612</v>
      </c>
      <c r="O398" s="294">
        <f t="shared" si="29"/>
        <v>8.314038471988264</v>
      </c>
      <c r="P398" s="332"/>
    </row>
    <row r="399" spans="1:16" ht="15">
      <c r="A399" s="66">
        <v>397</v>
      </c>
      <c r="B399" s="368" t="s">
        <v>351</v>
      </c>
      <c r="C399" s="39">
        <v>8</v>
      </c>
      <c r="D399" s="44" t="s">
        <v>132</v>
      </c>
      <c r="E399" s="44" t="s">
        <v>21</v>
      </c>
      <c r="F399" s="41">
        <v>39</v>
      </c>
      <c r="G399" s="41">
        <v>1</v>
      </c>
      <c r="H399" s="41">
        <v>8</v>
      </c>
      <c r="I399" s="267">
        <v>48</v>
      </c>
      <c r="J399" s="155">
        <v>12</v>
      </c>
      <c r="K399" s="155">
        <f>J399/G399</f>
        <v>12</v>
      </c>
      <c r="L399" s="356">
        <f>I399/J399</f>
        <v>4</v>
      </c>
      <c r="M399" s="267">
        <f>155297+102243.5+44566+14322.5+10689.5+2748+1324+20+48</f>
        <v>331258.5</v>
      </c>
      <c r="N399" s="155">
        <f>14452+9703+4988+2246+1834+340+173+5+12</f>
        <v>33753</v>
      </c>
      <c r="O399" s="358">
        <f t="shared" si="29"/>
        <v>9.814194293840547</v>
      </c>
      <c r="P399" s="321"/>
    </row>
    <row r="400" spans="1:16" ht="15">
      <c r="A400" s="66">
        <v>398</v>
      </c>
      <c r="B400" s="368" t="s">
        <v>348</v>
      </c>
      <c r="C400" s="39">
        <v>39577</v>
      </c>
      <c r="D400" s="44" t="s">
        <v>92</v>
      </c>
      <c r="E400" s="44" t="s">
        <v>349</v>
      </c>
      <c r="F400" s="41">
        <v>26</v>
      </c>
      <c r="G400" s="41">
        <v>2</v>
      </c>
      <c r="H400" s="41">
        <v>13</v>
      </c>
      <c r="I400" s="267">
        <v>44</v>
      </c>
      <c r="J400" s="155">
        <v>11</v>
      </c>
      <c r="K400" s="155">
        <f>J400/G400</f>
        <v>5.5</v>
      </c>
      <c r="L400" s="356">
        <f>I400/J400</f>
        <v>4</v>
      </c>
      <c r="M400" s="267">
        <v>115578.42</v>
      </c>
      <c r="N400" s="155">
        <v>13497</v>
      </c>
      <c r="O400" s="358">
        <f t="shared" si="29"/>
        <v>8.563267392753945</v>
      </c>
      <c r="P400" s="332"/>
    </row>
    <row r="401" spans="1:16" ht="15">
      <c r="A401" s="66">
        <v>399</v>
      </c>
      <c r="B401" s="293" t="s">
        <v>149</v>
      </c>
      <c r="C401" s="286">
        <v>39801</v>
      </c>
      <c r="D401" s="285" t="s">
        <v>4</v>
      </c>
      <c r="E401" s="285" t="s">
        <v>77</v>
      </c>
      <c r="F401" s="287">
        <v>19</v>
      </c>
      <c r="G401" s="287">
        <v>1</v>
      </c>
      <c r="H401" s="287">
        <v>9</v>
      </c>
      <c r="I401" s="288">
        <v>43</v>
      </c>
      <c r="J401" s="289">
        <v>7</v>
      </c>
      <c r="K401" s="290">
        <f>+J401/G401</f>
        <v>7</v>
      </c>
      <c r="L401" s="291">
        <f>+I401/J401</f>
        <v>6.142857142857143</v>
      </c>
      <c r="M401" s="292">
        <v>140010</v>
      </c>
      <c r="N401" s="290">
        <v>13242</v>
      </c>
      <c r="O401" s="294">
        <f t="shared" si="29"/>
        <v>10.573176257362936</v>
      </c>
      <c r="P401" s="332"/>
    </row>
    <row r="402" spans="1:16" ht="15">
      <c r="A402" s="66">
        <v>400</v>
      </c>
      <c r="B402" s="293" t="s">
        <v>20</v>
      </c>
      <c r="C402" s="286">
        <v>39773</v>
      </c>
      <c r="D402" s="285" t="s">
        <v>132</v>
      </c>
      <c r="E402" s="285" t="s">
        <v>21</v>
      </c>
      <c r="F402" s="287">
        <v>1</v>
      </c>
      <c r="G402" s="287">
        <v>1</v>
      </c>
      <c r="H402" s="287">
        <v>7</v>
      </c>
      <c r="I402" s="292">
        <v>42</v>
      </c>
      <c r="J402" s="290">
        <v>7</v>
      </c>
      <c r="K402" s="290">
        <f>J402/G402</f>
        <v>7</v>
      </c>
      <c r="L402" s="291">
        <f>I402/J402</f>
        <v>6</v>
      </c>
      <c r="M402" s="292">
        <f>43532.5+13875+1400+341+344+969+42</f>
        <v>60503.5</v>
      </c>
      <c r="N402" s="290">
        <f>3969+1359+251+52+61+210+7</f>
        <v>5909</v>
      </c>
      <c r="O402" s="294">
        <f t="shared" si="29"/>
        <v>10.239211372482654</v>
      </c>
      <c r="P402" s="332"/>
    </row>
    <row r="403" spans="1:16" ht="15">
      <c r="A403" s="66">
        <v>401</v>
      </c>
      <c r="B403" s="368" t="s">
        <v>273</v>
      </c>
      <c r="C403" s="39">
        <v>39724</v>
      </c>
      <c r="D403" s="44" t="s">
        <v>132</v>
      </c>
      <c r="E403" s="44" t="s">
        <v>107</v>
      </c>
      <c r="F403" s="41">
        <v>40</v>
      </c>
      <c r="G403" s="41">
        <v>1</v>
      </c>
      <c r="H403" s="41">
        <v>15</v>
      </c>
      <c r="I403" s="267">
        <v>40</v>
      </c>
      <c r="J403" s="155">
        <v>7</v>
      </c>
      <c r="K403" s="155">
        <f>J403/G403</f>
        <v>7</v>
      </c>
      <c r="L403" s="356">
        <f>I403/J403</f>
        <v>5.714285714285714</v>
      </c>
      <c r="M403" s="267">
        <f>192113+96740+52854+14954+6896+10470+13434+2509+289+62+1274+1363+35+40</f>
        <v>393033</v>
      </c>
      <c r="N403" s="155">
        <f>19993+10602+7693+2633+1151+1896+3059+485+49+7+235+227+5+7</f>
        <v>48042</v>
      </c>
      <c r="O403" s="358">
        <f t="shared" si="29"/>
        <v>8.181029099537904</v>
      </c>
      <c r="P403" s="321"/>
    </row>
    <row r="404" spans="1:16" ht="15">
      <c r="A404" s="66">
        <v>402</v>
      </c>
      <c r="B404" s="53" t="s">
        <v>149</v>
      </c>
      <c r="C404" s="39">
        <v>39801</v>
      </c>
      <c r="D404" s="127" t="s">
        <v>4</v>
      </c>
      <c r="E404" s="127" t="s">
        <v>77</v>
      </c>
      <c r="F404" s="50">
        <v>19</v>
      </c>
      <c r="G404" s="50">
        <v>1</v>
      </c>
      <c r="H404" s="50">
        <v>6</v>
      </c>
      <c r="I404" s="273">
        <v>40</v>
      </c>
      <c r="J404" s="274">
        <v>6</v>
      </c>
      <c r="K404" s="271">
        <f>+J404/G404</f>
        <v>6</v>
      </c>
      <c r="L404" s="153">
        <f>+I404/J404</f>
        <v>6.666666666666667</v>
      </c>
      <c r="M404" s="276">
        <v>137893</v>
      </c>
      <c r="N404" s="277">
        <v>12890</v>
      </c>
      <c r="O404" s="104">
        <f t="shared" si="29"/>
        <v>10.697672614429791</v>
      </c>
      <c r="P404" s="332">
        <v>1</v>
      </c>
    </row>
    <row r="405" spans="1:16" ht="15">
      <c r="A405" s="66">
        <v>403</v>
      </c>
      <c r="B405" s="234" t="s">
        <v>98</v>
      </c>
      <c r="C405" s="229">
        <v>39724</v>
      </c>
      <c r="D405" s="217" t="s">
        <v>134</v>
      </c>
      <c r="E405" s="227" t="s">
        <v>106</v>
      </c>
      <c r="F405" s="228">
        <v>2</v>
      </c>
      <c r="G405" s="228">
        <v>1</v>
      </c>
      <c r="H405" s="228">
        <v>10</v>
      </c>
      <c r="I405" s="297">
        <v>38</v>
      </c>
      <c r="J405" s="298">
        <v>6</v>
      </c>
      <c r="K405" s="223">
        <f>(J405/G405)</f>
        <v>6</v>
      </c>
      <c r="L405" s="224">
        <f aca="true" t="shared" si="30" ref="L405:L412">I405/J405</f>
        <v>6.333333333333333</v>
      </c>
      <c r="M405" s="225">
        <f>10160+3974+2322+148+808+1106+1364.5+963+712+38</f>
        <v>21595.5</v>
      </c>
      <c r="N405" s="226">
        <f>966+422+271+18+130+124+165+258+178+6</f>
        <v>2538</v>
      </c>
      <c r="O405" s="233">
        <f>M405/N405</f>
        <v>8.50886524822695</v>
      </c>
      <c r="P405" s="332"/>
    </row>
    <row r="406" spans="1:16" ht="15">
      <c r="A406" s="66">
        <v>404</v>
      </c>
      <c r="B406" s="234" t="s">
        <v>61</v>
      </c>
      <c r="C406" s="229">
        <v>39752</v>
      </c>
      <c r="D406" s="217" t="s">
        <v>134</v>
      </c>
      <c r="E406" s="227" t="s">
        <v>112</v>
      </c>
      <c r="F406" s="228">
        <v>27</v>
      </c>
      <c r="G406" s="228">
        <v>1</v>
      </c>
      <c r="H406" s="228">
        <v>11</v>
      </c>
      <c r="I406" s="297">
        <v>36</v>
      </c>
      <c r="J406" s="298">
        <v>6</v>
      </c>
      <c r="K406" s="223">
        <f>(J406/G406)</f>
        <v>6</v>
      </c>
      <c r="L406" s="224">
        <f t="shared" si="30"/>
        <v>6</v>
      </c>
      <c r="M406" s="225">
        <f>122635.5+51150+18262+4454+16388.5+1375+1246+204+334+67+36</f>
        <v>216152</v>
      </c>
      <c r="N406" s="226">
        <f>11002+4826+2043+624+2156+227+195+32+110+10+6</f>
        <v>21231</v>
      </c>
      <c r="O406" s="233">
        <f>M406/N406</f>
        <v>10.180961801139842</v>
      </c>
      <c r="P406" s="330"/>
    </row>
    <row r="407" spans="1:16" ht="15">
      <c r="A407" s="66">
        <v>405</v>
      </c>
      <c r="B407" s="368" t="s">
        <v>273</v>
      </c>
      <c r="C407" s="39">
        <v>39724</v>
      </c>
      <c r="D407" s="44" t="s">
        <v>132</v>
      </c>
      <c r="E407" s="44" t="s">
        <v>107</v>
      </c>
      <c r="F407" s="41">
        <v>1</v>
      </c>
      <c r="G407" s="41">
        <v>1</v>
      </c>
      <c r="H407" s="41">
        <v>14</v>
      </c>
      <c r="I407" s="267">
        <v>35</v>
      </c>
      <c r="J407" s="155">
        <v>5</v>
      </c>
      <c r="K407" s="155">
        <f aca="true" t="shared" si="31" ref="K407:K413">J407/G407</f>
        <v>5</v>
      </c>
      <c r="L407" s="356">
        <f t="shared" si="30"/>
        <v>7</v>
      </c>
      <c r="M407" s="267">
        <f>192113+96740+52854+14954+6896+10470+13434+2509+289+62+1274+1363+35</f>
        <v>392993</v>
      </c>
      <c r="N407" s="155">
        <f>19993+10602+7693+2633+1151+1896+3059+485+49+7+235+227+5</f>
        <v>48035</v>
      </c>
      <c r="O407" s="358">
        <f aca="true" t="shared" si="32" ref="O407:O421">+M407/N407</f>
        <v>8.181388570833768</v>
      </c>
      <c r="P407" s="332"/>
    </row>
    <row r="408" spans="1:16" ht="15">
      <c r="A408" s="66">
        <v>406</v>
      </c>
      <c r="B408" s="368" t="s">
        <v>70</v>
      </c>
      <c r="C408" s="39">
        <v>39766</v>
      </c>
      <c r="D408" s="44" t="s">
        <v>132</v>
      </c>
      <c r="E408" s="44" t="s">
        <v>350</v>
      </c>
      <c r="F408" s="41">
        <v>1</v>
      </c>
      <c r="G408" s="41">
        <v>1</v>
      </c>
      <c r="H408" s="41">
        <v>22</v>
      </c>
      <c r="I408" s="267">
        <v>28</v>
      </c>
      <c r="J408" s="155">
        <v>7</v>
      </c>
      <c r="K408" s="155">
        <f t="shared" si="31"/>
        <v>7</v>
      </c>
      <c r="L408" s="356">
        <f t="shared" si="30"/>
        <v>4</v>
      </c>
      <c r="M408" s="267">
        <f>191668+16358.5+8305+0.5+19699.5+16705.5+7289+4467+3138+2267+1882+6536+9273+1289+852+1124+2416+1164+28</f>
        <v>294462</v>
      </c>
      <c r="N408" s="155">
        <f>10324+8249+7871+7121+4755+3362+1751+2958+2636+1185+800+596+440+265+961+1648+202+172+213+528+291+7</f>
        <v>56335</v>
      </c>
      <c r="O408" s="358">
        <f t="shared" si="32"/>
        <v>5.226981450252951</v>
      </c>
      <c r="P408" s="332">
        <v>1</v>
      </c>
    </row>
    <row r="409" spans="1:16" ht="15">
      <c r="A409" s="66">
        <v>407</v>
      </c>
      <c r="B409" s="368" t="s">
        <v>352</v>
      </c>
      <c r="C409" s="39">
        <v>39388</v>
      </c>
      <c r="D409" s="44" t="s">
        <v>132</v>
      </c>
      <c r="E409" s="44" t="s">
        <v>353</v>
      </c>
      <c r="F409" s="41">
        <v>1</v>
      </c>
      <c r="G409" s="41">
        <v>1</v>
      </c>
      <c r="H409" s="41">
        <v>9</v>
      </c>
      <c r="I409" s="267">
        <v>20</v>
      </c>
      <c r="J409" s="155">
        <v>5</v>
      </c>
      <c r="K409" s="155">
        <f t="shared" si="31"/>
        <v>5</v>
      </c>
      <c r="L409" s="356">
        <f t="shared" si="30"/>
        <v>4</v>
      </c>
      <c r="M409" s="267">
        <f>31108.5+12339+4008+1827+3573.5+1219.5+765.5+108+20</f>
        <v>54969</v>
      </c>
      <c r="N409" s="155">
        <f>3175+1380+493+264+592+165+99+18+5</f>
        <v>6191</v>
      </c>
      <c r="O409" s="358">
        <f t="shared" si="32"/>
        <v>8.878856404458084</v>
      </c>
      <c r="P409" s="332"/>
    </row>
    <row r="410" spans="1:16" ht="15">
      <c r="A410" s="66">
        <v>408</v>
      </c>
      <c r="B410" s="368" t="s">
        <v>351</v>
      </c>
      <c r="C410" s="39">
        <v>39752</v>
      </c>
      <c r="D410" s="44" t="s">
        <v>132</v>
      </c>
      <c r="E410" s="44" t="s">
        <v>21</v>
      </c>
      <c r="F410" s="41">
        <v>1</v>
      </c>
      <c r="G410" s="41">
        <v>1</v>
      </c>
      <c r="H410" s="41">
        <v>7</v>
      </c>
      <c r="I410" s="267">
        <v>20</v>
      </c>
      <c r="J410" s="155">
        <v>5</v>
      </c>
      <c r="K410" s="155">
        <f t="shared" si="31"/>
        <v>5</v>
      </c>
      <c r="L410" s="356">
        <f t="shared" si="30"/>
        <v>4</v>
      </c>
      <c r="M410" s="267">
        <f>155297+102243.5+44566+14322.5+10689.5+2748+1324+20</f>
        <v>331210.5</v>
      </c>
      <c r="N410" s="155">
        <f>14452+9703+4988+2246+1834+340+173+5</f>
        <v>33741</v>
      </c>
      <c r="O410" s="358">
        <f t="shared" si="32"/>
        <v>9.816262114341603</v>
      </c>
      <c r="P410" s="332"/>
    </row>
    <row r="411" spans="1:16" ht="15">
      <c r="A411" s="66">
        <v>409</v>
      </c>
      <c r="B411" s="49">
        <v>120</v>
      </c>
      <c r="C411" s="39">
        <v>39493</v>
      </c>
      <c r="D411" s="44" t="s">
        <v>132</v>
      </c>
      <c r="E411" s="44" t="s">
        <v>94</v>
      </c>
      <c r="F411" s="41">
        <v>42</v>
      </c>
      <c r="G411" s="41">
        <v>179</v>
      </c>
      <c r="H411" s="41">
        <v>1</v>
      </c>
      <c r="I411" s="267">
        <v>20</v>
      </c>
      <c r="J411" s="155">
        <v>5</v>
      </c>
      <c r="K411" s="155">
        <f t="shared" si="31"/>
        <v>0.027932960893854747</v>
      </c>
      <c r="L411" s="356">
        <f t="shared" si="30"/>
        <v>4</v>
      </c>
      <c r="M411" s="267">
        <f>940515+844172.5+750489+533469+396399.5+362067.5+228159+211115.5+153941.5+48+73076.5+60280+47290.5+46690+13789+13717.5+9809+2709.5+1288.5+22597.5+10821.5+12218+7313+44774.5+111294+3629+0.5+41599.5+20470.5+5217-3719.5+10067+1376+10253+13391+15635+48+500+2820+500+666+1758+12+12+20</f>
        <v>5022300.5</v>
      </c>
      <c r="N411" s="155">
        <f>135921+127724+124508+97493+101422+99063+62455+57586+44490+6+19837+19877+15923+15427+4822+4847+3310+822+280+7405+3528+4050+2428+14923+37098+1709+6180+3303+3114+328+3418+4411+5191+12+100+806+100+222+586+3+3+5</f>
        <v>1034736</v>
      </c>
      <c r="O411" s="358">
        <f t="shared" si="32"/>
        <v>4.853702297011025</v>
      </c>
      <c r="P411" s="332">
        <v>1</v>
      </c>
    </row>
    <row r="412" spans="1:16" ht="15">
      <c r="A412" s="66">
        <v>410</v>
      </c>
      <c r="B412" s="368" t="s">
        <v>330</v>
      </c>
      <c r="C412" s="39">
        <v>39766</v>
      </c>
      <c r="D412" s="44" t="s">
        <v>132</v>
      </c>
      <c r="E412" s="44" t="s">
        <v>107</v>
      </c>
      <c r="F412" s="41">
        <v>18</v>
      </c>
      <c r="G412" s="41">
        <v>1</v>
      </c>
      <c r="H412" s="41">
        <v>8</v>
      </c>
      <c r="I412" s="267">
        <v>16</v>
      </c>
      <c r="J412" s="155">
        <v>4</v>
      </c>
      <c r="K412" s="155">
        <f t="shared" si="31"/>
        <v>4</v>
      </c>
      <c r="L412" s="356">
        <f t="shared" si="30"/>
        <v>4</v>
      </c>
      <c r="M412" s="267">
        <f>155654+80570.5+22675+7882+15+246+8+16</f>
        <v>267066.5</v>
      </c>
      <c r="N412" s="155">
        <f>15277+7852+3194+1551+3+41+2+4</f>
        <v>27924</v>
      </c>
      <c r="O412" s="358">
        <f t="shared" si="32"/>
        <v>9.564048846870076</v>
      </c>
      <c r="P412" s="321"/>
    </row>
    <row r="413" spans="1:16" ht="15">
      <c r="A413" s="66">
        <v>411</v>
      </c>
      <c r="B413" s="293" t="s">
        <v>44</v>
      </c>
      <c r="C413" s="286">
        <v>39780</v>
      </c>
      <c r="D413" s="285" t="s">
        <v>131</v>
      </c>
      <c r="E413" s="285" t="s">
        <v>127</v>
      </c>
      <c r="F413" s="287">
        <v>121</v>
      </c>
      <c r="G413" s="287">
        <v>1</v>
      </c>
      <c r="H413" s="287">
        <v>16</v>
      </c>
      <c r="I413" s="288">
        <v>15</v>
      </c>
      <c r="J413" s="289">
        <v>3</v>
      </c>
      <c r="K413" s="290">
        <f t="shared" si="31"/>
        <v>3</v>
      </c>
      <c r="L413" s="291">
        <f>+I413/J413</f>
        <v>5</v>
      </c>
      <c r="M413" s="292">
        <v>3456698</v>
      </c>
      <c r="N413" s="290">
        <v>406078</v>
      </c>
      <c r="O413" s="294">
        <f t="shared" si="32"/>
        <v>8.512399095740227</v>
      </c>
      <c r="P413" s="331"/>
    </row>
    <row r="414" spans="1:16" ht="15">
      <c r="A414" s="66">
        <v>412</v>
      </c>
      <c r="B414" s="293" t="s">
        <v>49</v>
      </c>
      <c r="C414" s="286">
        <v>39710</v>
      </c>
      <c r="D414" s="285" t="s">
        <v>132</v>
      </c>
      <c r="E414" s="285" t="s">
        <v>179</v>
      </c>
      <c r="F414" s="287">
        <v>1</v>
      </c>
      <c r="G414" s="287">
        <v>1</v>
      </c>
      <c r="H414" s="287">
        <v>21</v>
      </c>
      <c r="I414" s="288">
        <v>15</v>
      </c>
      <c r="J414" s="289">
        <v>3</v>
      </c>
      <c r="K414" s="290">
        <f>(J414/G414)</f>
        <v>3</v>
      </c>
      <c r="L414" s="291">
        <f>I414/J414</f>
        <v>5</v>
      </c>
      <c r="M414" s="292">
        <f>152576+127511+68854.5+21974+10111.5+7103+7290+0.5+1014+3149+989+3524+0.5+3768+138+2528+257+351.5+573.5+184+3655+10+15</f>
        <v>415577</v>
      </c>
      <c r="N414" s="290">
        <f>50018+825+47+65+137+67+1215+2+3</f>
        <v>52379</v>
      </c>
      <c r="O414" s="294">
        <f t="shared" si="32"/>
        <v>7.934038450524065</v>
      </c>
      <c r="P414" s="331"/>
    </row>
    <row r="415" spans="1:16" ht="15">
      <c r="A415" s="66">
        <v>413</v>
      </c>
      <c r="B415" s="49">
        <v>120</v>
      </c>
      <c r="C415" s="39">
        <v>39493</v>
      </c>
      <c r="D415" s="44" t="s">
        <v>132</v>
      </c>
      <c r="E415" s="44" t="s">
        <v>94</v>
      </c>
      <c r="F415" s="41">
        <v>179</v>
      </c>
      <c r="G415" s="41">
        <v>1</v>
      </c>
      <c r="H415" s="41">
        <v>41</v>
      </c>
      <c r="I415" s="307">
        <v>12</v>
      </c>
      <c r="J415" s="308">
        <v>3</v>
      </c>
      <c r="K415" s="155">
        <f aca="true" t="shared" si="33" ref="K415:K421">J415/G415</f>
        <v>3</v>
      </c>
      <c r="L415" s="156">
        <f>I415/J415</f>
        <v>4</v>
      </c>
      <c r="M415" s="154">
        <f>940515+844172.5+750489+533469+396399.5+362067.5+228159+211115.5+153941.5+48+73076.5+60280+47290.5+46690+13789+13717.5+9809+2709.5+1288.5+22597.5+10821.5+12218+7313+44774.5+111294+3629+0.5+41599.5+20470.5+5217-3719.5+10067+1376+10253+13391+15635+48+500+2820+500+666+1758+12+12</f>
        <v>5022280.5</v>
      </c>
      <c r="N415" s="155">
        <f>135921+127724+124508+97493+101422+99063+62455+57586+44490+6+19837+19877+15923+15427+4822+4847+3310+822+280+7405+3528+4050+2428+14923+37098+1709+6180+3303+3114+328+3418+4411+5191+12+100+806+100+222+586+3+3</f>
        <v>1034731</v>
      </c>
      <c r="O415" s="103">
        <f t="shared" si="32"/>
        <v>4.853706422248874</v>
      </c>
      <c r="P415" s="345"/>
    </row>
    <row r="416" spans="1:16" ht="15">
      <c r="A416" s="66">
        <v>414</v>
      </c>
      <c r="B416" s="293">
        <v>120</v>
      </c>
      <c r="C416" s="286">
        <v>39493</v>
      </c>
      <c r="D416" s="285" t="s">
        <v>132</v>
      </c>
      <c r="E416" s="285" t="s">
        <v>94</v>
      </c>
      <c r="F416" s="287">
        <v>179</v>
      </c>
      <c r="G416" s="287">
        <v>1</v>
      </c>
      <c r="H416" s="287">
        <v>40</v>
      </c>
      <c r="I416" s="292">
        <v>12</v>
      </c>
      <c r="J416" s="290">
        <v>3</v>
      </c>
      <c r="K416" s="290">
        <f t="shared" si="33"/>
        <v>3</v>
      </c>
      <c r="L416" s="291">
        <f>I416/J416</f>
        <v>4</v>
      </c>
      <c r="M416" s="292">
        <f>940515+844172.5+750489+533469+396399.5+362067.5+228159+211115.5+153941.5+48+73076.5+60280+47290.5+46690+13789+13717.5+9809+2709.5+1288.5+22597.5+10821.5+12218+7313+44774.5+111294+3629+0.5+41599.5+20470.5+5217-3719.5+10067+1376+10253+13391+15635+48+500+2820+500+666+1758+12</f>
        <v>5022268.5</v>
      </c>
      <c r="N416" s="290">
        <f>135921+127724+124508+97493+101422+99063+62455+57586+44490+6+19837+19877+15923+15427+4822+4847+3310+822+280+7405+3528+4050+2428+14923+37098+1709+6180+3303+3114+328+3418+4411+5191+12+100+806+100+222+586+3</f>
        <v>1034728</v>
      </c>
      <c r="O416" s="294">
        <f t="shared" si="32"/>
        <v>4.85370889741072</v>
      </c>
      <c r="P416" s="332"/>
    </row>
    <row r="417" spans="1:16" ht="15">
      <c r="A417" s="66">
        <v>415</v>
      </c>
      <c r="B417" s="293" t="s">
        <v>49</v>
      </c>
      <c r="C417" s="286">
        <v>39710</v>
      </c>
      <c r="D417" s="285" t="s">
        <v>132</v>
      </c>
      <c r="E417" s="285" t="s">
        <v>179</v>
      </c>
      <c r="F417" s="287">
        <v>1</v>
      </c>
      <c r="G417" s="287">
        <v>1</v>
      </c>
      <c r="H417" s="287">
        <v>23</v>
      </c>
      <c r="I417" s="288">
        <v>10</v>
      </c>
      <c r="J417" s="289">
        <v>2</v>
      </c>
      <c r="K417" s="290">
        <f t="shared" si="33"/>
        <v>2</v>
      </c>
      <c r="L417" s="291">
        <f>IF(I417&lt;&gt;0,I417/J417,"")</f>
        <v>5</v>
      </c>
      <c r="M417" s="292">
        <v>415587</v>
      </c>
      <c r="N417" s="290">
        <v>52381</v>
      </c>
      <c r="O417" s="294">
        <f t="shared" si="32"/>
        <v>7.933926423703251</v>
      </c>
      <c r="P417" s="332"/>
    </row>
    <row r="418" spans="1:16" ht="15">
      <c r="A418" s="66">
        <v>416</v>
      </c>
      <c r="B418" s="293" t="s">
        <v>49</v>
      </c>
      <c r="C418" s="286">
        <v>39710</v>
      </c>
      <c r="D418" s="285" t="s">
        <v>132</v>
      </c>
      <c r="E418" s="285" t="s">
        <v>179</v>
      </c>
      <c r="F418" s="287">
        <v>1</v>
      </c>
      <c r="G418" s="287">
        <v>1</v>
      </c>
      <c r="H418" s="287">
        <v>20</v>
      </c>
      <c r="I418" s="288">
        <v>10</v>
      </c>
      <c r="J418" s="289">
        <v>2</v>
      </c>
      <c r="K418" s="290">
        <f t="shared" si="33"/>
        <v>2</v>
      </c>
      <c r="L418" s="291">
        <f>I418/J418</f>
        <v>5</v>
      </c>
      <c r="M418" s="292">
        <f>152576+127511+68854.5+21974+10111.5+7103+7290+0.5+1014+3149+989+3524+0.5+3768+138+2528+257+351.5+573.5+184+3655+10</f>
        <v>415562</v>
      </c>
      <c r="N418" s="290">
        <f>50018+825+47+65+137+67+1215+2</f>
        <v>52376</v>
      </c>
      <c r="O418" s="294">
        <f t="shared" si="32"/>
        <v>7.934206506797007</v>
      </c>
      <c r="P418" s="332"/>
    </row>
    <row r="419" spans="1:16" ht="15">
      <c r="A419" s="66">
        <v>417</v>
      </c>
      <c r="B419" s="368" t="s">
        <v>352</v>
      </c>
      <c r="C419" s="39">
        <v>39388</v>
      </c>
      <c r="D419" s="44" t="s">
        <v>132</v>
      </c>
      <c r="E419" s="44" t="s">
        <v>353</v>
      </c>
      <c r="F419" s="41">
        <v>22</v>
      </c>
      <c r="G419" s="41">
        <v>1</v>
      </c>
      <c r="H419" s="41">
        <v>10</v>
      </c>
      <c r="I419" s="267">
        <v>8</v>
      </c>
      <c r="J419" s="155">
        <v>2</v>
      </c>
      <c r="K419" s="155">
        <f t="shared" si="33"/>
        <v>2</v>
      </c>
      <c r="L419" s="356">
        <f>I419/J419</f>
        <v>4</v>
      </c>
      <c r="M419" s="267">
        <f>31108.5+12339+4008+1827+3573.5+1219.5+765.5+108+20+8</f>
        <v>54977</v>
      </c>
      <c r="N419" s="155">
        <f>3175+1380+493+264+592+165+99+18+5+2</f>
        <v>6193</v>
      </c>
      <c r="O419" s="358">
        <f t="shared" si="32"/>
        <v>8.877280800904247</v>
      </c>
      <c r="P419" s="321"/>
    </row>
    <row r="420" spans="1:16" ht="15">
      <c r="A420" s="66">
        <v>418</v>
      </c>
      <c r="B420" s="368" t="s">
        <v>348</v>
      </c>
      <c r="C420" s="39">
        <v>39577</v>
      </c>
      <c r="D420" s="44" t="s">
        <v>92</v>
      </c>
      <c r="E420" s="44" t="s">
        <v>349</v>
      </c>
      <c r="F420" s="41">
        <v>26</v>
      </c>
      <c r="G420" s="41">
        <v>2</v>
      </c>
      <c r="H420" s="41">
        <v>14</v>
      </c>
      <c r="I420" s="267">
        <v>8</v>
      </c>
      <c r="J420" s="155">
        <v>2</v>
      </c>
      <c r="K420" s="155">
        <f t="shared" si="33"/>
        <v>1</v>
      </c>
      <c r="L420" s="356">
        <f>I420/J420</f>
        <v>4</v>
      </c>
      <c r="M420" s="267">
        <v>115586.42</v>
      </c>
      <c r="N420" s="155">
        <v>13499</v>
      </c>
      <c r="O420" s="358">
        <f t="shared" si="32"/>
        <v>8.562591303059486</v>
      </c>
      <c r="P420" s="321"/>
    </row>
    <row r="421" spans="1:16" ht="15.75" thickBot="1">
      <c r="A421" s="66">
        <v>419</v>
      </c>
      <c r="B421" s="370" t="s">
        <v>330</v>
      </c>
      <c r="C421" s="337">
        <v>39766</v>
      </c>
      <c r="D421" s="338" t="s">
        <v>132</v>
      </c>
      <c r="E421" s="338" t="s">
        <v>107</v>
      </c>
      <c r="F421" s="339">
        <v>1</v>
      </c>
      <c r="G421" s="339">
        <v>1</v>
      </c>
      <c r="H421" s="339">
        <v>7</v>
      </c>
      <c r="I421" s="359">
        <v>8</v>
      </c>
      <c r="J421" s="355">
        <v>2</v>
      </c>
      <c r="K421" s="355">
        <f t="shared" si="33"/>
        <v>2</v>
      </c>
      <c r="L421" s="360">
        <f>I421/J421</f>
        <v>4</v>
      </c>
      <c r="M421" s="359">
        <f>155654+80570.5+22675+7882+15+246+8</f>
        <v>267050.5</v>
      </c>
      <c r="N421" s="355">
        <f>15277+7852+3194+1551+3+41+2</f>
        <v>27920</v>
      </c>
      <c r="O421" s="361">
        <f t="shared" si="32"/>
        <v>9.564845988538682</v>
      </c>
      <c r="P421" s="332"/>
    </row>
    <row r="422" spans="1:15" ht="12.75">
      <c r="A422" s="88"/>
      <c r="B422" s="89"/>
      <c r="C422" s="90"/>
      <c r="D422" s="90"/>
      <c r="E422" s="90"/>
      <c r="F422" s="95"/>
      <c r="G422" s="96"/>
      <c r="H422" s="97"/>
      <c r="I422" s="145">
        <f>SUM(I4:I421)</f>
        <v>14722842.5</v>
      </c>
      <c r="J422" s="134">
        <f>SUM(J4:J421)</f>
        <v>1952973</v>
      </c>
      <c r="K422" s="136"/>
      <c r="L422" s="142"/>
      <c r="M422" s="129"/>
      <c r="N422" s="136"/>
      <c r="O422" s="142"/>
    </row>
    <row r="423" spans="1:7" ht="12.75">
      <c r="A423" s="32"/>
      <c r="B423" s="30"/>
      <c r="C423" s="24"/>
      <c r="D423" s="24"/>
      <c r="E423" s="24"/>
      <c r="F423" s="98"/>
      <c r="G423" s="99"/>
    </row>
    <row r="424" spans="1:15" ht="13.5">
      <c r="A424" s="32"/>
      <c r="B424" s="30"/>
      <c r="C424" s="85"/>
      <c r="D424" s="86"/>
      <c r="E424" s="86"/>
      <c r="F424" s="24"/>
      <c r="G424" s="24"/>
      <c r="K424" s="413" t="s">
        <v>74</v>
      </c>
      <c r="L424" s="414"/>
      <c r="M424" s="414"/>
      <c r="N424" s="414"/>
      <c r="O424" s="414"/>
    </row>
    <row r="425" spans="1:15" ht="12.75">
      <c r="A425" s="32"/>
      <c r="B425" s="30"/>
      <c r="C425" s="86"/>
      <c r="D425" s="86"/>
      <c r="E425" s="86"/>
      <c r="F425" s="24"/>
      <c r="G425" s="24"/>
      <c r="K425" s="414"/>
      <c r="L425" s="414"/>
      <c r="M425" s="414"/>
      <c r="N425" s="414"/>
      <c r="O425" s="414"/>
    </row>
    <row r="426" spans="1:15" ht="12.75">
      <c r="A426" s="32"/>
      <c r="B426" s="30"/>
      <c r="C426" s="86"/>
      <c r="D426" s="86"/>
      <c r="E426" s="86"/>
      <c r="F426" s="24"/>
      <c r="G426" s="24"/>
      <c r="K426" s="414"/>
      <c r="L426" s="414"/>
      <c r="M426" s="414"/>
      <c r="N426" s="414"/>
      <c r="O426" s="414"/>
    </row>
    <row r="427" spans="1:15" ht="12.75">
      <c r="A427" s="32"/>
      <c r="B427" s="30"/>
      <c r="C427" s="86"/>
      <c r="D427" s="86"/>
      <c r="E427" s="86"/>
      <c r="F427" s="24"/>
      <c r="G427" s="24"/>
      <c r="K427" s="414"/>
      <c r="L427" s="414"/>
      <c r="M427" s="414"/>
      <c r="N427" s="414"/>
      <c r="O427" s="414"/>
    </row>
    <row r="428" spans="1:15" ht="12.75">
      <c r="A428" s="32"/>
      <c r="B428" s="30"/>
      <c r="C428" s="86"/>
      <c r="D428" s="86"/>
      <c r="E428" s="86"/>
      <c r="F428" s="24"/>
      <c r="G428" s="24"/>
      <c r="K428" s="414"/>
      <c r="L428" s="414"/>
      <c r="M428" s="414"/>
      <c r="N428" s="414"/>
      <c r="O428" s="414"/>
    </row>
    <row r="429" spans="1:15" ht="12.75">
      <c r="A429" s="32"/>
      <c r="B429" s="30"/>
      <c r="C429" s="86"/>
      <c r="D429" s="86"/>
      <c r="E429" s="86"/>
      <c r="F429" s="24"/>
      <c r="G429" s="24"/>
      <c r="K429" s="414"/>
      <c r="L429" s="414"/>
      <c r="M429" s="414"/>
      <c r="N429" s="414"/>
      <c r="O429" s="414"/>
    </row>
    <row r="430" spans="1:15" ht="12.75">
      <c r="A430" s="32"/>
      <c r="B430" s="30"/>
      <c r="C430" s="24"/>
      <c r="D430" s="86"/>
      <c r="E430" s="86"/>
      <c r="F430" s="98"/>
      <c r="G430" s="99"/>
      <c r="K430" s="138"/>
      <c r="L430" s="140"/>
      <c r="M430" s="132"/>
      <c r="N430" s="139"/>
      <c r="O430" s="140"/>
    </row>
    <row r="431" spans="1:15" ht="13.5">
      <c r="A431" s="32"/>
      <c r="B431" s="30"/>
      <c r="C431" s="87"/>
      <c r="D431" s="86"/>
      <c r="E431" s="86"/>
      <c r="F431" s="24"/>
      <c r="G431" s="24"/>
      <c r="K431" s="419" t="s">
        <v>0</v>
      </c>
      <c r="L431" s="420"/>
      <c r="M431" s="420"/>
      <c r="N431" s="414"/>
      <c r="O431" s="420"/>
    </row>
    <row r="432" spans="1:15" ht="12.75">
      <c r="A432" s="32"/>
      <c r="B432" s="30"/>
      <c r="C432" s="86"/>
      <c r="D432" s="86"/>
      <c r="E432" s="86"/>
      <c r="F432" s="24"/>
      <c r="G432" s="24"/>
      <c r="K432" s="420"/>
      <c r="L432" s="420"/>
      <c r="M432" s="420"/>
      <c r="N432" s="414"/>
      <c r="O432" s="420"/>
    </row>
    <row r="433" spans="1:15" ht="12.75">
      <c r="A433" s="32"/>
      <c r="B433" s="30"/>
      <c r="C433" s="86"/>
      <c r="D433" s="86"/>
      <c r="E433" s="86"/>
      <c r="F433" s="24"/>
      <c r="G433" s="24"/>
      <c r="K433" s="420"/>
      <c r="L433" s="420"/>
      <c r="M433" s="420"/>
      <c r="N433" s="414"/>
      <c r="O433" s="420"/>
    </row>
    <row r="434" spans="1:15" ht="12.75">
      <c r="A434" s="32"/>
      <c r="B434" s="30"/>
      <c r="C434" s="86"/>
      <c r="D434" s="86"/>
      <c r="E434" s="86"/>
      <c r="F434" s="24"/>
      <c r="G434" s="24"/>
      <c r="K434" s="420"/>
      <c r="L434" s="420"/>
      <c r="M434" s="420"/>
      <c r="N434" s="414"/>
      <c r="O434" s="420"/>
    </row>
    <row r="435" spans="1:15" ht="12.75">
      <c r="A435" s="32"/>
      <c r="B435" s="30"/>
      <c r="C435" s="86"/>
      <c r="D435" s="86"/>
      <c r="E435" s="86"/>
      <c r="F435" s="24"/>
      <c r="G435" s="24"/>
      <c r="K435" s="420"/>
      <c r="L435" s="420"/>
      <c r="M435" s="420"/>
      <c r="N435" s="414"/>
      <c r="O435" s="420"/>
    </row>
    <row r="436" spans="1:15" ht="12.75">
      <c r="A436" s="32"/>
      <c r="B436" s="30"/>
      <c r="C436" s="86"/>
      <c r="D436" s="86"/>
      <c r="E436" s="86"/>
      <c r="F436" s="24"/>
      <c r="G436" s="24"/>
      <c r="K436" s="420"/>
      <c r="L436" s="420"/>
      <c r="M436" s="420"/>
      <c r="N436" s="414"/>
      <c r="O436" s="420"/>
    </row>
    <row r="437" spans="1:15" ht="12.75">
      <c r="A437" s="32"/>
      <c r="B437" s="30"/>
      <c r="C437" s="30"/>
      <c r="D437" s="30"/>
      <c r="E437" s="30"/>
      <c r="F437" s="24"/>
      <c r="G437" s="24"/>
      <c r="K437" s="421"/>
      <c r="L437" s="421"/>
      <c r="M437" s="421"/>
      <c r="N437" s="422"/>
      <c r="O437" s="421"/>
    </row>
    <row r="438" spans="1:7" ht="12.75">
      <c r="A438" s="32"/>
      <c r="B438" s="30"/>
      <c r="C438" s="24"/>
      <c r="D438" s="24"/>
      <c r="E438" s="24"/>
      <c r="F438" s="98"/>
      <c r="G438" s="99"/>
    </row>
    <row r="439" spans="1:7" ht="12.75">
      <c r="A439" s="32"/>
      <c r="B439" s="30"/>
      <c r="C439" s="24"/>
      <c r="D439" s="24"/>
      <c r="E439" s="24"/>
      <c r="F439" s="98"/>
      <c r="G439" s="99"/>
    </row>
  </sheetData>
  <sheetProtection/>
  <mergeCells count="12">
    <mergeCell ref="K431:O437"/>
    <mergeCell ref="G2:G3"/>
    <mergeCell ref="H2:H3"/>
    <mergeCell ref="I2:L2"/>
    <mergeCell ref="M2:O2"/>
    <mergeCell ref="E2:E3"/>
    <mergeCell ref="F2:F3"/>
    <mergeCell ref="A1:O1"/>
    <mergeCell ref="K424:O429"/>
    <mergeCell ref="B2:B3"/>
    <mergeCell ref="C2:C3"/>
    <mergeCell ref="D2:D3"/>
  </mergeCells>
  <printOptions/>
  <pageMargins left="0.75" right="0.75" top="1" bottom="1" header="0.5" footer="0.5"/>
  <pageSetup orientation="portrait" paperSize="9"/>
  <ignoredErrors>
    <ignoredError sqref="M7:M8 K18:K43 N7:N8 L18:L43 O18:O54 L7:L17 M91:M93 L91:L93 K91:K93 O57:O80 K98:K131 L98:M98 N140:N145 L146:L162 K146:K165 L163:L165 O146:O165 N139 O140:O145 K166:L190 O166:O168 L191:L194" formula="1"/>
    <ignoredError sqref="Q120:Q121 Q99:Q102 Q125:Q131 Q122:Q123 Q104:Q119 Q103 Q96:Q97 M9:M17 N52:N53 N9:N17 N44:N51 M18:M43 N18:N43 L44:L51 K44:K51 M44:M51 M52:M53 L52:L53 M81:M90 L81:L90 K81:K90 M54:M57 K52:K80 L54:L80 M58:M80 O81:O90 N99:N123 O124:O131 N124:N131 Q124 O99:O123 O91:O97 O98 N98 Q98 L99:M131 L132:M145 N132:N138 M163:M165 N163:N165 M146:M162 N146:N162 N166:N168 M166:M168 M182:M190 N182:N190 O169:O180 N169:N181 M169:M181 O182:O191" formula="1" unlockedFormula="1"/>
    <ignoredError sqref="Q31 Q91:Q95 Q9:Q11 N54:N57 I81:J90 I44:J80 O132:O138 N81:N97 M191:M194 N191:N194 O181 O192:O194"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21" sqref="A21"/>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1.8515625" style="119" bestFit="1"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20">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196</v>
      </c>
      <c r="C7" s="173" t="s">
        <v>171</v>
      </c>
      <c r="D7" s="202">
        <v>56</v>
      </c>
      <c r="E7" s="200">
        <v>20271309</v>
      </c>
      <c r="F7" s="201">
        <v>2575383</v>
      </c>
      <c r="G7" s="174">
        <v>20</v>
      </c>
      <c r="H7" s="183">
        <v>17871756.5</v>
      </c>
      <c r="I7" s="184">
        <v>2319917</v>
      </c>
      <c r="J7" s="185">
        <f t="shared" si="0"/>
        <v>0.9008046570160633</v>
      </c>
    </row>
    <row r="8" spans="1:10" ht="15.75" thickBot="1">
      <c r="A8" s="171">
        <v>8</v>
      </c>
      <c r="B8" s="172" t="s">
        <v>206</v>
      </c>
      <c r="C8" s="173" t="s">
        <v>171</v>
      </c>
      <c r="D8" s="202">
        <v>58</v>
      </c>
      <c r="E8" s="200">
        <v>12304820.5</v>
      </c>
      <c r="F8" s="201">
        <v>1540913</v>
      </c>
      <c r="G8" s="174">
        <v>18</v>
      </c>
      <c r="H8" s="183">
        <v>9751608</v>
      </c>
      <c r="I8" s="184">
        <v>1260008</v>
      </c>
      <c r="J8" s="185">
        <f t="shared" si="0"/>
        <v>0.8177022323778176</v>
      </c>
    </row>
    <row r="9" spans="1:10" ht="15.75" thickBot="1">
      <c r="A9" s="171">
        <v>9</v>
      </c>
      <c r="B9" s="172" t="s">
        <v>219</v>
      </c>
      <c r="C9" s="173" t="s">
        <v>218</v>
      </c>
      <c r="D9" s="202">
        <v>47</v>
      </c>
      <c r="E9" s="200">
        <v>7856404.5</v>
      </c>
      <c r="F9" s="201">
        <v>962930</v>
      </c>
      <c r="G9" s="174">
        <v>21</v>
      </c>
      <c r="H9" s="183">
        <v>4911121</v>
      </c>
      <c r="I9" s="184">
        <v>644142</v>
      </c>
      <c r="J9" s="185">
        <f t="shared" si="0"/>
        <v>0.6689395906244483</v>
      </c>
    </row>
    <row r="10" spans="1:10" ht="15.75" thickBot="1">
      <c r="A10" s="171">
        <v>10</v>
      </c>
      <c r="B10" s="172" t="s">
        <v>182</v>
      </c>
      <c r="C10" s="173" t="s">
        <v>218</v>
      </c>
      <c r="D10" s="202">
        <v>74</v>
      </c>
      <c r="E10" s="200">
        <v>5262665.5</v>
      </c>
      <c r="F10" s="201">
        <v>640692</v>
      </c>
      <c r="G10" s="174">
        <v>26</v>
      </c>
      <c r="H10" s="183">
        <v>2385212</v>
      </c>
      <c r="I10" s="184">
        <v>321514</v>
      </c>
      <c r="J10" s="185">
        <f t="shared" si="0"/>
        <v>0.5018230288500559</v>
      </c>
    </row>
    <row r="11" spans="1:10" ht="15.75" thickBot="1">
      <c r="A11" s="171">
        <v>11</v>
      </c>
      <c r="B11" s="172" t="s">
        <v>196</v>
      </c>
      <c r="C11" s="173" t="s">
        <v>218</v>
      </c>
      <c r="D11" s="202">
        <v>38</v>
      </c>
      <c r="E11" s="200">
        <v>10766623.5</v>
      </c>
      <c r="F11" s="201">
        <v>1381371</v>
      </c>
      <c r="G11" s="174">
        <v>16</v>
      </c>
      <c r="H11" s="183">
        <v>9267313</v>
      </c>
      <c r="I11" s="184">
        <v>1221193</v>
      </c>
      <c r="J11" s="185">
        <f t="shared" si="0"/>
        <v>0.8840441850885823</v>
      </c>
    </row>
    <row r="12" spans="1:10" ht="15.75" thickBot="1">
      <c r="A12" s="171">
        <v>12</v>
      </c>
      <c r="B12" s="172" t="s">
        <v>206</v>
      </c>
      <c r="C12" s="173" t="s">
        <v>218</v>
      </c>
      <c r="D12" s="202">
        <v>58</v>
      </c>
      <c r="E12" s="200">
        <v>7142984.5</v>
      </c>
      <c r="F12" s="201">
        <v>896116</v>
      </c>
      <c r="G12" s="174">
        <v>19</v>
      </c>
      <c r="H12" s="183">
        <v>5085887</v>
      </c>
      <c r="I12" s="184">
        <v>666905</v>
      </c>
      <c r="J12" s="185">
        <f t="shared" si="0"/>
        <v>0.7442172665146031</v>
      </c>
    </row>
    <row r="13" spans="1:10" ht="15.75" thickBot="1">
      <c r="A13" s="171">
        <v>13</v>
      </c>
      <c r="B13" s="172" t="s">
        <v>262</v>
      </c>
      <c r="C13" s="173" t="s">
        <v>263</v>
      </c>
      <c r="D13" s="202">
        <v>76</v>
      </c>
      <c r="E13" s="200">
        <v>4765810.1</v>
      </c>
      <c r="F13" s="201">
        <v>629304</v>
      </c>
      <c r="G13" s="174">
        <v>21</v>
      </c>
      <c r="H13" s="183">
        <v>2709803.1</v>
      </c>
      <c r="I13" s="184">
        <v>378126</v>
      </c>
      <c r="J13" s="185">
        <f t="shared" si="0"/>
        <v>0.6008638114488387</v>
      </c>
    </row>
    <row r="14" spans="1:10" ht="15.75" thickBot="1">
      <c r="A14" s="171">
        <v>14</v>
      </c>
      <c r="B14" s="172" t="s">
        <v>275</v>
      </c>
      <c r="C14" s="173" t="s">
        <v>263</v>
      </c>
      <c r="D14" s="202">
        <v>89</v>
      </c>
      <c r="E14" s="200">
        <v>4918601.5</v>
      </c>
      <c r="F14" s="201">
        <v>613059</v>
      </c>
      <c r="G14" s="174">
        <v>25</v>
      </c>
      <c r="H14" s="183">
        <v>1775887.5</v>
      </c>
      <c r="I14" s="184">
        <v>243795</v>
      </c>
      <c r="J14" s="185">
        <f t="shared" si="0"/>
        <v>0.39766971857521055</v>
      </c>
    </row>
    <row r="15" spans="1:10" ht="15.75" thickBot="1">
      <c r="A15" s="174">
        <v>15</v>
      </c>
      <c r="B15" s="172" t="s">
        <v>295</v>
      </c>
      <c r="C15" s="173" t="s">
        <v>263</v>
      </c>
      <c r="D15" s="202">
        <v>87</v>
      </c>
      <c r="E15" s="200">
        <v>4085852</v>
      </c>
      <c r="F15" s="201">
        <v>488753</v>
      </c>
      <c r="G15" s="174">
        <v>25</v>
      </c>
      <c r="H15" s="183">
        <v>999112</v>
      </c>
      <c r="I15" s="184">
        <v>136434</v>
      </c>
      <c r="J15" s="185">
        <f t="shared" si="0"/>
        <v>0.27914713566975546</v>
      </c>
    </row>
    <row r="16" spans="1:10" ht="15.75" thickBot="1">
      <c r="A16" s="174">
        <v>16</v>
      </c>
      <c r="B16" s="172" t="s">
        <v>307</v>
      </c>
      <c r="C16" s="173" t="s">
        <v>263</v>
      </c>
      <c r="D16" s="202">
        <v>43</v>
      </c>
      <c r="E16" s="200">
        <v>4527951.5</v>
      </c>
      <c r="F16" s="201">
        <v>543672</v>
      </c>
      <c r="G16" s="174">
        <v>11</v>
      </c>
      <c r="H16" s="183">
        <v>1857186</v>
      </c>
      <c r="I16" s="184">
        <v>244264</v>
      </c>
      <c r="J16" s="185">
        <f t="shared" si="0"/>
        <v>0.4492855986697862</v>
      </c>
    </row>
    <row r="17" spans="1:10" ht="15.75" thickBot="1">
      <c r="A17" s="174">
        <v>17</v>
      </c>
      <c r="B17" s="172" t="s">
        <v>316</v>
      </c>
      <c r="C17" s="173" t="s">
        <v>263</v>
      </c>
      <c r="D17" s="202">
        <v>76</v>
      </c>
      <c r="E17" s="200">
        <v>3759215.75</v>
      </c>
      <c r="F17" s="201">
        <v>455467</v>
      </c>
      <c r="G17" s="174">
        <v>22</v>
      </c>
      <c r="H17" s="183">
        <v>807761.75</v>
      </c>
      <c r="I17" s="184">
        <v>106101</v>
      </c>
      <c r="J17" s="185">
        <f t="shared" si="0"/>
        <v>0.23294991733758977</v>
      </c>
    </row>
    <row r="18" spans="1:10" ht="15.75" thickBot="1">
      <c r="A18" s="174">
        <v>18</v>
      </c>
      <c r="B18" s="172" t="s">
        <v>332</v>
      </c>
      <c r="C18" s="173" t="s">
        <v>333</v>
      </c>
      <c r="D18" s="202">
        <v>85</v>
      </c>
      <c r="E18" s="200">
        <v>3310471.5</v>
      </c>
      <c r="F18" s="201">
        <v>383694</v>
      </c>
      <c r="G18" s="174">
        <v>23</v>
      </c>
      <c r="H18" s="183">
        <v>685206</v>
      </c>
      <c r="I18" s="184">
        <v>88589</v>
      </c>
      <c r="J18" s="185">
        <f t="shared" si="0"/>
        <v>0.230884506924789</v>
      </c>
    </row>
    <row r="19" spans="1:15" ht="15.75" thickBot="1">
      <c r="A19" s="174">
        <v>19</v>
      </c>
      <c r="B19" s="172" t="s">
        <v>354</v>
      </c>
      <c r="C19" s="173" t="s">
        <v>333</v>
      </c>
      <c r="D19" s="202">
        <v>78</v>
      </c>
      <c r="E19" s="200">
        <v>1814009.5</v>
      </c>
      <c r="F19" s="201">
        <v>208426</v>
      </c>
      <c r="G19" s="174">
        <v>25</v>
      </c>
      <c r="H19" s="183">
        <v>592482.75</v>
      </c>
      <c r="I19" s="184">
        <v>81929</v>
      </c>
      <c r="J19" s="185">
        <f t="shared" si="0"/>
        <v>0.3930843560784163</v>
      </c>
      <c r="K19" s="372"/>
      <c r="N19" s="121"/>
      <c r="O19" s="122"/>
    </row>
    <row r="20" spans="1:12" ht="15.75" thickBot="1">
      <c r="A20" s="174">
        <v>20</v>
      </c>
      <c r="B20" s="172" t="s">
        <v>371</v>
      </c>
      <c r="C20" s="173" t="s">
        <v>333</v>
      </c>
      <c r="D20" s="202">
        <v>69</v>
      </c>
      <c r="E20" s="200">
        <v>4267017.3</v>
      </c>
      <c r="F20" s="201">
        <v>496356</v>
      </c>
      <c r="G20" s="174">
        <v>20</v>
      </c>
      <c r="H20" s="183">
        <v>559239.55</v>
      </c>
      <c r="I20" s="184">
        <v>78173</v>
      </c>
      <c r="J20" s="185">
        <f t="shared" si="0"/>
        <v>0.15749381492316</v>
      </c>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27">
        <v>2009</v>
      </c>
      <c r="B57" s="428"/>
      <c r="C57" s="429"/>
      <c r="D57" s="208">
        <f>SUM(D1:D56)</f>
        <v>1231</v>
      </c>
      <c r="E57" s="209">
        <f>SUM(E1:E56)</f>
        <v>140396316.15</v>
      </c>
      <c r="F57" s="210">
        <f>SUM(F1:F56)</f>
        <v>17306032</v>
      </c>
      <c r="G57" s="191"/>
      <c r="H57" s="192">
        <f>SUM(H1:H56)</f>
        <v>82993209.14999999</v>
      </c>
      <c r="I57" s="193">
        <f>SUM(I1:I56)</f>
        <v>10929112</v>
      </c>
      <c r="J57" s="194">
        <f>SUM(I57/F57)</f>
        <v>0.6315203854933356</v>
      </c>
    </row>
    <row r="58" spans="1:10" s="120" customFormat="1" ht="15">
      <c r="A58" s="430"/>
      <c r="B58" s="431"/>
      <c r="C58" s="432"/>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2009-05-22T21:59:24Z</dcterms:modified>
  <cp:category/>
  <cp:version/>
  <cp:contentType/>
  <cp:contentStatus/>
</cp:coreProperties>
</file>