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06" yWindow="65326" windowWidth="11430" windowHeight="11640" tabRatio="832" activeTab="0"/>
  </bookViews>
  <sheets>
    <sheet name="01-07 Jan' 10 (WK 01)" sheetId="1" r:id="rId1"/>
    <sheet name="01-07 Jan' 10 (Annual)" sheetId="2" r:id="rId2"/>
    <sheet name="Ex years releases (Annual)" sheetId="3" r:id="rId3"/>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1">'01-07 Jan'' 10 (Annual)'!$A$5:$J$8</definedName>
    <definedName name="_xlnm.Print_Area" localSheetId="0">'01-07 Jan'' 10 (WK 01)'!$A$1:$O$76</definedName>
  </definedNames>
  <calcPr fullCalcOnLoad="1"/>
</workbook>
</file>

<file path=xl/sharedStrings.xml><?xml version="1.0" encoding="utf-8"?>
<sst xmlns="http://schemas.openxmlformats.org/spreadsheetml/2006/main" count="353" uniqueCount="126">
  <si>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</si>
  <si>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BIR FILM</t>
  </si>
  <si>
    <t>Admission</t>
  </si>
  <si>
    <t>Title</t>
  </si>
  <si>
    <t>PINEMA</t>
  </si>
  <si>
    <t>FIDA FILM</t>
  </si>
  <si>
    <t>UNIVERSAL</t>
  </si>
  <si>
    <t>TILSIM DESIGN</t>
  </si>
  <si>
    <t>PARIS</t>
  </si>
  <si>
    <t>CINEFILM</t>
  </si>
  <si>
    <t>G.B.O. YTL</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</si>
  <si>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</si>
  <si>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Screen Avg. (Adm.)</t>
  </si>
  <si>
    <t>Release Date</t>
  </si>
  <si>
    <t>Week in Release</t>
  </si>
  <si>
    <t>Avg. Ticket Price</t>
  </si>
  <si>
    <t>FILMA</t>
  </si>
  <si>
    <t>OZEN-UMUT</t>
  </si>
  <si>
    <t>Production Company</t>
  </si>
  <si>
    <t>Türkiye Distributor</t>
  </si>
  <si>
    <t>WALT DISNEY</t>
  </si>
  <si>
    <t>Release
Date</t>
  </si>
  <si>
    <t># of
Prints</t>
  </si>
  <si>
    <t>Week</t>
  </si>
  <si>
    <t>Cumulative</t>
  </si>
  <si>
    <t>G.B.O.</t>
  </si>
  <si>
    <t>Adm.</t>
  </si>
  <si>
    <t>Avg.
Ticket</t>
  </si>
  <si>
    <t xml:space="preserve">Avg.
Ticket </t>
  </si>
  <si>
    <t># of
Screen</t>
  </si>
  <si>
    <t>Weeks in Release</t>
  </si>
  <si>
    <t>TMC</t>
  </si>
  <si>
    <t>Weekly Movie Magazine Antrakt Presents - Haftalık Antrakt Sinema Gazetesi Sunar</t>
  </si>
  <si>
    <t>AVSAR FILM</t>
  </si>
  <si>
    <t>Company</t>
  </si>
  <si>
    <t>Distributor</t>
  </si>
  <si>
    <t>WB</t>
  </si>
  <si>
    <t>UIP</t>
  </si>
  <si>
    <t>FOX</t>
  </si>
  <si>
    <t>TIGLON</t>
  </si>
  <si>
    <t>*Sorted according to Week Total G.B.O. - Haftalık toplam hasılat sütununa göre sıralanmıştır.</t>
  </si>
  <si>
    <t>MEDYAVIZYON</t>
  </si>
  <si>
    <t>TOTAL</t>
  </si>
  <si>
    <t>PANA FILM</t>
  </si>
  <si>
    <t>MARS</t>
  </si>
  <si>
    <t>LEMON TREE</t>
  </si>
  <si>
    <t>ELITA FILM</t>
  </si>
  <si>
    <t>BOYUT FILM</t>
  </si>
  <si>
    <t xml:space="preserve">SOLA MEDIA </t>
  </si>
  <si>
    <t>R FILM</t>
  </si>
  <si>
    <t>ICE AGE 3: DAWN OF THE DINOSAURS</t>
  </si>
  <si>
    <t>HIGH LANE</t>
  </si>
  <si>
    <t>LA VERITABLE HISTOIRE DU CHAT BOTTE</t>
  </si>
  <si>
    <t>ALIENS IN THE ATTIC</t>
  </si>
  <si>
    <t>G-FORCE</t>
  </si>
  <si>
    <t>(500) DAYS OF SUMMER</t>
  </si>
  <si>
    <t>FIDA FILM-CREAVIDI</t>
  </si>
  <si>
    <t>UP</t>
  </si>
  <si>
    <t>TIGLON-DADA FILM</t>
  </si>
  <si>
    <t>PERISAN FILM</t>
  </si>
  <si>
    <t>JENNIFER'S BODY</t>
  </si>
  <si>
    <t>TOTALLY SPIES</t>
  </si>
  <si>
    <t>OZEN FILM</t>
  </si>
  <si>
    <t>DREAD</t>
  </si>
  <si>
    <t>TIM'S-SUGARWORKZ</t>
  </si>
  <si>
    <t>DISTRICT 9</t>
  </si>
  <si>
    <t>YERLI FILM</t>
  </si>
  <si>
    <t>TEMELKURAN FILM</t>
  </si>
  <si>
    <t>TOURNAMENT, THE</t>
  </si>
  <si>
    <t>TWILIGHT SAGA: NEW MOON</t>
  </si>
  <si>
    <t>IYI SEYIRLER</t>
  </si>
  <si>
    <t>CHRISTMAS CAROL</t>
  </si>
  <si>
    <t>BKM</t>
  </si>
  <si>
    <t>COLUMBIA</t>
  </si>
  <si>
    <t>CLOUDY WITH A CHANCE OF MEATBALLS</t>
  </si>
  <si>
    <t>ELIZI FILM</t>
  </si>
  <si>
    <t>DON'T LOOK BACK</t>
  </si>
  <si>
    <t>DUST OF TIME, THE</t>
  </si>
  <si>
    <t>FILMARTI</t>
  </si>
  <si>
    <t>SAW VI</t>
  </si>
  <si>
    <t>MFP-CINEGROUP</t>
  </si>
  <si>
    <t>AVATAR</t>
  </si>
  <si>
    <t>IMAJ</t>
  </si>
  <si>
    <t>TIM'S</t>
  </si>
  <si>
    <t>J PLAN</t>
  </si>
  <si>
    <t>COUPLES RETREAT</t>
  </si>
  <si>
    <t>ZOMBIELAND</t>
  </si>
  <si>
    <t>IKI FILM</t>
  </si>
  <si>
    <r>
      <t>YAHŞİ BATI</t>
    </r>
    <r>
      <rPr>
        <b/>
        <sz val="10"/>
        <color indexed="10"/>
        <rFont val="Garamond"/>
        <family val="1"/>
      </rPr>
      <t xml:space="preserve"> (LOCAL) </t>
    </r>
    <r>
      <rPr>
        <b/>
        <sz val="10"/>
        <color indexed="12"/>
        <rFont val="Garamond"/>
        <family val="1"/>
      </rPr>
      <t>(NEW)</t>
    </r>
  </si>
  <si>
    <t xml:space="preserve">ALVIN &amp; THE CHIPMUNKS: THE SQUEAKQUEL </t>
  </si>
  <si>
    <r>
      <t xml:space="preserve">SOUL KITCHEN </t>
    </r>
    <r>
      <rPr>
        <b/>
        <sz val="10"/>
        <color indexed="12"/>
        <rFont val="Garamond"/>
        <family val="1"/>
      </rPr>
      <t>(NEW)</t>
    </r>
  </si>
  <si>
    <t>ANKA FILM</t>
  </si>
  <si>
    <r>
      <t xml:space="preserve">LAW ABIDING CITIZEN </t>
    </r>
    <r>
      <rPr>
        <b/>
        <sz val="10"/>
        <color indexed="12"/>
        <rFont val="Garamond"/>
        <family val="1"/>
      </rPr>
      <t>(NEW)</t>
    </r>
  </si>
  <si>
    <t>PPR PRO.</t>
  </si>
  <si>
    <r>
      <t xml:space="preserve">CHERI </t>
    </r>
    <r>
      <rPr>
        <b/>
        <sz val="10"/>
        <color indexed="12"/>
        <rFont val="Garamond"/>
        <family val="1"/>
      </rPr>
      <t>(NEW)</t>
    </r>
  </si>
  <si>
    <t>5.BOYUT-MUHTESEM</t>
  </si>
  <si>
    <t>MARATHON-SARMASIK SANATLAR</t>
  </si>
  <si>
    <t>SUNSHINE BARRY AND THE DISCO WORMS</t>
  </si>
  <si>
    <t>HORIZON INTERNATIONAL</t>
  </si>
  <si>
    <r>
      <t>YAHŞİ BATI</t>
    </r>
    <r>
      <rPr>
        <b/>
        <sz val="10"/>
        <color indexed="10"/>
        <rFont val="Arial Black"/>
        <family val="2"/>
      </rPr>
      <t xml:space="preserve"> (LOCAL) </t>
    </r>
    <r>
      <rPr>
        <b/>
        <sz val="10"/>
        <color indexed="12"/>
        <rFont val="Arial Black"/>
        <family val="2"/>
      </rPr>
      <t>(NEW)</t>
    </r>
  </si>
  <si>
    <r>
      <t xml:space="preserve">DABBE 2 </t>
    </r>
    <r>
      <rPr>
        <b/>
        <sz val="10"/>
        <color indexed="10"/>
        <rFont val="Arial Black"/>
        <family val="2"/>
      </rPr>
      <t>(LOCAL)</t>
    </r>
  </si>
  <si>
    <r>
      <t xml:space="preserve">SOUL KITCHEN </t>
    </r>
    <r>
      <rPr>
        <b/>
        <sz val="10"/>
        <color indexed="12"/>
        <rFont val="Arial Black"/>
        <family val="2"/>
      </rPr>
      <t>(NEW)</t>
    </r>
  </si>
  <si>
    <r>
      <t xml:space="preserve">LAW ABIDING CITIZEN </t>
    </r>
    <r>
      <rPr>
        <b/>
        <sz val="10"/>
        <color indexed="12"/>
        <rFont val="Arial Black"/>
        <family val="2"/>
      </rPr>
      <t>(NEW)</t>
    </r>
  </si>
  <si>
    <r>
      <t xml:space="preserve">NEŞELİ HAYAT </t>
    </r>
    <r>
      <rPr>
        <b/>
        <sz val="10"/>
        <color indexed="10"/>
        <rFont val="Arial Black"/>
        <family val="2"/>
      </rPr>
      <t>(LOCAL)</t>
    </r>
  </si>
  <si>
    <r>
      <t>VAVİEN</t>
    </r>
    <r>
      <rPr>
        <b/>
        <sz val="10"/>
        <color indexed="10"/>
        <rFont val="Arial Black"/>
        <family val="2"/>
      </rPr>
      <t xml:space="preserve"> (LOCAL)</t>
    </r>
  </si>
  <si>
    <r>
      <t xml:space="preserve">ACI AŞK </t>
    </r>
    <r>
      <rPr>
        <b/>
        <sz val="10"/>
        <color indexed="10"/>
        <rFont val="Arial Black"/>
        <family val="2"/>
      </rPr>
      <t>(LOCAL)</t>
    </r>
  </si>
  <si>
    <r>
      <t xml:space="preserve">GECENİN KANATLARI </t>
    </r>
    <r>
      <rPr>
        <b/>
        <sz val="10"/>
        <color indexed="10"/>
        <rFont val="Arial Black"/>
        <family val="2"/>
      </rPr>
      <t>(LOCAL)</t>
    </r>
  </si>
  <si>
    <r>
      <t xml:space="preserve">BAŞKA DİLDE AŞK </t>
    </r>
    <r>
      <rPr>
        <b/>
        <sz val="10"/>
        <color indexed="10"/>
        <rFont val="Arial Black"/>
        <family val="2"/>
      </rPr>
      <t>(LOCAL)</t>
    </r>
  </si>
  <si>
    <r>
      <t xml:space="preserve">CHERI </t>
    </r>
    <r>
      <rPr>
        <b/>
        <sz val="10"/>
        <color indexed="12"/>
        <rFont val="Arial Black"/>
        <family val="2"/>
      </rPr>
      <t>(NEW)</t>
    </r>
  </si>
  <si>
    <r>
      <t xml:space="preserve">KURTLAR VADİSİ GLADİO </t>
    </r>
    <r>
      <rPr>
        <b/>
        <sz val="10"/>
        <color indexed="10"/>
        <rFont val="Arial Black"/>
        <family val="2"/>
      </rPr>
      <t>(LOCAL)</t>
    </r>
  </si>
  <si>
    <r>
      <t xml:space="preserve">7 KOCALI HÜRMÜZ </t>
    </r>
    <r>
      <rPr>
        <b/>
        <sz val="10"/>
        <color indexed="10"/>
        <rFont val="Arial Black"/>
        <family val="2"/>
      </rPr>
      <t>(LOCAL)</t>
    </r>
  </si>
  <si>
    <r>
      <t xml:space="preserve">AŞK GELİYORUM DEMEZ </t>
    </r>
    <r>
      <rPr>
        <b/>
        <sz val="10"/>
        <color indexed="10"/>
        <rFont val="Arial Black"/>
        <family val="2"/>
      </rPr>
      <t>(LOCAL)</t>
    </r>
  </si>
  <si>
    <r>
      <t xml:space="preserve">ADINI SEN KOY </t>
    </r>
    <r>
      <rPr>
        <b/>
        <sz val="10"/>
        <color indexed="10"/>
        <rFont val="Arial Black"/>
        <family val="2"/>
      </rPr>
      <t>(LOCAL)</t>
    </r>
  </si>
  <si>
    <r>
      <t xml:space="preserve">ABİMM </t>
    </r>
    <r>
      <rPr>
        <b/>
        <sz val="10"/>
        <color indexed="10"/>
        <rFont val="Arial Black"/>
        <family val="2"/>
      </rPr>
      <t>(LOCAL)</t>
    </r>
  </si>
  <si>
    <r>
      <t xml:space="preserve">NEFES: VATAN SAĞOLSUN </t>
    </r>
    <r>
      <rPr>
        <b/>
        <sz val="10"/>
        <color indexed="10"/>
        <rFont val="Arial Black"/>
        <family val="2"/>
      </rPr>
      <t>(LOCAL)</t>
    </r>
  </si>
  <si>
    <r>
      <t xml:space="preserve">İKİ DİL BİR BAVUL </t>
    </r>
    <r>
      <rPr>
        <b/>
        <sz val="10"/>
        <color indexed="10"/>
        <rFont val="Arial Black"/>
        <family val="2"/>
      </rPr>
      <t>(LOCAL)</t>
    </r>
  </si>
  <si>
    <r>
      <t xml:space="preserve">KOLPAÇİNO </t>
    </r>
    <r>
      <rPr>
        <b/>
        <sz val="10"/>
        <color indexed="10"/>
        <rFont val="Arial Black"/>
        <family val="2"/>
      </rPr>
      <t>(LOCAL)</t>
    </r>
  </si>
  <si>
    <r>
      <t xml:space="preserve">ORADA </t>
    </r>
    <r>
      <rPr>
        <b/>
        <sz val="10"/>
        <color indexed="10"/>
        <rFont val="Arial Black"/>
        <family val="2"/>
      </rPr>
      <t>(LOCAL)</t>
    </r>
  </si>
  <si>
    <r>
      <t xml:space="preserve">KISKANMAK </t>
    </r>
    <r>
      <rPr>
        <b/>
        <sz val="10"/>
        <color indexed="10"/>
        <rFont val="Arial Black"/>
        <family val="2"/>
      </rPr>
      <t>(LOCAL)</t>
    </r>
  </si>
  <si>
    <r>
      <t xml:space="preserve">TÜRKLER ÇILDIRMIŞ OLMALI </t>
    </r>
    <r>
      <rPr>
        <b/>
        <sz val="10"/>
        <color indexed="10"/>
        <rFont val="Arial Black"/>
        <family val="2"/>
      </rPr>
      <t>(LOCAL)</t>
    </r>
  </si>
  <si>
    <r>
      <t xml:space="preserve">NOKTA </t>
    </r>
    <r>
      <rPr>
        <b/>
        <sz val="10"/>
        <color indexed="10"/>
        <rFont val="Arial Black"/>
        <family val="2"/>
      </rPr>
      <t>(LOCAL)</t>
    </r>
  </si>
  <si>
    <r>
      <t xml:space="preserve">BORNOVA BORNOVA </t>
    </r>
    <r>
      <rPr>
        <b/>
        <sz val="10"/>
        <color indexed="10"/>
        <rFont val="Arial Black"/>
        <family val="2"/>
      </rPr>
      <t>(LOCAL)</t>
    </r>
  </si>
  <si>
    <r>
      <t xml:space="preserve">SÜPÜRRR! </t>
    </r>
    <r>
      <rPr>
        <b/>
        <sz val="10"/>
        <color indexed="10"/>
        <rFont val="Arial Black"/>
        <family val="2"/>
      </rPr>
      <t>(LOCAL)</t>
    </r>
  </si>
  <si>
    <r>
      <t xml:space="preserve">KANAL-İ-ZASYON </t>
    </r>
    <r>
      <rPr>
        <b/>
        <sz val="10"/>
        <color indexed="10"/>
        <rFont val="Arial Black"/>
        <family val="2"/>
      </rPr>
      <t>(LOCAL)</t>
    </r>
  </si>
  <si>
    <r>
      <t xml:space="preserve">2010 Türkiye Annual Box Office Report  </t>
    </r>
    <r>
      <rPr>
        <b/>
        <sz val="16"/>
        <rFont val="Garamond"/>
        <family val="1"/>
      </rPr>
      <t>01-07 January 2010</t>
    </r>
  </si>
  <si>
    <r>
      <t>2010 Türkiye Ex Years Releases Annual Box Office Report</t>
    </r>
    <r>
      <rPr>
        <sz val="26"/>
        <rFont val="Garamond"/>
        <family val="1"/>
      </rPr>
      <t xml:space="preserve">  </t>
    </r>
    <r>
      <rPr>
        <b/>
        <sz val="16"/>
        <rFont val="Garamond"/>
        <family val="1"/>
      </rPr>
      <t>01-07 January 2010</t>
    </r>
  </si>
</sst>
</file>

<file path=xl/styles.xml><?xml version="1.0" encoding="utf-8"?>
<styleSheet xmlns="http://schemas.openxmlformats.org/spreadsheetml/2006/main">
  <numFmts count="54">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s>
  <fonts count="93">
    <font>
      <sz val="10"/>
      <name val="Arial"/>
      <family val="0"/>
    </font>
    <font>
      <u val="single"/>
      <sz val="8"/>
      <color indexed="36"/>
      <name val="Arial"/>
      <family val="0"/>
    </font>
    <font>
      <u val="single"/>
      <sz val="8"/>
      <color indexed="12"/>
      <name val="Arial"/>
      <family val="0"/>
    </font>
    <font>
      <sz val="14"/>
      <name val="Impact"/>
      <family val="2"/>
    </font>
    <font>
      <sz val="10"/>
      <name val="Impact"/>
      <family val="2"/>
    </font>
    <font>
      <sz val="14"/>
      <name val="Arial"/>
      <family val="2"/>
    </font>
    <font>
      <sz val="8"/>
      <name val="Trebuchet MS"/>
      <family val="2"/>
    </font>
    <font>
      <sz val="20"/>
      <name val="Impact"/>
      <family val="2"/>
    </font>
    <font>
      <sz val="10"/>
      <name val="Trebuchet MS"/>
      <family val="2"/>
    </font>
    <font>
      <sz val="10"/>
      <color indexed="9"/>
      <name val="Trebuchet MS"/>
      <family val="2"/>
    </font>
    <font>
      <sz val="8"/>
      <name val="Arial"/>
      <family val="2"/>
    </font>
    <font>
      <b/>
      <sz val="11"/>
      <name val="Century Gothic"/>
      <family val="2"/>
    </font>
    <font>
      <sz val="9"/>
      <name val="Trebuchet MS"/>
      <family val="2"/>
    </font>
    <font>
      <sz val="10"/>
      <color indexed="9"/>
      <name val="Arial"/>
      <family val="0"/>
    </font>
    <font>
      <b/>
      <sz val="8"/>
      <color indexed="9"/>
      <name val="Trebuchet MS"/>
      <family val="0"/>
    </font>
    <font>
      <sz val="8"/>
      <color indexed="9"/>
      <name val="Arial"/>
      <family val="2"/>
    </font>
    <font>
      <sz val="20"/>
      <color indexed="47"/>
      <name val="GoudyLight"/>
      <family val="0"/>
    </font>
    <font>
      <sz val="10"/>
      <color indexed="47"/>
      <name val="Arial"/>
      <family val="0"/>
    </font>
    <font>
      <sz val="9"/>
      <name val="Arial"/>
      <family val="0"/>
    </font>
    <font>
      <b/>
      <sz val="10"/>
      <name val="Garamond"/>
      <family val="1"/>
    </font>
    <font>
      <b/>
      <sz val="10"/>
      <color indexed="10"/>
      <name val="Garamond"/>
      <family val="1"/>
    </font>
    <font>
      <b/>
      <sz val="10"/>
      <color indexed="12"/>
      <name val="Garamond"/>
      <family val="1"/>
    </font>
    <font>
      <sz val="8"/>
      <name val="Garamond"/>
      <family val="1"/>
    </font>
    <font>
      <sz val="10"/>
      <name val="Garamond"/>
      <family val="1"/>
    </font>
    <font>
      <b/>
      <sz val="10"/>
      <name val="Verdana"/>
      <family val="2"/>
    </font>
    <font>
      <sz val="10"/>
      <name val="Verdana"/>
      <family val="2"/>
    </font>
    <font>
      <sz val="10"/>
      <color indexed="9"/>
      <name val="Verdana"/>
      <family val="2"/>
    </font>
    <font>
      <sz val="8"/>
      <name val="Verdana"/>
      <family val="2"/>
    </font>
    <font>
      <b/>
      <sz val="8"/>
      <name val="Verdana"/>
      <family val="2"/>
    </font>
    <font>
      <b/>
      <sz val="14"/>
      <color indexed="18"/>
      <name val="Verdana"/>
      <family val="2"/>
    </font>
    <font>
      <b/>
      <sz val="10"/>
      <color indexed="9"/>
      <name val="Verdana"/>
      <family val="2"/>
    </font>
    <font>
      <b/>
      <sz val="8"/>
      <color indexed="18"/>
      <name val="Verdana"/>
      <family val="2"/>
    </font>
    <font>
      <b/>
      <sz val="14"/>
      <name val="Verdana"/>
      <family val="2"/>
    </font>
    <font>
      <sz val="7"/>
      <color indexed="9"/>
      <name val="Verdana"/>
      <family val="2"/>
    </font>
    <font>
      <sz val="10"/>
      <color indexed="9"/>
      <name val="Garamond"/>
      <family val="1"/>
    </font>
    <font>
      <sz val="14"/>
      <name val="Arial Black"/>
      <family val="2"/>
    </font>
    <font>
      <sz val="10"/>
      <name val="Arial Black"/>
      <family val="2"/>
    </font>
    <font>
      <b/>
      <sz val="10"/>
      <name val="Arial Black"/>
      <family val="2"/>
    </font>
    <font>
      <b/>
      <sz val="10"/>
      <color indexed="10"/>
      <name val="Arial Black"/>
      <family val="2"/>
    </font>
    <font>
      <b/>
      <sz val="10"/>
      <color indexed="12"/>
      <name val="Arial Black"/>
      <family val="2"/>
    </font>
    <font>
      <sz val="8"/>
      <name val="Arial Black"/>
      <family val="2"/>
    </font>
    <font>
      <b/>
      <sz val="10"/>
      <color indexed="12"/>
      <name val="Verdana"/>
      <family val="2"/>
    </font>
    <font>
      <sz val="8"/>
      <color indexed="9"/>
      <name val="Verdana"/>
      <family val="2"/>
    </font>
    <font>
      <b/>
      <sz val="10"/>
      <color indexed="9"/>
      <name val="Garamond"/>
      <family val="1"/>
    </font>
    <font>
      <b/>
      <sz val="9"/>
      <name val="Verdana"/>
      <family val="2"/>
    </font>
    <font>
      <sz val="9"/>
      <name val="Verdana"/>
      <family val="2"/>
    </font>
    <font>
      <b/>
      <sz val="9"/>
      <color indexed="9"/>
      <name val="Verdana"/>
      <family val="2"/>
    </font>
    <font>
      <sz val="9"/>
      <color indexed="9"/>
      <name val="Verdana"/>
      <family val="2"/>
    </font>
    <font>
      <i/>
      <sz val="9"/>
      <name val="Arial"/>
      <family val="2"/>
    </font>
    <font>
      <i/>
      <sz val="9"/>
      <color indexed="10"/>
      <name val="Arial"/>
      <family val="2"/>
    </font>
    <font>
      <sz val="26"/>
      <name val="Garamond"/>
      <family val="1"/>
    </font>
    <font>
      <sz val="16"/>
      <name val="Garamond"/>
      <family val="1"/>
    </font>
    <font>
      <b/>
      <sz val="16"/>
      <name val="Garamond"/>
      <family val="1"/>
    </font>
    <font>
      <sz val="10"/>
      <color indexed="9"/>
      <name val="Courier"/>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8"/>
      <name val="Garamond"/>
      <family val="0"/>
    </font>
    <font>
      <sz val="26"/>
      <color indexed="8"/>
      <name val="Garamond"/>
      <family val="0"/>
    </font>
    <font>
      <sz val="21"/>
      <color indexed="8"/>
      <name val="Bookman Old Style"/>
      <family val="0"/>
    </font>
    <font>
      <sz val="20"/>
      <color indexed="8"/>
      <name val="Bookman Old Style"/>
      <family val="0"/>
    </font>
    <font>
      <sz val="18"/>
      <color indexed="8"/>
      <name val="Bookman Old Styl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9"/>
        <bgColor indexed="64"/>
      </patternFill>
    </fill>
    <fill>
      <patternFill patternType="solid">
        <fgColor indexed="47"/>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color indexed="63"/>
      </top>
      <bottom style="hair"/>
    </border>
    <border>
      <left style="hair"/>
      <right style="hair"/>
      <top style="hair"/>
      <bottom style="hair"/>
    </border>
    <border>
      <left style="medium"/>
      <right style="hair"/>
      <top style="medium"/>
      <bottom style="hair"/>
    </border>
    <border>
      <left style="hair"/>
      <right style="hair"/>
      <top style="medium"/>
      <bottom style="hair"/>
    </border>
    <border>
      <left style="medium"/>
      <right style="hair"/>
      <top style="hair"/>
      <bottom style="hair"/>
    </border>
    <border>
      <left style="hair"/>
      <right style="hair"/>
      <top style="hair"/>
      <bottom style="medium"/>
    </border>
    <border>
      <left style="hair"/>
      <right>
        <color indexed="63"/>
      </right>
      <top style="hair"/>
      <bottom style="hair"/>
    </border>
    <border>
      <left style="hair"/>
      <right>
        <color indexed="63"/>
      </right>
      <top style="hair"/>
      <bottom>
        <color indexed="63"/>
      </bottom>
    </border>
    <border>
      <left style="thin"/>
      <right>
        <color indexed="63"/>
      </right>
      <top style="thin"/>
      <bottom style="medium"/>
    </border>
    <border>
      <left style="hair"/>
      <right>
        <color indexed="63"/>
      </right>
      <top>
        <color indexed="63"/>
      </top>
      <bottom style="hair"/>
    </border>
    <border>
      <left style="hair"/>
      <right style="medium"/>
      <top style="medium"/>
      <bottom style="hair"/>
    </border>
    <border>
      <left style="hair"/>
      <right style="medium"/>
      <top style="hair"/>
      <bottom style="hair"/>
    </border>
    <border>
      <left style="hair"/>
      <right style="medium"/>
      <top style="hair"/>
      <bottom style="medium"/>
    </border>
    <border>
      <left>
        <color indexed="63"/>
      </left>
      <right style="hair"/>
      <top style="hair"/>
      <bottom style="hair"/>
    </border>
    <border>
      <left style="medium"/>
      <right style="hair"/>
      <top style="hair"/>
      <bottom style="medium"/>
    </border>
    <border>
      <left style="medium"/>
      <right style="hair"/>
      <top>
        <color indexed="63"/>
      </top>
      <bottom style="hair"/>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style="medium"/>
      <top>
        <color indexed="63"/>
      </top>
      <bottom style="hair"/>
    </border>
    <border>
      <left style="medium"/>
      <right>
        <color indexed="63"/>
      </right>
      <top>
        <color indexed="63"/>
      </top>
      <bottom style="hair"/>
    </border>
    <border>
      <left style="medium"/>
      <right>
        <color indexed="63"/>
      </right>
      <top style="hair"/>
      <bottom style="medium"/>
    </border>
    <border>
      <left style="medium"/>
      <right style="hair"/>
      <top>
        <color indexed="63"/>
      </top>
      <bottom style="medium"/>
    </border>
    <border>
      <left style="hair"/>
      <right style="hair"/>
      <top>
        <color indexed="63"/>
      </top>
      <bottom style="medium"/>
    </border>
    <border>
      <left>
        <color indexed="63"/>
      </left>
      <right>
        <color indexed="63"/>
      </right>
      <top>
        <color indexed="63"/>
      </top>
      <bottom style="medium"/>
    </border>
    <border>
      <left style="hair"/>
      <right style="medium"/>
      <top>
        <color indexed="63"/>
      </top>
      <bottom style="medium"/>
    </border>
    <border>
      <left style="thin"/>
      <right style="thin"/>
      <top style="medium"/>
      <bottom>
        <color indexed="63"/>
      </bottom>
    </border>
    <border>
      <left style="thin"/>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hair"/>
      <bottom style="hair"/>
    </border>
    <border>
      <left>
        <color indexed="63"/>
      </left>
      <right style="hair"/>
      <top>
        <color indexed="63"/>
      </top>
      <bottom style="hair"/>
    </border>
    <border>
      <left>
        <color indexed="63"/>
      </left>
      <right style="medium"/>
      <top style="medium"/>
      <bottom style="thin"/>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thin"/>
      <top style="medium"/>
      <bottom style="thin"/>
    </border>
    <border>
      <left style="medium"/>
      <right style="thin"/>
      <top style="medium"/>
      <bottom style="thin"/>
    </border>
    <border>
      <left style="medium"/>
      <right style="thin"/>
      <top style="thin"/>
      <bottom>
        <color indexed="63"/>
      </bottom>
    </border>
    <border>
      <left style="thin"/>
      <right style="medium"/>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171" fontId="0" fillId="0" borderId="0" applyFont="0" applyFill="0" applyBorder="0" applyAlignment="0" applyProtection="0"/>
    <xf numFmtId="0" fontId="79" fillId="27" borderId="1" applyNumberFormat="0" applyAlignment="0" applyProtection="0"/>
    <xf numFmtId="0" fontId="8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1" fillId="0" borderId="0" applyNumberFormat="0" applyFill="0" applyBorder="0" applyAlignment="0" applyProtection="0"/>
    <xf numFmtId="0" fontId="1"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2"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315">
    <xf numFmtId="0" fontId="0" fillId="0" borderId="0" xfId="0" applyAlignment="1">
      <alignment/>
    </xf>
    <xf numFmtId="0" fontId="3" fillId="0" borderId="0" xfId="0" applyFont="1" applyFill="1" applyBorder="1" applyAlignment="1" applyProtection="1">
      <alignment vertical="center"/>
      <protection locked="0"/>
    </xf>
    <xf numFmtId="0" fontId="4"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184" fontId="3" fillId="0" borderId="0" xfId="0" applyNumberFormat="1" applyFont="1" applyFill="1" applyBorder="1" applyAlignment="1" applyProtection="1">
      <alignment horizontal="center" vertical="center"/>
      <protection/>
    </xf>
    <xf numFmtId="184" fontId="6" fillId="0" borderId="0" xfId="0" applyNumberFormat="1" applyFont="1" applyFill="1" applyBorder="1" applyAlignment="1" applyProtection="1">
      <alignment horizontal="center" vertical="center"/>
      <protection locked="0"/>
    </xf>
    <xf numFmtId="184" fontId="5"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protection/>
    </xf>
    <xf numFmtId="0" fontId="6" fillId="0" borderId="0"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8" fillId="0" borderId="0" xfId="0" applyFont="1" applyFill="1" applyBorder="1" applyAlignment="1" applyProtection="1">
      <alignment vertical="center"/>
      <protection locked="0"/>
    </xf>
    <xf numFmtId="0" fontId="11" fillId="0" borderId="0" xfId="0" applyFont="1" applyFill="1" applyBorder="1" applyAlignment="1">
      <alignment horizontal="center" vertical="center"/>
    </xf>
    <xf numFmtId="0" fontId="0" fillId="0" borderId="0" xfId="0" applyBorder="1" applyAlignment="1">
      <alignment vertical="center"/>
    </xf>
    <xf numFmtId="184" fontId="9" fillId="33" borderId="10" xfId="0" applyNumberFormat="1" applyFont="1" applyFill="1" applyBorder="1" applyAlignment="1">
      <alignment horizontal="center" vertical="center"/>
    </xf>
    <xf numFmtId="0" fontId="14" fillId="0" borderId="0" xfId="0" applyFont="1" applyFill="1" applyBorder="1" applyAlignment="1" applyProtection="1">
      <alignment vertical="center"/>
      <protection locked="0"/>
    </xf>
    <xf numFmtId="184" fontId="0" fillId="0" borderId="0" xfId="0" applyNumberFormat="1" applyAlignment="1">
      <alignment horizontal="center" vertical="center"/>
    </xf>
    <xf numFmtId="3" fontId="0" fillId="0" borderId="0" xfId="0" applyNumberFormat="1" applyBorder="1" applyAlignment="1">
      <alignment vertical="center"/>
    </xf>
    <xf numFmtId="4" fontId="0" fillId="0" borderId="0" xfId="0" applyNumberFormat="1" applyBorder="1" applyAlignment="1">
      <alignment vertical="center"/>
    </xf>
    <xf numFmtId="184" fontId="0" fillId="0" borderId="0" xfId="0" applyNumberFormat="1" applyAlignment="1">
      <alignment horizontal="center"/>
    </xf>
    <xf numFmtId="3" fontId="12" fillId="0" borderId="0" xfId="0" applyNumberFormat="1" applyFont="1" applyFill="1" applyBorder="1" applyAlignment="1">
      <alignment horizontal="center" vertical="center"/>
    </xf>
    <xf numFmtId="4" fontId="12" fillId="0" borderId="0" xfId="0" applyNumberFormat="1" applyFont="1" applyFill="1" applyBorder="1" applyAlignment="1">
      <alignment horizontal="center" vertical="center"/>
    </xf>
    <xf numFmtId="0" fontId="9" fillId="33" borderId="10" xfId="0" applyFont="1" applyFill="1" applyBorder="1" applyAlignment="1">
      <alignment horizontal="left" vertical="center"/>
    </xf>
    <xf numFmtId="0" fontId="0" fillId="0" borderId="0" xfId="0" applyAlignment="1">
      <alignment horizontal="left"/>
    </xf>
    <xf numFmtId="0" fontId="0" fillId="0" borderId="0" xfId="0" applyAlignment="1">
      <alignment horizontal="left" vertical="center"/>
    </xf>
    <xf numFmtId="0" fontId="13" fillId="0" borderId="0" xfId="0" applyFont="1" applyFill="1" applyAlignment="1">
      <alignment/>
    </xf>
    <xf numFmtId="3" fontId="10" fillId="0" borderId="0" xfId="0" applyNumberFormat="1" applyFont="1" applyFill="1" applyBorder="1" applyAlignment="1">
      <alignment vertical="center"/>
    </xf>
    <xf numFmtId="4" fontId="10" fillId="0" borderId="0" xfId="0" applyNumberFormat="1" applyFont="1" applyFill="1" applyBorder="1" applyAlignment="1">
      <alignment vertical="center"/>
    </xf>
    <xf numFmtId="0" fontId="10" fillId="0" borderId="0" xfId="0" applyFont="1" applyBorder="1" applyAlignment="1">
      <alignment vertical="center"/>
    </xf>
    <xf numFmtId="4" fontId="15" fillId="0" borderId="0" xfId="0" applyNumberFormat="1" applyFont="1" applyFill="1" applyBorder="1" applyAlignment="1">
      <alignment horizontal="right" vertical="center"/>
    </xf>
    <xf numFmtId="4" fontId="13" fillId="0" borderId="0" xfId="0" applyNumberFormat="1" applyFont="1" applyFill="1" applyBorder="1" applyAlignment="1">
      <alignment horizontal="right" vertical="center"/>
    </xf>
    <xf numFmtId="184" fontId="22" fillId="34" borderId="11" xfId="0" applyNumberFormat="1" applyFont="1" applyFill="1" applyBorder="1" applyAlignment="1">
      <alignment horizontal="center" vertical="center"/>
    </xf>
    <xf numFmtId="14" fontId="22" fillId="34" borderId="11" xfId="0" applyNumberFormat="1" applyFont="1" applyFill="1" applyBorder="1" applyAlignment="1">
      <alignment vertical="center"/>
    </xf>
    <xf numFmtId="184" fontId="22" fillId="0" borderId="11" xfId="0" applyNumberFormat="1" applyFont="1" applyFill="1" applyBorder="1" applyAlignment="1">
      <alignment horizontal="center" vertical="center"/>
    </xf>
    <xf numFmtId="0" fontId="22" fillId="0" borderId="11" xfId="0" applyFont="1" applyFill="1" applyBorder="1" applyAlignment="1">
      <alignment vertical="center"/>
    </xf>
    <xf numFmtId="184" fontId="22" fillId="0" borderId="11" xfId="0" applyNumberFormat="1" applyFont="1" applyFill="1" applyBorder="1" applyAlignment="1" applyProtection="1">
      <alignment horizontal="center" vertical="center"/>
      <protection locked="0"/>
    </xf>
    <xf numFmtId="184" fontId="22" fillId="0" borderId="11" xfId="0" applyNumberFormat="1" applyFont="1" applyFill="1" applyBorder="1" applyAlignment="1" applyProtection="1">
      <alignment vertical="center"/>
      <protection locked="0"/>
    </xf>
    <xf numFmtId="0" fontId="22" fillId="0" borderId="11" xfId="0" applyFont="1" applyFill="1" applyBorder="1" applyAlignment="1" applyProtection="1">
      <alignment vertical="center"/>
      <protection locked="0"/>
    </xf>
    <xf numFmtId="0" fontId="22" fillId="0" borderId="11" xfId="0" applyNumberFormat="1" applyFont="1" applyFill="1" applyBorder="1" applyAlignment="1" applyProtection="1">
      <alignment vertical="center"/>
      <protection locked="0"/>
    </xf>
    <xf numFmtId="49" fontId="22" fillId="0" borderId="11" xfId="0" applyNumberFormat="1" applyFont="1" applyFill="1" applyBorder="1" applyAlignment="1" applyProtection="1">
      <alignment vertical="center"/>
      <protection locked="0"/>
    </xf>
    <xf numFmtId="0" fontId="19" fillId="34" borderId="12" xfId="0" applyFont="1" applyFill="1" applyBorder="1" applyAlignment="1">
      <alignment horizontal="left" vertical="center"/>
    </xf>
    <xf numFmtId="184" fontId="22" fillId="34" borderId="13" xfId="0" applyNumberFormat="1" applyFont="1" applyFill="1" applyBorder="1" applyAlignment="1">
      <alignment horizontal="center" vertical="center"/>
    </xf>
    <xf numFmtId="14" fontId="22" fillId="34" borderId="13" xfId="0" applyNumberFormat="1" applyFont="1" applyFill="1" applyBorder="1" applyAlignment="1">
      <alignment vertical="center"/>
    </xf>
    <xf numFmtId="0" fontId="19" fillId="0" borderId="14" xfId="0" applyFont="1" applyFill="1" applyBorder="1" applyAlignment="1">
      <alignment horizontal="left" vertical="center"/>
    </xf>
    <xf numFmtId="184" fontId="22" fillId="0" borderId="15" xfId="0" applyNumberFormat="1" applyFont="1" applyFill="1" applyBorder="1" applyAlignment="1">
      <alignment horizontal="center" vertical="center"/>
    </xf>
    <xf numFmtId="0" fontId="22" fillId="0" borderId="15" xfId="0" applyFont="1" applyFill="1" applyBorder="1" applyAlignment="1">
      <alignment vertical="center"/>
    </xf>
    <xf numFmtId="1" fontId="24" fillId="0" borderId="0" xfId="0" applyNumberFormat="1" applyFont="1" applyFill="1" applyBorder="1" applyAlignment="1" applyProtection="1">
      <alignment horizontal="right" vertical="center"/>
      <protection/>
    </xf>
    <xf numFmtId="0" fontId="24" fillId="0" borderId="16" xfId="0" applyFont="1" applyBorder="1" applyAlignment="1" applyProtection="1">
      <alignment vertical="center"/>
      <protection locked="0"/>
    </xf>
    <xf numFmtId="0" fontId="24" fillId="0" borderId="17" xfId="0" applyFont="1" applyBorder="1" applyAlignment="1" applyProtection="1">
      <alignment vertical="center"/>
      <protection locked="0"/>
    </xf>
    <xf numFmtId="0" fontId="24" fillId="0" borderId="18" xfId="0" applyFont="1" applyBorder="1" applyAlignment="1" applyProtection="1">
      <alignment vertical="center"/>
      <protection locked="0"/>
    </xf>
    <xf numFmtId="0" fontId="24" fillId="0" borderId="19" xfId="0" applyFont="1" applyBorder="1" applyAlignment="1" applyProtection="1">
      <alignment vertical="center"/>
      <protection locked="0"/>
    </xf>
    <xf numFmtId="1" fontId="24" fillId="0" borderId="0" xfId="0" applyNumberFormat="1" applyFont="1" applyFill="1" applyBorder="1" applyAlignment="1" applyProtection="1">
      <alignment horizontal="right" vertical="center"/>
      <protection locked="0"/>
    </xf>
    <xf numFmtId="0" fontId="27" fillId="0" borderId="0" xfId="0" applyNumberFormat="1" applyFont="1" applyFill="1" applyBorder="1" applyAlignment="1" applyProtection="1">
      <alignment horizontal="center" vertical="center"/>
      <protection locked="0"/>
    </xf>
    <xf numFmtId="187" fontId="28" fillId="0" borderId="0" xfId="0" applyNumberFormat="1" applyFont="1" applyFill="1" applyBorder="1" applyAlignment="1" applyProtection="1">
      <alignment horizontal="center" vertical="center"/>
      <protection locked="0"/>
    </xf>
    <xf numFmtId="200" fontId="29" fillId="0" borderId="0" xfId="0" applyNumberFormat="1" applyFont="1" applyFill="1" applyBorder="1" applyAlignment="1" applyProtection="1">
      <alignment horizontal="right" vertical="center"/>
      <protection/>
    </xf>
    <xf numFmtId="4" fontId="24" fillId="34" borderId="13" xfId="0" applyNumberFormat="1" applyFont="1" applyFill="1" applyBorder="1" applyAlignment="1">
      <alignment horizontal="right" vertical="center"/>
    </xf>
    <xf numFmtId="4" fontId="24" fillId="0" borderId="11" xfId="40" applyNumberFormat="1" applyFont="1" applyFill="1" applyBorder="1" applyAlignment="1" applyProtection="1">
      <alignment horizontal="right" vertical="center"/>
      <protection locked="0"/>
    </xf>
    <xf numFmtId="4" fontId="24" fillId="0" borderId="11" xfId="0" applyNumberFormat="1" applyFont="1" applyFill="1" applyBorder="1" applyAlignment="1">
      <alignment horizontal="right" vertical="center"/>
    </xf>
    <xf numFmtId="4" fontId="24" fillId="0" borderId="11" xfId="45" applyNumberFormat="1" applyFont="1" applyFill="1" applyBorder="1" applyAlignment="1" applyProtection="1">
      <alignment horizontal="right" vertical="center"/>
      <protection locked="0"/>
    </xf>
    <xf numFmtId="4" fontId="24" fillId="34" borderId="11" xfId="0" applyNumberFormat="1" applyFont="1" applyFill="1" applyBorder="1" applyAlignment="1">
      <alignment horizontal="right" vertical="center"/>
    </xf>
    <xf numFmtId="4" fontId="24" fillId="0" borderId="11" xfId="43" applyNumberFormat="1" applyFont="1" applyFill="1" applyBorder="1" applyAlignment="1" applyProtection="1">
      <alignment horizontal="right" vertical="center"/>
      <protection locked="0"/>
    </xf>
    <xf numFmtId="4" fontId="24" fillId="0" borderId="11" xfId="43" applyNumberFormat="1" applyFont="1" applyFill="1" applyBorder="1" applyAlignment="1" applyProtection="1">
      <alignment horizontal="right" vertical="center"/>
      <protection/>
    </xf>
    <xf numFmtId="4" fontId="24" fillId="0" borderId="15" xfId="40" applyNumberFormat="1" applyFont="1" applyFill="1" applyBorder="1" applyAlignment="1" applyProtection="1">
      <alignment horizontal="right" vertical="center"/>
      <protection locked="0"/>
    </xf>
    <xf numFmtId="200" fontId="30" fillId="33" borderId="10" xfId="0" applyNumberFormat="1" applyFont="1" applyFill="1" applyBorder="1" applyAlignment="1">
      <alignment horizontal="right" vertical="center"/>
    </xf>
    <xf numFmtId="200" fontId="31" fillId="0" borderId="0" xfId="0" applyNumberFormat="1" applyFont="1" applyFill="1" applyBorder="1" applyAlignment="1" applyProtection="1">
      <alignment horizontal="right" vertical="center"/>
      <protection locked="0"/>
    </xf>
    <xf numFmtId="200" fontId="24" fillId="0" borderId="0" xfId="0" applyNumberFormat="1" applyFont="1" applyAlignment="1">
      <alignment horizontal="right" vertical="center"/>
    </xf>
    <xf numFmtId="200" fontId="29" fillId="0" borderId="0" xfId="0" applyNumberFormat="1" applyFont="1" applyFill="1" applyBorder="1" applyAlignment="1" applyProtection="1">
      <alignment horizontal="right" vertical="center"/>
      <protection locked="0"/>
    </xf>
    <xf numFmtId="193" fontId="32" fillId="0" borderId="0" xfId="0" applyNumberFormat="1" applyFont="1" applyFill="1" applyBorder="1" applyAlignment="1" applyProtection="1">
      <alignment horizontal="right" vertical="center"/>
      <protection/>
    </xf>
    <xf numFmtId="3" fontId="24" fillId="0" borderId="11" xfId="40" applyNumberFormat="1" applyFont="1" applyFill="1" applyBorder="1" applyAlignment="1" applyProtection="1">
      <alignment horizontal="right" vertical="center"/>
      <protection locked="0"/>
    </xf>
    <xf numFmtId="3" fontId="24" fillId="0" borderId="11" xfId="0" applyNumberFormat="1" applyFont="1" applyFill="1" applyBorder="1" applyAlignment="1">
      <alignment horizontal="right" vertical="center"/>
    </xf>
    <xf numFmtId="3" fontId="24" fillId="0" borderId="11" xfId="45" applyNumberFormat="1" applyFont="1" applyFill="1" applyBorder="1" applyAlignment="1" applyProtection="1">
      <alignment horizontal="right" vertical="center"/>
      <protection locked="0"/>
    </xf>
    <xf numFmtId="3" fontId="24" fillId="34" borderId="11" xfId="0" applyNumberFormat="1" applyFont="1" applyFill="1" applyBorder="1" applyAlignment="1">
      <alignment horizontal="right" vertical="center"/>
    </xf>
    <xf numFmtId="3" fontId="24" fillId="0" borderId="11" xfId="43" applyNumberFormat="1" applyFont="1" applyFill="1" applyBorder="1" applyAlignment="1" applyProtection="1">
      <alignment horizontal="right" vertical="center"/>
      <protection locked="0"/>
    </xf>
    <xf numFmtId="3" fontId="24" fillId="0" borderId="11" xfId="43" applyNumberFormat="1" applyFont="1" applyFill="1" applyBorder="1" applyAlignment="1" applyProtection="1">
      <alignment horizontal="right" vertical="center"/>
      <protection/>
    </xf>
    <xf numFmtId="3" fontId="24" fillId="0" borderId="15" xfId="40" applyNumberFormat="1" applyFont="1" applyFill="1" applyBorder="1" applyAlignment="1" applyProtection="1">
      <alignment horizontal="right" vertical="center"/>
      <protection locked="0"/>
    </xf>
    <xf numFmtId="193" fontId="30" fillId="33" borderId="10" xfId="0" applyNumberFormat="1" applyFont="1" applyFill="1" applyBorder="1" applyAlignment="1">
      <alignment horizontal="right" vertical="center"/>
    </xf>
    <xf numFmtId="193" fontId="28" fillId="0" borderId="0" xfId="0" applyNumberFormat="1" applyFont="1" applyFill="1" applyBorder="1" applyAlignment="1" applyProtection="1">
      <alignment horizontal="right" vertical="center"/>
      <protection locked="0"/>
    </xf>
    <xf numFmtId="193" fontId="24" fillId="0" borderId="0" xfId="0" applyNumberFormat="1" applyFont="1" applyAlignment="1">
      <alignment horizontal="right" vertical="center"/>
    </xf>
    <xf numFmtId="193" fontId="32" fillId="0" borderId="0" xfId="0" applyNumberFormat="1" applyFont="1" applyFill="1" applyBorder="1" applyAlignment="1" applyProtection="1">
      <alignment horizontal="right" vertical="center"/>
      <protection locked="0"/>
    </xf>
    <xf numFmtId="2" fontId="25" fillId="34" borderId="20" xfId="0" applyNumberFormat="1" applyFont="1" applyFill="1" applyBorder="1" applyAlignment="1">
      <alignment vertical="center"/>
    </xf>
    <xf numFmtId="2" fontId="25" fillId="0" borderId="21" xfId="40" applyNumberFormat="1" applyFont="1" applyFill="1" applyBorder="1" applyAlignment="1" applyProtection="1">
      <alignment vertical="center"/>
      <protection/>
    </xf>
    <xf numFmtId="2" fontId="25" fillId="0" borderId="22" xfId="40" applyNumberFormat="1" applyFont="1" applyFill="1" applyBorder="1" applyAlignment="1" applyProtection="1">
      <alignment vertical="center"/>
      <protection/>
    </xf>
    <xf numFmtId="0" fontId="33" fillId="0" borderId="0" xfId="0" applyFont="1" applyFill="1" applyBorder="1" applyAlignment="1" applyProtection="1">
      <alignment vertical="center"/>
      <protection locked="0"/>
    </xf>
    <xf numFmtId="0" fontId="19" fillId="0" borderId="0" xfId="0" applyFont="1" applyFill="1" applyBorder="1" applyAlignment="1" applyProtection="1">
      <alignment horizontal="center" vertical="center" wrapText="1"/>
      <protection locked="0"/>
    </xf>
    <xf numFmtId="184" fontId="22" fillId="0" borderId="10" xfId="0" applyNumberFormat="1" applyFont="1" applyFill="1" applyBorder="1" applyAlignment="1">
      <alignment horizontal="center" vertical="center"/>
    </xf>
    <xf numFmtId="0" fontId="22" fillId="0" borderId="10" xfId="0" applyFont="1" applyFill="1" applyBorder="1" applyAlignment="1">
      <alignment vertical="center"/>
    </xf>
    <xf numFmtId="4" fontId="24" fillId="0" borderId="10" xfId="40" applyNumberFormat="1" applyFont="1" applyFill="1" applyBorder="1" applyAlignment="1" applyProtection="1">
      <alignment horizontal="right" vertical="center"/>
      <protection locked="0"/>
    </xf>
    <xf numFmtId="3" fontId="24" fillId="0" borderId="10" xfId="40" applyNumberFormat="1" applyFont="1" applyFill="1" applyBorder="1" applyAlignment="1" applyProtection="1">
      <alignment horizontal="right" vertical="center"/>
      <protection locked="0"/>
    </xf>
    <xf numFmtId="4" fontId="24" fillId="0" borderId="15" xfId="0" applyNumberFormat="1" applyFont="1" applyFill="1" applyBorder="1" applyAlignment="1">
      <alignment horizontal="right" vertical="center"/>
    </xf>
    <xf numFmtId="3" fontId="24" fillId="0" borderId="15" xfId="0" applyNumberFormat="1" applyFont="1" applyFill="1" applyBorder="1" applyAlignment="1">
      <alignment horizontal="right" vertical="center"/>
    </xf>
    <xf numFmtId="0" fontId="26" fillId="0" borderId="23" xfId="0" applyFont="1" applyFill="1" applyBorder="1" applyAlignment="1" applyProtection="1">
      <alignment vertical="center"/>
      <protection locked="0"/>
    </xf>
    <xf numFmtId="0" fontId="23" fillId="0" borderId="0" xfId="0" applyFont="1" applyAlignment="1">
      <alignment/>
    </xf>
    <xf numFmtId="171" fontId="35" fillId="0" borderId="0" xfId="43" applyFont="1" applyFill="1" applyBorder="1" applyAlignment="1" applyProtection="1">
      <alignment vertical="center"/>
      <protection/>
    </xf>
    <xf numFmtId="0" fontId="37" fillId="34" borderId="12" xfId="0" applyFont="1" applyFill="1" applyBorder="1" applyAlignment="1">
      <alignment horizontal="left" vertical="center"/>
    </xf>
    <xf numFmtId="0" fontId="37" fillId="0" borderId="14" xfId="0" applyFont="1" applyFill="1" applyBorder="1" applyAlignment="1">
      <alignment horizontal="left" vertical="center"/>
    </xf>
    <xf numFmtId="0" fontId="37" fillId="0" borderId="24" xfId="0" applyFont="1" applyFill="1" applyBorder="1" applyAlignment="1">
      <alignment horizontal="left" vertical="center"/>
    </xf>
    <xf numFmtId="0" fontId="37" fillId="0" borderId="25" xfId="0" applyFont="1" applyFill="1" applyBorder="1" applyAlignment="1">
      <alignment horizontal="left" vertical="center"/>
    </xf>
    <xf numFmtId="0" fontId="37" fillId="0" borderId="14" xfId="0" applyFont="1" applyFill="1" applyBorder="1" applyAlignment="1" applyProtection="1">
      <alignment horizontal="left" vertical="center"/>
      <protection locked="0"/>
    </xf>
    <xf numFmtId="0" fontId="37" fillId="0" borderId="14" xfId="0" applyNumberFormat="1" applyFont="1" applyFill="1" applyBorder="1" applyAlignment="1" applyProtection="1">
      <alignment horizontal="left" vertical="center"/>
      <protection locked="0"/>
    </xf>
    <xf numFmtId="0" fontId="37" fillId="34" borderId="14" xfId="0" applyFont="1" applyFill="1" applyBorder="1" applyAlignment="1">
      <alignment horizontal="left" vertical="center"/>
    </xf>
    <xf numFmtId="0" fontId="40" fillId="0" borderId="0" xfId="0" applyFont="1" applyFill="1" applyBorder="1" applyAlignment="1" applyProtection="1">
      <alignment vertical="center"/>
      <protection locked="0"/>
    </xf>
    <xf numFmtId="0" fontId="36" fillId="0" borderId="0" xfId="0" applyFont="1" applyAlignment="1">
      <alignment/>
    </xf>
    <xf numFmtId="0" fontId="36" fillId="0" borderId="0" xfId="0" applyFont="1" applyAlignment="1">
      <alignment vertical="center" readingOrder="1"/>
    </xf>
    <xf numFmtId="0" fontId="35" fillId="0" borderId="0" xfId="0" applyFont="1" applyFill="1" applyBorder="1" applyAlignment="1" applyProtection="1">
      <alignment vertical="center"/>
      <protection locked="0"/>
    </xf>
    <xf numFmtId="4" fontId="41" fillId="34" borderId="13" xfId="0" applyNumberFormat="1" applyFont="1" applyFill="1" applyBorder="1" applyAlignment="1">
      <alignment horizontal="right" vertical="center"/>
    </xf>
    <xf numFmtId="3" fontId="41" fillId="34" borderId="13" xfId="0" applyNumberFormat="1" applyFont="1" applyFill="1" applyBorder="1" applyAlignment="1">
      <alignment horizontal="right" vertical="center"/>
    </xf>
    <xf numFmtId="4" fontId="41" fillId="0" borderId="11" xfId="40" applyNumberFormat="1" applyFont="1" applyFill="1" applyBorder="1" applyAlignment="1" applyProtection="1">
      <alignment horizontal="right" vertical="center"/>
      <protection locked="0"/>
    </xf>
    <xf numFmtId="3" fontId="41" fillId="0" borderId="11" xfId="40" applyNumberFormat="1" applyFont="1" applyFill="1" applyBorder="1" applyAlignment="1" applyProtection="1">
      <alignment horizontal="right" vertical="center"/>
      <protection locked="0"/>
    </xf>
    <xf numFmtId="0" fontId="27" fillId="0" borderId="0" xfId="0" applyNumberFormat="1" applyFont="1" applyFill="1" applyBorder="1" applyAlignment="1" applyProtection="1">
      <alignment horizontal="center" vertical="center"/>
      <protection/>
    </xf>
    <xf numFmtId="0" fontId="27" fillId="34" borderId="13"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15"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11" xfId="0" applyFont="1" applyFill="1" applyBorder="1" applyAlignment="1" applyProtection="1">
      <alignment horizontal="center" vertical="center"/>
      <protection locked="0"/>
    </xf>
    <xf numFmtId="0" fontId="27" fillId="0" borderId="11" xfId="0" applyNumberFormat="1" applyFont="1" applyFill="1" applyBorder="1" applyAlignment="1" applyProtection="1">
      <alignment horizontal="center" vertical="center"/>
      <protection locked="0"/>
    </xf>
    <xf numFmtId="0" fontId="27" fillId="34" borderId="11" xfId="0" applyFont="1" applyFill="1" applyBorder="1" applyAlignment="1">
      <alignment horizontal="center" vertical="center"/>
    </xf>
    <xf numFmtId="0" fontId="42" fillId="33" borderId="10" xfId="0" applyFont="1" applyFill="1" applyBorder="1" applyAlignment="1">
      <alignment horizontal="center" vertical="center"/>
    </xf>
    <xf numFmtId="3" fontId="42" fillId="33" borderId="10" xfId="0" applyNumberFormat="1" applyFont="1" applyFill="1" applyBorder="1" applyAlignment="1">
      <alignment horizontal="center" vertical="center"/>
    </xf>
    <xf numFmtId="0" fontId="27" fillId="0" borderId="0" xfId="0" applyFont="1" applyAlignment="1">
      <alignment horizontal="center"/>
    </xf>
    <xf numFmtId="0" fontId="28" fillId="0" borderId="0" xfId="0" applyFont="1" applyBorder="1" applyAlignment="1">
      <alignment horizontal="center" vertical="center"/>
    </xf>
    <xf numFmtId="0" fontId="27" fillId="0" borderId="0" xfId="0" applyFont="1" applyBorder="1" applyAlignment="1">
      <alignment horizontal="center"/>
    </xf>
    <xf numFmtId="0" fontId="27" fillId="0" borderId="0" xfId="0" applyFont="1" applyAlignment="1">
      <alignment horizontal="center" vertical="center"/>
    </xf>
    <xf numFmtId="1" fontId="19" fillId="0" borderId="26" xfId="0" applyNumberFormat="1" applyFont="1" applyFill="1" applyBorder="1" applyAlignment="1" applyProtection="1">
      <alignment horizontal="center" vertical="center" wrapText="1"/>
      <protection/>
    </xf>
    <xf numFmtId="0" fontId="43" fillId="0" borderId="0" xfId="0" applyFont="1" applyFill="1" applyBorder="1" applyAlignment="1" applyProtection="1">
      <alignment horizontal="center" vertical="center" wrapText="1"/>
      <protection locked="0"/>
    </xf>
    <xf numFmtId="1" fontId="43" fillId="0" borderId="27" xfId="0" applyNumberFormat="1" applyFont="1" applyFill="1" applyBorder="1" applyAlignment="1" applyProtection="1">
      <alignment horizontal="center" vertical="center" wrapText="1"/>
      <protection/>
    </xf>
    <xf numFmtId="200" fontId="19" fillId="0" borderId="28" xfId="0" applyNumberFormat="1" applyFont="1" applyFill="1" applyBorder="1" applyAlignment="1" applyProtection="1">
      <alignment horizontal="center" wrapText="1"/>
      <protection/>
    </xf>
    <xf numFmtId="193" fontId="19" fillId="0" borderId="28" xfId="0" applyNumberFormat="1" applyFont="1" applyFill="1" applyBorder="1" applyAlignment="1" applyProtection="1">
      <alignment horizontal="center" wrapText="1"/>
      <protection/>
    </xf>
    <xf numFmtId="192" fontId="19" fillId="0" borderId="28" xfId="0" applyNumberFormat="1" applyFont="1" applyFill="1" applyBorder="1" applyAlignment="1" applyProtection="1">
      <alignment horizontal="center" wrapText="1"/>
      <protection/>
    </xf>
    <xf numFmtId="192" fontId="19" fillId="0" borderId="29" xfId="0" applyNumberFormat="1" applyFont="1" applyFill="1" applyBorder="1" applyAlignment="1" applyProtection="1">
      <alignment horizontal="center" wrapText="1"/>
      <protection/>
    </xf>
    <xf numFmtId="193" fontId="44" fillId="0" borderId="0" xfId="0" applyNumberFormat="1" applyFont="1" applyFill="1" applyBorder="1" applyAlignment="1" applyProtection="1">
      <alignment horizontal="right" vertical="center"/>
      <protection/>
    </xf>
    <xf numFmtId="192" fontId="45" fillId="0" borderId="0" xfId="0" applyNumberFormat="1" applyFont="1" applyFill="1" applyBorder="1" applyAlignment="1" applyProtection="1">
      <alignment horizontal="right" vertical="center"/>
      <protection/>
    </xf>
    <xf numFmtId="200" fontId="45" fillId="0" borderId="0" xfId="0" applyNumberFormat="1" applyFont="1" applyFill="1" applyBorder="1" applyAlignment="1" applyProtection="1">
      <alignment horizontal="right" vertical="center"/>
      <protection/>
    </xf>
    <xf numFmtId="193" fontId="45" fillId="0" borderId="0" xfId="0" applyNumberFormat="1" applyFont="1" applyFill="1" applyBorder="1" applyAlignment="1" applyProtection="1">
      <alignment horizontal="right" vertical="center"/>
      <protection/>
    </xf>
    <xf numFmtId="3" fontId="45" fillId="34" borderId="13" xfId="0" applyNumberFormat="1" applyFont="1" applyFill="1" applyBorder="1" applyAlignment="1">
      <alignment horizontal="right" vertical="center"/>
    </xf>
    <xf numFmtId="2" fontId="45" fillId="34" borderId="13" xfId="0" applyNumberFormat="1" applyFont="1" applyFill="1" applyBorder="1" applyAlignment="1">
      <alignment vertical="center"/>
    </xf>
    <xf numFmtId="4" fontId="45" fillId="34" borderId="13" xfId="0" applyNumberFormat="1" applyFont="1" applyFill="1" applyBorder="1" applyAlignment="1">
      <alignment horizontal="right" vertical="center"/>
    </xf>
    <xf numFmtId="2" fontId="45" fillId="34" borderId="20" xfId="0" applyNumberFormat="1" applyFont="1" applyFill="1" applyBorder="1" applyAlignment="1">
      <alignment vertical="center"/>
    </xf>
    <xf numFmtId="3" fontId="45" fillId="0" borderId="11" xfId="40" applyNumberFormat="1" applyFont="1" applyFill="1" applyBorder="1" applyAlignment="1" applyProtection="1">
      <alignment horizontal="right" vertical="center"/>
      <protection/>
    </xf>
    <xf numFmtId="2" fontId="45" fillId="0" borderId="11" xfId="40" applyNumberFormat="1" applyFont="1" applyFill="1" applyBorder="1" applyAlignment="1" applyProtection="1">
      <alignment vertical="center"/>
      <protection/>
    </xf>
    <xf numFmtId="4" fontId="45" fillId="0" borderId="11" xfId="40" applyNumberFormat="1" applyFont="1" applyFill="1" applyBorder="1" applyAlignment="1" applyProtection="1">
      <alignment horizontal="right" vertical="center"/>
      <protection locked="0"/>
    </xf>
    <xf numFmtId="3" fontId="45" fillId="0" borderId="11" xfId="40" applyNumberFormat="1" applyFont="1" applyFill="1" applyBorder="1" applyAlignment="1" applyProtection="1">
      <alignment horizontal="right" vertical="center"/>
      <protection locked="0"/>
    </xf>
    <xf numFmtId="2" fontId="45" fillId="0" borderId="21" xfId="40" applyNumberFormat="1" applyFont="1" applyFill="1" applyBorder="1" applyAlignment="1" applyProtection="1">
      <alignment vertical="center"/>
      <protection/>
    </xf>
    <xf numFmtId="3" fontId="45" fillId="0" borderId="15" xfId="61" applyNumberFormat="1" applyFont="1" applyFill="1" applyBorder="1" applyAlignment="1" applyProtection="1">
      <alignment horizontal="right" vertical="center"/>
      <protection/>
    </xf>
    <xf numFmtId="2" fontId="45" fillId="0" borderId="15" xfId="61" applyNumberFormat="1" applyFont="1" applyFill="1" applyBorder="1" applyAlignment="1" applyProtection="1">
      <alignment vertical="center"/>
      <protection/>
    </xf>
    <xf numFmtId="4" fontId="45" fillId="0" borderId="15" xfId="0" applyNumberFormat="1" applyFont="1" applyFill="1" applyBorder="1" applyAlignment="1">
      <alignment horizontal="right" vertical="center"/>
    </xf>
    <xf numFmtId="3" fontId="45" fillId="0" borderId="15" xfId="0" applyNumberFormat="1" applyFont="1" applyFill="1" applyBorder="1" applyAlignment="1">
      <alignment horizontal="right" vertical="center"/>
    </xf>
    <xf numFmtId="2" fontId="45" fillId="0" borderId="22" xfId="61" applyNumberFormat="1" applyFont="1" applyFill="1" applyBorder="1" applyAlignment="1" applyProtection="1">
      <alignment vertical="center"/>
      <protection/>
    </xf>
    <xf numFmtId="3" fontId="45" fillId="0" borderId="10" xfId="40" applyNumberFormat="1" applyFont="1" applyFill="1" applyBorder="1" applyAlignment="1" applyProtection="1">
      <alignment horizontal="right" vertical="center"/>
      <protection/>
    </xf>
    <xf numFmtId="2" fontId="45" fillId="0" borderId="10" xfId="40" applyNumberFormat="1" applyFont="1" applyFill="1" applyBorder="1" applyAlignment="1" applyProtection="1">
      <alignment vertical="center"/>
      <protection/>
    </xf>
    <xf numFmtId="4" fontId="45" fillId="0" borderId="10" xfId="40" applyNumberFormat="1" applyFont="1" applyFill="1" applyBorder="1" applyAlignment="1" applyProtection="1">
      <alignment horizontal="right" vertical="center"/>
      <protection locked="0"/>
    </xf>
    <xf numFmtId="3" fontId="45" fillId="0" borderId="10" xfId="40" applyNumberFormat="1" applyFont="1" applyFill="1" applyBorder="1" applyAlignment="1" applyProtection="1">
      <alignment horizontal="right" vertical="center"/>
      <protection locked="0"/>
    </xf>
    <xf numFmtId="2" fontId="45" fillId="0" borderId="30" xfId="40" applyNumberFormat="1" applyFont="1" applyFill="1" applyBorder="1" applyAlignment="1" applyProtection="1">
      <alignment vertical="center"/>
      <protection/>
    </xf>
    <xf numFmtId="3" fontId="45" fillId="0" borderId="11" xfId="45" applyNumberFormat="1" applyFont="1" applyFill="1" applyBorder="1" applyAlignment="1" applyProtection="1">
      <alignment horizontal="right" vertical="center"/>
      <protection/>
    </xf>
    <xf numFmtId="2" fontId="45" fillId="0" borderId="11" xfId="45" applyNumberFormat="1" applyFont="1" applyFill="1" applyBorder="1" applyAlignment="1" applyProtection="1">
      <alignment vertical="center"/>
      <protection/>
    </xf>
    <xf numFmtId="4" fontId="45" fillId="0" borderId="11" xfId="45" applyNumberFormat="1" applyFont="1" applyFill="1" applyBorder="1" applyAlignment="1" applyProtection="1">
      <alignment horizontal="right" vertical="center"/>
      <protection locked="0"/>
    </xf>
    <xf numFmtId="3" fontId="45" fillId="0" borderId="11" xfId="45" applyNumberFormat="1" applyFont="1" applyFill="1" applyBorder="1" applyAlignment="1" applyProtection="1">
      <alignment horizontal="right" vertical="center"/>
      <protection locked="0"/>
    </xf>
    <xf numFmtId="2" fontId="45" fillId="0" borderId="21" xfId="45" applyNumberFormat="1" applyFont="1" applyFill="1" applyBorder="1" applyAlignment="1" applyProtection="1">
      <alignment vertical="center"/>
      <protection/>
    </xf>
    <xf numFmtId="3" fontId="45" fillId="34" borderId="11" xfId="0" applyNumberFormat="1" applyFont="1" applyFill="1" applyBorder="1" applyAlignment="1">
      <alignment horizontal="right" vertical="center"/>
    </xf>
    <xf numFmtId="2" fontId="45" fillId="34" borderId="11" xfId="0" applyNumberFormat="1" applyFont="1" applyFill="1" applyBorder="1" applyAlignment="1">
      <alignment vertical="center"/>
    </xf>
    <xf numFmtId="4" fontId="45" fillId="34" borderId="11" xfId="0" applyNumberFormat="1" applyFont="1" applyFill="1" applyBorder="1" applyAlignment="1">
      <alignment horizontal="right" vertical="center"/>
    </xf>
    <xf numFmtId="2" fontId="45" fillId="34" borderId="21" xfId="0" applyNumberFormat="1" applyFont="1" applyFill="1" applyBorder="1" applyAlignment="1">
      <alignment vertical="center"/>
    </xf>
    <xf numFmtId="3" fontId="45" fillId="0" borderId="11" xfId="61" applyNumberFormat="1" applyFont="1" applyFill="1" applyBorder="1" applyAlignment="1" applyProtection="1">
      <alignment horizontal="right" vertical="center"/>
      <protection/>
    </xf>
    <xf numFmtId="2" fontId="45" fillId="0" borderId="11" xfId="61" applyNumberFormat="1" applyFont="1" applyFill="1" applyBorder="1" applyAlignment="1" applyProtection="1">
      <alignment vertical="center"/>
      <protection/>
    </xf>
    <xf numFmtId="4" fontId="45" fillId="0" borderId="11" xfId="43" applyNumberFormat="1" applyFont="1" applyFill="1" applyBorder="1" applyAlignment="1" applyProtection="1">
      <alignment horizontal="right" vertical="center"/>
      <protection locked="0"/>
    </xf>
    <xf numFmtId="3" fontId="45" fillId="0" borderId="11" xfId="43" applyNumberFormat="1" applyFont="1" applyFill="1" applyBorder="1" applyAlignment="1" applyProtection="1">
      <alignment horizontal="right" vertical="center"/>
      <protection locked="0"/>
    </xf>
    <xf numFmtId="2" fontId="45" fillId="0" borderId="21" xfId="61" applyNumberFormat="1" applyFont="1" applyFill="1" applyBorder="1" applyAlignment="1" applyProtection="1">
      <alignment vertical="center"/>
      <protection/>
    </xf>
    <xf numFmtId="4" fontId="45" fillId="0" borderId="11" xfId="43" applyNumberFormat="1" applyFont="1" applyFill="1" applyBorder="1" applyAlignment="1" applyProtection="1">
      <alignment horizontal="right" vertical="center"/>
      <protection/>
    </xf>
    <xf numFmtId="3" fontId="45" fillId="0" borderId="11" xfId="0" applyNumberFormat="1" applyFont="1" applyFill="1" applyBorder="1" applyAlignment="1">
      <alignment horizontal="right" vertical="center"/>
    </xf>
    <xf numFmtId="4" fontId="45" fillId="0" borderId="11" xfId="0" applyNumberFormat="1" applyFont="1" applyFill="1" applyBorder="1" applyAlignment="1">
      <alignment horizontal="right" vertical="center"/>
    </xf>
    <xf numFmtId="2" fontId="45" fillId="0" borderId="11" xfId="0" applyNumberFormat="1" applyFont="1" applyFill="1" applyBorder="1" applyAlignment="1">
      <alignment vertical="center"/>
    </xf>
    <xf numFmtId="2" fontId="45" fillId="0" borderId="21" xfId="0" applyNumberFormat="1" applyFont="1" applyFill="1" applyBorder="1" applyAlignment="1">
      <alignment vertical="center"/>
    </xf>
    <xf numFmtId="3" fontId="45" fillId="0" borderId="11" xfId="43" applyNumberFormat="1" applyFont="1" applyFill="1" applyBorder="1" applyAlignment="1" applyProtection="1">
      <alignment horizontal="right" vertical="center"/>
      <protection/>
    </xf>
    <xf numFmtId="2" fontId="45" fillId="0" borderId="11" xfId="43" applyNumberFormat="1" applyFont="1" applyFill="1" applyBorder="1" applyAlignment="1" applyProtection="1">
      <alignment vertical="center"/>
      <protection/>
    </xf>
    <xf numFmtId="2" fontId="45" fillId="0" borderId="21" xfId="43" applyNumberFormat="1" applyFont="1" applyFill="1" applyBorder="1" applyAlignment="1" applyProtection="1">
      <alignment vertical="center"/>
      <protection/>
    </xf>
    <xf numFmtId="3" fontId="45" fillId="0" borderId="15" xfId="40" applyNumberFormat="1" applyFont="1" applyFill="1" applyBorder="1" applyAlignment="1" applyProtection="1">
      <alignment horizontal="right" vertical="center"/>
      <protection/>
    </xf>
    <xf numFmtId="2" fontId="45" fillId="0" borderId="15" xfId="40" applyNumberFormat="1" applyFont="1" applyFill="1" applyBorder="1" applyAlignment="1" applyProtection="1">
      <alignment vertical="center"/>
      <protection/>
    </xf>
    <xf numFmtId="4" fontId="45" fillId="0" borderId="15" xfId="40" applyNumberFormat="1" applyFont="1" applyFill="1" applyBorder="1" applyAlignment="1" applyProtection="1">
      <alignment horizontal="right" vertical="center"/>
      <protection locked="0"/>
    </xf>
    <xf numFmtId="3" fontId="45" fillId="0" borderId="15" xfId="40" applyNumberFormat="1" applyFont="1" applyFill="1" applyBorder="1" applyAlignment="1" applyProtection="1">
      <alignment horizontal="right" vertical="center"/>
      <protection locked="0"/>
    </xf>
    <xf numFmtId="2" fontId="45" fillId="0" borderId="22" xfId="40" applyNumberFormat="1" applyFont="1" applyFill="1" applyBorder="1" applyAlignment="1" applyProtection="1">
      <alignment vertical="center"/>
      <protection/>
    </xf>
    <xf numFmtId="193" fontId="46" fillId="33" borderId="10" xfId="0" applyNumberFormat="1" applyFont="1" applyFill="1" applyBorder="1" applyAlignment="1">
      <alignment horizontal="right" vertical="center"/>
    </xf>
    <xf numFmtId="192" fontId="47" fillId="33" borderId="10" xfId="0" applyNumberFormat="1" applyFont="1" applyFill="1" applyBorder="1" applyAlignment="1">
      <alignment horizontal="right" vertical="center"/>
    </xf>
    <xf numFmtId="200" fontId="47" fillId="33" borderId="10" xfId="0" applyNumberFormat="1" applyFont="1" applyFill="1" applyBorder="1" applyAlignment="1">
      <alignment horizontal="right" vertical="center"/>
    </xf>
    <xf numFmtId="193" fontId="47" fillId="33" borderId="10" xfId="0" applyNumberFormat="1" applyFont="1" applyFill="1" applyBorder="1" applyAlignment="1">
      <alignment horizontal="right" vertical="center"/>
    </xf>
    <xf numFmtId="192" fontId="47" fillId="33" borderId="30" xfId="0" applyNumberFormat="1" applyFont="1" applyFill="1" applyBorder="1" applyAlignment="1">
      <alignment horizontal="right" vertical="center"/>
    </xf>
    <xf numFmtId="193" fontId="44" fillId="0" borderId="0" xfId="0" applyNumberFormat="1" applyFont="1" applyFill="1" applyBorder="1" applyAlignment="1" applyProtection="1">
      <alignment horizontal="right" vertical="center"/>
      <protection locked="0"/>
    </xf>
    <xf numFmtId="192" fontId="45" fillId="0" borderId="0" xfId="0" applyNumberFormat="1" applyFont="1" applyFill="1" applyBorder="1" applyAlignment="1" applyProtection="1">
      <alignment horizontal="right" vertical="center"/>
      <protection locked="0"/>
    </xf>
    <xf numFmtId="200" fontId="45" fillId="0" borderId="0" xfId="43" applyNumberFormat="1" applyFont="1" applyFill="1" applyBorder="1" applyAlignment="1" applyProtection="1">
      <alignment horizontal="right" vertical="center"/>
      <protection/>
    </xf>
    <xf numFmtId="193" fontId="45" fillId="0" borderId="0" xfId="0" applyNumberFormat="1" applyFont="1" applyFill="1" applyBorder="1" applyAlignment="1" applyProtection="1">
      <alignment horizontal="right" vertical="center"/>
      <protection locked="0"/>
    </xf>
    <xf numFmtId="193" fontId="44" fillId="0" borderId="0" xfId="0" applyNumberFormat="1" applyFont="1" applyAlignment="1">
      <alignment horizontal="right" vertical="center"/>
    </xf>
    <xf numFmtId="192" fontId="45" fillId="0" borderId="0" xfId="0" applyNumberFormat="1" applyFont="1" applyAlignment="1">
      <alignment horizontal="right" vertical="center"/>
    </xf>
    <xf numFmtId="200" fontId="45" fillId="0" borderId="0" xfId="0" applyNumberFormat="1" applyFont="1" applyAlignment="1">
      <alignment horizontal="right" vertical="center"/>
    </xf>
    <xf numFmtId="193" fontId="45" fillId="0" borderId="0" xfId="0" applyNumberFormat="1" applyFont="1" applyAlignment="1">
      <alignment horizontal="right" vertical="center"/>
    </xf>
    <xf numFmtId="200" fontId="45" fillId="0" borderId="0" xfId="0" applyNumberFormat="1" applyFont="1" applyFill="1" applyBorder="1" applyAlignment="1" applyProtection="1">
      <alignment horizontal="right" vertical="center"/>
      <protection locked="0"/>
    </xf>
    <xf numFmtId="2" fontId="19" fillId="0" borderId="29" xfId="0" applyNumberFormat="1" applyFont="1" applyFill="1" applyBorder="1" applyAlignment="1" applyProtection="1">
      <alignment horizontal="center" wrapText="1"/>
      <protection/>
    </xf>
    <xf numFmtId="184" fontId="22" fillId="0" borderId="13" xfId="0" applyNumberFormat="1" applyFont="1" applyFill="1" applyBorder="1" applyAlignment="1">
      <alignment horizontal="center" vertical="center"/>
    </xf>
    <xf numFmtId="0" fontId="22" fillId="0" borderId="13" xfId="0" applyFont="1" applyFill="1" applyBorder="1" applyAlignment="1">
      <alignment vertical="center"/>
    </xf>
    <xf numFmtId="0" fontId="37" fillId="0" borderId="12" xfId="0" applyFont="1" applyFill="1" applyBorder="1" applyAlignment="1">
      <alignment horizontal="left" vertical="center"/>
    </xf>
    <xf numFmtId="0" fontId="23" fillId="0" borderId="0" xfId="0" applyFont="1" applyAlignment="1">
      <alignment horizontal="center"/>
    </xf>
    <xf numFmtId="0" fontId="26" fillId="0" borderId="0" xfId="0" applyFont="1" applyFill="1" applyBorder="1" applyAlignment="1">
      <alignment/>
    </xf>
    <xf numFmtId="4" fontId="24" fillId="0" borderId="13" xfId="40" applyNumberFormat="1" applyFont="1" applyFill="1" applyBorder="1" applyAlignment="1" applyProtection="1">
      <alignment horizontal="right" vertical="center"/>
      <protection locked="0"/>
    </xf>
    <xf numFmtId="3" fontId="24" fillId="0" borderId="13" xfId="40" applyNumberFormat="1" applyFont="1" applyFill="1" applyBorder="1" applyAlignment="1" applyProtection="1">
      <alignment horizontal="right" vertical="center"/>
      <protection locked="0"/>
    </xf>
    <xf numFmtId="4" fontId="25" fillId="0" borderId="0" xfId="0" applyNumberFormat="1" applyFont="1" applyAlignment="1">
      <alignment horizontal="right"/>
    </xf>
    <xf numFmtId="3" fontId="25" fillId="0" borderId="0" xfId="0" applyNumberFormat="1" applyFont="1" applyAlignment="1">
      <alignment horizontal="right"/>
    </xf>
    <xf numFmtId="0" fontId="24" fillId="0" borderId="31" xfId="0" applyFont="1" applyFill="1" applyBorder="1" applyAlignment="1" applyProtection="1">
      <alignment horizontal="right" vertical="center"/>
      <protection/>
    </xf>
    <xf numFmtId="0" fontId="24" fillId="0" borderId="32" xfId="0" applyFont="1" applyFill="1" applyBorder="1" applyAlignment="1" applyProtection="1">
      <alignment horizontal="right" vertical="center"/>
      <protection/>
    </xf>
    <xf numFmtId="0" fontId="25" fillId="0" borderId="0" xfId="0" applyFont="1" applyAlignment="1">
      <alignment/>
    </xf>
    <xf numFmtId="4" fontId="19" fillId="0" borderId="28" xfId="0" applyNumberFormat="1" applyFont="1" applyFill="1" applyBorder="1" applyAlignment="1" applyProtection="1">
      <alignment horizontal="center" wrapText="1"/>
      <protection/>
    </xf>
    <xf numFmtId="3" fontId="19" fillId="0" borderId="28" xfId="0" applyNumberFormat="1" applyFont="1" applyFill="1" applyBorder="1" applyAlignment="1" applyProtection="1">
      <alignment horizontal="center" wrapText="1"/>
      <protection/>
    </xf>
    <xf numFmtId="2" fontId="19" fillId="0" borderId="28" xfId="0" applyNumberFormat="1" applyFont="1" applyFill="1" applyBorder="1" applyAlignment="1" applyProtection="1">
      <alignment horizontal="center" wrapText="1"/>
      <protection/>
    </xf>
    <xf numFmtId="0" fontId="27" fillId="0" borderId="13" xfId="0" applyFont="1" applyFill="1" applyBorder="1" applyAlignment="1">
      <alignment horizontal="center" vertical="center"/>
    </xf>
    <xf numFmtId="200" fontId="28" fillId="0" borderId="0" xfId="0" applyNumberFormat="1" applyFont="1" applyAlignment="1">
      <alignment horizontal="center"/>
    </xf>
    <xf numFmtId="193" fontId="28" fillId="0" borderId="0" xfId="0" applyNumberFormat="1" applyFont="1" applyAlignment="1">
      <alignment horizontal="center"/>
    </xf>
    <xf numFmtId="3" fontId="45" fillId="0" borderId="13" xfId="40" applyNumberFormat="1" applyFont="1" applyFill="1" applyBorder="1" applyAlignment="1" applyProtection="1">
      <alignment horizontal="right" vertical="center"/>
      <protection/>
    </xf>
    <xf numFmtId="2" fontId="45" fillId="0" borderId="13" xfId="40" applyNumberFormat="1" applyFont="1" applyFill="1" applyBorder="1" applyAlignment="1" applyProtection="1">
      <alignment vertical="center"/>
      <protection/>
    </xf>
    <xf numFmtId="4" fontId="45" fillId="0" borderId="13" xfId="40" applyNumberFormat="1" applyFont="1" applyFill="1" applyBorder="1" applyAlignment="1" applyProtection="1">
      <alignment horizontal="right" vertical="center"/>
      <protection locked="0"/>
    </xf>
    <xf numFmtId="3" fontId="45" fillId="0" borderId="13" xfId="40" applyNumberFormat="1" applyFont="1" applyFill="1" applyBorder="1" applyAlignment="1" applyProtection="1">
      <alignment horizontal="right" vertical="center"/>
      <protection locked="0"/>
    </xf>
    <xf numFmtId="2" fontId="45" fillId="0" borderId="20" xfId="40" applyNumberFormat="1" applyFont="1" applyFill="1" applyBorder="1" applyAlignment="1" applyProtection="1">
      <alignment vertical="center"/>
      <protection/>
    </xf>
    <xf numFmtId="3" fontId="45" fillId="0" borderId="0" xfId="0" applyNumberFormat="1" applyFont="1" applyAlignment="1">
      <alignment horizontal="right"/>
    </xf>
    <xf numFmtId="2" fontId="45" fillId="0" borderId="0" xfId="0" applyNumberFormat="1" applyFont="1" applyAlignment="1">
      <alignment/>
    </xf>
    <xf numFmtId="4" fontId="45" fillId="0" borderId="0" xfId="0" applyNumberFormat="1" applyFont="1" applyAlignment="1">
      <alignment horizontal="right"/>
    </xf>
    <xf numFmtId="0" fontId="37" fillId="0" borderId="25" xfId="0" applyNumberFormat="1" applyFont="1" applyFill="1" applyBorder="1" applyAlignment="1" applyProtection="1">
      <alignment horizontal="left" vertical="center"/>
      <protection locked="0"/>
    </xf>
    <xf numFmtId="184" fontId="22" fillId="0" borderId="10" xfId="0" applyNumberFormat="1" applyFont="1" applyFill="1" applyBorder="1" applyAlignment="1" applyProtection="1">
      <alignment horizontal="center" vertical="center"/>
      <protection locked="0"/>
    </xf>
    <xf numFmtId="0" fontId="22" fillId="0" borderId="10" xfId="0" applyNumberFormat="1" applyFont="1" applyFill="1" applyBorder="1" applyAlignment="1" applyProtection="1">
      <alignment vertical="center"/>
      <protection locked="0"/>
    </xf>
    <xf numFmtId="0" fontId="27" fillId="0" borderId="10" xfId="0" applyNumberFormat="1" applyFont="1" applyFill="1" applyBorder="1" applyAlignment="1" applyProtection="1">
      <alignment horizontal="center" vertical="center"/>
      <protection locked="0"/>
    </xf>
    <xf numFmtId="4" fontId="24" fillId="0" borderId="10" xfId="45" applyNumberFormat="1" applyFont="1" applyFill="1" applyBorder="1" applyAlignment="1" applyProtection="1">
      <alignment horizontal="right" vertical="center"/>
      <protection locked="0"/>
    </xf>
    <xf numFmtId="3" fontId="24" fillId="0" borderId="10" xfId="45" applyNumberFormat="1" applyFont="1" applyFill="1" applyBorder="1" applyAlignment="1" applyProtection="1">
      <alignment horizontal="right" vertical="center"/>
      <protection locked="0"/>
    </xf>
    <xf numFmtId="3" fontId="45" fillId="0" borderId="10" xfId="45" applyNumberFormat="1" applyFont="1" applyFill="1" applyBorder="1" applyAlignment="1" applyProtection="1">
      <alignment horizontal="right" vertical="center"/>
      <protection/>
    </xf>
    <xf numFmtId="2" fontId="45" fillId="0" borderId="10" xfId="45" applyNumberFormat="1" applyFont="1" applyFill="1" applyBorder="1" applyAlignment="1" applyProtection="1">
      <alignment vertical="center"/>
      <protection/>
    </xf>
    <xf numFmtId="4" fontId="45" fillId="0" borderId="10" xfId="45" applyNumberFormat="1" applyFont="1" applyFill="1" applyBorder="1" applyAlignment="1" applyProtection="1">
      <alignment horizontal="right" vertical="center"/>
      <protection locked="0"/>
    </xf>
    <xf numFmtId="3" fontId="45" fillId="0" borderId="10" xfId="45" applyNumberFormat="1" applyFont="1" applyFill="1" applyBorder="1" applyAlignment="1" applyProtection="1">
      <alignment horizontal="right" vertical="center"/>
      <protection locked="0"/>
    </xf>
    <xf numFmtId="2" fontId="45" fillId="0" borderId="30" xfId="45" applyNumberFormat="1" applyFont="1" applyFill="1" applyBorder="1" applyAlignment="1" applyProtection="1">
      <alignment vertical="center"/>
      <protection/>
    </xf>
    <xf numFmtId="0" fontId="19" fillId="0" borderId="33" xfId="0" applyFont="1" applyFill="1" applyBorder="1" applyAlignment="1">
      <alignment horizontal="left" vertical="center"/>
    </xf>
    <xf numFmtId="184" fontId="22" fillId="0" borderId="34" xfId="0" applyNumberFormat="1" applyFont="1" applyFill="1" applyBorder="1" applyAlignment="1">
      <alignment horizontal="center" vertical="center"/>
    </xf>
    <xf numFmtId="0" fontId="22" fillId="0" borderId="34" xfId="0" applyFont="1" applyFill="1" applyBorder="1" applyAlignment="1">
      <alignment vertical="center"/>
    </xf>
    <xf numFmtId="0" fontId="19" fillId="0" borderId="24" xfId="0" applyFont="1" applyFill="1" applyBorder="1" applyAlignment="1" applyProtection="1">
      <alignment horizontal="left" vertical="center"/>
      <protection locked="0"/>
    </xf>
    <xf numFmtId="184" fontId="22" fillId="0" borderId="15" xfId="0" applyNumberFormat="1" applyFont="1" applyFill="1" applyBorder="1" applyAlignment="1" applyProtection="1">
      <alignment horizontal="center" vertical="center"/>
      <protection locked="0"/>
    </xf>
    <xf numFmtId="184" fontId="22" fillId="0" borderId="15" xfId="0" applyNumberFormat="1" applyFont="1" applyFill="1" applyBorder="1" applyAlignment="1" applyProtection="1">
      <alignment vertical="center"/>
      <protection locked="0"/>
    </xf>
    <xf numFmtId="0" fontId="22" fillId="0" borderId="15" xfId="0" applyFont="1" applyFill="1" applyBorder="1" applyAlignment="1" applyProtection="1">
      <alignment vertical="center"/>
      <protection locked="0"/>
    </xf>
    <xf numFmtId="0" fontId="24" fillId="0" borderId="0" xfId="0" applyFont="1" applyBorder="1" applyAlignment="1">
      <alignment horizontal="right" vertical="center"/>
    </xf>
    <xf numFmtId="0" fontId="24" fillId="0" borderId="0" xfId="0" applyFont="1" applyFill="1" applyBorder="1" applyAlignment="1">
      <alignment horizontal="right" vertical="center"/>
    </xf>
    <xf numFmtId="0" fontId="24" fillId="0" borderId="35" xfId="0" applyFont="1" applyFill="1" applyBorder="1" applyAlignment="1">
      <alignment horizontal="right" vertical="center"/>
    </xf>
    <xf numFmtId="200" fontId="24" fillId="0" borderId="0" xfId="0" applyNumberFormat="1" applyFont="1" applyBorder="1" applyAlignment="1">
      <alignment horizontal="right" vertical="center"/>
    </xf>
    <xf numFmtId="193" fontId="24" fillId="0" borderId="0" xfId="0" applyNumberFormat="1" applyFont="1" applyBorder="1" applyAlignment="1">
      <alignment horizontal="right" vertical="center" indent="1"/>
    </xf>
    <xf numFmtId="192" fontId="25" fillId="0" borderId="0" xfId="0" applyNumberFormat="1" applyFont="1" applyBorder="1" applyAlignment="1">
      <alignment horizontal="right" vertical="center" indent="1"/>
    </xf>
    <xf numFmtId="2" fontId="25" fillId="0" borderId="36" xfId="40" applyNumberFormat="1" applyFont="1" applyFill="1" applyBorder="1" applyAlignment="1" applyProtection="1">
      <alignment vertical="center"/>
      <protection/>
    </xf>
    <xf numFmtId="0" fontId="10" fillId="0" borderId="0" xfId="0" applyFont="1" applyBorder="1" applyAlignment="1">
      <alignment horizontal="center" vertical="center"/>
    </xf>
    <xf numFmtId="0" fontId="27" fillId="0" borderId="0" xfId="0" applyFont="1" applyBorder="1" applyAlignment="1">
      <alignment horizontal="center" vertical="center"/>
    </xf>
    <xf numFmtId="0" fontId="27" fillId="0" borderId="15" xfId="0" applyFont="1" applyFill="1" applyBorder="1" applyAlignment="1" applyProtection="1">
      <alignment horizontal="center" vertical="center"/>
      <protection locked="0"/>
    </xf>
    <xf numFmtId="0" fontId="27" fillId="0" borderId="34" xfId="0" applyFont="1" applyFill="1" applyBorder="1" applyAlignment="1">
      <alignment horizontal="center" vertical="center"/>
    </xf>
    <xf numFmtId="3" fontId="24" fillId="34" borderId="13" xfId="0" applyNumberFormat="1" applyFont="1" applyFill="1" applyBorder="1" applyAlignment="1">
      <alignment horizontal="right" vertical="center"/>
    </xf>
    <xf numFmtId="4" fontId="24" fillId="0" borderId="34" xfId="40" applyNumberFormat="1" applyFont="1" applyFill="1" applyBorder="1" applyAlignment="1" applyProtection="1">
      <alignment horizontal="right" vertical="center"/>
      <protection locked="0"/>
    </xf>
    <xf numFmtId="3" fontId="24" fillId="0" borderId="34" xfId="40" applyNumberFormat="1" applyFont="1" applyFill="1" applyBorder="1" applyAlignment="1" applyProtection="1">
      <alignment horizontal="right" vertical="center"/>
      <protection locked="0"/>
    </xf>
    <xf numFmtId="0" fontId="19" fillId="0" borderId="0" xfId="0" applyFont="1" applyBorder="1" applyAlignment="1">
      <alignment horizontal="right" vertical="center"/>
    </xf>
    <xf numFmtId="0" fontId="23" fillId="0" borderId="0" xfId="0" applyFont="1" applyBorder="1" applyAlignment="1">
      <alignment vertical="center"/>
    </xf>
    <xf numFmtId="200" fontId="19" fillId="0" borderId="0" xfId="0" applyNumberFormat="1" applyFont="1" applyBorder="1" applyAlignment="1">
      <alignment horizontal="right" vertical="center"/>
    </xf>
    <xf numFmtId="193" fontId="19" fillId="0" borderId="0" xfId="0" applyNumberFormat="1" applyFont="1" applyBorder="1" applyAlignment="1">
      <alignment horizontal="right" vertical="center" indent="1"/>
    </xf>
    <xf numFmtId="192" fontId="23" fillId="0" borderId="0" xfId="0" applyNumberFormat="1" applyFont="1" applyBorder="1" applyAlignment="1">
      <alignment horizontal="right" vertical="center" indent="1"/>
    </xf>
    <xf numFmtId="4" fontId="34" fillId="0" borderId="0" xfId="0" applyNumberFormat="1" applyFont="1" applyFill="1" applyBorder="1" applyAlignment="1">
      <alignment horizontal="right" vertical="center"/>
    </xf>
    <xf numFmtId="3" fontId="23" fillId="0" borderId="0" xfId="0" applyNumberFormat="1" applyFont="1" applyBorder="1" applyAlignment="1">
      <alignment vertical="center"/>
    </xf>
    <xf numFmtId="4" fontId="23" fillId="0" borderId="0" xfId="0" applyNumberFormat="1" applyFont="1" applyBorder="1" applyAlignment="1">
      <alignment vertical="center"/>
    </xf>
    <xf numFmtId="0" fontId="19" fillId="0" borderId="26" xfId="0" applyFont="1" applyFill="1" applyBorder="1" applyAlignment="1">
      <alignment horizontal="center" vertical="center"/>
    </xf>
    <xf numFmtId="0" fontId="43" fillId="0" borderId="27" xfId="0" applyFont="1" applyFill="1" applyBorder="1" applyAlignment="1">
      <alignment horizontal="center" vertical="center"/>
    </xf>
    <xf numFmtId="0" fontId="23" fillId="0" borderId="0" xfId="0" applyFont="1" applyBorder="1" applyAlignment="1">
      <alignment horizontal="center" vertical="center"/>
    </xf>
    <xf numFmtId="4" fontId="43" fillId="0" borderId="0" xfId="0" applyNumberFormat="1" applyFont="1" applyFill="1" applyBorder="1" applyAlignment="1">
      <alignment horizontal="right" vertical="center"/>
    </xf>
    <xf numFmtId="3" fontId="19" fillId="0" borderId="0" xfId="0" applyNumberFormat="1" applyFont="1" applyFill="1" applyBorder="1" applyAlignment="1">
      <alignment horizontal="center" vertical="center"/>
    </xf>
    <xf numFmtId="4" fontId="19" fillId="0" borderId="0" xfId="0" applyNumberFormat="1" applyFont="1" applyFill="1" applyBorder="1" applyAlignment="1">
      <alignment horizontal="center" vertical="center"/>
    </xf>
    <xf numFmtId="0" fontId="19" fillId="0" borderId="0" xfId="0" applyFont="1" applyFill="1" applyBorder="1" applyAlignment="1">
      <alignment horizontal="center" vertical="center"/>
    </xf>
    <xf numFmtId="200" fontId="19" fillId="0" borderId="28" xfId="0" applyNumberFormat="1" applyFont="1" applyFill="1" applyBorder="1" applyAlignment="1" applyProtection="1">
      <alignment horizontal="center" vertical="center" wrapText="1"/>
      <protection/>
    </xf>
    <xf numFmtId="193" fontId="19" fillId="0" borderId="28" xfId="0" applyNumberFormat="1" applyFont="1" applyFill="1" applyBorder="1" applyAlignment="1" applyProtection="1">
      <alignment horizontal="center" vertical="center" wrapText="1"/>
      <protection/>
    </xf>
    <xf numFmtId="0" fontId="53" fillId="0" borderId="23" xfId="0" applyFont="1" applyFill="1" applyBorder="1" applyAlignment="1" applyProtection="1">
      <alignment vertical="center"/>
      <protection locked="0"/>
    </xf>
    <xf numFmtId="0" fontId="19" fillId="0" borderId="37" xfId="0" applyFont="1" applyFill="1" applyBorder="1" applyAlignment="1" applyProtection="1">
      <alignment horizontal="center" vertical="center" wrapText="1"/>
      <protection/>
    </xf>
    <xf numFmtId="0" fontId="23" fillId="0" borderId="38" xfId="0" applyFont="1" applyBorder="1" applyAlignment="1">
      <alignment/>
    </xf>
    <xf numFmtId="0" fontId="19" fillId="0" borderId="37" xfId="0" applyNumberFormat="1" applyFont="1" applyFill="1" applyBorder="1" applyAlignment="1" applyProtection="1">
      <alignment horizontal="center" vertical="center" wrapText="1"/>
      <protection/>
    </xf>
    <xf numFmtId="4" fontId="19" fillId="0" borderId="39" xfId="0" applyNumberFormat="1" applyFont="1" applyFill="1" applyBorder="1" applyAlignment="1" applyProtection="1">
      <alignment horizontal="center" vertical="center" wrapText="1"/>
      <protection/>
    </xf>
    <xf numFmtId="4" fontId="19" fillId="0" borderId="40" xfId="0" applyNumberFormat="1" applyFont="1" applyFill="1" applyBorder="1" applyAlignment="1" applyProtection="1">
      <alignment horizontal="center" vertical="center" wrapText="1"/>
      <protection/>
    </xf>
    <xf numFmtId="4" fontId="19" fillId="0" borderId="41" xfId="0" applyNumberFormat="1" applyFont="1" applyFill="1" applyBorder="1" applyAlignment="1" applyProtection="1">
      <alignment horizontal="center" vertical="center" wrapText="1"/>
      <protection/>
    </xf>
    <xf numFmtId="184" fontId="19" fillId="0" borderId="37"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right" vertical="center" wrapText="1"/>
      <protection locked="0"/>
    </xf>
    <xf numFmtId="0" fontId="0" fillId="0" borderId="0" xfId="0" applyAlignment="1">
      <alignment/>
    </xf>
    <xf numFmtId="0" fontId="6" fillId="0" borderId="0" xfId="0" applyFont="1" applyAlignment="1">
      <alignment horizontal="right" vertical="center" wrapText="1"/>
    </xf>
    <xf numFmtId="0" fontId="34" fillId="33" borderId="42" xfId="0" applyFont="1" applyFill="1" applyBorder="1" applyAlignment="1">
      <alignment horizontal="right" vertical="center"/>
    </xf>
    <xf numFmtId="0" fontId="23" fillId="0" borderId="43" xfId="0" applyFont="1" applyBorder="1" applyAlignment="1">
      <alignment/>
    </xf>
    <xf numFmtId="0" fontId="48" fillId="0" borderId="0" xfId="0" applyFont="1" applyBorder="1" applyAlignment="1" applyProtection="1">
      <alignment horizontal="right" vertical="center" wrapText="1"/>
      <protection locked="0"/>
    </xf>
    <xf numFmtId="0" fontId="18" fillId="0" borderId="0" xfId="0" applyFont="1" applyAlignment="1">
      <alignment/>
    </xf>
    <xf numFmtId="0" fontId="49" fillId="0" borderId="0" xfId="0" applyFont="1" applyBorder="1" applyAlignment="1" applyProtection="1">
      <alignment horizontal="right" vertical="center" wrapText="1"/>
      <protection locked="0"/>
    </xf>
    <xf numFmtId="0" fontId="16" fillId="33" borderId="35" xfId="0" applyFont="1" applyFill="1" applyBorder="1" applyAlignment="1" applyProtection="1">
      <alignment horizontal="center" vertical="center"/>
      <protection/>
    </xf>
    <xf numFmtId="0" fontId="17" fillId="0" borderId="35" xfId="0" applyFont="1" applyBorder="1" applyAlignment="1">
      <alignment/>
    </xf>
    <xf numFmtId="181" fontId="19" fillId="0" borderId="39" xfId="0" applyNumberFormat="1" applyFont="1" applyFill="1" applyBorder="1" applyAlignment="1" applyProtection="1">
      <alignment horizontal="center" vertical="center" wrapText="1"/>
      <protection/>
    </xf>
    <xf numFmtId="0" fontId="23" fillId="0" borderId="40" xfId="0" applyFont="1" applyBorder="1" applyAlignment="1">
      <alignment/>
    </xf>
    <xf numFmtId="0" fontId="23" fillId="0" borderId="44" xfId="0" applyFont="1" applyBorder="1" applyAlignment="1">
      <alignment/>
    </xf>
    <xf numFmtId="171" fontId="19" fillId="0" borderId="37" xfId="43" applyFont="1" applyFill="1" applyBorder="1" applyAlignment="1" applyProtection="1">
      <alignment horizontal="center" vertical="center" wrapText="1"/>
      <protection/>
    </xf>
    <xf numFmtId="0" fontId="50" fillId="35" borderId="35" xfId="0" applyFont="1" applyFill="1" applyBorder="1" applyAlignment="1">
      <alignment horizontal="center" vertical="center" wrapText="1"/>
    </xf>
    <xf numFmtId="0" fontId="19" fillId="0" borderId="45" xfId="0" applyNumberFormat="1" applyFont="1" applyFill="1" applyBorder="1" applyAlignment="1">
      <alignment horizontal="center" vertical="center" wrapText="1"/>
    </xf>
    <xf numFmtId="0" fontId="19" fillId="0" borderId="46" xfId="0" applyNumberFormat="1" applyFont="1" applyFill="1" applyBorder="1" applyAlignment="1">
      <alignment horizontal="center" vertical="center" wrapText="1"/>
    </xf>
    <xf numFmtId="0" fontId="19" fillId="0" borderId="37" xfId="0" applyNumberFormat="1" applyFont="1" applyFill="1" applyBorder="1" applyAlignment="1">
      <alignment horizontal="center" vertical="center" wrapText="1"/>
    </xf>
    <xf numFmtId="0" fontId="19" fillId="0" borderId="38" xfId="0" applyNumberFormat="1" applyFont="1" applyFill="1" applyBorder="1" applyAlignment="1">
      <alignment horizontal="center" vertical="center" wrapText="1"/>
    </xf>
    <xf numFmtId="0" fontId="19" fillId="0" borderId="38" xfId="0" applyNumberFormat="1" applyFont="1" applyFill="1" applyBorder="1" applyAlignment="1" applyProtection="1">
      <alignment horizontal="center" vertical="center" wrapText="1"/>
      <protection/>
    </xf>
    <xf numFmtId="0" fontId="19" fillId="0" borderId="39" xfId="0" applyNumberFormat="1" applyFont="1" applyFill="1" applyBorder="1" applyAlignment="1" applyProtection="1">
      <alignment horizontal="center" vertical="center" wrapText="1"/>
      <protection/>
    </xf>
    <xf numFmtId="0" fontId="19" fillId="0" borderId="41" xfId="0" applyNumberFormat="1" applyFont="1" applyFill="1" applyBorder="1" applyAlignment="1" applyProtection="1">
      <alignment horizontal="center" vertical="center" wrapText="1"/>
      <protection/>
    </xf>
    <xf numFmtId="192" fontId="19" fillId="0" borderId="47" xfId="0" applyNumberFormat="1" applyFont="1" applyFill="1" applyBorder="1" applyAlignment="1" applyProtection="1">
      <alignment horizontal="center" vertical="center" wrapText="1"/>
      <protection/>
    </xf>
    <xf numFmtId="192" fontId="19" fillId="0" borderId="48" xfId="0" applyNumberFormat="1" applyFont="1" applyFill="1" applyBorder="1" applyAlignment="1" applyProtection="1">
      <alignment horizontal="center" vertical="center" wrapText="1"/>
      <protection/>
    </xf>
    <xf numFmtId="0" fontId="19" fillId="0" borderId="49" xfId="0" applyFont="1" applyFill="1" applyBorder="1" applyAlignment="1" applyProtection="1">
      <alignment horizontal="center" vertical="center" wrapText="1"/>
      <protection/>
    </xf>
    <xf numFmtId="0" fontId="19" fillId="0" borderId="28" xfId="0" applyFont="1" applyBorder="1" applyAlignment="1">
      <alignment horizontal="center" vertical="center"/>
    </xf>
    <xf numFmtId="0" fontId="19" fillId="0" borderId="49" xfId="0" applyNumberFormat="1" applyFont="1" applyFill="1" applyBorder="1" applyAlignment="1" applyProtection="1">
      <alignment horizontal="center" vertical="center" wrapText="1"/>
      <protection/>
    </xf>
    <xf numFmtId="2" fontId="51" fillId="35" borderId="35" xfId="0" applyNumberFormat="1" applyFont="1" applyFill="1" applyBorder="1" applyAlignment="1">
      <alignment horizontal="center" vertical="center" wrapText="1"/>
    </xf>
    <xf numFmtId="2" fontId="50" fillId="35" borderId="35" xfId="0" applyNumberFormat="1" applyFont="1" applyFill="1" applyBorder="1" applyAlignment="1">
      <alignment vertical="center" wrapText="1"/>
    </xf>
    <xf numFmtId="2" fontId="23" fillId="35" borderId="35" xfId="0" applyNumberFormat="1" applyFont="1" applyFill="1" applyBorder="1" applyAlignment="1">
      <alignment wrapText="1"/>
    </xf>
    <xf numFmtId="171" fontId="19" fillId="0" borderId="50" xfId="43" applyFont="1" applyFill="1" applyBorder="1" applyAlignment="1" applyProtection="1">
      <alignment horizontal="center" vertical="center" wrapText="1"/>
      <protection/>
    </xf>
    <xf numFmtId="0" fontId="19" fillId="0" borderId="51" xfId="0" applyFont="1" applyBorder="1" applyAlignment="1">
      <alignment horizontal="center" vertical="center"/>
    </xf>
    <xf numFmtId="184" fontId="19" fillId="0" borderId="49" xfId="0" applyNumberFormat="1" applyFont="1" applyFill="1" applyBorder="1" applyAlignment="1" applyProtection="1">
      <alignment horizontal="center" vertical="center" wrapText="1"/>
      <protection/>
    </xf>
    <xf numFmtId="184" fontId="19" fillId="0" borderId="28" xfId="0" applyNumberFormat="1" applyFont="1" applyBorder="1" applyAlignment="1">
      <alignment horizontal="center" vertical="center"/>
    </xf>
    <xf numFmtId="0" fontId="19" fillId="0" borderId="38" xfId="0" applyFont="1" applyBorder="1" applyAlignment="1">
      <alignment horizontal="center" vertical="center" wrapText="1"/>
    </xf>
    <xf numFmtId="2" fontId="19" fillId="0" borderId="49" xfId="0" applyNumberFormat="1" applyFont="1" applyFill="1" applyBorder="1" applyAlignment="1" applyProtection="1">
      <alignment horizontal="center" vertical="center" wrapText="1"/>
      <protection/>
    </xf>
    <xf numFmtId="2" fontId="19" fillId="0" borderId="52" xfId="0" applyNumberFormat="1" applyFont="1" applyFill="1" applyBorder="1" applyAlignment="1" applyProtection="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lik Ayracı 2" xfId="40"/>
    <cellStyle name="Calculation" xfId="41"/>
    <cellStyle name="Check Cell" xfId="42"/>
    <cellStyle name="Comma" xfId="43"/>
    <cellStyle name="Comma [0]" xfId="44"/>
    <cellStyle name="Comma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14</xdr:col>
      <xdr:colOff>476250</xdr:colOff>
      <xdr:row>0</xdr:row>
      <xdr:rowOff>1066800</xdr:rowOff>
    </xdr:to>
    <xdr:sp>
      <xdr:nvSpPr>
        <xdr:cNvPr id="1" name="Text Box 1"/>
        <xdr:cNvSpPr txBox="1">
          <a:spLocks noChangeArrowheads="1"/>
        </xdr:cNvSpPr>
      </xdr:nvSpPr>
      <xdr:spPr>
        <a:xfrm>
          <a:off x="0" y="9525"/>
          <a:ext cx="14030325" cy="1057275"/>
        </a:xfrm>
        <a:prstGeom prst="rect">
          <a:avLst/>
        </a:prstGeom>
        <a:solidFill>
          <a:srgbClr val="FFCC99"/>
        </a:solidFill>
        <a:ln w="38100" cmpd="dbl">
          <a:noFill/>
        </a:ln>
      </xdr:spPr>
      <xdr:txBody>
        <a:bodyPr vertOverflow="clip" wrap="square" lIns="73152" tIns="73152" rIns="73152" bIns="73152" anchor="ctr"/>
        <a:p>
          <a:pPr algn="ctr">
            <a:defRPr/>
          </a:pPr>
          <a:r>
            <a:rPr lang="en-US" cap="none" sz="4000" b="0" i="0" u="none" baseline="0">
              <a:solidFill>
                <a:srgbClr val="000000"/>
              </a:solidFill>
              <a:latin typeface="Garamond"/>
              <a:ea typeface="Garamond"/>
              <a:cs typeface="Garamond"/>
            </a:rPr>
            <a:t>TÜRKİYE'S WEEKLY MARKET DATA    </a:t>
          </a:r>
          <a:r>
            <a:rPr lang="en-US" cap="none" sz="26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WEEKLY BOX OFFICE &amp; ADMISSION REPORT</a:t>
          </a:r>
        </a:p>
      </xdr:txBody>
    </xdr:sp>
    <xdr:clientData/>
  </xdr:twoCellAnchor>
  <xdr:twoCellAnchor>
    <xdr:from>
      <xdr:col>11</xdr:col>
      <xdr:colOff>276225</xdr:colOff>
      <xdr:row>0</xdr:row>
      <xdr:rowOff>333375</xdr:rowOff>
    </xdr:from>
    <xdr:to>
      <xdr:col>14</xdr:col>
      <xdr:colOff>400050</xdr:colOff>
      <xdr:row>0</xdr:row>
      <xdr:rowOff>1066800</xdr:rowOff>
    </xdr:to>
    <xdr:sp fLocksText="0">
      <xdr:nvSpPr>
        <xdr:cNvPr id="2" name="Text Box 2"/>
        <xdr:cNvSpPr txBox="1">
          <a:spLocks noChangeArrowheads="1"/>
        </xdr:cNvSpPr>
      </xdr:nvSpPr>
      <xdr:spPr>
        <a:xfrm>
          <a:off x="11296650" y="333375"/>
          <a:ext cx="2657475" cy="733425"/>
        </a:xfrm>
        <a:prstGeom prst="rect">
          <a:avLst/>
        </a:prstGeom>
        <a:solidFill>
          <a:srgbClr val="FFCC99"/>
        </a:solidFill>
        <a:ln w="9525" cmpd="sng">
          <a:noFill/>
        </a:ln>
      </xdr:spPr>
      <xdr:txBody>
        <a:bodyPr vertOverflow="clip" wrap="square" lIns="0" tIns="36576" rIns="54864" bIns="0"/>
        <a:p>
          <a:pPr algn="r">
            <a:defRPr/>
          </a:pPr>
          <a:r>
            <a:rPr lang="en-US" cap="none" sz="2100" b="0" i="0" u="none" baseline="0">
              <a:solidFill>
                <a:srgbClr val="000000"/>
              </a:solidFill>
              <a:latin typeface="Bookman Old Style"/>
              <a:ea typeface="Bookman Old Style"/>
              <a:cs typeface="Bookman Old Style"/>
            </a:rPr>
            <a:t>WEEK: 01</a:t>
          </a:r>
          <a:r>
            <a:rPr lang="en-US" cap="none" sz="2000" b="0" i="0" u="none" baseline="0">
              <a:solidFill>
                <a:srgbClr val="000000"/>
              </a:solidFill>
              <a:latin typeface="Bookman Old Style"/>
              <a:ea typeface="Bookman Old Style"/>
              <a:cs typeface="Bookman Old Style"/>
            </a:rPr>
            <a:t>
</a:t>
          </a:r>
          <a:r>
            <a:rPr lang="en-US" cap="none" sz="1800" b="0" i="0" u="none" baseline="0">
              <a:solidFill>
                <a:srgbClr val="000000"/>
              </a:solidFill>
              <a:latin typeface="Bookman Old Style"/>
              <a:ea typeface="Bookman Old Style"/>
              <a:cs typeface="Bookman Old Style"/>
            </a:rPr>
            <a:t>01-07 JANUARY 2010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92"/>
  <sheetViews>
    <sheetView showGridLines="0" tabSelected="1" zoomScale="80" zoomScaleNormal="80" zoomScalePageLayoutView="0" workbookViewId="0" topLeftCell="A1">
      <pane xSplit="2" ySplit="4" topLeftCell="C5" activePane="bottomRight" state="frozen"/>
      <selection pane="topLeft" activeCell="A1" sqref="A1"/>
      <selection pane="topRight" activeCell="D1" sqref="D1"/>
      <selection pane="bottomLeft" activeCell="A5" sqref="A5"/>
      <selection pane="bottomRight" activeCell="B3" sqref="B3:B4"/>
    </sheetView>
  </sheetViews>
  <sheetFormatPr defaultColWidth="9.140625" defaultRowHeight="12.75"/>
  <cols>
    <col min="1" max="1" width="3.8515625" style="52" bestFit="1" customWidth="1"/>
    <col min="2" max="2" width="50.8515625" style="104" bestFit="1" customWidth="1"/>
    <col min="3" max="3" width="8.28125" style="8" bestFit="1" customWidth="1"/>
    <col min="4" max="4" width="13.7109375" style="11" bestFit="1" customWidth="1"/>
    <col min="5" max="5" width="26.57421875" style="11" bestFit="1" customWidth="1"/>
    <col min="6" max="6" width="6.421875" style="53" bestFit="1" customWidth="1"/>
    <col min="7" max="7" width="7.28125" style="53" bestFit="1" customWidth="1"/>
    <col min="8" max="8" width="6.57421875" style="53" customWidth="1"/>
    <col min="9" max="9" width="17.28125" style="67" bestFit="1" customWidth="1"/>
    <col min="10" max="10" width="12.421875" style="79" bestFit="1" customWidth="1"/>
    <col min="11" max="11" width="12.00390625" style="185" bestFit="1" customWidth="1"/>
    <col min="12" max="12" width="7.7109375" style="186" bestFit="1" customWidth="1"/>
    <col min="13" max="13" width="17.7109375" style="193" bestFit="1" customWidth="1"/>
    <col min="14" max="14" width="12.57421875" style="188" bestFit="1" customWidth="1"/>
    <col min="15" max="15" width="7.7109375" style="186" bestFit="1" customWidth="1"/>
    <col min="16" max="16" width="2.8515625" style="83" bestFit="1" customWidth="1"/>
    <col min="17" max="16384" width="9.140625" style="3" customWidth="1"/>
  </cols>
  <sheetData>
    <row r="1" spans="1:16" s="1" customFormat="1" ht="90.75" customHeight="1">
      <c r="A1" s="47"/>
      <c r="B1" s="93"/>
      <c r="C1" s="6"/>
      <c r="D1" s="9"/>
      <c r="E1" s="9"/>
      <c r="F1" s="109"/>
      <c r="G1" s="109"/>
      <c r="H1" s="109"/>
      <c r="I1" s="55"/>
      <c r="J1" s="68"/>
      <c r="K1" s="130"/>
      <c r="L1" s="131"/>
      <c r="M1" s="132"/>
      <c r="N1" s="133"/>
      <c r="O1" s="131"/>
      <c r="P1" s="83"/>
    </row>
    <row r="2" spans="1:16" s="5" customFormat="1" ht="27.75" thickBot="1">
      <c r="A2" s="286" t="s">
        <v>32</v>
      </c>
      <c r="B2" s="287"/>
      <c r="C2" s="287"/>
      <c r="D2" s="287"/>
      <c r="E2" s="287"/>
      <c r="F2" s="287"/>
      <c r="G2" s="287"/>
      <c r="H2" s="287"/>
      <c r="I2" s="287"/>
      <c r="J2" s="287"/>
      <c r="K2" s="287"/>
      <c r="L2" s="287"/>
      <c r="M2" s="287"/>
      <c r="N2" s="287"/>
      <c r="O2" s="287"/>
      <c r="P2" s="83"/>
    </row>
    <row r="3" spans="1:16" s="84" customFormat="1" ht="12.75">
      <c r="A3" s="123"/>
      <c r="B3" s="291" t="s">
        <v>3</v>
      </c>
      <c r="C3" s="277" t="s">
        <v>21</v>
      </c>
      <c r="D3" s="271" t="s">
        <v>35</v>
      </c>
      <c r="E3" s="271" t="s">
        <v>34</v>
      </c>
      <c r="F3" s="273" t="s">
        <v>22</v>
      </c>
      <c r="G3" s="273" t="s">
        <v>29</v>
      </c>
      <c r="H3" s="273" t="s">
        <v>30</v>
      </c>
      <c r="I3" s="274" t="s">
        <v>23</v>
      </c>
      <c r="J3" s="275"/>
      <c r="K3" s="275"/>
      <c r="L3" s="276"/>
      <c r="M3" s="288" t="s">
        <v>24</v>
      </c>
      <c r="N3" s="289"/>
      <c r="O3" s="290"/>
      <c r="P3" s="124"/>
    </row>
    <row r="4" spans="1:16" s="84" customFormat="1" ht="48" customHeight="1" thickBot="1">
      <c r="A4" s="125"/>
      <c r="B4" s="272"/>
      <c r="C4" s="272"/>
      <c r="D4" s="272"/>
      <c r="E4" s="272"/>
      <c r="F4" s="272"/>
      <c r="G4" s="272"/>
      <c r="H4" s="272"/>
      <c r="I4" s="126" t="s">
        <v>25</v>
      </c>
      <c r="J4" s="127" t="s">
        <v>26</v>
      </c>
      <c r="K4" s="127" t="s">
        <v>12</v>
      </c>
      <c r="L4" s="128" t="s">
        <v>27</v>
      </c>
      <c r="M4" s="126" t="s">
        <v>25</v>
      </c>
      <c r="N4" s="127" t="s">
        <v>26</v>
      </c>
      <c r="O4" s="129" t="s">
        <v>28</v>
      </c>
      <c r="P4" s="124"/>
    </row>
    <row r="5" spans="1:16" s="2" customFormat="1" ht="15">
      <c r="A5" s="48">
        <v>1</v>
      </c>
      <c r="B5" s="94" t="s">
        <v>99</v>
      </c>
      <c r="C5" s="42">
        <v>40179</v>
      </c>
      <c r="D5" s="43" t="s">
        <v>37</v>
      </c>
      <c r="E5" s="43" t="s">
        <v>5</v>
      </c>
      <c r="F5" s="110">
        <v>370</v>
      </c>
      <c r="G5" s="110">
        <v>370</v>
      </c>
      <c r="H5" s="110">
        <v>1</v>
      </c>
      <c r="I5" s="105">
        <v>10958075</v>
      </c>
      <c r="J5" s="106">
        <v>1198396</v>
      </c>
      <c r="K5" s="134">
        <f>J5/G5</f>
        <v>3238.908108108108</v>
      </c>
      <c r="L5" s="135">
        <f>+I5/J5</f>
        <v>9.14395158194787</v>
      </c>
      <c r="M5" s="136">
        <v>10958075</v>
      </c>
      <c r="N5" s="134">
        <v>1198396</v>
      </c>
      <c r="O5" s="137">
        <f>+M5/N5</f>
        <v>9.14395158194787</v>
      </c>
      <c r="P5" s="91">
        <v>1</v>
      </c>
    </row>
    <row r="6" spans="1:16" s="2" customFormat="1" ht="15">
      <c r="A6" s="49">
        <v>2</v>
      </c>
      <c r="B6" s="95" t="s">
        <v>81</v>
      </c>
      <c r="C6" s="34">
        <v>40165</v>
      </c>
      <c r="D6" s="35" t="s">
        <v>39</v>
      </c>
      <c r="E6" s="35" t="s">
        <v>38</v>
      </c>
      <c r="F6" s="111">
        <v>125</v>
      </c>
      <c r="G6" s="111">
        <v>156</v>
      </c>
      <c r="H6" s="111">
        <v>3</v>
      </c>
      <c r="I6" s="57">
        <v>3469556.5</v>
      </c>
      <c r="J6" s="69">
        <v>309119</v>
      </c>
      <c r="K6" s="138">
        <f>(J6/G6)</f>
        <v>1981.5320512820513</v>
      </c>
      <c r="L6" s="139">
        <f>I6/J6</f>
        <v>11.224015670340549</v>
      </c>
      <c r="M6" s="140">
        <f>4033069.5+3582182.5+3469556.5</f>
        <v>11084808.5</v>
      </c>
      <c r="N6" s="141">
        <f>383242+338340+309119</f>
        <v>1030701</v>
      </c>
      <c r="O6" s="142">
        <f>M6/N6</f>
        <v>10.754630586367918</v>
      </c>
      <c r="P6" s="91"/>
    </row>
    <row r="7" spans="1:16" s="2" customFormat="1" ht="15.75" thickBot="1">
      <c r="A7" s="50">
        <v>3</v>
      </c>
      <c r="B7" s="96" t="s">
        <v>100</v>
      </c>
      <c r="C7" s="45">
        <v>40172</v>
      </c>
      <c r="D7" s="46" t="s">
        <v>62</v>
      </c>
      <c r="E7" s="46" t="s">
        <v>84</v>
      </c>
      <c r="F7" s="112">
        <v>196</v>
      </c>
      <c r="G7" s="112">
        <v>196</v>
      </c>
      <c r="H7" s="112">
        <v>2</v>
      </c>
      <c r="I7" s="89">
        <v>546264.5</v>
      </c>
      <c r="J7" s="90">
        <v>66898</v>
      </c>
      <c r="K7" s="143">
        <f>IF(I7&lt;&gt;0,J7/G7,"")</f>
        <v>341.31632653061223</v>
      </c>
      <c r="L7" s="144">
        <f>IF(I7&lt;&gt;0,I7/J7,"")</f>
        <v>8.165632754342433</v>
      </c>
      <c r="M7" s="145">
        <f>821982.75+546264.5</f>
        <v>1368247.25</v>
      </c>
      <c r="N7" s="146">
        <f>109740+66898</f>
        <v>176638</v>
      </c>
      <c r="O7" s="147">
        <f>IF(M7&lt;&gt;0,M7/N7,"")</f>
        <v>7.746052661375242</v>
      </c>
      <c r="P7" s="91">
        <v>1</v>
      </c>
    </row>
    <row r="8" spans="1:16" s="2" customFormat="1" ht="15">
      <c r="A8" s="51">
        <v>4</v>
      </c>
      <c r="B8" s="97" t="s">
        <v>89</v>
      </c>
      <c r="C8" s="85">
        <v>40172</v>
      </c>
      <c r="D8" s="86" t="s">
        <v>39</v>
      </c>
      <c r="E8" s="86" t="s">
        <v>38</v>
      </c>
      <c r="F8" s="113">
        <v>60</v>
      </c>
      <c r="G8" s="113">
        <v>60</v>
      </c>
      <c r="H8" s="113">
        <v>2</v>
      </c>
      <c r="I8" s="87">
        <v>397159.5</v>
      </c>
      <c r="J8" s="88">
        <v>40733</v>
      </c>
      <c r="K8" s="148">
        <f>(J8/G8)</f>
        <v>678.8833333333333</v>
      </c>
      <c r="L8" s="149">
        <f>I8/J8</f>
        <v>9.750313014018118</v>
      </c>
      <c r="M8" s="150">
        <f>421775.5+397159.5</f>
        <v>818935</v>
      </c>
      <c r="N8" s="151">
        <f>43739+40733</f>
        <v>84472</v>
      </c>
      <c r="O8" s="152">
        <f>M8/N8</f>
        <v>9.694750923382896</v>
      </c>
      <c r="P8" s="91"/>
    </row>
    <row r="9" spans="1:16" s="4" customFormat="1" ht="15">
      <c r="A9" s="48">
        <v>5</v>
      </c>
      <c r="B9" s="95" t="s">
        <v>101</v>
      </c>
      <c r="C9" s="34">
        <v>40179</v>
      </c>
      <c r="D9" s="35" t="s">
        <v>39</v>
      </c>
      <c r="E9" s="35" t="s">
        <v>91</v>
      </c>
      <c r="F9" s="111">
        <v>39</v>
      </c>
      <c r="G9" s="111">
        <v>39</v>
      </c>
      <c r="H9" s="111">
        <v>1</v>
      </c>
      <c r="I9" s="107">
        <v>310442.5</v>
      </c>
      <c r="J9" s="108">
        <v>26771</v>
      </c>
      <c r="K9" s="138">
        <f>(J9/G9)</f>
        <v>686.4358974358975</v>
      </c>
      <c r="L9" s="139">
        <f>I9/J9</f>
        <v>11.59622352545665</v>
      </c>
      <c r="M9" s="140">
        <f>310442.5</f>
        <v>310442.5</v>
      </c>
      <c r="N9" s="141">
        <f>26771</f>
        <v>26771</v>
      </c>
      <c r="O9" s="142">
        <f>M9/N9</f>
        <v>11.59622352545665</v>
      </c>
      <c r="P9" s="91"/>
    </row>
    <row r="10" spans="1:16" s="4" customFormat="1" ht="15">
      <c r="A10" s="48">
        <v>6</v>
      </c>
      <c r="B10" s="98" t="s">
        <v>102</v>
      </c>
      <c r="C10" s="36">
        <v>40179</v>
      </c>
      <c r="D10" s="37" t="s">
        <v>36</v>
      </c>
      <c r="E10" s="38" t="s">
        <v>5</v>
      </c>
      <c r="F10" s="114">
        <v>60</v>
      </c>
      <c r="G10" s="114">
        <v>61</v>
      </c>
      <c r="H10" s="114">
        <v>1</v>
      </c>
      <c r="I10" s="107">
        <v>242167</v>
      </c>
      <c r="J10" s="108">
        <v>21845</v>
      </c>
      <c r="K10" s="138">
        <f>J10/G10</f>
        <v>358.11475409836066</v>
      </c>
      <c r="L10" s="139">
        <f>I10/J10</f>
        <v>11.085694666971847</v>
      </c>
      <c r="M10" s="140">
        <v>242167</v>
      </c>
      <c r="N10" s="141">
        <v>21845</v>
      </c>
      <c r="O10" s="142">
        <f>+M10/N10</f>
        <v>11.085694666971847</v>
      </c>
      <c r="P10" s="91"/>
    </row>
    <row r="11" spans="1:16" s="4" customFormat="1" ht="15">
      <c r="A11" s="48">
        <v>7</v>
      </c>
      <c r="B11" s="99" t="s">
        <v>103</v>
      </c>
      <c r="C11" s="36">
        <v>40144</v>
      </c>
      <c r="D11" s="39" t="s">
        <v>9</v>
      </c>
      <c r="E11" s="39" t="s">
        <v>72</v>
      </c>
      <c r="F11" s="115">
        <v>258</v>
      </c>
      <c r="G11" s="115">
        <v>176</v>
      </c>
      <c r="H11" s="115">
        <v>6</v>
      </c>
      <c r="I11" s="59">
        <v>225694.5</v>
      </c>
      <c r="J11" s="71">
        <v>35788</v>
      </c>
      <c r="K11" s="153">
        <f>J11/G11</f>
        <v>203.3409090909091</v>
      </c>
      <c r="L11" s="154">
        <f>I11/J11</f>
        <v>6.306429529451212</v>
      </c>
      <c r="M11" s="155">
        <v>9551615.25</v>
      </c>
      <c r="N11" s="156">
        <v>1107368</v>
      </c>
      <c r="O11" s="157">
        <f>+M11/N11</f>
        <v>8.625511347627889</v>
      </c>
      <c r="P11" s="91">
        <v>1</v>
      </c>
    </row>
    <row r="12" spans="1:16" s="4" customFormat="1" ht="15">
      <c r="A12" s="48">
        <v>8</v>
      </c>
      <c r="B12" s="100" t="s">
        <v>85</v>
      </c>
      <c r="C12" s="32">
        <v>40172</v>
      </c>
      <c r="D12" s="33" t="s">
        <v>37</v>
      </c>
      <c r="E12" s="33" t="s">
        <v>6</v>
      </c>
      <c r="F12" s="116">
        <v>51</v>
      </c>
      <c r="G12" s="116">
        <v>51</v>
      </c>
      <c r="H12" s="116">
        <v>2</v>
      </c>
      <c r="I12" s="60">
        <v>175309</v>
      </c>
      <c r="J12" s="72">
        <v>14721</v>
      </c>
      <c r="K12" s="158">
        <f>J12/G12</f>
        <v>288.6470588235294</v>
      </c>
      <c r="L12" s="159">
        <f>+I12/J12</f>
        <v>11.908769784661368</v>
      </c>
      <c r="M12" s="160">
        <v>448889</v>
      </c>
      <c r="N12" s="158">
        <v>39522</v>
      </c>
      <c r="O12" s="161">
        <f>+M12/N12</f>
        <v>11.35795253276656</v>
      </c>
      <c r="P12" s="91"/>
    </row>
    <row r="13" spans="1:16" s="4" customFormat="1" ht="15">
      <c r="A13" s="48">
        <v>9</v>
      </c>
      <c r="B13" s="100" t="s">
        <v>104</v>
      </c>
      <c r="C13" s="32">
        <v>40165</v>
      </c>
      <c r="D13" s="33" t="s">
        <v>37</v>
      </c>
      <c r="E13" s="33" t="s">
        <v>82</v>
      </c>
      <c r="F13" s="116">
        <v>109</v>
      </c>
      <c r="G13" s="116">
        <v>70</v>
      </c>
      <c r="H13" s="116">
        <v>3</v>
      </c>
      <c r="I13" s="60">
        <v>175077</v>
      </c>
      <c r="J13" s="72">
        <v>16879</v>
      </c>
      <c r="K13" s="158">
        <f>J13/G13</f>
        <v>241.12857142857143</v>
      </c>
      <c r="L13" s="159">
        <f>+I13/J13</f>
        <v>10.372474672670181</v>
      </c>
      <c r="M13" s="160">
        <v>1207284</v>
      </c>
      <c r="N13" s="158">
        <v>120991</v>
      </c>
      <c r="O13" s="161">
        <f>+M13/N13</f>
        <v>9.97829590630708</v>
      </c>
      <c r="P13" s="91">
        <v>1</v>
      </c>
    </row>
    <row r="14" spans="1:16" s="4" customFormat="1" ht="15">
      <c r="A14" s="48">
        <v>10</v>
      </c>
      <c r="B14" s="95" t="s">
        <v>105</v>
      </c>
      <c r="C14" s="34">
        <v>40165</v>
      </c>
      <c r="D14" s="35" t="s">
        <v>39</v>
      </c>
      <c r="E14" s="35" t="s">
        <v>83</v>
      </c>
      <c r="F14" s="111">
        <v>74</v>
      </c>
      <c r="G14" s="111">
        <v>63</v>
      </c>
      <c r="H14" s="111">
        <v>3</v>
      </c>
      <c r="I14" s="57">
        <v>124291.75</v>
      </c>
      <c r="J14" s="69">
        <v>14864</v>
      </c>
      <c r="K14" s="138">
        <f>(J14/G14)</f>
        <v>235.93650793650792</v>
      </c>
      <c r="L14" s="139">
        <f>I14/J14</f>
        <v>8.361931512378902</v>
      </c>
      <c r="M14" s="140">
        <f>507128.25+345268.5+124291.75</f>
        <v>976688.5</v>
      </c>
      <c r="N14" s="141">
        <f>53408+37346+14864</f>
        <v>105618</v>
      </c>
      <c r="O14" s="142">
        <f>M14/N14</f>
        <v>9.247367872900453</v>
      </c>
      <c r="P14" s="91">
        <v>1</v>
      </c>
    </row>
    <row r="15" spans="1:16" s="4" customFormat="1" ht="15">
      <c r="A15" s="48">
        <v>11</v>
      </c>
      <c r="B15" s="99" t="s">
        <v>106</v>
      </c>
      <c r="C15" s="36">
        <v>40158</v>
      </c>
      <c r="D15" s="40" t="s">
        <v>4</v>
      </c>
      <c r="E15" s="39" t="s">
        <v>47</v>
      </c>
      <c r="F15" s="115">
        <v>148</v>
      </c>
      <c r="G15" s="115">
        <v>91</v>
      </c>
      <c r="H15" s="115">
        <v>4</v>
      </c>
      <c r="I15" s="61">
        <v>119681</v>
      </c>
      <c r="J15" s="73">
        <v>17048</v>
      </c>
      <c r="K15" s="162">
        <f>+J15/G15</f>
        <v>187.34065934065933</v>
      </c>
      <c r="L15" s="163">
        <f>+I15/J15</f>
        <v>7.020236977944627</v>
      </c>
      <c r="M15" s="164">
        <v>2757217</v>
      </c>
      <c r="N15" s="165">
        <v>323709</v>
      </c>
      <c r="O15" s="166">
        <f>+M15/N15</f>
        <v>8.517579060205307</v>
      </c>
      <c r="P15" s="91">
        <v>1</v>
      </c>
    </row>
    <row r="16" spans="1:16" s="4" customFormat="1" ht="15">
      <c r="A16" s="48">
        <v>12</v>
      </c>
      <c r="B16" s="98" t="s">
        <v>107</v>
      </c>
      <c r="C16" s="36">
        <v>40165</v>
      </c>
      <c r="D16" s="38" t="s">
        <v>41</v>
      </c>
      <c r="E16" s="38" t="s">
        <v>93</v>
      </c>
      <c r="F16" s="114">
        <v>38</v>
      </c>
      <c r="G16" s="114">
        <v>29</v>
      </c>
      <c r="H16" s="114">
        <v>3</v>
      </c>
      <c r="I16" s="62">
        <v>96495.25</v>
      </c>
      <c r="J16" s="74">
        <v>11131</v>
      </c>
      <c r="K16" s="162">
        <f>IF(I16&lt;&gt;0,J16/G16,"")</f>
        <v>383.82758620689657</v>
      </c>
      <c r="L16" s="163">
        <f>IF(I16&lt;&gt;0,I16/J16,"")</f>
        <v>8.669054891743778</v>
      </c>
      <c r="M16" s="167">
        <v>618764.5</v>
      </c>
      <c r="N16" s="168">
        <v>66606</v>
      </c>
      <c r="O16" s="166">
        <f>IF(M16&lt;&gt;0,M16/N16,"")</f>
        <v>9.289921328408852</v>
      </c>
      <c r="P16" s="91">
        <v>1</v>
      </c>
    </row>
    <row r="17" spans="1:16" s="4" customFormat="1" ht="15">
      <c r="A17" s="48">
        <v>13</v>
      </c>
      <c r="B17" s="95" t="s">
        <v>69</v>
      </c>
      <c r="C17" s="34">
        <v>40137</v>
      </c>
      <c r="D17" s="35" t="s">
        <v>39</v>
      </c>
      <c r="E17" s="35" t="s">
        <v>5</v>
      </c>
      <c r="F17" s="111">
        <v>147</v>
      </c>
      <c r="G17" s="111">
        <v>57</v>
      </c>
      <c r="H17" s="111">
        <v>7</v>
      </c>
      <c r="I17" s="57">
        <v>87796</v>
      </c>
      <c r="J17" s="69">
        <v>15922</v>
      </c>
      <c r="K17" s="138">
        <f>(J17/G17)</f>
        <v>279.3333333333333</v>
      </c>
      <c r="L17" s="139">
        <f>I17/J17</f>
        <v>5.514131390528828</v>
      </c>
      <c r="M17" s="140">
        <f>4499732.5+3362984.5+1262292.25+664013.75+490740.5+244990+87796</f>
        <v>10612549.5</v>
      </c>
      <c r="N17" s="141">
        <f>493806+365411+142937+78728+74756+40294+15922</f>
        <v>1211854</v>
      </c>
      <c r="O17" s="142">
        <f>M17/N17</f>
        <v>8.757283880731507</v>
      </c>
      <c r="P17" s="91"/>
    </row>
    <row r="18" spans="1:16" s="4" customFormat="1" ht="15">
      <c r="A18" s="48">
        <v>14</v>
      </c>
      <c r="B18" s="95" t="s">
        <v>108</v>
      </c>
      <c r="C18" s="34">
        <v>40179</v>
      </c>
      <c r="D18" s="35" t="s">
        <v>39</v>
      </c>
      <c r="E18" s="35" t="s">
        <v>1</v>
      </c>
      <c r="F18" s="111">
        <v>8</v>
      </c>
      <c r="G18" s="111">
        <v>8</v>
      </c>
      <c r="H18" s="111">
        <v>1</v>
      </c>
      <c r="I18" s="107">
        <v>61026</v>
      </c>
      <c r="J18" s="108">
        <v>4540</v>
      </c>
      <c r="K18" s="138">
        <f>(J18/G18)</f>
        <v>567.5</v>
      </c>
      <c r="L18" s="139">
        <f>I18/J18</f>
        <v>13.441850220264318</v>
      </c>
      <c r="M18" s="140">
        <f>61026</f>
        <v>61026</v>
      </c>
      <c r="N18" s="141">
        <f>4540</f>
        <v>4540</v>
      </c>
      <c r="O18" s="142">
        <f>M18/N18</f>
        <v>13.441850220264318</v>
      </c>
      <c r="P18" s="91"/>
    </row>
    <row r="19" spans="1:16" s="4" customFormat="1" ht="15">
      <c r="A19" s="48">
        <v>15</v>
      </c>
      <c r="B19" s="98">
        <v>2012</v>
      </c>
      <c r="C19" s="36">
        <v>40130</v>
      </c>
      <c r="D19" s="37" t="s">
        <v>36</v>
      </c>
      <c r="E19" s="38" t="s">
        <v>73</v>
      </c>
      <c r="F19" s="114">
        <v>178</v>
      </c>
      <c r="G19" s="114">
        <v>37</v>
      </c>
      <c r="H19" s="114">
        <v>8</v>
      </c>
      <c r="I19" s="57">
        <f>48622+283</f>
        <v>48905</v>
      </c>
      <c r="J19" s="69">
        <f>7403+116</f>
        <v>7519</v>
      </c>
      <c r="K19" s="138">
        <f>J19/G19</f>
        <v>203.21621621621622</v>
      </c>
      <c r="L19" s="139">
        <f>I19/J19</f>
        <v>6.504189386886554</v>
      </c>
      <c r="M19" s="140">
        <f>13107603+48622+283</f>
        <v>13156508</v>
      </c>
      <c r="N19" s="141">
        <f>1468855+7403+116</f>
        <v>1476374</v>
      </c>
      <c r="O19" s="142">
        <f>+M19/N19</f>
        <v>8.91136527736197</v>
      </c>
      <c r="P19" s="91"/>
    </row>
    <row r="20" spans="1:16" s="4" customFormat="1" ht="15">
      <c r="A20" s="48">
        <v>16</v>
      </c>
      <c r="B20" s="95" t="s">
        <v>109</v>
      </c>
      <c r="C20" s="34">
        <v>40137</v>
      </c>
      <c r="D20" s="35" t="s">
        <v>62</v>
      </c>
      <c r="E20" s="35" t="s">
        <v>43</v>
      </c>
      <c r="F20" s="111">
        <v>311</v>
      </c>
      <c r="G20" s="111">
        <v>3</v>
      </c>
      <c r="H20" s="111">
        <v>7</v>
      </c>
      <c r="I20" s="58">
        <v>39718</v>
      </c>
      <c r="J20" s="70">
        <v>6551</v>
      </c>
      <c r="K20" s="162">
        <f>IF(I20&lt;&gt;0,J20/G20,"")</f>
        <v>2183.6666666666665</v>
      </c>
      <c r="L20" s="163">
        <f>IF(I20&lt;&gt;0,I20/J20,"")</f>
        <v>6.06289116165471</v>
      </c>
      <c r="M20" s="169">
        <f>3304754.25+2499078+631694+23+231806.5+262+75092+83827.5+39718+180</f>
        <v>6866435.25</v>
      </c>
      <c r="N20" s="168">
        <f>413699+312050+80320+31253+42+12537-15+13061+6551+45</f>
        <v>869543</v>
      </c>
      <c r="O20" s="166">
        <f>IF(M20&lt;&gt;0,M20/N20,"")</f>
        <v>7.896602295688655</v>
      </c>
      <c r="P20" s="91">
        <v>1</v>
      </c>
    </row>
    <row r="21" spans="1:16" s="4" customFormat="1" ht="15">
      <c r="A21" s="48">
        <v>17</v>
      </c>
      <c r="B21" s="95" t="s">
        <v>110</v>
      </c>
      <c r="C21" s="34">
        <v>40137</v>
      </c>
      <c r="D21" s="35" t="s">
        <v>80</v>
      </c>
      <c r="E21" s="35" t="s">
        <v>95</v>
      </c>
      <c r="F21" s="111">
        <v>149</v>
      </c>
      <c r="G21" s="111">
        <v>9</v>
      </c>
      <c r="H21" s="111">
        <v>7</v>
      </c>
      <c r="I21" s="58">
        <v>27101.5</v>
      </c>
      <c r="J21" s="70">
        <v>4448</v>
      </c>
      <c r="K21" s="168">
        <f>J21/G21</f>
        <v>494.22222222222223</v>
      </c>
      <c r="L21" s="170">
        <f>I21/J21</f>
        <v>6.092963129496403</v>
      </c>
      <c r="M21" s="169">
        <v>3103393</v>
      </c>
      <c r="N21" s="168">
        <v>360904</v>
      </c>
      <c r="O21" s="171">
        <f>M21/N21</f>
        <v>8.598943209274488</v>
      </c>
      <c r="P21" s="91">
        <v>1</v>
      </c>
    </row>
    <row r="22" spans="1:16" s="4" customFormat="1" ht="15">
      <c r="A22" s="48">
        <v>18</v>
      </c>
      <c r="B22" s="98" t="s">
        <v>79</v>
      </c>
      <c r="C22" s="36">
        <v>40158</v>
      </c>
      <c r="D22" s="37" t="s">
        <v>36</v>
      </c>
      <c r="E22" s="38" t="s">
        <v>5</v>
      </c>
      <c r="F22" s="114">
        <v>141</v>
      </c>
      <c r="G22" s="114">
        <v>27</v>
      </c>
      <c r="H22" s="114">
        <v>4</v>
      </c>
      <c r="I22" s="57">
        <v>23244</v>
      </c>
      <c r="J22" s="69">
        <v>3818</v>
      </c>
      <c r="K22" s="138">
        <f>J22/G22</f>
        <v>141.40740740740742</v>
      </c>
      <c r="L22" s="139">
        <f>I22/J22</f>
        <v>6.088004190675746</v>
      </c>
      <c r="M22" s="140">
        <f>1607914+23244</f>
        <v>1631158</v>
      </c>
      <c r="N22" s="141">
        <f>183968+3818</f>
        <v>187786</v>
      </c>
      <c r="O22" s="142">
        <f>+M22/N22</f>
        <v>8.686259891578713</v>
      </c>
      <c r="P22" s="91"/>
    </row>
    <row r="23" spans="1:16" s="4" customFormat="1" ht="15">
      <c r="A23" s="48">
        <v>19</v>
      </c>
      <c r="B23" s="98" t="s">
        <v>86</v>
      </c>
      <c r="C23" s="36">
        <v>40172</v>
      </c>
      <c r="D23" s="37" t="s">
        <v>36</v>
      </c>
      <c r="E23" s="38" t="s">
        <v>36</v>
      </c>
      <c r="F23" s="114">
        <v>40</v>
      </c>
      <c r="G23" s="114">
        <v>34</v>
      </c>
      <c r="H23" s="114">
        <v>2</v>
      </c>
      <c r="I23" s="57">
        <v>15275</v>
      </c>
      <c r="J23" s="69">
        <v>1524</v>
      </c>
      <c r="K23" s="138">
        <f>J23/G23</f>
        <v>44.8235294117647</v>
      </c>
      <c r="L23" s="139">
        <f>I23/J23</f>
        <v>10.022965879265092</v>
      </c>
      <c r="M23" s="140">
        <f>74576+15275</f>
        <v>89851</v>
      </c>
      <c r="N23" s="141">
        <f>7330+1524</f>
        <v>8854</v>
      </c>
      <c r="O23" s="142">
        <f>+M23/N23</f>
        <v>10.148068669527897</v>
      </c>
      <c r="P23" s="91"/>
    </row>
    <row r="24" spans="1:16" s="4" customFormat="1" ht="15">
      <c r="A24" s="48">
        <v>20</v>
      </c>
      <c r="B24" s="95" t="s">
        <v>111</v>
      </c>
      <c r="C24" s="34">
        <v>40123</v>
      </c>
      <c r="D24" s="35" t="s">
        <v>39</v>
      </c>
      <c r="E24" s="35" t="s">
        <v>64</v>
      </c>
      <c r="F24" s="111">
        <v>144</v>
      </c>
      <c r="G24" s="111">
        <v>12</v>
      </c>
      <c r="H24" s="111">
        <v>9</v>
      </c>
      <c r="I24" s="57">
        <v>12906</v>
      </c>
      <c r="J24" s="69">
        <v>2803</v>
      </c>
      <c r="K24" s="138">
        <f>(J24/G24)</f>
        <v>233.58333333333334</v>
      </c>
      <c r="L24" s="139">
        <f>I24/J24</f>
        <v>4.6043524794862645</v>
      </c>
      <c r="M24" s="140">
        <f>909778+593215.5+203934.5+91391+32233.5+29451.5+14597.5+12123.5+12906</f>
        <v>1899631</v>
      </c>
      <c r="N24" s="141">
        <f>103944+67300+25860+13426+5611+5689+2739+1975+2803</f>
        <v>229347</v>
      </c>
      <c r="O24" s="142">
        <f>M24/N24</f>
        <v>8.282781113334815</v>
      </c>
      <c r="P24" s="91">
        <v>1</v>
      </c>
    </row>
    <row r="25" spans="1:16" s="4" customFormat="1" ht="15">
      <c r="A25" s="48">
        <v>21</v>
      </c>
      <c r="B25" s="99" t="s">
        <v>112</v>
      </c>
      <c r="C25" s="36">
        <v>40151</v>
      </c>
      <c r="D25" s="39" t="s">
        <v>9</v>
      </c>
      <c r="E25" s="39" t="s">
        <v>75</v>
      </c>
      <c r="F25" s="115">
        <v>128</v>
      </c>
      <c r="G25" s="115">
        <v>14</v>
      </c>
      <c r="H25" s="115">
        <v>5</v>
      </c>
      <c r="I25" s="59">
        <v>10820.5</v>
      </c>
      <c r="J25" s="71">
        <v>2203</v>
      </c>
      <c r="K25" s="153">
        <f>J25/G25</f>
        <v>157.35714285714286</v>
      </c>
      <c r="L25" s="154">
        <f>I25/J25</f>
        <v>4.911711302768952</v>
      </c>
      <c r="M25" s="155">
        <v>1602521</v>
      </c>
      <c r="N25" s="156">
        <v>185512</v>
      </c>
      <c r="O25" s="157">
        <f>+M25/N25</f>
        <v>8.638368407434559</v>
      </c>
      <c r="P25" s="91">
        <v>1</v>
      </c>
    </row>
    <row r="26" spans="1:16" s="4" customFormat="1" ht="15">
      <c r="A26" s="48">
        <v>22</v>
      </c>
      <c r="B26" s="98" t="s">
        <v>113</v>
      </c>
      <c r="C26" s="36">
        <v>40151</v>
      </c>
      <c r="D26" s="38" t="s">
        <v>41</v>
      </c>
      <c r="E26" s="38" t="s">
        <v>46</v>
      </c>
      <c r="F26" s="114">
        <v>140</v>
      </c>
      <c r="G26" s="114">
        <v>15</v>
      </c>
      <c r="H26" s="114">
        <v>5</v>
      </c>
      <c r="I26" s="62">
        <v>6903</v>
      </c>
      <c r="J26" s="74">
        <v>1187</v>
      </c>
      <c r="K26" s="162">
        <f>IF(I26&lt;&gt;0,J26/G26,"")</f>
        <v>79.13333333333334</v>
      </c>
      <c r="L26" s="163">
        <f>IF(I26&lt;&gt;0,I26/J26,"")</f>
        <v>5.815501263689975</v>
      </c>
      <c r="M26" s="167">
        <v>1009943</v>
      </c>
      <c r="N26" s="168">
        <v>127637</v>
      </c>
      <c r="O26" s="166">
        <f>IF(M26&lt;&gt;0,M26/N26,"")</f>
        <v>7.9126193815273</v>
      </c>
      <c r="P26" s="91">
        <v>1</v>
      </c>
    </row>
    <row r="27" spans="1:16" s="4" customFormat="1" ht="15">
      <c r="A27" s="48">
        <v>23</v>
      </c>
      <c r="B27" s="98" t="s">
        <v>114</v>
      </c>
      <c r="C27" s="36">
        <v>40102</v>
      </c>
      <c r="D27" s="38" t="s">
        <v>41</v>
      </c>
      <c r="E27" s="38" t="s">
        <v>56</v>
      </c>
      <c r="F27" s="114">
        <v>319</v>
      </c>
      <c r="G27" s="114">
        <v>13</v>
      </c>
      <c r="H27" s="114">
        <v>12</v>
      </c>
      <c r="I27" s="62">
        <v>6659</v>
      </c>
      <c r="J27" s="74">
        <v>990</v>
      </c>
      <c r="K27" s="162">
        <f>IF(I27&lt;&gt;0,J27/G27,"")</f>
        <v>76.15384615384616</v>
      </c>
      <c r="L27" s="163">
        <f>IF(I27&lt;&gt;0,I27/J27,"")</f>
        <v>6.726262626262626</v>
      </c>
      <c r="M27" s="167">
        <v>19727039.25</v>
      </c>
      <c r="N27" s="168">
        <v>2420126</v>
      </c>
      <c r="O27" s="166">
        <f>IF(M27&lt;&gt;0,M27/N27,"")</f>
        <v>8.151244707920165</v>
      </c>
      <c r="P27" s="91">
        <v>1</v>
      </c>
    </row>
    <row r="28" spans="1:16" s="4" customFormat="1" ht="15">
      <c r="A28" s="48">
        <v>24</v>
      </c>
      <c r="B28" s="98" t="s">
        <v>74</v>
      </c>
      <c r="C28" s="36">
        <v>40137</v>
      </c>
      <c r="D28" s="37" t="s">
        <v>36</v>
      </c>
      <c r="E28" s="38" t="s">
        <v>73</v>
      </c>
      <c r="F28" s="114">
        <v>20</v>
      </c>
      <c r="G28" s="114">
        <v>1</v>
      </c>
      <c r="H28" s="114">
        <v>7</v>
      </c>
      <c r="I28" s="57">
        <v>4193</v>
      </c>
      <c r="J28" s="69">
        <v>595</v>
      </c>
      <c r="K28" s="138">
        <f>J28/G28</f>
        <v>595</v>
      </c>
      <c r="L28" s="139">
        <f>I28/J28</f>
        <v>7.047058823529412</v>
      </c>
      <c r="M28" s="140">
        <f>997860+4193</f>
        <v>1002053</v>
      </c>
      <c r="N28" s="141">
        <f>81544+595</f>
        <v>82139</v>
      </c>
      <c r="O28" s="142">
        <f>+M28/N28</f>
        <v>12.1994789320542</v>
      </c>
      <c r="P28" s="91"/>
    </row>
    <row r="29" spans="1:16" s="4" customFormat="1" ht="15">
      <c r="A29" s="48">
        <v>25</v>
      </c>
      <c r="B29" s="95" t="s">
        <v>115</v>
      </c>
      <c r="C29" s="34">
        <v>40109</v>
      </c>
      <c r="D29" s="35" t="s">
        <v>39</v>
      </c>
      <c r="E29" s="35" t="s">
        <v>59</v>
      </c>
      <c r="F29" s="111">
        <v>25</v>
      </c>
      <c r="G29" s="111">
        <v>5</v>
      </c>
      <c r="H29" s="111">
        <v>11</v>
      </c>
      <c r="I29" s="57">
        <v>3895</v>
      </c>
      <c r="J29" s="69">
        <v>730</v>
      </c>
      <c r="K29" s="138">
        <f>(J29/G29)</f>
        <v>146</v>
      </c>
      <c r="L29" s="139">
        <f>I29/J29</f>
        <v>5.335616438356165</v>
      </c>
      <c r="M29" s="140">
        <f>198009+121514.5+95148.5+66495+23091+12092+17648.5+7279+6352.5+7838.5+3895</f>
        <v>559363.5</v>
      </c>
      <c r="N29" s="141">
        <f>27092+16078+14204+10980+3903+1664+3329+1236+1212+1399+730</f>
        <v>81827</v>
      </c>
      <c r="O29" s="142">
        <f>M29/N29</f>
        <v>6.835928238845369</v>
      </c>
      <c r="P29" s="91">
        <v>1</v>
      </c>
    </row>
    <row r="30" spans="1:16" s="4" customFormat="1" ht="15">
      <c r="A30" s="48">
        <v>26</v>
      </c>
      <c r="B30" s="95" t="s">
        <v>116</v>
      </c>
      <c r="C30" s="34">
        <v>40116</v>
      </c>
      <c r="D30" s="35" t="s">
        <v>62</v>
      </c>
      <c r="E30" s="35" t="s">
        <v>70</v>
      </c>
      <c r="F30" s="111">
        <v>252</v>
      </c>
      <c r="G30" s="111">
        <v>3</v>
      </c>
      <c r="H30" s="111">
        <v>10</v>
      </c>
      <c r="I30" s="58">
        <v>3546</v>
      </c>
      <c r="J30" s="70">
        <v>675</v>
      </c>
      <c r="K30" s="162">
        <f>IF(I30&lt;&gt;0,J30/G30,"")</f>
        <v>225</v>
      </c>
      <c r="L30" s="163">
        <f>IF(I30&lt;&gt;0,I30/J30,"")</f>
        <v>5.253333333333333</v>
      </c>
      <c r="M30" s="169">
        <f>1669127.75+948082.25+584112.75-1430.5+253635+167357+9936+0.5+7987+1963+4065+3546</f>
        <v>3648381.75</v>
      </c>
      <c r="N30" s="168">
        <f>200044+117374+72700-112+36636+25117+1706+1163+472+1036+675</f>
        <v>456811</v>
      </c>
      <c r="O30" s="166">
        <f>IF(M30&lt;&gt;0,M30/N30,"")</f>
        <v>7.986632874427279</v>
      </c>
      <c r="P30" s="91">
        <v>1</v>
      </c>
    </row>
    <row r="31" spans="1:16" s="4" customFormat="1" ht="15">
      <c r="A31" s="48">
        <v>27</v>
      </c>
      <c r="B31" s="95" t="s">
        <v>117</v>
      </c>
      <c r="C31" s="34">
        <v>40172</v>
      </c>
      <c r="D31" s="35" t="s">
        <v>62</v>
      </c>
      <c r="E31" s="35" t="s">
        <v>87</v>
      </c>
      <c r="F31" s="111">
        <v>10</v>
      </c>
      <c r="G31" s="111">
        <v>9</v>
      </c>
      <c r="H31" s="111">
        <v>2</v>
      </c>
      <c r="I31" s="58">
        <v>3107</v>
      </c>
      <c r="J31" s="70">
        <v>335</v>
      </c>
      <c r="K31" s="162">
        <f>IF(I31&lt;&gt;0,J31/G31,"")</f>
        <v>37.22222222222222</v>
      </c>
      <c r="L31" s="163">
        <f>IF(I31&lt;&gt;0,I31/J31,"")</f>
        <v>9.274626865671642</v>
      </c>
      <c r="M31" s="169">
        <f>9917+0.75+3107</f>
        <v>13024.75</v>
      </c>
      <c r="N31" s="168">
        <f>987+335</f>
        <v>1322</v>
      </c>
      <c r="O31" s="166">
        <f>IF(M31&lt;&gt;0,M31/N31,"")</f>
        <v>9.85230711043873</v>
      </c>
      <c r="P31" s="91">
        <v>1</v>
      </c>
    </row>
    <row r="32" spans="1:16" s="4" customFormat="1" ht="15">
      <c r="A32" s="48">
        <v>28</v>
      </c>
      <c r="B32" s="98" t="s">
        <v>118</v>
      </c>
      <c r="C32" s="36">
        <v>40123</v>
      </c>
      <c r="D32" s="38" t="s">
        <v>41</v>
      </c>
      <c r="E32" s="38" t="s">
        <v>66</v>
      </c>
      <c r="F32" s="114">
        <v>40</v>
      </c>
      <c r="G32" s="114">
        <v>3</v>
      </c>
      <c r="H32" s="114">
        <v>8</v>
      </c>
      <c r="I32" s="62">
        <v>2876</v>
      </c>
      <c r="J32" s="74">
        <v>477</v>
      </c>
      <c r="K32" s="162">
        <f>IF(I32&lt;&gt;0,J32/G32,"")</f>
        <v>159</v>
      </c>
      <c r="L32" s="163">
        <f>IF(I32&lt;&gt;0,I32/J32,"")</f>
        <v>6.029350104821803</v>
      </c>
      <c r="M32" s="167">
        <v>260364.25</v>
      </c>
      <c r="N32" s="168">
        <v>26330</v>
      </c>
      <c r="O32" s="166">
        <f>IF(M32&lt;&gt;0,M32/N32,"")</f>
        <v>9.888501709077099</v>
      </c>
      <c r="P32" s="91">
        <v>1</v>
      </c>
    </row>
    <row r="33" spans="1:16" s="4" customFormat="1" ht="15">
      <c r="A33" s="48">
        <v>29</v>
      </c>
      <c r="B33" s="95" t="s">
        <v>77</v>
      </c>
      <c r="C33" s="34">
        <v>40151</v>
      </c>
      <c r="D33" s="35" t="s">
        <v>39</v>
      </c>
      <c r="E33" s="35" t="s">
        <v>78</v>
      </c>
      <c r="F33" s="111">
        <v>2</v>
      </c>
      <c r="G33" s="111">
        <v>2</v>
      </c>
      <c r="H33" s="111">
        <v>5</v>
      </c>
      <c r="I33" s="57">
        <v>2853</v>
      </c>
      <c r="J33" s="69">
        <v>502</v>
      </c>
      <c r="K33" s="138">
        <f>(J33/G33)</f>
        <v>251</v>
      </c>
      <c r="L33" s="139">
        <f>I33/J33</f>
        <v>5.683266932270916</v>
      </c>
      <c r="M33" s="140">
        <f>14952+6112+2196+2975+2853</f>
        <v>29088</v>
      </c>
      <c r="N33" s="141">
        <f>1468+666+254+478+502</f>
        <v>3368</v>
      </c>
      <c r="O33" s="142">
        <f>M33/N33</f>
        <v>8.636579572446555</v>
      </c>
      <c r="P33" s="91"/>
    </row>
    <row r="34" spans="1:16" s="4" customFormat="1" ht="15">
      <c r="A34" s="48">
        <v>30</v>
      </c>
      <c r="B34" s="95" t="s">
        <v>55</v>
      </c>
      <c r="C34" s="34">
        <v>40095</v>
      </c>
      <c r="D34" s="35" t="s">
        <v>39</v>
      </c>
      <c r="E34" s="35" t="s">
        <v>38</v>
      </c>
      <c r="F34" s="111">
        <v>22</v>
      </c>
      <c r="G34" s="111">
        <v>2</v>
      </c>
      <c r="H34" s="111">
        <v>9</v>
      </c>
      <c r="I34" s="57">
        <v>2484</v>
      </c>
      <c r="J34" s="69">
        <v>571</v>
      </c>
      <c r="K34" s="138">
        <f>(J34/G34)</f>
        <v>285.5</v>
      </c>
      <c r="L34" s="139">
        <f>I34/J34</f>
        <v>4.350262697022767</v>
      </c>
      <c r="M34" s="140">
        <f>158809.5+140713.25+103696.25+38523+19360+17458+1188+196+2484</f>
        <v>482428</v>
      </c>
      <c r="N34" s="141">
        <f>14214+13110+10683+4685+3074+2645+297+16+571</f>
        <v>49295</v>
      </c>
      <c r="O34" s="142">
        <f>M34/N34</f>
        <v>9.786550360077086</v>
      </c>
      <c r="P34" s="91"/>
    </row>
    <row r="35" spans="1:16" s="4" customFormat="1" ht="15">
      <c r="A35" s="48">
        <v>31</v>
      </c>
      <c r="B35" s="100" t="s">
        <v>57</v>
      </c>
      <c r="C35" s="32">
        <v>40102</v>
      </c>
      <c r="D35" s="33" t="s">
        <v>37</v>
      </c>
      <c r="E35" s="33" t="s">
        <v>20</v>
      </c>
      <c r="F35" s="116">
        <v>99</v>
      </c>
      <c r="G35" s="116">
        <v>15</v>
      </c>
      <c r="H35" s="116">
        <v>12</v>
      </c>
      <c r="I35" s="60">
        <v>2194</v>
      </c>
      <c r="J35" s="72">
        <v>315</v>
      </c>
      <c r="K35" s="158">
        <f>J35/G35</f>
        <v>21</v>
      </c>
      <c r="L35" s="159">
        <f>+I35/J35</f>
        <v>6.965079365079365</v>
      </c>
      <c r="M35" s="160">
        <v>2575565</v>
      </c>
      <c r="N35" s="158">
        <v>271966</v>
      </c>
      <c r="O35" s="161">
        <f>+M35/N35</f>
        <v>9.470172742181008</v>
      </c>
      <c r="P35" s="91"/>
    </row>
    <row r="36" spans="1:16" s="4" customFormat="1" ht="15">
      <c r="A36" s="48">
        <v>32</v>
      </c>
      <c r="B36" s="100" t="s">
        <v>119</v>
      </c>
      <c r="C36" s="32">
        <v>40144</v>
      </c>
      <c r="D36" s="33" t="s">
        <v>37</v>
      </c>
      <c r="E36" s="33" t="s">
        <v>33</v>
      </c>
      <c r="F36" s="116">
        <v>128</v>
      </c>
      <c r="G36" s="116">
        <v>7</v>
      </c>
      <c r="H36" s="116">
        <v>6</v>
      </c>
      <c r="I36" s="60">
        <v>1964</v>
      </c>
      <c r="J36" s="72">
        <v>269</v>
      </c>
      <c r="K36" s="158">
        <f>J36/G36</f>
        <v>38.42857142857143</v>
      </c>
      <c r="L36" s="159">
        <f>+I36/J36</f>
        <v>7.301115241635688</v>
      </c>
      <c r="M36" s="160">
        <v>2570020</v>
      </c>
      <c r="N36" s="158">
        <v>307494</v>
      </c>
      <c r="O36" s="161">
        <f>+M36/N36</f>
        <v>8.357951699870567</v>
      </c>
      <c r="P36" s="91">
        <v>1</v>
      </c>
    </row>
    <row r="37" spans="1:16" s="4" customFormat="1" ht="15">
      <c r="A37" s="48">
        <v>33</v>
      </c>
      <c r="B37" s="95" t="s">
        <v>120</v>
      </c>
      <c r="C37" s="34">
        <v>39941</v>
      </c>
      <c r="D37" s="40" t="s">
        <v>39</v>
      </c>
      <c r="E37" s="35" t="s">
        <v>96</v>
      </c>
      <c r="F37" s="111">
        <v>26</v>
      </c>
      <c r="G37" s="111">
        <v>1</v>
      </c>
      <c r="H37" s="111">
        <v>21</v>
      </c>
      <c r="I37" s="57">
        <v>1780</v>
      </c>
      <c r="J37" s="69">
        <v>445</v>
      </c>
      <c r="K37" s="138">
        <f>(J37/G37)</f>
        <v>445</v>
      </c>
      <c r="L37" s="139">
        <f>I37/J37</f>
        <v>4</v>
      </c>
      <c r="M37" s="140">
        <f>36482.75+16583.5+5922.75+3249+4769+4925+4199.5+5525+366+924+414+2215+2444+33+1987+838+1440+537+604+3792+2376+1780</f>
        <v>101406.5</v>
      </c>
      <c r="N37" s="141">
        <f>4495+1934+744+517+1003+1215+722+968+65+193+83+369+384+5+336+159+238+83+151+948+594+445</f>
        <v>15651</v>
      </c>
      <c r="O37" s="142">
        <f>M37/N37</f>
        <v>6.479234553702639</v>
      </c>
      <c r="P37" s="91">
        <v>1</v>
      </c>
    </row>
    <row r="38" spans="1:16" s="4" customFormat="1" ht="15">
      <c r="A38" s="48">
        <v>34</v>
      </c>
      <c r="B38" s="95" t="s">
        <v>45</v>
      </c>
      <c r="C38" s="34">
        <v>39871</v>
      </c>
      <c r="D38" s="40" t="s">
        <v>39</v>
      </c>
      <c r="E38" s="35" t="s">
        <v>1</v>
      </c>
      <c r="F38" s="111">
        <v>1</v>
      </c>
      <c r="G38" s="111">
        <v>1</v>
      </c>
      <c r="H38" s="111">
        <v>21</v>
      </c>
      <c r="I38" s="57">
        <v>1780</v>
      </c>
      <c r="J38" s="69">
        <v>445</v>
      </c>
      <c r="K38" s="138">
        <f>(J38/G38)</f>
        <v>445</v>
      </c>
      <c r="L38" s="139">
        <f>I38/J38</f>
        <v>4</v>
      </c>
      <c r="M38" s="140">
        <f>1088+1510+1304+856+387+214+424+106+162+130+476+60.5+118+96+1664+1780+454+259.5+1188+119.5+1188+1780</f>
        <v>15364.5</v>
      </c>
      <c r="N38" s="141">
        <f>267+175+155+102+46+26+51+12+18+16+57+8+22+16+416+445+57+31+297+19+297+445</f>
        <v>2978</v>
      </c>
      <c r="O38" s="142">
        <f>M38/N38</f>
        <v>5.15933512424446</v>
      </c>
      <c r="P38" s="91"/>
    </row>
    <row r="39" spans="1:16" s="4" customFormat="1" ht="15">
      <c r="A39" s="48">
        <v>35</v>
      </c>
      <c r="B39" s="100" t="s">
        <v>54</v>
      </c>
      <c r="C39" s="32">
        <v>40074</v>
      </c>
      <c r="D39" s="33" t="s">
        <v>37</v>
      </c>
      <c r="E39" s="33" t="s">
        <v>20</v>
      </c>
      <c r="F39" s="116">
        <v>61</v>
      </c>
      <c r="G39" s="116">
        <v>1</v>
      </c>
      <c r="H39" s="116">
        <v>15</v>
      </c>
      <c r="I39" s="60">
        <v>1521</v>
      </c>
      <c r="J39" s="72">
        <v>408</v>
      </c>
      <c r="K39" s="158">
        <f>J39/G39</f>
        <v>408</v>
      </c>
      <c r="L39" s="159">
        <f>+I39/J39</f>
        <v>3.7279411764705883</v>
      </c>
      <c r="M39" s="160">
        <v>1027374</v>
      </c>
      <c r="N39" s="158">
        <v>103387</v>
      </c>
      <c r="O39" s="161">
        <f>+M39/N39</f>
        <v>9.937168115913993</v>
      </c>
      <c r="P39" s="91"/>
    </row>
    <row r="40" spans="1:16" s="4" customFormat="1" ht="15">
      <c r="A40" s="48">
        <v>36</v>
      </c>
      <c r="B40" s="95" t="s">
        <v>76</v>
      </c>
      <c r="C40" s="34">
        <v>40151</v>
      </c>
      <c r="D40" s="35" t="s">
        <v>39</v>
      </c>
      <c r="E40" s="35" t="s">
        <v>44</v>
      </c>
      <c r="F40" s="111">
        <v>8</v>
      </c>
      <c r="G40" s="111">
        <v>3</v>
      </c>
      <c r="H40" s="111">
        <v>5</v>
      </c>
      <c r="I40" s="57">
        <v>1473.5</v>
      </c>
      <c r="J40" s="69">
        <v>296</v>
      </c>
      <c r="K40" s="138">
        <f aca="true" t="shared" si="0" ref="K40:K45">(J40/G40)</f>
        <v>98.66666666666667</v>
      </c>
      <c r="L40" s="139">
        <f aca="true" t="shared" si="1" ref="L40:L46">I40/J40</f>
        <v>4.97804054054054</v>
      </c>
      <c r="M40" s="140">
        <f>69195.5+29540+2797+8009+1473.5</f>
        <v>111015</v>
      </c>
      <c r="N40" s="141">
        <f>5170+2208+292+904+296</f>
        <v>8870</v>
      </c>
      <c r="O40" s="142">
        <f aca="true" t="shared" si="2" ref="O40:O45">M40/N40</f>
        <v>12.515783540022548</v>
      </c>
      <c r="P40" s="91"/>
    </row>
    <row r="41" spans="1:16" s="4" customFormat="1" ht="15">
      <c r="A41" s="48">
        <v>37</v>
      </c>
      <c r="B41" s="95" t="s">
        <v>50</v>
      </c>
      <c r="C41" s="34">
        <v>39995</v>
      </c>
      <c r="D41" s="35" t="s">
        <v>39</v>
      </c>
      <c r="E41" s="35" t="s">
        <v>38</v>
      </c>
      <c r="F41" s="111">
        <v>209</v>
      </c>
      <c r="G41" s="111">
        <v>2</v>
      </c>
      <c r="H41" s="111">
        <v>27</v>
      </c>
      <c r="I41" s="57">
        <v>1385</v>
      </c>
      <c r="J41" s="69">
        <v>249</v>
      </c>
      <c r="K41" s="138">
        <f t="shared" si="0"/>
        <v>124.5</v>
      </c>
      <c r="L41" s="139">
        <f t="shared" si="1"/>
        <v>5.562248995983936</v>
      </c>
      <c r="M41" s="140">
        <f>872160.5+3062686.25+2016658.5+1330226.25+943221.5+742732+516667.5+450351.5+331944.75+238834+191406+133484.5+252388.75+88483.5+54821.5+50455.5+10393.5+13219.5+4551+15537+5404+869+4082+1834+3805+1635+750+1385</f>
        <v>11339987.5</v>
      </c>
      <c r="N41" s="141">
        <f>115039+364710+241056+162109+115810+90639+66180+59650+44695+33272+25508+18324+32600+11489+6695+7353+1723+3013+920+3530+1123+138+968+454+919+396+210+249</f>
        <v>1408772</v>
      </c>
      <c r="O41" s="142">
        <f t="shared" si="2"/>
        <v>8.049554860545213</v>
      </c>
      <c r="P41" s="91"/>
    </row>
    <row r="42" spans="1:16" s="4" customFormat="1" ht="15">
      <c r="A42" s="48">
        <v>38</v>
      </c>
      <c r="B42" s="95" t="s">
        <v>97</v>
      </c>
      <c r="C42" s="34">
        <v>39926</v>
      </c>
      <c r="D42" s="40" t="s">
        <v>39</v>
      </c>
      <c r="E42" s="35" t="s">
        <v>48</v>
      </c>
      <c r="F42" s="111">
        <v>40</v>
      </c>
      <c r="G42" s="111">
        <v>2</v>
      </c>
      <c r="H42" s="111">
        <v>30</v>
      </c>
      <c r="I42" s="57">
        <v>1280</v>
      </c>
      <c r="J42" s="69">
        <v>182</v>
      </c>
      <c r="K42" s="138">
        <f t="shared" si="0"/>
        <v>91</v>
      </c>
      <c r="L42" s="139">
        <f t="shared" si="1"/>
        <v>7.032967032967033</v>
      </c>
      <c r="M42" s="140">
        <f>35864.5+53058.5+35303.5+15734.5+12778.5+9687.5+8045+13953.5+10307+6140.75+1296+667+231+755+1970+2246+752.5+591.5+130+445+2051+750+1477+2060+1816+47+72+84+378+2301+1280</f>
        <v>222273.25</v>
      </c>
      <c r="N42" s="141">
        <f>3971+5771+3969+2398+2257+2131+1634+2509+1783+912+230+126+48+181+472+311+114+91+20+78+493+183+365+462+452+9+24+28+94+494+182</f>
        <v>31792</v>
      </c>
      <c r="O42" s="142">
        <f t="shared" si="2"/>
        <v>6.991483706592853</v>
      </c>
      <c r="P42" s="91"/>
    </row>
    <row r="43" spans="1:16" s="4" customFormat="1" ht="15">
      <c r="A43" s="48">
        <v>39</v>
      </c>
      <c r="B43" s="95" t="s">
        <v>53</v>
      </c>
      <c r="C43" s="34">
        <v>40067</v>
      </c>
      <c r="D43" s="35" t="s">
        <v>39</v>
      </c>
      <c r="E43" s="35" t="s">
        <v>38</v>
      </c>
      <c r="F43" s="111">
        <v>51</v>
      </c>
      <c r="G43" s="111">
        <v>2</v>
      </c>
      <c r="H43" s="111">
        <v>16</v>
      </c>
      <c r="I43" s="57">
        <v>1264</v>
      </c>
      <c r="J43" s="69">
        <v>316</v>
      </c>
      <c r="K43" s="138">
        <f t="shared" si="0"/>
        <v>158</v>
      </c>
      <c r="L43" s="139">
        <f t="shared" si="1"/>
        <v>4</v>
      </c>
      <c r="M43" s="140">
        <f>182949+180053+29827+20114+26140.5+10395.5+4671+3342+2340+5520+249.5+165+3602+91+952+1264</f>
        <v>471675.5</v>
      </c>
      <c r="N43" s="141">
        <f>18625+17802+3355+2859+3903+1800+782+594+465+1366+90+60+905+15+238+316</f>
        <v>53175</v>
      </c>
      <c r="O43" s="142">
        <f t="shared" si="2"/>
        <v>8.870249177244945</v>
      </c>
      <c r="P43" s="91"/>
    </row>
    <row r="44" spans="1:16" s="4" customFormat="1" ht="15">
      <c r="A44" s="48">
        <v>40</v>
      </c>
      <c r="B44" s="95" t="s">
        <v>121</v>
      </c>
      <c r="C44" s="34">
        <v>40130</v>
      </c>
      <c r="D44" s="35" t="s">
        <v>39</v>
      </c>
      <c r="E44" s="35" t="s">
        <v>67</v>
      </c>
      <c r="F44" s="111">
        <v>13</v>
      </c>
      <c r="G44" s="111">
        <v>2</v>
      </c>
      <c r="H44" s="111">
        <v>8</v>
      </c>
      <c r="I44" s="57">
        <v>1216</v>
      </c>
      <c r="J44" s="69">
        <v>305</v>
      </c>
      <c r="K44" s="138">
        <f t="shared" si="0"/>
        <v>152.5</v>
      </c>
      <c r="L44" s="139">
        <f t="shared" si="1"/>
        <v>3.9868852459016395</v>
      </c>
      <c r="M44" s="140">
        <f>61012+24426+6122+10040+4081+228+2698+1216</f>
        <v>109823</v>
      </c>
      <c r="N44" s="141">
        <f>5982+2401+678+1620+879+42+433+305</f>
        <v>12340</v>
      </c>
      <c r="O44" s="142">
        <f t="shared" si="2"/>
        <v>8.899756888168557</v>
      </c>
      <c r="P44" s="91">
        <v>1</v>
      </c>
    </row>
    <row r="45" spans="1:16" s="4" customFormat="1" ht="15">
      <c r="A45" s="48">
        <v>41</v>
      </c>
      <c r="B45" s="95" t="s">
        <v>60</v>
      </c>
      <c r="C45" s="34">
        <v>40109</v>
      </c>
      <c r="D45" s="35" t="s">
        <v>39</v>
      </c>
      <c r="E45" s="35" t="s">
        <v>38</v>
      </c>
      <c r="F45" s="111">
        <v>35</v>
      </c>
      <c r="G45" s="111">
        <v>1</v>
      </c>
      <c r="H45" s="111">
        <v>9</v>
      </c>
      <c r="I45" s="57">
        <v>1082</v>
      </c>
      <c r="J45" s="69">
        <v>177</v>
      </c>
      <c r="K45" s="138">
        <f t="shared" si="0"/>
        <v>177</v>
      </c>
      <c r="L45" s="139">
        <f t="shared" si="1"/>
        <v>6.112994350282486</v>
      </c>
      <c r="M45" s="140">
        <f>138311.75+79345.25+13093+10041+3739+971+1340+254+1082</f>
        <v>248177</v>
      </c>
      <c r="N45" s="141">
        <f>12918+7558+2061+1540+644+195+252+48+177</f>
        <v>25393</v>
      </c>
      <c r="O45" s="142">
        <f t="shared" si="2"/>
        <v>9.77344149962588</v>
      </c>
      <c r="P45" s="91"/>
    </row>
    <row r="46" spans="1:16" s="4" customFormat="1" ht="15">
      <c r="A46" s="48">
        <v>42</v>
      </c>
      <c r="B46" s="98" t="s">
        <v>122</v>
      </c>
      <c r="C46" s="36">
        <v>40165</v>
      </c>
      <c r="D46" s="37" t="s">
        <v>36</v>
      </c>
      <c r="E46" s="38" t="s">
        <v>7</v>
      </c>
      <c r="F46" s="114">
        <v>36</v>
      </c>
      <c r="G46" s="114">
        <v>1</v>
      </c>
      <c r="H46" s="114">
        <v>3</v>
      </c>
      <c r="I46" s="57">
        <v>852</v>
      </c>
      <c r="J46" s="69">
        <v>142</v>
      </c>
      <c r="K46" s="138">
        <f>J46/G46</f>
        <v>142</v>
      </c>
      <c r="L46" s="139">
        <f t="shared" si="1"/>
        <v>6</v>
      </c>
      <c r="M46" s="140">
        <v>119500</v>
      </c>
      <c r="N46" s="141">
        <v>13046</v>
      </c>
      <c r="O46" s="142">
        <f>+M46/N46</f>
        <v>9.159895753487659</v>
      </c>
      <c r="P46" s="91">
        <v>1</v>
      </c>
    </row>
    <row r="47" spans="1:16" s="4" customFormat="1" ht="15">
      <c r="A47" s="48">
        <v>43</v>
      </c>
      <c r="B47" s="98" t="s">
        <v>52</v>
      </c>
      <c r="C47" s="36">
        <v>40067</v>
      </c>
      <c r="D47" s="38" t="s">
        <v>41</v>
      </c>
      <c r="E47" s="38" t="s">
        <v>49</v>
      </c>
      <c r="F47" s="114">
        <v>105</v>
      </c>
      <c r="G47" s="114">
        <v>7</v>
      </c>
      <c r="H47" s="114">
        <v>17</v>
      </c>
      <c r="I47" s="62">
        <v>810</v>
      </c>
      <c r="J47" s="74">
        <v>154</v>
      </c>
      <c r="K47" s="162">
        <f>IF(I47&lt;&gt;0,J47/G47,"")</f>
        <v>22</v>
      </c>
      <c r="L47" s="163">
        <f>IF(I47&lt;&gt;0,I47/J47,"")</f>
        <v>5.259740259740259</v>
      </c>
      <c r="M47" s="167">
        <v>609976.75</v>
      </c>
      <c r="N47" s="168">
        <v>71251</v>
      </c>
      <c r="O47" s="166">
        <f>IF(M47&lt;&gt;0,M47/N47,"")</f>
        <v>8.56095703919945</v>
      </c>
      <c r="P47" s="91"/>
    </row>
    <row r="48" spans="1:16" s="4" customFormat="1" ht="15">
      <c r="A48" s="48">
        <v>44</v>
      </c>
      <c r="B48" s="100" t="s">
        <v>71</v>
      </c>
      <c r="C48" s="32">
        <v>40137</v>
      </c>
      <c r="D48" s="33" t="s">
        <v>37</v>
      </c>
      <c r="E48" s="33" t="s">
        <v>20</v>
      </c>
      <c r="F48" s="116">
        <v>61</v>
      </c>
      <c r="G48" s="116">
        <v>1</v>
      </c>
      <c r="H48" s="116">
        <v>7</v>
      </c>
      <c r="I48" s="60">
        <v>768</v>
      </c>
      <c r="J48" s="72">
        <v>63</v>
      </c>
      <c r="K48" s="158">
        <f>J48/G48</f>
        <v>63</v>
      </c>
      <c r="L48" s="159">
        <f>+I48/J48</f>
        <v>12.19047619047619</v>
      </c>
      <c r="M48" s="160">
        <v>456253</v>
      </c>
      <c r="N48" s="158">
        <v>41839</v>
      </c>
      <c r="O48" s="161">
        <f>+M48/N48</f>
        <v>10.9049690480174</v>
      </c>
      <c r="P48" s="91"/>
    </row>
    <row r="49" spans="1:16" s="4" customFormat="1" ht="15">
      <c r="A49" s="48">
        <v>45</v>
      </c>
      <c r="B49" s="100" t="s">
        <v>61</v>
      </c>
      <c r="C49" s="32">
        <v>40046</v>
      </c>
      <c r="D49" s="33" t="s">
        <v>37</v>
      </c>
      <c r="E49" s="33" t="s">
        <v>31</v>
      </c>
      <c r="F49" s="116">
        <v>55</v>
      </c>
      <c r="G49" s="116">
        <v>1</v>
      </c>
      <c r="H49" s="116">
        <v>11</v>
      </c>
      <c r="I49" s="60">
        <v>650</v>
      </c>
      <c r="J49" s="72">
        <v>100</v>
      </c>
      <c r="K49" s="158">
        <f>J49/G49</f>
        <v>100</v>
      </c>
      <c r="L49" s="159">
        <f>+I49/J49</f>
        <v>6.5</v>
      </c>
      <c r="M49" s="160">
        <v>187300</v>
      </c>
      <c r="N49" s="158">
        <v>18939</v>
      </c>
      <c r="O49" s="161">
        <f>+M49/N49</f>
        <v>9.889645704630656</v>
      </c>
      <c r="P49" s="91"/>
    </row>
    <row r="50" spans="1:16" s="4" customFormat="1" ht="15">
      <c r="A50" s="48">
        <v>46</v>
      </c>
      <c r="B50" s="95" t="s">
        <v>123</v>
      </c>
      <c r="C50" s="34">
        <v>40109</v>
      </c>
      <c r="D50" s="35" t="s">
        <v>39</v>
      </c>
      <c r="E50" s="35" t="s">
        <v>58</v>
      </c>
      <c r="F50" s="111">
        <v>179</v>
      </c>
      <c r="G50" s="111">
        <v>2</v>
      </c>
      <c r="H50" s="111">
        <v>11</v>
      </c>
      <c r="I50" s="57">
        <v>564</v>
      </c>
      <c r="J50" s="69">
        <v>91</v>
      </c>
      <c r="K50" s="138">
        <f>(J50/G50)</f>
        <v>45.5</v>
      </c>
      <c r="L50" s="139">
        <f>I50/J50</f>
        <v>6.197802197802198</v>
      </c>
      <c r="M50" s="140">
        <f>1128559+561773+266735+93447+7005+1818+273+24520+599+3199+564</f>
        <v>2088492</v>
      </c>
      <c r="N50" s="141">
        <f>129422+68620+41591+19064+1291+300+35+6130+81+717+91</f>
        <v>267342</v>
      </c>
      <c r="O50" s="142">
        <f>M50/N50</f>
        <v>7.8120609556298675</v>
      </c>
      <c r="P50" s="91">
        <v>1</v>
      </c>
    </row>
    <row r="51" spans="1:16" s="4" customFormat="1" ht="15">
      <c r="A51" s="48">
        <v>47</v>
      </c>
      <c r="B51" s="95" t="s">
        <v>63</v>
      </c>
      <c r="C51" s="34">
        <v>40116</v>
      </c>
      <c r="D51" s="35" t="s">
        <v>17</v>
      </c>
      <c r="E51" s="35" t="s">
        <v>17</v>
      </c>
      <c r="F51" s="111">
        <v>24</v>
      </c>
      <c r="G51" s="111">
        <v>1</v>
      </c>
      <c r="H51" s="111">
        <v>8</v>
      </c>
      <c r="I51" s="58">
        <v>497</v>
      </c>
      <c r="J51" s="70">
        <v>81</v>
      </c>
      <c r="K51" s="162">
        <f>IF(I51&lt;&gt;0,J51/G51,"")</f>
        <v>81</v>
      </c>
      <c r="L51" s="163">
        <f>IF(I51&lt;&gt;0,I51/J51,"")</f>
        <v>6.135802469135802</v>
      </c>
      <c r="M51" s="169">
        <f>87403.25+34862.75+15508.5+2797+944+915+1620+497</f>
        <v>144547.5</v>
      </c>
      <c r="N51" s="168">
        <f>14575+405+81</f>
        <v>15061</v>
      </c>
      <c r="O51" s="166">
        <f>IF(M51&lt;&gt;0,M51/N51,"")</f>
        <v>9.59747028749751</v>
      </c>
      <c r="P51" s="91"/>
    </row>
    <row r="52" spans="1:16" s="4" customFormat="1" ht="15">
      <c r="A52" s="48">
        <v>48</v>
      </c>
      <c r="B52" s="98" t="s">
        <v>65</v>
      </c>
      <c r="C52" s="36">
        <v>40123</v>
      </c>
      <c r="D52" s="38" t="s">
        <v>41</v>
      </c>
      <c r="E52" s="38" t="s">
        <v>49</v>
      </c>
      <c r="F52" s="114">
        <v>58</v>
      </c>
      <c r="G52" s="114">
        <v>1</v>
      </c>
      <c r="H52" s="114">
        <v>8</v>
      </c>
      <c r="I52" s="62">
        <v>414</v>
      </c>
      <c r="J52" s="74">
        <v>83</v>
      </c>
      <c r="K52" s="162">
        <f>IF(I52&lt;&gt;0,J52/G52,"")</f>
        <v>83</v>
      </c>
      <c r="L52" s="163">
        <f>IF(I52&lt;&gt;0,I52/J52,"")</f>
        <v>4.9879518072289155</v>
      </c>
      <c r="M52" s="167">
        <v>468513.75</v>
      </c>
      <c r="N52" s="168">
        <v>44750</v>
      </c>
      <c r="O52" s="166">
        <f>IF(M52&lt;&gt;0,M52/N52,"")</f>
        <v>10.469581005586592</v>
      </c>
      <c r="P52" s="91"/>
    </row>
    <row r="53" spans="1:16" s="4" customFormat="1" ht="15">
      <c r="A53" s="48">
        <v>49</v>
      </c>
      <c r="B53" s="99" t="s">
        <v>68</v>
      </c>
      <c r="C53" s="36">
        <v>40130</v>
      </c>
      <c r="D53" s="40" t="s">
        <v>4</v>
      </c>
      <c r="E53" s="39" t="s">
        <v>98</v>
      </c>
      <c r="F53" s="115">
        <v>17</v>
      </c>
      <c r="G53" s="115">
        <v>2</v>
      </c>
      <c r="H53" s="115">
        <v>7</v>
      </c>
      <c r="I53" s="61">
        <v>254</v>
      </c>
      <c r="J53" s="73">
        <v>41</v>
      </c>
      <c r="K53" s="162">
        <f>+J53/G53</f>
        <v>20.5</v>
      </c>
      <c r="L53" s="163">
        <f>+I53/J53</f>
        <v>6.195121951219512</v>
      </c>
      <c r="M53" s="164">
        <v>51408</v>
      </c>
      <c r="N53" s="165">
        <v>4463</v>
      </c>
      <c r="O53" s="166">
        <f>+M53/N53</f>
        <v>11.518709388303831</v>
      </c>
      <c r="P53" s="91"/>
    </row>
    <row r="54" spans="1:16" s="4" customFormat="1" ht="15">
      <c r="A54" s="48">
        <v>50</v>
      </c>
      <c r="B54" s="95" t="s">
        <v>8</v>
      </c>
      <c r="C54" s="34">
        <v>39745</v>
      </c>
      <c r="D54" s="35" t="s">
        <v>39</v>
      </c>
      <c r="E54" s="35" t="s">
        <v>16</v>
      </c>
      <c r="F54" s="111">
        <v>7</v>
      </c>
      <c r="G54" s="111">
        <v>1</v>
      </c>
      <c r="H54" s="111">
        <v>17</v>
      </c>
      <c r="I54" s="61">
        <v>87</v>
      </c>
      <c r="J54" s="73">
        <v>29</v>
      </c>
      <c r="K54" s="172">
        <f>(J54/G54)</f>
        <v>29</v>
      </c>
      <c r="L54" s="173">
        <f>I54/J54</f>
        <v>3</v>
      </c>
      <c r="M54" s="164">
        <f>31758.5+8225.5+1958+2180+395+7254.5+494+2046+429+128+135+1066+1003+620+20+120+87</f>
        <v>57919.5</v>
      </c>
      <c r="N54" s="165">
        <f>2732+851+288+247+46+761+52+333+72+22+23+258+223+133+2+12+29</f>
        <v>6084</v>
      </c>
      <c r="O54" s="174">
        <f>M54/N54</f>
        <v>9.519970414201184</v>
      </c>
      <c r="P54" s="91"/>
    </row>
    <row r="55" spans="1:16" s="4" customFormat="1" ht="15.75" thickBot="1">
      <c r="A55" s="48">
        <v>51</v>
      </c>
      <c r="B55" s="96" t="s">
        <v>51</v>
      </c>
      <c r="C55" s="45">
        <v>40046</v>
      </c>
      <c r="D55" s="46" t="s">
        <v>39</v>
      </c>
      <c r="E55" s="46" t="s">
        <v>16</v>
      </c>
      <c r="F55" s="112">
        <v>5</v>
      </c>
      <c r="G55" s="112">
        <v>1</v>
      </c>
      <c r="H55" s="112">
        <v>16</v>
      </c>
      <c r="I55" s="63">
        <v>72</v>
      </c>
      <c r="J55" s="75">
        <v>18</v>
      </c>
      <c r="K55" s="175">
        <f>(J55/G55)</f>
        <v>18</v>
      </c>
      <c r="L55" s="176">
        <f>I55/J55</f>
        <v>4</v>
      </c>
      <c r="M55" s="177">
        <f>29266.75+13116.25+9279.25+8463+18147.5+3121+4110+6763+926+5173.5+9461.5+192+486+2002+382+72</f>
        <v>110961.75</v>
      </c>
      <c r="N55" s="178">
        <f>2425+1257+1223+1013+2360+455+662+1253+138+745+1554+44+79+353+69+18</f>
        <v>13648</v>
      </c>
      <c r="O55" s="179">
        <f>M55/N55</f>
        <v>8.130257180539273</v>
      </c>
      <c r="P55" s="91"/>
    </row>
    <row r="56" spans="1:16" s="16" customFormat="1" ht="15">
      <c r="A56" s="281" t="s">
        <v>42</v>
      </c>
      <c r="B56" s="282"/>
      <c r="C56" s="15"/>
      <c r="D56" s="23"/>
      <c r="E56" s="23"/>
      <c r="F56" s="117"/>
      <c r="G56" s="118"/>
      <c r="H56" s="117"/>
      <c r="I56" s="64">
        <f>SUM(I5:I55)</f>
        <v>17225429</v>
      </c>
      <c r="J56" s="76">
        <f>SUM(J5:J55)</f>
        <v>1833792</v>
      </c>
      <c r="K56" s="180"/>
      <c r="L56" s="181"/>
      <c r="M56" s="182"/>
      <c r="N56" s="183"/>
      <c r="O56" s="184"/>
      <c r="P56" s="83"/>
    </row>
    <row r="57" spans="1:16" s="4" customFormat="1" ht="13.5">
      <c r="A57" s="52"/>
      <c r="B57" s="101"/>
      <c r="C57" s="7"/>
      <c r="D57" s="10"/>
      <c r="E57" s="10"/>
      <c r="F57" s="53"/>
      <c r="G57" s="53"/>
      <c r="H57" s="53"/>
      <c r="I57" s="65"/>
      <c r="J57" s="77"/>
      <c r="K57" s="185"/>
      <c r="L57" s="186"/>
      <c r="M57" s="187"/>
      <c r="N57" s="188"/>
      <c r="O57" s="186"/>
      <c r="P57" s="83"/>
    </row>
    <row r="58" spans="1:16" s="4" customFormat="1" ht="15">
      <c r="A58" s="52"/>
      <c r="B58" s="102"/>
      <c r="C58" s="20"/>
      <c r="D58" s="24"/>
      <c r="E58" s="24"/>
      <c r="F58" s="119"/>
      <c r="G58" s="120"/>
      <c r="H58" s="53"/>
      <c r="I58" s="65"/>
      <c r="J58" s="77"/>
      <c r="K58" s="283" t="s">
        <v>40</v>
      </c>
      <c r="L58" s="284"/>
      <c r="M58" s="284"/>
      <c r="N58" s="284"/>
      <c r="O58" s="284"/>
      <c r="P58" s="83"/>
    </row>
    <row r="59" spans="1:16" s="4" customFormat="1" ht="15">
      <c r="A59" s="52"/>
      <c r="B59" s="102"/>
      <c r="C59" s="20"/>
      <c r="D59" s="24"/>
      <c r="E59" s="24"/>
      <c r="F59" s="119"/>
      <c r="G59" s="53"/>
      <c r="H59" s="54"/>
      <c r="I59" s="65"/>
      <c r="J59" s="77"/>
      <c r="K59" s="284"/>
      <c r="L59" s="284"/>
      <c r="M59" s="284"/>
      <c r="N59" s="284"/>
      <c r="O59" s="284"/>
      <c r="P59" s="83"/>
    </row>
    <row r="60" spans="1:16" s="4" customFormat="1" ht="15">
      <c r="A60" s="52"/>
      <c r="B60" s="102"/>
      <c r="C60" s="20"/>
      <c r="D60" s="24"/>
      <c r="E60" s="24"/>
      <c r="F60" s="119"/>
      <c r="G60" s="53"/>
      <c r="H60" s="54"/>
      <c r="I60" s="65"/>
      <c r="J60" s="77"/>
      <c r="K60" s="284"/>
      <c r="L60" s="284"/>
      <c r="M60" s="284"/>
      <c r="N60" s="284"/>
      <c r="O60" s="284"/>
      <c r="P60" s="83"/>
    </row>
    <row r="61" spans="1:16" s="4" customFormat="1" ht="15">
      <c r="A61" s="52"/>
      <c r="B61" s="102"/>
      <c r="C61" s="20"/>
      <c r="D61" s="24"/>
      <c r="E61" s="24"/>
      <c r="F61" s="119"/>
      <c r="G61" s="53"/>
      <c r="H61" s="54"/>
      <c r="I61" s="65"/>
      <c r="J61" s="77"/>
      <c r="K61" s="285"/>
      <c r="L61" s="285"/>
      <c r="M61" s="285"/>
      <c r="N61" s="285"/>
      <c r="O61" s="285"/>
      <c r="P61" s="83"/>
    </row>
    <row r="62" spans="1:16" s="4" customFormat="1" ht="15">
      <c r="A62" s="52"/>
      <c r="B62" s="102"/>
      <c r="C62" s="20"/>
      <c r="D62" s="24"/>
      <c r="E62" s="24"/>
      <c r="F62" s="119"/>
      <c r="G62" s="53"/>
      <c r="H62" s="278" t="s">
        <v>11</v>
      </c>
      <c r="I62" s="279"/>
      <c r="J62" s="279"/>
      <c r="K62" s="279"/>
      <c r="L62" s="279"/>
      <c r="M62" s="279"/>
      <c r="N62" s="279"/>
      <c r="O62" s="279"/>
      <c r="P62" s="83"/>
    </row>
    <row r="63" spans="1:16" s="12" customFormat="1" ht="15">
      <c r="A63" s="52"/>
      <c r="B63" s="102"/>
      <c r="C63" s="20"/>
      <c r="D63" s="24"/>
      <c r="E63" s="24"/>
      <c r="F63" s="119"/>
      <c r="G63" s="121"/>
      <c r="H63" s="279"/>
      <c r="I63" s="279"/>
      <c r="J63" s="279"/>
      <c r="K63" s="279"/>
      <c r="L63" s="279"/>
      <c r="M63" s="279"/>
      <c r="N63" s="279"/>
      <c r="O63" s="279"/>
      <c r="P63" s="83"/>
    </row>
    <row r="64" spans="1:16" s="12" customFormat="1" ht="15">
      <c r="A64" s="52"/>
      <c r="B64" s="102"/>
      <c r="C64" s="20"/>
      <c r="D64" s="24"/>
      <c r="E64" s="24"/>
      <c r="F64" s="119"/>
      <c r="G64" s="53"/>
      <c r="H64" s="279"/>
      <c r="I64" s="279"/>
      <c r="J64" s="279"/>
      <c r="K64" s="279"/>
      <c r="L64" s="279"/>
      <c r="M64" s="279"/>
      <c r="N64" s="279"/>
      <c r="O64" s="279"/>
      <c r="P64" s="83"/>
    </row>
    <row r="65" spans="1:16" s="12" customFormat="1" ht="15">
      <c r="A65" s="52"/>
      <c r="B65" s="102"/>
      <c r="C65" s="20"/>
      <c r="D65" s="24"/>
      <c r="E65" s="24"/>
      <c r="F65" s="119"/>
      <c r="G65" s="53"/>
      <c r="H65" s="279"/>
      <c r="I65" s="279"/>
      <c r="J65" s="279"/>
      <c r="K65" s="279"/>
      <c r="L65" s="279"/>
      <c r="M65" s="279"/>
      <c r="N65" s="279"/>
      <c r="O65" s="279"/>
      <c r="P65" s="83"/>
    </row>
    <row r="66" spans="1:16" s="12" customFormat="1" ht="15">
      <c r="A66" s="52"/>
      <c r="B66" s="102"/>
      <c r="C66" s="20"/>
      <c r="D66" s="24"/>
      <c r="E66" s="24"/>
      <c r="F66" s="119"/>
      <c r="G66" s="53"/>
      <c r="H66" s="279"/>
      <c r="I66" s="279"/>
      <c r="J66" s="279"/>
      <c r="K66" s="279"/>
      <c r="L66" s="279"/>
      <c r="M66" s="279"/>
      <c r="N66" s="279"/>
      <c r="O66" s="279"/>
      <c r="P66" s="83"/>
    </row>
    <row r="67" spans="1:16" s="12" customFormat="1" ht="15">
      <c r="A67" s="52"/>
      <c r="B67" s="102"/>
      <c r="C67" s="20"/>
      <c r="D67" s="24"/>
      <c r="E67" s="24"/>
      <c r="F67" s="119"/>
      <c r="G67" s="53"/>
      <c r="H67" s="279"/>
      <c r="I67" s="279"/>
      <c r="J67" s="279"/>
      <c r="K67" s="279"/>
      <c r="L67" s="279"/>
      <c r="M67" s="279"/>
      <c r="N67" s="279"/>
      <c r="O67" s="279"/>
      <c r="P67" s="83"/>
    </row>
    <row r="68" spans="1:16" s="12" customFormat="1" ht="15">
      <c r="A68" s="52"/>
      <c r="B68" s="102"/>
      <c r="C68" s="20"/>
      <c r="D68" s="24"/>
      <c r="E68" s="24"/>
      <c r="F68" s="119"/>
      <c r="G68" s="53"/>
      <c r="H68" s="280" t="s">
        <v>0</v>
      </c>
      <c r="I68" s="279"/>
      <c r="J68" s="279"/>
      <c r="K68" s="279"/>
      <c r="L68" s="279"/>
      <c r="M68" s="279"/>
      <c r="N68" s="279"/>
      <c r="O68" s="279"/>
      <c r="P68" s="83"/>
    </row>
    <row r="69" spans="1:16" s="12" customFormat="1" ht="15">
      <c r="A69" s="52"/>
      <c r="B69" s="102"/>
      <c r="C69" s="20"/>
      <c r="D69" s="24"/>
      <c r="E69" s="24"/>
      <c r="F69" s="119"/>
      <c r="G69" s="53"/>
      <c r="H69" s="279"/>
      <c r="I69" s="279"/>
      <c r="J69" s="279"/>
      <c r="K69" s="279"/>
      <c r="L69" s="279"/>
      <c r="M69" s="279"/>
      <c r="N69" s="279"/>
      <c r="O69" s="279"/>
      <c r="P69" s="83"/>
    </row>
    <row r="70" spans="1:16" s="12" customFormat="1" ht="15">
      <c r="A70" s="52"/>
      <c r="B70" s="102"/>
      <c r="C70" s="20"/>
      <c r="D70" s="24"/>
      <c r="E70" s="24"/>
      <c r="F70" s="119"/>
      <c r="G70" s="53"/>
      <c r="H70" s="279"/>
      <c r="I70" s="279"/>
      <c r="J70" s="279"/>
      <c r="K70" s="279"/>
      <c r="L70" s="279"/>
      <c r="M70" s="279"/>
      <c r="N70" s="279"/>
      <c r="O70" s="279"/>
      <c r="P70" s="83"/>
    </row>
    <row r="71" spans="1:16" s="12" customFormat="1" ht="15">
      <c r="A71" s="52"/>
      <c r="B71" s="102"/>
      <c r="C71" s="20"/>
      <c r="D71" s="24"/>
      <c r="E71" s="24"/>
      <c r="F71" s="119"/>
      <c r="G71" s="53"/>
      <c r="H71" s="279"/>
      <c r="I71" s="279"/>
      <c r="J71" s="279"/>
      <c r="K71" s="279"/>
      <c r="L71" s="279"/>
      <c r="M71" s="279"/>
      <c r="N71" s="279"/>
      <c r="O71" s="279"/>
      <c r="P71" s="83"/>
    </row>
    <row r="72" spans="1:16" s="12" customFormat="1" ht="15">
      <c r="A72" s="52"/>
      <c r="B72" s="102"/>
      <c r="C72" s="20"/>
      <c r="D72" s="24"/>
      <c r="E72" s="24"/>
      <c r="F72" s="119"/>
      <c r="G72" s="53"/>
      <c r="H72" s="279"/>
      <c r="I72" s="279"/>
      <c r="J72" s="279"/>
      <c r="K72" s="279"/>
      <c r="L72" s="279"/>
      <c r="M72" s="279"/>
      <c r="N72" s="279"/>
      <c r="O72" s="279"/>
      <c r="P72" s="83"/>
    </row>
    <row r="73" spans="1:16" s="12" customFormat="1" ht="15">
      <c r="A73" s="52"/>
      <c r="B73" s="103"/>
      <c r="C73" s="17"/>
      <c r="D73" s="25"/>
      <c r="E73" s="25"/>
      <c r="F73" s="122"/>
      <c r="G73" s="53"/>
      <c r="H73" s="279"/>
      <c r="I73" s="279"/>
      <c r="J73" s="279"/>
      <c r="K73" s="279"/>
      <c r="L73" s="279"/>
      <c r="M73" s="279"/>
      <c r="N73" s="279"/>
      <c r="O73" s="279"/>
      <c r="P73" s="83"/>
    </row>
    <row r="74" spans="1:16" s="12" customFormat="1" ht="15">
      <c r="A74" s="52"/>
      <c r="B74" s="103"/>
      <c r="C74" s="17"/>
      <c r="D74" s="25"/>
      <c r="E74" s="25"/>
      <c r="F74" s="122"/>
      <c r="G74" s="53"/>
      <c r="H74" s="279"/>
      <c r="I74" s="279"/>
      <c r="J74" s="279"/>
      <c r="K74" s="279"/>
      <c r="L74" s="279"/>
      <c r="M74" s="279"/>
      <c r="N74" s="279"/>
      <c r="O74" s="279"/>
      <c r="P74" s="83"/>
    </row>
    <row r="75" spans="1:16" s="12" customFormat="1" ht="15">
      <c r="A75" s="52"/>
      <c r="B75" s="103"/>
      <c r="C75" s="17"/>
      <c r="D75" s="25"/>
      <c r="E75" s="25"/>
      <c r="F75" s="122"/>
      <c r="G75" s="53"/>
      <c r="H75" s="122"/>
      <c r="I75" s="66"/>
      <c r="J75" s="78"/>
      <c r="K75" s="189"/>
      <c r="L75" s="190"/>
      <c r="M75" s="191"/>
      <c r="N75" s="192"/>
      <c r="O75" s="190"/>
      <c r="P75" s="83"/>
    </row>
    <row r="76" spans="1:16" s="12" customFormat="1" ht="15">
      <c r="A76" s="52"/>
      <c r="B76" s="103"/>
      <c r="C76" s="17"/>
      <c r="D76" s="25"/>
      <c r="E76" s="25"/>
      <c r="F76" s="122"/>
      <c r="G76" s="53"/>
      <c r="H76" s="122"/>
      <c r="I76" s="66"/>
      <c r="J76" s="78"/>
      <c r="K76" s="189"/>
      <c r="L76" s="190"/>
      <c r="M76" s="191"/>
      <c r="N76" s="192"/>
      <c r="O76" s="190"/>
      <c r="P76" s="83"/>
    </row>
    <row r="77" spans="2:6" ht="18">
      <c r="B77" s="103"/>
      <c r="C77" s="17"/>
      <c r="D77" s="25"/>
      <c r="E77" s="25"/>
      <c r="F77" s="122"/>
    </row>
    <row r="78" spans="2:6" ht="18">
      <c r="B78" s="103"/>
      <c r="C78" s="17"/>
      <c r="D78" s="25"/>
      <c r="E78" s="25"/>
      <c r="F78" s="122"/>
    </row>
    <row r="79" spans="2:15" ht="18">
      <c r="B79" s="103"/>
      <c r="C79" s="17"/>
      <c r="D79" s="25"/>
      <c r="E79" s="25"/>
      <c r="F79" s="122"/>
      <c r="G79" s="122"/>
      <c r="H79" s="122"/>
      <c r="I79" s="66"/>
      <c r="J79" s="78"/>
      <c r="K79" s="189"/>
      <c r="L79" s="190"/>
      <c r="M79" s="191"/>
      <c r="N79" s="192"/>
      <c r="O79" s="190"/>
    </row>
    <row r="80" spans="2:15" ht="18">
      <c r="B80" s="103"/>
      <c r="C80" s="17"/>
      <c r="D80" s="25"/>
      <c r="E80" s="25"/>
      <c r="F80" s="122"/>
      <c r="G80" s="122"/>
      <c r="H80" s="122"/>
      <c r="I80" s="66"/>
      <c r="J80" s="78"/>
      <c r="K80" s="189"/>
      <c r="L80" s="190"/>
      <c r="M80" s="191"/>
      <c r="N80" s="192"/>
      <c r="O80" s="190"/>
    </row>
    <row r="81" spans="2:15" ht="18">
      <c r="B81" s="103"/>
      <c r="C81" s="17"/>
      <c r="D81" s="25"/>
      <c r="E81" s="25"/>
      <c r="F81" s="122"/>
      <c r="G81" s="122"/>
      <c r="H81" s="122"/>
      <c r="I81" s="66"/>
      <c r="J81" s="78"/>
      <c r="K81" s="189"/>
      <c r="L81" s="190"/>
      <c r="M81" s="191"/>
      <c r="N81" s="192"/>
      <c r="O81" s="190"/>
    </row>
    <row r="82" spans="2:15" ht="18">
      <c r="B82" s="103"/>
      <c r="C82" s="17"/>
      <c r="D82" s="25"/>
      <c r="E82" s="25"/>
      <c r="F82" s="122"/>
      <c r="G82" s="122"/>
      <c r="H82" s="122"/>
      <c r="I82" s="66"/>
      <c r="J82" s="78"/>
      <c r="K82" s="189"/>
      <c r="L82" s="190"/>
      <c r="M82" s="191"/>
      <c r="N82" s="192"/>
      <c r="O82" s="190"/>
    </row>
    <row r="83" spans="2:15" ht="18">
      <c r="B83" s="103"/>
      <c r="C83" s="17"/>
      <c r="D83" s="25"/>
      <c r="E83" s="25"/>
      <c r="F83" s="122"/>
      <c r="G83" s="122"/>
      <c r="H83" s="122"/>
      <c r="I83" s="66"/>
      <c r="J83" s="78"/>
      <c r="K83" s="189"/>
      <c r="L83" s="190"/>
      <c r="M83" s="191"/>
      <c r="N83" s="192"/>
      <c r="O83" s="190"/>
    </row>
    <row r="84" spans="2:15" ht="18">
      <c r="B84" s="103"/>
      <c r="C84" s="17"/>
      <c r="D84" s="25"/>
      <c r="E84" s="25"/>
      <c r="F84" s="122"/>
      <c r="G84" s="122"/>
      <c r="H84" s="122"/>
      <c r="I84" s="66"/>
      <c r="J84" s="78"/>
      <c r="K84" s="189"/>
      <c r="L84" s="190"/>
      <c r="M84" s="191"/>
      <c r="N84" s="192"/>
      <c r="O84" s="190"/>
    </row>
    <row r="85" spans="2:15" ht="18">
      <c r="B85" s="103"/>
      <c r="C85" s="17"/>
      <c r="D85" s="25"/>
      <c r="E85" s="25"/>
      <c r="F85" s="122"/>
      <c r="G85" s="122"/>
      <c r="H85" s="122"/>
      <c r="I85" s="66"/>
      <c r="J85" s="78"/>
      <c r="K85" s="189"/>
      <c r="L85" s="190"/>
      <c r="M85" s="191"/>
      <c r="N85" s="192"/>
      <c r="O85" s="190"/>
    </row>
    <row r="86" spans="2:15" ht="18">
      <c r="B86" s="103"/>
      <c r="C86" s="17"/>
      <c r="D86" s="25"/>
      <c r="E86" s="25"/>
      <c r="F86" s="122"/>
      <c r="G86" s="122"/>
      <c r="H86" s="122"/>
      <c r="I86" s="66"/>
      <c r="J86" s="78"/>
      <c r="K86" s="189"/>
      <c r="L86" s="190"/>
      <c r="M86" s="191"/>
      <c r="N86" s="192"/>
      <c r="O86" s="190"/>
    </row>
    <row r="87" spans="7:15" ht="22.5">
      <c r="G87" s="122"/>
      <c r="H87" s="122"/>
      <c r="I87" s="66"/>
      <c r="J87" s="78"/>
      <c r="K87" s="189"/>
      <c r="L87" s="190"/>
      <c r="M87" s="191"/>
      <c r="N87" s="192"/>
      <c r="O87" s="190"/>
    </row>
    <row r="88" spans="7:15" ht="22.5">
      <c r="G88" s="122"/>
      <c r="H88" s="122"/>
      <c r="I88" s="66"/>
      <c r="J88" s="78"/>
      <c r="K88" s="189"/>
      <c r="L88" s="190"/>
      <c r="M88" s="191"/>
      <c r="N88" s="192"/>
      <c r="O88" s="190"/>
    </row>
    <row r="89" spans="7:15" ht="22.5">
      <c r="G89" s="122"/>
      <c r="H89" s="122"/>
      <c r="I89" s="66"/>
      <c r="J89" s="78"/>
      <c r="K89" s="189"/>
      <c r="L89" s="190"/>
      <c r="M89" s="191"/>
      <c r="N89" s="192"/>
      <c r="O89" s="190"/>
    </row>
    <row r="90" spans="7:15" ht="22.5">
      <c r="G90" s="122"/>
      <c r="H90" s="122"/>
      <c r="I90" s="66"/>
      <c r="J90" s="78"/>
      <c r="K90" s="189"/>
      <c r="L90" s="190"/>
      <c r="M90" s="191"/>
      <c r="N90" s="192"/>
      <c r="O90" s="190"/>
    </row>
    <row r="91" spans="7:15" ht="22.5">
      <c r="G91" s="122"/>
      <c r="H91" s="122"/>
      <c r="I91" s="66"/>
      <c r="J91" s="78"/>
      <c r="K91" s="189"/>
      <c r="L91" s="190"/>
      <c r="M91" s="191"/>
      <c r="N91" s="192"/>
      <c r="O91" s="190"/>
    </row>
    <row r="92" spans="7:15" ht="22.5">
      <c r="G92" s="122"/>
      <c r="H92" s="122"/>
      <c r="I92" s="66"/>
      <c r="J92" s="78"/>
      <c r="K92" s="189"/>
      <c r="L92" s="190"/>
      <c r="M92" s="191"/>
      <c r="N92" s="192"/>
      <c r="O92" s="190"/>
    </row>
  </sheetData>
  <sheetProtection insertRows="0" deleteRows="0" sort="0"/>
  <mergeCells count="15">
    <mergeCell ref="H68:O74"/>
    <mergeCell ref="A56:B56"/>
    <mergeCell ref="K58:O60"/>
    <mergeCell ref="K61:O61"/>
    <mergeCell ref="A2:O2"/>
    <mergeCell ref="M3:O3"/>
    <mergeCell ref="G3:G4"/>
    <mergeCell ref="F3:F4"/>
    <mergeCell ref="B3:B4"/>
    <mergeCell ref="D3:D4"/>
    <mergeCell ref="H3:H4"/>
    <mergeCell ref="I3:L3"/>
    <mergeCell ref="C3:C4"/>
    <mergeCell ref="E3:E4"/>
    <mergeCell ref="H62:O67"/>
  </mergeCells>
  <printOptions horizontalCentered="1" verticalCentered="1"/>
  <pageMargins left="0.53" right="0.19" top="0.5905511811023623" bottom="0.5" header="0.5118110236220472" footer="0.45"/>
  <pageSetup orientation="portrait" paperSize="9" scale="45" r:id="rId2"/>
  <ignoredErrors>
    <ignoredError sqref="H56:H67 I57:J67 K56:O67 Q11:Q12 Q28:Q30 Q10 Q6 Q20:Q26 Q9 Q7:Q8 K34:L37 K7:L18 O39 O20:O26 K39:L55 O7:O19 O27:O38 Q13:Q19 Q27 K20:L26" formula="1"/>
    <ignoredError sqref="I19:J33 M38 M6 N6:N38 O41:O46 O48:O55" unlockedFormula="1"/>
    <ignoredError sqref="M34:M37 M7:M18 M19:M33 M39:M40 N39:N40 N41:N55 M41:M55 O47" formula="1" unlockedFormula="1"/>
  </ignoredErrors>
  <drawing r:id="rId1"/>
</worksheet>
</file>

<file path=xl/worksheets/sheet2.xml><?xml version="1.0" encoding="utf-8"?>
<worksheet xmlns="http://schemas.openxmlformats.org/spreadsheetml/2006/main" xmlns:r="http://schemas.openxmlformats.org/officeDocument/2006/relationships">
  <dimension ref="A1:P8"/>
  <sheetViews>
    <sheetView zoomScale="120" zoomScaleNormal="120" zoomScalePageLayoutView="0" workbookViewId="0" topLeftCell="A1">
      <selection activeCell="B3" sqref="B3:B4"/>
    </sheetView>
  </sheetViews>
  <sheetFormatPr defaultColWidth="17.421875" defaultRowHeight="12.75"/>
  <cols>
    <col min="1" max="1" width="2.7109375" style="239" bestFit="1" customWidth="1"/>
    <col min="2" max="2" width="32.140625" style="14" bestFit="1" customWidth="1"/>
    <col min="3" max="3" width="12.140625" style="246" bestFit="1" customWidth="1"/>
    <col min="4" max="4" width="17.8515625" style="246" bestFit="1" customWidth="1"/>
    <col min="5" max="5" width="19.28125" style="246" bestFit="1" customWidth="1"/>
    <col min="6" max="6" width="5.8515625" style="247" bestFit="1" customWidth="1"/>
    <col min="7" max="7" width="9.7109375" style="247" customWidth="1"/>
    <col min="8" max="8" width="17.8515625" style="242" bestFit="1" customWidth="1"/>
    <col min="9" max="9" width="12.8515625" style="243" bestFit="1" customWidth="1"/>
    <col min="10" max="10" width="15.140625" style="244" bestFit="1" customWidth="1"/>
    <col min="11" max="11" width="3.140625" style="31" bestFit="1" customWidth="1"/>
    <col min="12" max="12" width="17.421875" style="18" customWidth="1"/>
    <col min="13" max="13" width="17.421875" style="19" customWidth="1"/>
    <col min="14" max="14" width="17.421875" style="18" customWidth="1"/>
    <col min="15" max="16" width="17.421875" style="0" customWidth="1"/>
    <col min="17" max="16384" width="17.421875" style="14" customWidth="1"/>
  </cols>
  <sheetData>
    <row r="1" spans="1:14" s="29" customFormat="1" ht="36.75" customHeight="1" thickBot="1">
      <c r="A1" s="292" t="s">
        <v>124</v>
      </c>
      <c r="B1" s="292"/>
      <c r="C1" s="292"/>
      <c r="D1" s="292"/>
      <c r="E1" s="292"/>
      <c r="F1" s="292"/>
      <c r="G1" s="292"/>
      <c r="H1" s="292"/>
      <c r="I1" s="292"/>
      <c r="J1" s="292"/>
      <c r="K1" s="30"/>
      <c r="L1" s="27"/>
      <c r="M1" s="28"/>
      <c r="N1" s="27"/>
    </row>
    <row r="2" spans="1:16" s="254" customFormat="1" ht="13.5" thickBot="1">
      <c r="A2" s="253"/>
      <c r="C2" s="263"/>
      <c r="D2" s="263"/>
      <c r="E2" s="263"/>
      <c r="F2" s="263"/>
      <c r="G2" s="263"/>
      <c r="H2" s="255"/>
      <c r="I2" s="256"/>
      <c r="J2" s="257"/>
      <c r="K2" s="258"/>
      <c r="L2" s="259"/>
      <c r="M2" s="260"/>
      <c r="N2" s="259"/>
      <c r="O2" s="92"/>
      <c r="P2" s="92"/>
    </row>
    <row r="3" spans="1:14" s="267" customFormat="1" ht="12.75">
      <c r="A3" s="261"/>
      <c r="B3" s="293" t="s">
        <v>3</v>
      </c>
      <c r="C3" s="295" t="s">
        <v>13</v>
      </c>
      <c r="D3" s="295" t="s">
        <v>19</v>
      </c>
      <c r="E3" s="295" t="s">
        <v>18</v>
      </c>
      <c r="F3" s="273" t="s">
        <v>22</v>
      </c>
      <c r="G3" s="273" t="s">
        <v>14</v>
      </c>
      <c r="H3" s="298" t="s">
        <v>24</v>
      </c>
      <c r="I3" s="299"/>
      <c r="J3" s="300" t="s">
        <v>15</v>
      </c>
      <c r="K3" s="264"/>
      <c r="L3" s="265"/>
      <c r="M3" s="266"/>
      <c r="N3" s="265"/>
    </row>
    <row r="4" spans="1:14" s="267" customFormat="1" ht="13.5" thickBot="1">
      <c r="A4" s="262"/>
      <c r="B4" s="294"/>
      <c r="C4" s="296"/>
      <c r="D4" s="296"/>
      <c r="E4" s="296"/>
      <c r="F4" s="297"/>
      <c r="G4" s="297"/>
      <c r="H4" s="268" t="s">
        <v>10</v>
      </c>
      <c r="I4" s="269" t="s">
        <v>2</v>
      </c>
      <c r="J4" s="301"/>
      <c r="K4" s="264"/>
      <c r="L4" s="265"/>
      <c r="M4" s="266"/>
      <c r="N4" s="265"/>
    </row>
    <row r="5" spans="1:14" s="13" customFormat="1" ht="15">
      <c r="A5" s="240">
        <v>1</v>
      </c>
      <c r="B5" s="41" t="s">
        <v>88</v>
      </c>
      <c r="C5" s="42">
        <v>40179</v>
      </c>
      <c r="D5" s="43" t="s">
        <v>37</v>
      </c>
      <c r="E5" s="43" t="s">
        <v>5</v>
      </c>
      <c r="F5" s="110">
        <v>370</v>
      </c>
      <c r="G5" s="110">
        <v>1</v>
      </c>
      <c r="H5" s="56">
        <v>10958075</v>
      </c>
      <c r="I5" s="250">
        <v>1198396</v>
      </c>
      <c r="J5" s="80">
        <f>+H5/I5</f>
        <v>9.14395158194787</v>
      </c>
      <c r="K5" s="270">
        <v>1</v>
      </c>
      <c r="L5" s="21"/>
      <c r="M5" s="22"/>
      <c r="N5" s="21"/>
    </row>
    <row r="6" spans="1:14" s="13" customFormat="1" ht="15">
      <c r="A6" s="240">
        <v>2</v>
      </c>
      <c r="B6" s="44" t="s">
        <v>90</v>
      </c>
      <c r="C6" s="34">
        <v>40179</v>
      </c>
      <c r="D6" s="35" t="s">
        <v>39</v>
      </c>
      <c r="E6" s="35" t="s">
        <v>91</v>
      </c>
      <c r="F6" s="111">
        <v>39</v>
      </c>
      <c r="G6" s="111">
        <v>1</v>
      </c>
      <c r="H6" s="57">
        <f>310442.5</f>
        <v>310442.5</v>
      </c>
      <c r="I6" s="69">
        <f>26771</f>
        <v>26771</v>
      </c>
      <c r="J6" s="81">
        <f>H6/I6</f>
        <v>11.59622352545665</v>
      </c>
      <c r="K6" s="270"/>
      <c r="L6" s="21"/>
      <c r="M6" s="22"/>
      <c r="N6" s="21"/>
    </row>
    <row r="7" spans="1:14" s="13" customFormat="1" ht="15.75" thickBot="1">
      <c r="A7" s="241">
        <v>3</v>
      </c>
      <c r="B7" s="235" t="s">
        <v>92</v>
      </c>
      <c r="C7" s="236">
        <v>40179</v>
      </c>
      <c r="D7" s="237" t="s">
        <v>36</v>
      </c>
      <c r="E7" s="238" t="s">
        <v>5</v>
      </c>
      <c r="F7" s="248">
        <v>60</v>
      </c>
      <c r="G7" s="248">
        <v>1</v>
      </c>
      <c r="H7" s="63">
        <v>242167</v>
      </c>
      <c r="I7" s="75">
        <v>21845</v>
      </c>
      <c r="J7" s="82">
        <f>+H7/I7</f>
        <v>11.085694666971847</v>
      </c>
      <c r="K7" s="270"/>
      <c r="L7" s="21"/>
      <c r="M7" s="22"/>
      <c r="N7" s="21"/>
    </row>
    <row r="8" spans="1:14" s="13" customFormat="1" ht="15.75" thickBot="1">
      <c r="A8" s="240">
        <v>4</v>
      </c>
      <c r="B8" s="232" t="s">
        <v>94</v>
      </c>
      <c r="C8" s="233">
        <v>40179</v>
      </c>
      <c r="D8" s="234" t="s">
        <v>39</v>
      </c>
      <c r="E8" s="234" t="s">
        <v>1</v>
      </c>
      <c r="F8" s="249">
        <v>8</v>
      </c>
      <c r="G8" s="249">
        <v>1</v>
      </c>
      <c r="H8" s="251">
        <f>61026</f>
        <v>61026</v>
      </c>
      <c r="I8" s="252">
        <f>4540</f>
        <v>4540</v>
      </c>
      <c r="J8" s="245">
        <f>H8/I8</f>
        <v>13.441850220264318</v>
      </c>
      <c r="K8" s="270"/>
      <c r="L8" s="21"/>
      <c r="M8" s="22"/>
      <c r="N8" s="21"/>
    </row>
  </sheetData>
  <sheetProtection/>
  <mergeCells count="9">
    <mergeCell ref="A1:J1"/>
    <mergeCell ref="B3:B4"/>
    <mergeCell ref="C3:C4"/>
    <mergeCell ref="D3:D4"/>
    <mergeCell ref="G3:G4"/>
    <mergeCell ref="H3:I3"/>
    <mergeCell ref="J3:J4"/>
    <mergeCell ref="F3:F4"/>
    <mergeCell ref="E3:E4"/>
  </mergeCells>
  <printOptions/>
  <pageMargins left="0.87" right="0.58" top="0.63" bottom="0.76" header="0.11811023622047245" footer="0.5"/>
  <pageSetup orientation="portrait" paperSize="9" scale="80" r:id="rId1"/>
  <ignoredErrors>
    <ignoredError sqref="L8 H6:J8" unlockedFormula="1"/>
  </ignoredErrors>
</worksheet>
</file>

<file path=xl/worksheets/sheet3.xml><?xml version="1.0" encoding="utf-8"?>
<worksheet xmlns="http://schemas.openxmlformats.org/spreadsheetml/2006/main" xmlns:r="http://schemas.openxmlformats.org/officeDocument/2006/relationships">
  <dimension ref="A1:Q50"/>
  <sheetViews>
    <sheetView zoomScale="90" zoomScaleNormal="90" zoomScalePageLayoutView="0" workbookViewId="0" topLeftCell="B1">
      <selection activeCell="B2" sqref="B2:B3"/>
    </sheetView>
  </sheetViews>
  <sheetFormatPr defaultColWidth="4.00390625" defaultRowHeight="12.75"/>
  <cols>
    <col min="1" max="1" width="3.8515625" style="206" bestFit="1" customWidth="1"/>
    <col min="2" max="2" width="50.8515625" style="102" bestFit="1" customWidth="1"/>
    <col min="3" max="3" width="7.00390625" style="198" bestFit="1" customWidth="1"/>
    <col min="4" max="4" width="13.7109375" style="92" bestFit="1" customWidth="1"/>
    <col min="5" max="5" width="26.57421875" style="92" bestFit="1" customWidth="1"/>
    <col min="6" max="6" width="5.7109375" style="211" bestFit="1" customWidth="1"/>
    <col min="7" max="7" width="6.28125" style="212" bestFit="1" customWidth="1"/>
    <col min="8" max="8" width="7.421875" style="119" customWidth="1"/>
    <col min="9" max="9" width="16.28125" style="202" bestFit="1" customWidth="1"/>
    <col min="10" max="10" width="10.57421875" style="203" bestFit="1" customWidth="1"/>
    <col min="11" max="11" width="10.00390625" style="218" bestFit="1" customWidth="1"/>
    <col min="12" max="12" width="6.140625" style="219" bestFit="1" customWidth="1"/>
    <col min="13" max="13" width="14.421875" style="220" bestFit="1" customWidth="1"/>
    <col min="14" max="14" width="10.28125" style="218" bestFit="1" customWidth="1"/>
    <col min="15" max="15" width="6.140625" style="219" bestFit="1" customWidth="1"/>
    <col min="16" max="16" width="2.8515625" style="199" bestFit="1" customWidth="1"/>
    <col min="17" max="17" width="4.00390625" style="26" customWidth="1"/>
  </cols>
  <sheetData>
    <row r="1" spans="1:15" ht="34.5" thickBot="1">
      <c r="A1" s="305" t="s">
        <v>125</v>
      </c>
      <c r="B1" s="306"/>
      <c r="C1" s="306"/>
      <c r="D1" s="306"/>
      <c r="E1" s="306"/>
      <c r="F1" s="306"/>
      <c r="G1" s="306"/>
      <c r="H1" s="307"/>
      <c r="I1" s="307"/>
      <c r="J1" s="307"/>
      <c r="K1" s="307"/>
      <c r="L1" s="307"/>
      <c r="M1" s="307"/>
      <c r="N1" s="307"/>
      <c r="O1" s="307"/>
    </row>
    <row r="2" spans="1:17" s="84" customFormat="1" ht="12.75">
      <c r="A2" s="123"/>
      <c r="B2" s="308" t="s">
        <v>3</v>
      </c>
      <c r="C2" s="310" t="s">
        <v>21</v>
      </c>
      <c r="D2" s="302" t="s">
        <v>35</v>
      </c>
      <c r="E2" s="302" t="s">
        <v>34</v>
      </c>
      <c r="F2" s="304" t="s">
        <v>22</v>
      </c>
      <c r="G2" s="304" t="s">
        <v>29</v>
      </c>
      <c r="H2" s="273" t="s">
        <v>30</v>
      </c>
      <c r="I2" s="313" t="s">
        <v>23</v>
      </c>
      <c r="J2" s="313"/>
      <c r="K2" s="313"/>
      <c r="L2" s="313"/>
      <c r="M2" s="313" t="s">
        <v>24</v>
      </c>
      <c r="N2" s="313"/>
      <c r="O2" s="314"/>
      <c r="P2" s="124"/>
      <c r="Q2" s="124"/>
    </row>
    <row r="3" spans="1:17" s="84" customFormat="1" ht="48" customHeight="1" thickBot="1">
      <c r="A3" s="125"/>
      <c r="B3" s="309"/>
      <c r="C3" s="311"/>
      <c r="D3" s="303"/>
      <c r="E3" s="303"/>
      <c r="F3" s="303"/>
      <c r="G3" s="303"/>
      <c r="H3" s="312"/>
      <c r="I3" s="207" t="s">
        <v>25</v>
      </c>
      <c r="J3" s="208" t="s">
        <v>26</v>
      </c>
      <c r="K3" s="208" t="s">
        <v>12</v>
      </c>
      <c r="L3" s="209" t="s">
        <v>27</v>
      </c>
      <c r="M3" s="207" t="s">
        <v>25</v>
      </c>
      <c r="N3" s="208" t="s">
        <v>26</v>
      </c>
      <c r="O3" s="194" t="s">
        <v>28</v>
      </c>
      <c r="P3" s="124"/>
      <c r="Q3" s="124"/>
    </row>
    <row r="4" spans="1:16" ht="15">
      <c r="A4" s="204">
        <v>1</v>
      </c>
      <c r="B4" s="197" t="s">
        <v>81</v>
      </c>
      <c r="C4" s="195">
        <v>40165</v>
      </c>
      <c r="D4" s="196" t="s">
        <v>39</v>
      </c>
      <c r="E4" s="196" t="s">
        <v>38</v>
      </c>
      <c r="F4" s="210">
        <v>125</v>
      </c>
      <c r="G4" s="210">
        <v>156</v>
      </c>
      <c r="H4" s="210">
        <v>3</v>
      </c>
      <c r="I4" s="200">
        <v>3469556.5</v>
      </c>
      <c r="J4" s="201">
        <v>309119</v>
      </c>
      <c r="K4" s="213">
        <f>(J4/G4)</f>
        <v>1981.5320512820513</v>
      </c>
      <c r="L4" s="214">
        <f>I4/J4</f>
        <v>11.224015670340549</v>
      </c>
      <c r="M4" s="215">
        <f>4033069.5+3582182.5+3469556.5</f>
        <v>11084808.5</v>
      </c>
      <c r="N4" s="216">
        <f>383242+338340+309119</f>
        <v>1030701</v>
      </c>
      <c r="O4" s="217">
        <f>M4/N4</f>
        <v>10.754630586367918</v>
      </c>
      <c r="P4" s="91"/>
    </row>
    <row r="5" spans="1:16" ht="15">
      <c r="A5" s="204">
        <v>2</v>
      </c>
      <c r="B5" s="95" t="s">
        <v>100</v>
      </c>
      <c r="C5" s="34">
        <v>40172</v>
      </c>
      <c r="D5" s="35" t="s">
        <v>62</v>
      </c>
      <c r="E5" s="35" t="s">
        <v>84</v>
      </c>
      <c r="F5" s="111">
        <v>196</v>
      </c>
      <c r="G5" s="111">
        <v>196</v>
      </c>
      <c r="H5" s="111">
        <v>2</v>
      </c>
      <c r="I5" s="58">
        <v>546264.5</v>
      </c>
      <c r="J5" s="70">
        <v>66898</v>
      </c>
      <c r="K5" s="162">
        <f>IF(I5&lt;&gt;0,J5/G5,"")</f>
        <v>341.31632653061223</v>
      </c>
      <c r="L5" s="163">
        <f>IF(I5&lt;&gt;0,I5/J5,"")</f>
        <v>8.165632754342433</v>
      </c>
      <c r="M5" s="169">
        <f>821982.75+546264.5</f>
        <v>1368247.25</v>
      </c>
      <c r="N5" s="168">
        <f>109740+66898</f>
        <v>176638</v>
      </c>
      <c r="O5" s="166">
        <f>IF(M5&lt;&gt;0,M5/N5,"")</f>
        <v>7.746052661375242</v>
      </c>
      <c r="P5" s="91">
        <v>1</v>
      </c>
    </row>
    <row r="6" spans="1:16" ht="15.75" thickBot="1">
      <c r="A6" s="205">
        <v>3</v>
      </c>
      <c r="B6" s="96" t="s">
        <v>89</v>
      </c>
      <c r="C6" s="45">
        <v>40172</v>
      </c>
      <c r="D6" s="46" t="s">
        <v>39</v>
      </c>
      <c r="E6" s="46" t="s">
        <v>38</v>
      </c>
      <c r="F6" s="112">
        <v>60</v>
      </c>
      <c r="G6" s="112">
        <v>60</v>
      </c>
      <c r="H6" s="112">
        <v>2</v>
      </c>
      <c r="I6" s="63">
        <v>397159.5</v>
      </c>
      <c r="J6" s="75">
        <v>40733</v>
      </c>
      <c r="K6" s="175">
        <f>(J6/G6)</f>
        <v>678.8833333333333</v>
      </c>
      <c r="L6" s="176">
        <f>I6/J6</f>
        <v>9.750313014018118</v>
      </c>
      <c r="M6" s="177">
        <f>421775.5+397159.5</f>
        <v>818935</v>
      </c>
      <c r="N6" s="178">
        <f>43739+40733</f>
        <v>84472</v>
      </c>
      <c r="O6" s="179">
        <f>M6/N6</f>
        <v>9.694750923382896</v>
      </c>
      <c r="P6" s="91"/>
    </row>
    <row r="7" spans="1:16" ht="15">
      <c r="A7" s="204">
        <v>4</v>
      </c>
      <c r="B7" s="221" t="s">
        <v>103</v>
      </c>
      <c r="C7" s="222">
        <v>40144</v>
      </c>
      <c r="D7" s="223" t="s">
        <v>9</v>
      </c>
      <c r="E7" s="223" t="s">
        <v>72</v>
      </c>
      <c r="F7" s="224">
        <v>258</v>
      </c>
      <c r="G7" s="224">
        <v>176</v>
      </c>
      <c r="H7" s="224">
        <v>6</v>
      </c>
      <c r="I7" s="225">
        <v>225694.5</v>
      </c>
      <c r="J7" s="226">
        <v>35788</v>
      </c>
      <c r="K7" s="227">
        <f>J7/G7</f>
        <v>203.3409090909091</v>
      </c>
      <c r="L7" s="228">
        <f>I7/J7</f>
        <v>6.306429529451212</v>
      </c>
      <c r="M7" s="229">
        <v>9551615.25</v>
      </c>
      <c r="N7" s="230">
        <v>1107368</v>
      </c>
      <c r="O7" s="231">
        <f>+M7/N7</f>
        <v>8.625511347627889</v>
      </c>
      <c r="P7" s="91">
        <v>1</v>
      </c>
    </row>
    <row r="8" spans="1:16" ht="15">
      <c r="A8" s="204">
        <v>5</v>
      </c>
      <c r="B8" s="100" t="s">
        <v>85</v>
      </c>
      <c r="C8" s="32">
        <v>40172</v>
      </c>
      <c r="D8" s="33" t="s">
        <v>37</v>
      </c>
      <c r="E8" s="33" t="s">
        <v>6</v>
      </c>
      <c r="F8" s="116">
        <v>51</v>
      </c>
      <c r="G8" s="116">
        <v>51</v>
      </c>
      <c r="H8" s="116">
        <v>2</v>
      </c>
      <c r="I8" s="60">
        <v>175309</v>
      </c>
      <c r="J8" s="72">
        <v>14721</v>
      </c>
      <c r="K8" s="158">
        <f>J8/G8</f>
        <v>288.6470588235294</v>
      </c>
      <c r="L8" s="159">
        <f>+I8/J8</f>
        <v>11.908769784661368</v>
      </c>
      <c r="M8" s="160">
        <v>448889</v>
      </c>
      <c r="N8" s="158">
        <v>39522</v>
      </c>
      <c r="O8" s="161">
        <f>+M8/N8</f>
        <v>11.35795253276656</v>
      </c>
      <c r="P8" s="91"/>
    </row>
    <row r="9" spans="1:16" ht="15">
      <c r="A9" s="204">
        <v>6</v>
      </c>
      <c r="B9" s="100" t="s">
        <v>104</v>
      </c>
      <c r="C9" s="32">
        <v>40165</v>
      </c>
      <c r="D9" s="33" t="s">
        <v>37</v>
      </c>
      <c r="E9" s="33" t="s">
        <v>82</v>
      </c>
      <c r="F9" s="116">
        <v>109</v>
      </c>
      <c r="G9" s="116">
        <v>70</v>
      </c>
      <c r="H9" s="116">
        <v>3</v>
      </c>
      <c r="I9" s="60">
        <v>175077</v>
      </c>
      <c r="J9" s="72">
        <v>16879</v>
      </c>
      <c r="K9" s="158">
        <f>J9/G9</f>
        <v>241.12857142857143</v>
      </c>
      <c r="L9" s="159">
        <f>+I9/J9</f>
        <v>10.372474672670181</v>
      </c>
      <c r="M9" s="160">
        <v>1207284</v>
      </c>
      <c r="N9" s="158">
        <v>120991</v>
      </c>
      <c r="O9" s="161">
        <f>+M9/N9</f>
        <v>9.97829590630708</v>
      </c>
      <c r="P9" s="91">
        <v>1</v>
      </c>
    </row>
    <row r="10" spans="1:16" ht="15">
      <c r="A10" s="204">
        <v>7</v>
      </c>
      <c r="B10" s="95" t="s">
        <v>105</v>
      </c>
      <c r="C10" s="34">
        <v>40165</v>
      </c>
      <c r="D10" s="35" t="s">
        <v>39</v>
      </c>
      <c r="E10" s="35" t="s">
        <v>83</v>
      </c>
      <c r="F10" s="111">
        <v>74</v>
      </c>
      <c r="G10" s="111">
        <v>63</v>
      </c>
      <c r="H10" s="111">
        <v>3</v>
      </c>
      <c r="I10" s="57">
        <v>124291.75</v>
      </c>
      <c r="J10" s="69">
        <v>14864</v>
      </c>
      <c r="K10" s="138">
        <f>(J10/G10)</f>
        <v>235.93650793650792</v>
      </c>
      <c r="L10" s="139">
        <f>I10/J10</f>
        <v>8.361931512378902</v>
      </c>
      <c r="M10" s="140">
        <f>507128.25+345268.5+124291.75</f>
        <v>976688.5</v>
      </c>
      <c r="N10" s="141">
        <f>53408+37346+14864</f>
        <v>105618</v>
      </c>
      <c r="O10" s="142">
        <f>M10/N10</f>
        <v>9.247367872900453</v>
      </c>
      <c r="P10" s="91">
        <v>1</v>
      </c>
    </row>
    <row r="11" spans="1:16" ht="15">
      <c r="A11" s="204">
        <v>8</v>
      </c>
      <c r="B11" s="99" t="s">
        <v>106</v>
      </c>
      <c r="C11" s="36">
        <v>40158</v>
      </c>
      <c r="D11" s="40" t="s">
        <v>4</v>
      </c>
      <c r="E11" s="39" t="s">
        <v>47</v>
      </c>
      <c r="F11" s="115">
        <v>148</v>
      </c>
      <c r="G11" s="115">
        <v>91</v>
      </c>
      <c r="H11" s="115">
        <v>4</v>
      </c>
      <c r="I11" s="61">
        <v>119681</v>
      </c>
      <c r="J11" s="73">
        <v>17048</v>
      </c>
      <c r="K11" s="162">
        <f>+J11/G11</f>
        <v>187.34065934065933</v>
      </c>
      <c r="L11" s="163">
        <f>+I11/J11</f>
        <v>7.020236977944627</v>
      </c>
      <c r="M11" s="164">
        <v>2757217</v>
      </c>
      <c r="N11" s="165">
        <v>323709</v>
      </c>
      <c r="O11" s="166">
        <f>+M11/N11</f>
        <v>8.517579060205307</v>
      </c>
      <c r="P11" s="91">
        <v>1</v>
      </c>
    </row>
    <row r="12" spans="1:16" ht="15">
      <c r="A12" s="204">
        <v>9</v>
      </c>
      <c r="B12" s="98" t="s">
        <v>107</v>
      </c>
      <c r="C12" s="36">
        <v>40165</v>
      </c>
      <c r="D12" s="38" t="s">
        <v>41</v>
      </c>
      <c r="E12" s="38" t="s">
        <v>93</v>
      </c>
      <c r="F12" s="114">
        <v>38</v>
      </c>
      <c r="G12" s="114">
        <v>29</v>
      </c>
      <c r="H12" s="114">
        <v>3</v>
      </c>
      <c r="I12" s="62">
        <v>96495.25</v>
      </c>
      <c r="J12" s="74">
        <v>11131</v>
      </c>
      <c r="K12" s="162">
        <f>IF(I12&lt;&gt;0,J12/G12,"")</f>
        <v>383.82758620689657</v>
      </c>
      <c r="L12" s="163">
        <f>IF(I12&lt;&gt;0,I12/J12,"")</f>
        <v>8.669054891743778</v>
      </c>
      <c r="M12" s="167">
        <v>618764.5</v>
      </c>
      <c r="N12" s="168">
        <v>66606</v>
      </c>
      <c r="O12" s="166">
        <f>IF(M12&lt;&gt;0,M12/N12,"")</f>
        <v>9.289921328408852</v>
      </c>
      <c r="P12" s="91">
        <v>1</v>
      </c>
    </row>
    <row r="13" spans="1:16" ht="15">
      <c r="A13" s="204">
        <v>10</v>
      </c>
      <c r="B13" s="95" t="s">
        <v>69</v>
      </c>
      <c r="C13" s="34">
        <v>40137</v>
      </c>
      <c r="D13" s="35" t="s">
        <v>39</v>
      </c>
      <c r="E13" s="35" t="s">
        <v>5</v>
      </c>
      <c r="F13" s="111">
        <v>147</v>
      </c>
      <c r="G13" s="111">
        <v>57</v>
      </c>
      <c r="H13" s="111">
        <v>7</v>
      </c>
      <c r="I13" s="57">
        <v>87796</v>
      </c>
      <c r="J13" s="69">
        <v>15922</v>
      </c>
      <c r="K13" s="138">
        <f>(J13/G13)</f>
        <v>279.3333333333333</v>
      </c>
      <c r="L13" s="139">
        <f>I13/J13</f>
        <v>5.514131390528828</v>
      </c>
      <c r="M13" s="140">
        <f>4499732.5+3362984.5+1262292.25+664013.75+490740.5+244990+87796</f>
        <v>10612549.5</v>
      </c>
      <c r="N13" s="141">
        <f>493806+365411+142937+78728+74756+40294+15922</f>
        <v>1211854</v>
      </c>
      <c r="O13" s="142">
        <f>M13/N13</f>
        <v>8.757283880731507</v>
      </c>
      <c r="P13" s="91"/>
    </row>
    <row r="14" spans="1:16" ht="15">
      <c r="A14" s="204">
        <v>11</v>
      </c>
      <c r="B14" s="98">
        <v>2012</v>
      </c>
      <c r="C14" s="36">
        <v>40130</v>
      </c>
      <c r="D14" s="37" t="s">
        <v>36</v>
      </c>
      <c r="E14" s="38" t="s">
        <v>73</v>
      </c>
      <c r="F14" s="114">
        <v>178</v>
      </c>
      <c r="G14" s="114">
        <v>37</v>
      </c>
      <c r="H14" s="114">
        <v>8</v>
      </c>
      <c r="I14" s="57">
        <f>48622+283</f>
        <v>48905</v>
      </c>
      <c r="J14" s="69">
        <f>7403+116</f>
        <v>7519</v>
      </c>
      <c r="K14" s="138">
        <f>J14/G14</f>
        <v>203.21621621621622</v>
      </c>
      <c r="L14" s="139">
        <f>I14/J14</f>
        <v>6.504189386886554</v>
      </c>
      <c r="M14" s="140">
        <f>13107603+48622+283</f>
        <v>13156508</v>
      </c>
      <c r="N14" s="141">
        <f>1468855+7403+116</f>
        <v>1476374</v>
      </c>
      <c r="O14" s="142">
        <f>+M14/N14</f>
        <v>8.91136527736197</v>
      </c>
      <c r="P14" s="91"/>
    </row>
    <row r="15" spans="1:16" ht="15">
      <c r="A15" s="204">
        <v>12</v>
      </c>
      <c r="B15" s="95" t="s">
        <v>109</v>
      </c>
      <c r="C15" s="34">
        <v>40137</v>
      </c>
      <c r="D15" s="35" t="s">
        <v>62</v>
      </c>
      <c r="E15" s="35" t="s">
        <v>43</v>
      </c>
      <c r="F15" s="111">
        <v>311</v>
      </c>
      <c r="G15" s="111">
        <v>3</v>
      </c>
      <c r="H15" s="111">
        <v>7</v>
      </c>
      <c r="I15" s="58">
        <v>39718</v>
      </c>
      <c r="J15" s="70">
        <v>6551</v>
      </c>
      <c r="K15" s="162">
        <f>IF(I15&lt;&gt;0,J15/G15,"")</f>
        <v>2183.6666666666665</v>
      </c>
      <c r="L15" s="163">
        <f>IF(I15&lt;&gt;0,I15/J15,"")</f>
        <v>6.06289116165471</v>
      </c>
      <c r="M15" s="169">
        <f>3304754.25+2499078+631694+23+231806.5+262+75092+83827.5+39718+180</f>
        <v>6866435.25</v>
      </c>
      <c r="N15" s="168">
        <f>413699+312050+80320+31253+42+12537-15+13061+6551+45</f>
        <v>869543</v>
      </c>
      <c r="O15" s="166">
        <f>IF(M15&lt;&gt;0,M15/N15,"")</f>
        <v>7.896602295688655</v>
      </c>
      <c r="P15" s="91">
        <v>1</v>
      </c>
    </row>
    <row r="16" spans="1:16" ht="15">
      <c r="A16" s="204">
        <v>13</v>
      </c>
      <c r="B16" s="95" t="s">
        <v>110</v>
      </c>
      <c r="C16" s="34">
        <v>40137</v>
      </c>
      <c r="D16" s="35" t="s">
        <v>80</v>
      </c>
      <c r="E16" s="35" t="s">
        <v>95</v>
      </c>
      <c r="F16" s="111">
        <v>149</v>
      </c>
      <c r="G16" s="111">
        <v>9</v>
      </c>
      <c r="H16" s="111">
        <v>7</v>
      </c>
      <c r="I16" s="58">
        <v>27101.5</v>
      </c>
      <c r="J16" s="70">
        <v>4448</v>
      </c>
      <c r="K16" s="168">
        <f>J16/G16</f>
        <v>494.22222222222223</v>
      </c>
      <c r="L16" s="170">
        <f>I16/J16</f>
        <v>6.092963129496403</v>
      </c>
      <c r="M16" s="169">
        <v>3103393</v>
      </c>
      <c r="N16" s="168">
        <v>360904</v>
      </c>
      <c r="O16" s="171">
        <f>M16/N16</f>
        <v>8.598943209274488</v>
      </c>
      <c r="P16" s="91">
        <v>1</v>
      </c>
    </row>
    <row r="17" spans="1:16" ht="15">
      <c r="A17" s="204">
        <v>14</v>
      </c>
      <c r="B17" s="98" t="s">
        <v>79</v>
      </c>
      <c r="C17" s="36">
        <v>40158</v>
      </c>
      <c r="D17" s="37" t="s">
        <v>36</v>
      </c>
      <c r="E17" s="38" t="s">
        <v>5</v>
      </c>
      <c r="F17" s="114">
        <v>141</v>
      </c>
      <c r="G17" s="114">
        <v>27</v>
      </c>
      <c r="H17" s="114">
        <v>4</v>
      </c>
      <c r="I17" s="57">
        <v>23244</v>
      </c>
      <c r="J17" s="69">
        <v>3818</v>
      </c>
      <c r="K17" s="138">
        <f>J17/G17</f>
        <v>141.40740740740742</v>
      </c>
      <c r="L17" s="139">
        <f>I17/J17</f>
        <v>6.088004190675746</v>
      </c>
      <c r="M17" s="140">
        <f>1607914+23244</f>
        <v>1631158</v>
      </c>
      <c r="N17" s="141">
        <f>183968+3818</f>
        <v>187786</v>
      </c>
      <c r="O17" s="142">
        <f>+M17/N17</f>
        <v>8.686259891578713</v>
      </c>
      <c r="P17" s="91"/>
    </row>
    <row r="18" spans="1:16" ht="15">
      <c r="A18" s="204">
        <v>15</v>
      </c>
      <c r="B18" s="98" t="s">
        <v>86</v>
      </c>
      <c r="C18" s="36">
        <v>40172</v>
      </c>
      <c r="D18" s="37" t="s">
        <v>36</v>
      </c>
      <c r="E18" s="38" t="s">
        <v>36</v>
      </c>
      <c r="F18" s="114">
        <v>40</v>
      </c>
      <c r="G18" s="114">
        <v>34</v>
      </c>
      <c r="H18" s="114">
        <v>2</v>
      </c>
      <c r="I18" s="57">
        <v>15275</v>
      </c>
      <c r="J18" s="69">
        <v>1524</v>
      </c>
      <c r="K18" s="138">
        <f>J18/G18</f>
        <v>44.8235294117647</v>
      </c>
      <c r="L18" s="139">
        <f>I18/J18</f>
        <v>10.022965879265092</v>
      </c>
      <c r="M18" s="140">
        <f>74576+15275</f>
        <v>89851</v>
      </c>
      <c r="N18" s="141">
        <f>7330+1524</f>
        <v>8854</v>
      </c>
      <c r="O18" s="142">
        <f>+M18/N18</f>
        <v>10.148068669527897</v>
      </c>
      <c r="P18" s="91"/>
    </row>
    <row r="19" spans="1:16" ht="15">
      <c r="A19" s="204">
        <v>16</v>
      </c>
      <c r="B19" s="95" t="s">
        <v>111</v>
      </c>
      <c r="C19" s="34">
        <v>40123</v>
      </c>
      <c r="D19" s="35" t="s">
        <v>39</v>
      </c>
      <c r="E19" s="35" t="s">
        <v>64</v>
      </c>
      <c r="F19" s="111">
        <v>144</v>
      </c>
      <c r="G19" s="111">
        <v>12</v>
      </c>
      <c r="H19" s="111">
        <v>9</v>
      </c>
      <c r="I19" s="57">
        <v>12906</v>
      </c>
      <c r="J19" s="69">
        <v>2803</v>
      </c>
      <c r="K19" s="138">
        <f>(J19/G19)</f>
        <v>233.58333333333334</v>
      </c>
      <c r="L19" s="139">
        <f>I19/J19</f>
        <v>4.6043524794862645</v>
      </c>
      <c r="M19" s="140">
        <f>909778+593215.5+203934.5+91391+32233.5+29451.5+14597.5+12123.5+12906</f>
        <v>1899631</v>
      </c>
      <c r="N19" s="141">
        <f>103944+67300+25860+13426+5611+5689+2739+1975+2803</f>
        <v>229347</v>
      </c>
      <c r="O19" s="142">
        <f>M19/N19</f>
        <v>8.282781113334815</v>
      </c>
      <c r="P19" s="91">
        <v>1</v>
      </c>
    </row>
    <row r="20" spans="1:16" ht="15">
      <c r="A20" s="204">
        <v>17</v>
      </c>
      <c r="B20" s="99" t="s">
        <v>112</v>
      </c>
      <c r="C20" s="36">
        <v>40151</v>
      </c>
      <c r="D20" s="39" t="s">
        <v>9</v>
      </c>
      <c r="E20" s="39" t="s">
        <v>75</v>
      </c>
      <c r="F20" s="115">
        <v>128</v>
      </c>
      <c r="G20" s="115">
        <v>14</v>
      </c>
      <c r="H20" s="115">
        <v>5</v>
      </c>
      <c r="I20" s="59">
        <v>10820.5</v>
      </c>
      <c r="J20" s="71">
        <v>2203</v>
      </c>
      <c r="K20" s="153">
        <f>J20/G20</f>
        <v>157.35714285714286</v>
      </c>
      <c r="L20" s="154">
        <f>I20/J20</f>
        <v>4.911711302768952</v>
      </c>
      <c r="M20" s="155">
        <v>1602521</v>
      </c>
      <c r="N20" s="156">
        <v>185512</v>
      </c>
      <c r="O20" s="157">
        <f>+M20/N20</f>
        <v>8.638368407434559</v>
      </c>
      <c r="P20" s="91">
        <v>1</v>
      </c>
    </row>
    <row r="21" spans="1:16" ht="15">
      <c r="A21" s="204">
        <v>18</v>
      </c>
      <c r="B21" s="98" t="s">
        <v>113</v>
      </c>
      <c r="C21" s="36">
        <v>40151</v>
      </c>
      <c r="D21" s="38" t="s">
        <v>41</v>
      </c>
      <c r="E21" s="38" t="s">
        <v>46</v>
      </c>
      <c r="F21" s="114">
        <v>140</v>
      </c>
      <c r="G21" s="114">
        <v>15</v>
      </c>
      <c r="H21" s="114">
        <v>5</v>
      </c>
      <c r="I21" s="62">
        <v>6903</v>
      </c>
      <c r="J21" s="74">
        <v>1187</v>
      </c>
      <c r="K21" s="162">
        <f>IF(I21&lt;&gt;0,J21/G21,"")</f>
        <v>79.13333333333334</v>
      </c>
      <c r="L21" s="163">
        <f>IF(I21&lt;&gt;0,I21/J21,"")</f>
        <v>5.815501263689975</v>
      </c>
      <c r="M21" s="167">
        <v>1009943</v>
      </c>
      <c r="N21" s="168">
        <v>127637</v>
      </c>
      <c r="O21" s="166">
        <f>IF(M21&lt;&gt;0,M21/N21,"")</f>
        <v>7.9126193815273</v>
      </c>
      <c r="P21" s="91">
        <v>1</v>
      </c>
    </row>
    <row r="22" spans="1:16" ht="15">
      <c r="A22" s="204">
        <v>19</v>
      </c>
      <c r="B22" s="98" t="s">
        <v>114</v>
      </c>
      <c r="C22" s="36">
        <v>40102</v>
      </c>
      <c r="D22" s="38" t="s">
        <v>41</v>
      </c>
      <c r="E22" s="38" t="s">
        <v>56</v>
      </c>
      <c r="F22" s="114">
        <v>319</v>
      </c>
      <c r="G22" s="114">
        <v>13</v>
      </c>
      <c r="H22" s="114">
        <v>12</v>
      </c>
      <c r="I22" s="62">
        <v>6659</v>
      </c>
      <c r="J22" s="74">
        <v>990</v>
      </c>
      <c r="K22" s="162">
        <f>IF(I22&lt;&gt;0,J22/G22,"")</f>
        <v>76.15384615384616</v>
      </c>
      <c r="L22" s="163">
        <f>IF(I22&lt;&gt;0,I22/J22,"")</f>
        <v>6.726262626262626</v>
      </c>
      <c r="M22" s="167">
        <v>19727039.25</v>
      </c>
      <c r="N22" s="168">
        <v>2420126</v>
      </c>
      <c r="O22" s="166">
        <f>IF(M22&lt;&gt;0,M22/N22,"")</f>
        <v>8.151244707920165</v>
      </c>
      <c r="P22" s="91">
        <v>1</v>
      </c>
    </row>
    <row r="23" spans="1:16" ht="15">
      <c r="A23" s="204">
        <v>20</v>
      </c>
      <c r="B23" s="98" t="s">
        <v>74</v>
      </c>
      <c r="C23" s="36">
        <v>40137</v>
      </c>
      <c r="D23" s="37" t="s">
        <v>36</v>
      </c>
      <c r="E23" s="38" t="s">
        <v>73</v>
      </c>
      <c r="F23" s="114">
        <v>20</v>
      </c>
      <c r="G23" s="114">
        <v>1</v>
      </c>
      <c r="H23" s="114">
        <v>7</v>
      </c>
      <c r="I23" s="57">
        <v>4193</v>
      </c>
      <c r="J23" s="69">
        <v>595</v>
      </c>
      <c r="K23" s="138">
        <f>J23/G23</f>
        <v>595</v>
      </c>
      <c r="L23" s="139">
        <f>I23/J23</f>
        <v>7.047058823529412</v>
      </c>
      <c r="M23" s="140">
        <f>997860+4193</f>
        <v>1002053</v>
      </c>
      <c r="N23" s="141">
        <f>81544+595</f>
        <v>82139</v>
      </c>
      <c r="O23" s="142">
        <f>+M23/N23</f>
        <v>12.1994789320542</v>
      </c>
      <c r="P23" s="91"/>
    </row>
    <row r="24" spans="1:16" ht="15">
      <c r="A24" s="204">
        <v>21</v>
      </c>
      <c r="B24" s="95" t="s">
        <v>115</v>
      </c>
      <c r="C24" s="34">
        <v>40109</v>
      </c>
      <c r="D24" s="35" t="s">
        <v>39</v>
      </c>
      <c r="E24" s="35" t="s">
        <v>59</v>
      </c>
      <c r="F24" s="111">
        <v>25</v>
      </c>
      <c r="G24" s="111">
        <v>5</v>
      </c>
      <c r="H24" s="111">
        <v>11</v>
      </c>
      <c r="I24" s="57">
        <v>3895</v>
      </c>
      <c r="J24" s="69">
        <v>730</v>
      </c>
      <c r="K24" s="138">
        <f>(J24/G24)</f>
        <v>146</v>
      </c>
      <c r="L24" s="139">
        <f>I24/J24</f>
        <v>5.335616438356165</v>
      </c>
      <c r="M24" s="140">
        <f>198009+121514.5+95148.5+66495+23091+12092+17648.5+7279+6352.5+7838.5+3895</f>
        <v>559363.5</v>
      </c>
      <c r="N24" s="141">
        <f>27092+16078+14204+10980+3903+1664+3329+1236+1212+1399+730</f>
        <v>81827</v>
      </c>
      <c r="O24" s="142">
        <f>M24/N24</f>
        <v>6.835928238845369</v>
      </c>
      <c r="P24" s="91">
        <v>1</v>
      </c>
    </row>
    <row r="25" spans="1:16" ht="15">
      <c r="A25" s="204">
        <v>22</v>
      </c>
      <c r="B25" s="95" t="s">
        <v>116</v>
      </c>
      <c r="C25" s="34">
        <v>40116</v>
      </c>
      <c r="D25" s="35" t="s">
        <v>62</v>
      </c>
      <c r="E25" s="35" t="s">
        <v>70</v>
      </c>
      <c r="F25" s="111">
        <v>252</v>
      </c>
      <c r="G25" s="111">
        <v>3</v>
      </c>
      <c r="H25" s="111">
        <v>10</v>
      </c>
      <c r="I25" s="58">
        <v>3546</v>
      </c>
      <c r="J25" s="70">
        <v>675</v>
      </c>
      <c r="K25" s="162">
        <f>IF(I25&lt;&gt;0,J25/G25,"")</f>
        <v>225</v>
      </c>
      <c r="L25" s="163">
        <f>IF(I25&lt;&gt;0,I25/J25,"")</f>
        <v>5.253333333333333</v>
      </c>
      <c r="M25" s="169">
        <f>1669127.75+948082.25+584112.75-1430.5+253635+167357+9936+0.5+7987+1963+4065+3546</f>
        <v>3648381.75</v>
      </c>
      <c r="N25" s="168">
        <f>200044+117374+72700-112+36636+25117+1706+1163+472+1036+675</f>
        <v>456811</v>
      </c>
      <c r="O25" s="166">
        <f>IF(M25&lt;&gt;0,M25/N25,"")</f>
        <v>7.986632874427279</v>
      </c>
      <c r="P25" s="91">
        <v>1</v>
      </c>
    </row>
    <row r="26" spans="1:16" ht="15">
      <c r="A26" s="204">
        <v>23</v>
      </c>
      <c r="B26" s="95" t="s">
        <v>117</v>
      </c>
      <c r="C26" s="34">
        <v>40172</v>
      </c>
      <c r="D26" s="35" t="s">
        <v>62</v>
      </c>
      <c r="E26" s="35" t="s">
        <v>87</v>
      </c>
      <c r="F26" s="111">
        <v>10</v>
      </c>
      <c r="G26" s="111">
        <v>9</v>
      </c>
      <c r="H26" s="111">
        <v>2</v>
      </c>
      <c r="I26" s="58">
        <v>3107</v>
      </c>
      <c r="J26" s="70">
        <v>335</v>
      </c>
      <c r="K26" s="162">
        <f>IF(I26&lt;&gt;0,J26/G26,"")</f>
        <v>37.22222222222222</v>
      </c>
      <c r="L26" s="163">
        <f>IF(I26&lt;&gt;0,I26/J26,"")</f>
        <v>9.274626865671642</v>
      </c>
      <c r="M26" s="169">
        <f>9917+0.75+3107</f>
        <v>13024.75</v>
      </c>
      <c r="N26" s="168">
        <f>987+335</f>
        <v>1322</v>
      </c>
      <c r="O26" s="166">
        <f>IF(M26&lt;&gt;0,M26/N26,"")</f>
        <v>9.85230711043873</v>
      </c>
      <c r="P26" s="91">
        <v>1</v>
      </c>
    </row>
    <row r="27" spans="1:16" ht="15">
      <c r="A27" s="204">
        <v>24</v>
      </c>
      <c r="B27" s="98" t="s">
        <v>118</v>
      </c>
      <c r="C27" s="36">
        <v>40123</v>
      </c>
      <c r="D27" s="38" t="s">
        <v>41</v>
      </c>
      <c r="E27" s="38" t="s">
        <v>66</v>
      </c>
      <c r="F27" s="114">
        <v>40</v>
      </c>
      <c r="G27" s="114">
        <v>3</v>
      </c>
      <c r="H27" s="114">
        <v>8</v>
      </c>
      <c r="I27" s="62">
        <v>2876</v>
      </c>
      <c r="J27" s="74">
        <v>477</v>
      </c>
      <c r="K27" s="162">
        <f>IF(I27&lt;&gt;0,J27/G27,"")</f>
        <v>159</v>
      </c>
      <c r="L27" s="163">
        <f>IF(I27&lt;&gt;0,I27/J27,"")</f>
        <v>6.029350104821803</v>
      </c>
      <c r="M27" s="167">
        <v>260364.25</v>
      </c>
      <c r="N27" s="168">
        <v>26330</v>
      </c>
      <c r="O27" s="166">
        <f>IF(M27&lt;&gt;0,M27/N27,"")</f>
        <v>9.888501709077099</v>
      </c>
      <c r="P27" s="91">
        <v>1</v>
      </c>
    </row>
    <row r="28" spans="1:16" ht="15">
      <c r="A28" s="204">
        <v>25</v>
      </c>
      <c r="B28" s="95" t="s">
        <v>77</v>
      </c>
      <c r="C28" s="34">
        <v>40151</v>
      </c>
      <c r="D28" s="35" t="s">
        <v>39</v>
      </c>
      <c r="E28" s="35" t="s">
        <v>78</v>
      </c>
      <c r="F28" s="111">
        <v>2</v>
      </c>
      <c r="G28" s="111">
        <v>2</v>
      </c>
      <c r="H28" s="111">
        <v>5</v>
      </c>
      <c r="I28" s="57">
        <v>2853</v>
      </c>
      <c r="J28" s="69">
        <v>502</v>
      </c>
      <c r="K28" s="138">
        <f>(J28/G28)</f>
        <v>251</v>
      </c>
      <c r="L28" s="139">
        <f>I28/J28</f>
        <v>5.683266932270916</v>
      </c>
      <c r="M28" s="140">
        <f>14952+6112+2196+2975+2853</f>
        <v>29088</v>
      </c>
      <c r="N28" s="141">
        <f>1468+666+254+478+502</f>
        <v>3368</v>
      </c>
      <c r="O28" s="142">
        <f>M28/N28</f>
        <v>8.636579572446555</v>
      </c>
      <c r="P28" s="91"/>
    </row>
    <row r="29" spans="1:16" ht="15">
      <c r="A29" s="204">
        <v>26</v>
      </c>
      <c r="B29" s="95" t="s">
        <v>55</v>
      </c>
      <c r="C29" s="34">
        <v>40095</v>
      </c>
      <c r="D29" s="35" t="s">
        <v>39</v>
      </c>
      <c r="E29" s="35" t="s">
        <v>38</v>
      </c>
      <c r="F29" s="111">
        <v>22</v>
      </c>
      <c r="G29" s="111">
        <v>2</v>
      </c>
      <c r="H29" s="111">
        <v>9</v>
      </c>
      <c r="I29" s="57">
        <v>2484</v>
      </c>
      <c r="J29" s="69">
        <v>571</v>
      </c>
      <c r="K29" s="138">
        <f>(J29/G29)</f>
        <v>285.5</v>
      </c>
      <c r="L29" s="139">
        <f>I29/J29</f>
        <v>4.350262697022767</v>
      </c>
      <c r="M29" s="140">
        <f>158809.5+140713.25+103696.25+38523+19360+17458+1188+196+2484</f>
        <v>482428</v>
      </c>
      <c r="N29" s="141">
        <f>14214+13110+10683+4685+3074+2645+297+16+571</f>
        <v>49295</v>
      </c>
      <c r="O29" s="142">
        <f>M29/N29</f>
        <v>9.786550360077086</v>
      </c>
      <c r="P29" s="91"/>
    </row>
    <row r="30" spans="1:16" ht="15">
      <c r="A30" s="204">
        <v>27</v>
      </c>
      <c r="B30" s="100" t="s">
        <v>57</v>
      </c>
      <c r="C30" s="32">
        <v>40102</v>
      </c>
      <c r="D30" s="33" t="s">
        <v>37</v>
      </c>
      <c r="E30" s="33" t="s">
        <v>20</v>
      </c>
      <c r="F30" s="116">
        <v>99</v>
      </c>
      <c r="G30" s="116">
        <v>15</v>
      </c>
      <c r="H30" s="116">
        <v>12</v>
      </c>
      <c r="I30" s="60">
        <v>2194</v>
      </c>
      <c r="J30" s="72">
        <v>315</v>
      </c>
      <c r="K30" s="158">
        <f>J30/G30</f>
        <v>21</v>
      </c>
      <c r="L30" s="159">
        <f>+I30/J30</f>
        <v>6.965079365079365</v>
      </c>
      <c r="M30" s="160">
        <v>2575565</v>
      </c>
      <c r="N30" s="158">
        <v>271966</v>
      </c>
      <c r="O30" s="161">
        <f>+M30/N30</f>
        <v>9.470172742181008</v>
      </c>
      <c r="P30" s="91"/>
    </row>
    <row r="31" spans="1:16" ht="15">
      <c r="A31" s="204">
        <v>28</v>
      </c>
      <c r="B31" s="100" t="s">
        <v>119</v>
      </c>
      <c r="C31" s="32">
        <v>40144</v>
      </c>
      <c r="D31" s="33" t="s">
        <v>37</v>
      </c>
      <c r="E31" s="33" t="s">
        <v>33</v>
      </c>
      <c r="F31" s="116">
        <v>128</v>
      </c>
      <c r="G31" s="116">
        <v>7</v>
      </c>
      <c r="H31" s="116">
        <v>6</v>
      </c>
      <c r="I31" s="60">
        <v>1964</v>
      </c>
      <c r="J31" s="72">
        <v>269</v>
      </c>
      <c r="K31" s="158">
        <f>J31/G31</f>
        <v>38.42857142857143</v>
      </c>
      <c r="L31" s="159">
        <f>+I31/J31</f>
        <v>7.301115241635688</v>
      </c>
      <c r="M31" s="160">
        <v>2570020</v>
      </c>
      <c r="N31" s="158">
        <v>307494</v>
      </c>
      <c r="O31" s="161">
        <f>+M31/N31</f>
        <v>8.357951699870567</v>
      </c>
      <c r="P31" s="91">
        <v>1</v>
      </c>
    </row>
    <row r="32" spans="1:16" ht="15">
      <c r="A32" s="204">
        <v>29</v>
      </c>
      <c r="B32" s="95" t="s">
        <v>45</v>
      </c>
      <c r="C32" s="34">
        <v>39871</v>
      </c>
      <c r="D32" s="40" t="s">
        <v>39</v>
      </c>
      <c r="E32" s="35" t="s">
        <v>1</v>
      </c>
      <c r="F32" s="111">
        <v>1</v>
      </c>
      <c r="G32" s="111">
        <v>1</v>
      </c>
      <c r="H32" s="111">
        <v>21</v>
      </c>
      <c r="I32" s="57">
        <v>1780</v>
      </c>
      <c r="J32" s="69">
        <v>445</v>
      </c>
      <c r="K32" s="138">
        <f>(J32/G32)</f>
        <v>445</v>
      </c>
      <c r="L32" s="139">
        <f>I32/J32</f>
        <v>4</v>
      </c>
      <c r="M32" s="140">
        <f>1088+1510+1304+856+387+214+424+106+162+130+476+60.5+118+96+1664+1780+454+259.5+1188+119.5+1188+1780</f>
        <v>15364.5</v>
      </c>
      <c r="N32" s="141">
        <f>267+175+155+102+46+26+51+12+18+16+57+8+22+16+416+445+57+31+297+19+297+445</f>
        <v>2978</v>
      </c>
      <c r="O32" s="142">
        <f>M32/N32</f>
        <v>5.15933512424446</v>
      </c>
      <c r="P32" s="91"/>
    </row>
    <row r="33" spans="1:16" ht="15">
      <c r="A33" s="204">
        <v>30</v>
      </c>
      <c r="B33" s="95" t="s">
        <v>120</v>
      </c>
      <c r="C33" s="34">
        <v>39941</v>
      </c>
      <c r="D33" s="40" t="s">
        <v>39</v>
      </c>
      <c r="E33" s="35" t="s">
        <v>96</v>
      </c>
      <c r="F33" s="111">
        <v>26</v>
      </c>
      <c r="G33" s="111">
        <v>1</v>
      </c>
      <c r="H33" s="111">
        <v>21</v>
      </c>
      <c r="I33" s="57">
        <v>1780</v>
      </c>
      <c r="J33" s="69">
        <v>445</v>
      </c>
      <c r="K33" s="138">
        <f>(J33/G33)</f>
        <v>445</v>
      </c>
      <c r="L33" s="139">
        <f>I33/J33</f>
        <v>4</v>
      </c>
      <c r="M33" s="140">
        <f>36482.75+16583.5+5922.75+3249+4769+4925+4199.5+5525+366+924+414+2215+2444+33+1987+838+1440+537+604+3792+2376+1780</f>
        <v>101406.5</v>
      </c>
      <c r="N33" s="141">
        <f>4495+1934+744+517+1003+1215+722+968+65+193+83+369+384+5+336+159+238+83+151+948+594+445</f>
        <v>15651</v>
      </c>
      <c r="O33" s="142">
        <f>M33/N33</f>
        <v>6.479234553702639</v>
      </c>
      <c r="P33" s="91">
        <v>1</v>
      </c>
    </row>
    <row r="34" spans="1:16" ht="15">
      <c r="A34" s="204">
        <v>31</v>
      </c>
      <c r="B34" s="100" t="s">
        <v>54</v>
      </c>
      <c r="C34" s="32">
        <v>40074</v>
      </c>
      <c r="D34" s="33" t="s">
        <v>37</v>
      </c>
      <c r="E34" s="33" t="s">
        <v>20</v>
      </c>
      <c r="F34" s="116">
        <v>61</v>
      </c>
      <c r="G34" s="116">
        <v>1</v>
      </c>
      <c r="H34" s="116">
        <v>15</v>
      </c>
      <c r="I34" s="60">
        <v>1521</v>
      </c>
      <c r="J34" s="72">
        <v>408</v>
      </c>
      <c r="K34" s="158">
        <f>J34/G34</f>
        <v>408</v>
      </c>
      <c r="L34" s="159">
        <f>+I34/J34</f>
        <v>3.7279411764705883</v>
      </c>
      <c r="M34" s="160">
        <v>1027374</v>
      </c>
      <c r="N34" s="158">
        <v>103387</v>
      </c>
      <c r="O34" s="161">
        <f>+M34/N34</f>
        <v>9.937168115913993</v>
      </c>
      <c r="P34" s="91"/>
    </row>
    <row r="35" spans="1:16" ht="15">
      <c r="A35" s="204">
        <v>32</v>
      </c>
      <c r="B35" s="95" t="s">
        <v>76</v>
      </c>
      <c r="C35" s="34">
        <v>40151</v>
      </c>
      <c r="D35" s="35" t="s">
        <v>39</v>
      </c>
      <c r="E35" s="35" t="s">
        <v>44</v>
      </c>
      <c r="F35" s="111">
        <v>8</v>
      </c>
      <c r="G35" s="111">
        <v>3</v>
      </c>
      <c r="H35" s="111">
        <v>5</v>
      </c>
      <c r="I35" s="57">
        <v>1473.5</v>
      </c>
      <c r="J35" s="69">
        <v>296</v>
      </c>
      <c r="K35" s="138">
        <f aca="true" t="shared" si="0" ref="K35:K40">(J35/G35)</f>
        <v>98.66666666666667</v>
      </c>
      <c r="L35" s="139">
        <f aca="true" t="shared" si="1" ref="L35:L41">I35/J35</f>
        <v>4.97804054054054</v>
      </c>
      <c r="M35" s="140">
        <f>69195.5+29540+2797+8009+1473.5</f>
        <v>111015</v>
      </c>
      <c r="N35" s="141">
        <f>5170+2208+292+904+296</f>
        <v>8870</v>
      </c>
      <c r="O35" s="142">
        <f aca="true" t="shared" si="2" ref="O35:O40">M35/N35</f>
        <v>12.515783540022548</v>
      </c>
      <c r="P35" s="91"/>
    </row>
    <row r="36" spans="1:16" ht="15">
      <c r="A36" s="204">
        <v>33</v>
      </c>
      <c r="B36" s="95" t="s">
        <v>50</v>
      </c>
      <c r="C36" s="34">
        <v>39995</v>
      </c>
      <c r="D36" s="35" t="s">
        <v>39</v>
      </c>
      <c r="E36" s="35" t="s">
        <v>38</v>
      </c>
      <c r="F36" s="111">
        <v>209</v>
      </c>
      <c r="G36" s="111">
        <v>2</v>
      </c>
      <c r="H36" s="111">
        <v>27</v>
      </c>
      <c r="I36" s="57">
        <v>1385</v>
      </c>
      <c r="J36" s="69">
        <v>249</v>
      </c>
      <c r="K36" s="138">
        <f t="shared" si="0"/>
        <v>124.5</v>
      </c>
      <c r="L36" s="139">
        <f t="shared" si="1"/>
        <v>5.562248995983936</v>
      </c>
      <c r="M36" s="140">
        <f>872160.5+3062686.25+2016658.5+1330226.25+943221.5+742732+516667.5+450351.5+331944.75+238834+191406+133484.5+252388.75+88483.5+54821.5+50455.5+10393.5+13219.5+4551+15537+5404+869+4082+1834+3805+1635+750+1385</f>
        <v>11339987.5</v>
      </c>
      <c r="N36" s="141">
        <f>115039+364710+241056+162109+115810+90639+66180+59650+44695+33272+25508+18324+32600+11489+6695+7353+1723+3013+920+3530+1123+138+968+454+919+396+210+249</f>
        <v>1408772</v>
      </c>
      <c r="O36" s="142">
        <f t="shared" si="2"/>
        <v>8.049554860545213</v>
      </c>
      <c r="P36" s="91"/>
    </row>
    <row r="37" spans="1:16" ht="15">
      <c r="A37" s="204">
        <v>34</v>
      </c>
      <c r="B37" s="95" t="s">
        <v>97</v>
      </c>
      <c r="C37" s="34">
        <v>39926</v>
      </c>
      <c r="D37" s="40" t="s">
        <v>39</v>
      </c>
      <c r="E37" s="35" t="s">
        <v>48</v>
      </c>
      <c r="F37" s="111">
        <v>40</v>
      </c>
      <c r="G37" s="111">
        <v>2</v>
      </c>
      <c r="H37" s="111">
        <v>30</v>
      </c>
      <c r="I37" s="57">
        <v>1280</v>
      </c>
      <c r="J37" s="69">
        <v>182</v>
      </c>
      <c r="K37" s="138">
        <f t="shared" si="0"/>
        <v>91</v>
      </c>
      <c r="L37" s="139">
        <f t="shared" si="1"/>
        <v>7.032967032967033</v>
      </c>
      <c r="M37" s="140">
        <f>35864.5+53058.5+35303.5+15734.5+12778.5+9687.5+8045+13953.5+10307+6140.75+1296+667+231+755+1970+2246+752.5+591.5+130+445+2051+750+1477+2060+1816+47+72+84+378+2301+1280</f>
        <v>222273.25</v>
      </c>
      <c r="N37" s="141">
        <f>3971+5771+3969+2398+2257+2131+1634+2509+1783+912+230+126+48+181+472+311+114+91+20+78+493+183+365+462+452+9+24+28+94+494+182</f>
        <v>31792</v>
      </c>
      <c r="O37" s="142">
        <f t="shared" si="2"/>
        <v>6.991483706592853</v>
      </c>
      <c r="P37" s="91"/>
    </row>
    <row r="38" spans="1:16" ht="15">
      <c r="A38" s="204">
        <v>35</v>
      </c>
      <c r="B38" s="95" t="s">
        <v>53</v>
      </c>
      <c r="C38" s="34">
        <v>40067</v>
      </c>
      <c r="D38" s="35" t="s">
        <v>39</v>
      </c>
      <c r="E38" s="35" t="s">
        <v>38</v>
      </c>
      <c r="F38" s="111">
        <v>51</v>
      </c>
      <c r="G38" s="111">
        <v>2</v>
      </c>
      <c r="H38" s="111">
        <v>16</v>
      </c>
      <c r="I38" s="57">
        <v>1264</v>
      </c>
      <c r="J38" s="69">
        <v>316</v>
      </c>
      <c r="K38" s="138">
        <f t="shared" si="0"/>
        <v>158</v>
      </c>
      <c r="L38" s="139">
        <f t="shared" si="1"/>
        <v>4</v>
      </c>
      <c r="M38" s="140">
        <f>182949+180053+29827+20114+26140.5+10395.5+4671+3342+2340+5520+249.5+165+3602+91+952+1264</f>
        <v>471675.5</v>
      </c>
      <c r="N38" s="141">
        <f>18625+17802+3355+2859+3903+1800+782+594+465+1366+90+60+905+15+238+316</f>
        <v>53175</v>
      </c>
      <c r="O38" s="142">
        <f t="shared" si="2"/>
        <v>8.870249177244945</v>
      </c>
      <c r="P38" s="91"/>
    </row>
    <row r="39" spans="1:16" ht="15">
      <c r="A39" s="204">
        <v>36</v>
      </c>
      <c r="B39" s="95" t="s">
        <v>121</v>
      </c>
      <c r="C39" s="34">
        <v>40130</v>
      </c>
      <c r="D39" s="35" t="s">
        <v>39</v>
      </c>
      <c r="E39" s="35" t="s">
        <v>67</v>
      </c>
      <c r="F39" s="111">
        <v>13</v>
      </c>
      <c r="G39" s="111">
        <v>2</v>
      </c>
      <c r="H39" s="111">
        <v>8</v>
      </c>
      <c r="I39" s="57">
        <v>1216</v>
      </c>
      <c r="J39" s="69">
        <v>305</v>
      </c>
      <c r="K39" s="138">
        <f t="shared" si="0"/>
        <v>152.5</v>
      </c>
      <c r="L39" s="139">
        <f t="shared" si="1"/>
        <v>3.9868852459016395</v>
      </c>
      <c r="M39" s="140">
        <f>61012+24426+6122+10040+4081+228+2698+1216</f>
        <v>109823</v>
      </c>
      <c r="N39" s="141">
        <f>5982+2401+678+1620+879+42+433+305</f>
        <v>12340</v>
      </c>
      <c r="O39" s="142">
        <f t="shared" si="2"/>
        <v>8.899756888168557</v>
      </c>
      <c r="P39" s="91">
        <v>1</v>
      </c>
    </row>
    <row r="40" spans="1:16" ht="15">
      <c r="A40" s="204">
        <v>37</v>
      </c>
      <c r="B40" s="95" t="s">
        <v>60</v>
      </c>
      <c r="C40" s="34">
        <v>40109</v>
      </c>
      <c r="D40" s="35" t="s">
        <v>39</v>
      </c>
      <c r="E40" s="35" t="s">
        <v>38</v>
      </c>
      <c r="F40" s="111">
        <v>35</v>
      </c>
      <c r="G40" s="111">
        <v>1</v>
      </c>
      <c r="H40" s="111">
        <v>9</v>
      </c>
      <c r="I40" s="57">
        <v>1082</v>
      </c>
      <c r="J40" s="69">
        <v>177</v>
      </c>
      <c r="K40" s="138">
        <f t="shared" si="0"/>
        <v>177</v>
      </c>
      <c r="L40" s="139">
        <f t="shared" si="1"/>
        <v>6.112994350282486</v>
      </c>
      <c r="M40" s="140">
        <f>138311.75+79345.25+13093+10041+3739+971+1340+254+1082</f>
        <v>248177</v>
      </c>
      <c r="N40" s="141">
        <f>12918+7558+2061+1540+644+195+252+48+177</f>
        <v>25393</v>
      </c>
      <c r="O40" s="142">
        <f t="shared" si="2"/>
        <v>9.77344149962588</v>
      </c>
      <c r="P40" s="91"/>
    </row>
    <row r="41" spans="1:16" ht="15">
      <c r="A41" s="204">
        <v>38</v>
      </c>
      <c r="B41" s="98" t="s">
        <v>122</v>
      </c>
      <c r="C41" s="36">
        <v>40165</v>
      </c>
      <c r="D41" s="37" t="s">
        <v>36</v>
      </c>
      <c r="E41" s="38" t="s">
        <v>7</v>
      </c>
      <c r="F41" s="114">
        <v>36</v>
      </c>
      <c r="G41" s="114">
        <v>1</v>
      </c>
      <c r="H41" s="114">
        <v>3</v>
      </c>
      <c r="I41" s="57">
        <v>852</v>
      </c>
      <c r="J41" s="69">
        <v>142</v>
      </c>
      <c r="K41" s="138">
        <f>J41/G41</f>
        <v>142</v>
      </c>
      <c r="L41" s="139">
        <f t="shared" si="1"/>
        <v>6</v>
      </c>
      <c r="M41" s="140">
        <v>119500</v>
      </c>
      <c r="N41" s="141">
        <v>13046</v>
      </c>
      <c r="O41" s="142">
        <f>+M41/N41</f>
        <v>9.159895753487659</v>
      </c>
      <c r="P41" s="91">
        <v>1</v>
      </c>
    </row>
    <row r="42" spans="1:16" ht="15">
      <c r="A42" s="204">
        <v>39</v>
      </c>
      <c r="B42" s="98" t="s">
        <v>52</v>
      </c>
      <c r="C42" s="36">
        <v>40067</v>
      </c>
      <c r="D42" s="38" t="s">
        <v>41</v>
      </c>
      <c r="E42" s="38" t="s">
        <v>49</v>
      </c>
      <c r="F42" s="114">
        <v>105</v>
      </c>
      <c r="G42" s="114">
        <v>7</v>
      </c>
      <c r="H42" s="114">
        <v>17</v>
      </c>
      <c r="I42" s="62">
        <v>810</v>
      </c>
      <c r="J42" s="74">
        <v>154</v>
      </c>
      <c r="K42" s="162">
        <f>IF(I42&lt;&gt;0,J42/G42,"")</f>
        <v>22</v>
      </c>
      <c r="L42" s="163">
        <f>IF(I42&lt;&gt;0,I42/J42,"")</f>
        <v>5.259740259740259</v>
      </c>
      <c r="M42" s="167">
        <v>609976.75</v>
      </c>
      <c r="N42" s="168">
        <v>71251</v>
      </c>
      <c r="O42" s="166">
        <f>IF(M42&lt;&gt;0,M42/N42,"")</f>
        <v>8.56095703919945</v>
      </c>
      <c r="P42" s="91"/>
    </row>
    <row r="43" spans="1:16" ht="15">
      <c r="A43" s="204">
        <v>40</v>
      </c>
      <c r="B43" s="100" t="s">
        <v>71</v>
      </c>
      <c r="C43" s="32">
        <v>40137</v>
      </c>
      <c r="D43" s="33" t="s">
        <v>37</v>
      </c>
      <c r="E43" s="33" t="s">
        <v>20</v>
      </c>
      <c r="F43" s="116">
        <v>61</v>
      </c>
      <c r="G43" s="116">
        <v>1</v>
      </c>
      <c r="H43" s="116">
        <v>7</v>
      </c>
      <c r="I43" s="60">
        <v>768</v>
      </c>
      <c r="J43" s="72">
        <v>63</v>
      </c>
      <c r="K43" s="158">
        <f>J43/G43</f>
        <v>63</v>
      </c>
      <c r="L43" s="159">
        <f>+I43/J43</f>
        <v>12.19047619047619</v>
      </c>
      <c r="M43" s="160">
        <v>456253</v>
      </c>
      <c r="N43" s="158">
        <v>41839</v>
      </c>
      <c r="O43" s="161">
        <f>+M43/N43</f>
        <v>10.9049690480174</v>
      </c>
      <c r="P43" s="91"/>
    </row>
    <row r="44" spans="1:16" ht="15">
      <c r="A44" s="204">
        <v>41</v>
      </c>
      <c r="B44" s="100" t="s">
        <v>61</v>
      </c>
      <c r="C44" s="32">
        <v>40046</v>
      </c>
      <c r="D44" s="33" t="s">
        <v>37</v>
      </c>
      <c r="E44" s="33" t="s">
        <v>31</v>
      </c>
      <c r="F44" s="116">
        <v>55</v>
      </c>
      <c r="G44" s="116">
        <v>1</v>
      </c>
      <c r="H44" s="116">
        <v>11</v>
      </c>
      <c r="I44" s="60">
        <v>650</v>
      </c>
      <c r="J44" s="72">
        <v>100</v>
      </c>
      <c r="K44" s="158">
        <f>J44/G44</f>
        <v>100</v>
      </c>
      <c r="L44" s="159">
        <f>+I44/J44</f>
        <v>6.5</v>
      </c>
      <c r="M44" s="160">
        <v>187300</v>
      </c>
      <c r="N44" s="158">
        <v>18939</v>
      </c>
      <c r="O44" s="161">
        <f>+M44/N44</f>
        <v>9.889645704630656</v>
      </c>
      <c r="P44" s="91"/>
    </row>
    <row r="45" spans="1:16" ht="15">
      <c r="A45" s="204">
        <v>42</v>
      </c>
      <c r="B45" s="95" t="s">
        <v>123</v>
      </c>
      <c r="C45" s="34">
        <v>40109</v>
      </c>
      <c r="D45" s="35" t="s">
        <v>39</v>
      </c>
      <c r="E45" s="35" t="s">
        <v>58</v>
      </c>
      <c r="F45" s="111">
        <v>179</v>
      </c>
      <c r="G45" s="111">
        <v>2</v>
      </c>
      <c r="H45" s="111">
        <v>11</v>
      </c>
      <c r="I45" s="57">
        <v>564</v>
      </c>
      <c r="J45" s="69">
        <v>91</v>
      </c>
      <c r="K45" s="138">
        <f>(J45/G45)</f>
        <v>45.5</v>
      </c>
      <c r="L45" s="139">
        <f>I45/J45</f>
        <v>6.197802197802198</v>
      </c>
      <c r="M45" s="140">
        <f>1128559+561773+266735+93447+7005+1818+273+24520+599+3199+564</f>
        <v>2088492</v>
      </c>
      <c r="N45" s="141">
        <f>129422+68620+41591+19064+1291+300+35+6130+81+717+91</f>
        <v>267342</v>
      </c>
      <c r="O45" s="142">
        <f>M45/N45</f>
        <v>7.8120609556298675</v>
      </c>
      <c r="P45" s="91">
        <v>1</v>
      </c>
    </row>
    <row r="46" spans="1:16" ht="15">
      <c r="A46" s="204">
        <v>43</v>
      </c>
      <c r="B46" s="95" t="s">
        <v>63</v>
      </c>
      <c r="C46" s="34">
        <v>40116</v>
      </c>
      <c r="D46" s="35" t="s">
        <v>17</v>
      </c>
      <c r="E46" s="35" t="s">
        <v>17</v>
      </c>
      <c r="F46" s="111">
        <v>24</v>
      </c>
      <c r="G46" s="111">
        <v>1</v>
      </c>
      <c r="H46" s="111">
        <v>8</v>
      </c>
      <c r="I46" s="58">
        <v>497</v>
      </c>
      <c r="J46" s="70">
        <v>81</v>
      </c>
      <c r="K46" s="162">
        <f>IF(I46&lt;&gt;0,J46/G46,"")</f>
        <v>81</v>
      </c>
      <c r="L46" s="163">
        <f>IF(I46&lt;&gt;0,I46/J46,"")</f>
        <v>6.135802469135802</v>
      </c>
      <c r="M46" s="169">
        <f>87403.25+34862.75+15508.5+2797+944+915+1620+497</f>
        <v>144547.5</v>
      </c>
      <c r="N46" s="168">
        <f>14575+405+81</f>
        <v>15061</v>
      </c>
      <c r="O46" s="166">
        <f>IF(M46&lt;&gt;0,M46/N46,"")</f>
        <v>9.59747028749751</v>
      </c>
      <c r="P46" s="91"/>
    </row>
    <row r="47" spans="1:16" ht="15">
      <c r="A47" s="204">
        <v>44</v>
      </c>
      <c r="B47" s="98" t="s">
        <v>65</v>
      </c>
      <c r="C47" s="36">
        <v>40123</v>
      </c>
      <c r="D47" s="38" t="s">
        <v>41</v>
      </c>
      <c r="E47" s="38" t="s">
        <v>49</v>
      </c>
      <c r="F47" s="114">
        <v>58</v>
      </c>
      <c r="G47" s="114">
        <v>1</v>
      </c>
      <c r="H47" s="114">
        <v>8</v>
      </c>
      <c r="I47" s="62">
        <v>414</v>
      </c>
      <c r="J47" s="74">
        <v>83</v>
      </c>
      <c r="K47" s="162">
        <f>IF(I47&lt;&gt;0,J47/G47,"")</f>
        <v>83</v>
      </c>
      <c r="L47" s="163">
        <f>IF(I47&lt;&gt;0,I47/J47,"")</f>
        <v>4.9879518072289155</v>
      </c>
      <c r="M47" s="167">
        <v>468513.75</v>
      </c>
      <c r="N47" s="168">
        <v>44750</v>
      </c>
      <c r="O47" s="166">
        <f>IF(M47&lt;&gt;0,M47/N47,"")</f>
        <v>10.469581005586592</v>
      </c>
      <c r="P47" s="91"/>
    </row>
    <row r="48" spans="1:16" ht="15">
      <c r="A48" s="204">
        <v>45</v>
      </c>
      <c r="B48" s="99" t="s">
        <v>68</v>
      </c>
      <c r="C48" s="36">
        <v>40130</v>
      </c>
      <c r="D48" s="40" t="s">
        <v>4</v>
      </c>
      <c r="E48" s="39" t="s">
        <v>98</v>
      </c>
      <c r="F48" s="115">
        <v>17</v>
      </c>
      <c r="G48" s="115">
        <v>2</v>
      </c>
      <c r="H48" s="115">
        <v>7</v>
      </c>
      <c r="I48" s="61">
        <v>254</v>
      </c>
      <c r="J48" s="73">
        <v>41</v>
      </c>
      <c r="K48" s="162">
        <f>+J48/G48</f>
        <v>20.5</v>
      </c>
      <c r="L48" s="163">
        <f>+I48/J48</f>
        <v>6.195121951219512</v>
      </c>
      <c r="M48" s="164">
        <v>51408</v>
      </c>
      <c r="N48" s="165">
        <v>4463</v>
      </c>
      <c r="O48" s="166">
        <f>+M48/N48</f>
        <v>11.518709388303831</v>
      </c>
      <c r="P48" s="91"/>
    </row>
    <row r="49" spans="1:16" ht="15">
      <c r="A49" s="204">
        <v>46</v>
      </c>
      <c r="B49" s="95" t="s">
        <v>8</v>
      </c>
      <c r="C49" s="34">
        <v>39745</v>
      </c>
      <c r="D49" s="35" t="s">
        <v>39</v>
      </c>
      <c r="E49" s="35" t="s">
        <v>16</v>
      </c>
      <c r="F49" s="111">
        <v>7</v>
      </c>
      <c r="G49" s="111">
        <v>1</v>
      </c>
      <c r="H49" s="111">
        <v>17</v>
      </c>
      <c r="I49" s="61">
        <v>87</v>
      </c>
      <c r="J49" s="73">
        <v>29</v>
      </c>
      <c r="K49" s="172">
        <f>(J49/G49)</f>
        <v>29</v>
      </c>
      <c r="L49" s="173">
        <f>I49/J49</f>
        <v>3</v>
      </c>
      <c r="M49" s="164">
        <f>31758.5+8225.5+1958+2180+395+7254.5+494+2046+429+128+135+1066+1003+620+20+120+87</f>
        <v>57919.5</v>
      </c>
      <c r="N49" s="165">
        <f>2732+851+288+247+46+761+52+333+72+22+23+258+223+133+2+12+29</f>
        <v>6084</v>
      </c>
      <c r="O49" s="174">
        <f>M49/N49</f>
        <v>9.519970414201184</v>
      </c>
      <c r="P49" s="91"/>
    </row>
    <row r="50" spans="1:16" ht="15.75" thickBot="1">
      <c r="A50" s="204">
        <v>47</v>
      </c>
      <c r="B50" s="96" t="s">
        <v>51</v>
      </c>
      <c r="C50" s="45">
        <v>40046</v>
      </c>
      <c r="D50" s="46" t="s">
        <v>39</v>
      </c>
      <c r="E50" s="46" t="s">
        <v>16</v>
      </c>
      <c r="F50" s="112">
        <v>5</v>
      </c>
      <c r="G50" s="112">
        <v>1</v>
      </c>
      <c r="H50" s="112">
        <v>16</v>
      </c>
      <c r="I50" s="63">
        <v>72</v>
      </c>
      <c r="J50" s="75">
        <v>18</v>
      </c>
      <c r="K50" s="175">
        <f>(J50/G50)</f>
        <v>18</v>
      </c>
      <c r="L50" s="176">
        <f>I50/J50</f>
        <v>4</v>
      </c>
      <c r="M50" s="177">
        <f>29266.75+13116.25+9279.25+8463+18147.5+3121+4110+6763+926+5173.5+9461.5+192+486+2002+382+72</f>
        <v>110961.75</v>
      </c>
      <c r="N50" s="178">
        <f>2425+1257+1223+1013+2360+455+662+1253+138+745+1554+44+79+353+69+18</f>
        <v>13648</v>
      </c>
      <c r="O50" s="179">
        <f>M50/N50</f>
        <v>8.130257180539273</v>
      </c>
      <c r="P50" s="91"/>
    </row>
  </sheetData>
  <sheetProtection/>
  <mergeCells count="10">
    <mergeCell ref="E2:E3"/>
    <mergeCell ref="F2:F3"/>
    <mergeCell ref="A1:O1"/>
    <mergeCell ref="B2:B3"/>
    <mergeCell ref="C2:C3"/>
    <mergeCell ref="D2:D3"/>
    <mergeCell ref="G2:G3"/>
    <mergeCell ref="H2:H3"/>
    <mergeCell ref="I2:L2"/>
    <mergeCell ref="M2:O2"/>
  </mergeCells>
  <printOptions/>
  <pageMargins left="0.75" right="0.75" top="1" bottom="1" header="0.5" footer="0.5"/>
  <pageSetup orientation="portrait" paperSize="9" r:id="rId1"/>
  <ignoredErrors>
    <ignoredError sqref="Q20:Q22 Q42:Q44 Q25 Q16:Q19 Q23 Q24 Q46:Q49 Q41 Q50 Q45 M14:N25 M5:N13 M26:N44 Q26:Q40 K14:K25 M45:N50" formula="1" unlockedFormula="1"/>
    <ignoredError sqref="R24:R25 R20:R22 R44 R45 R50 R46:R49 M4:N4 R26:R43 I14:J25" unlockedFormula="1"/>
    <ignoredError sqref="Q7:Q8 O5:O43 L5:L43 K5:K13 K26:K43 K44:K55 L44:L55 M51:N5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2008-01-10T15:01:25Z</cp:lastPrinted>
  <dcterms:created xsi:type="dcterms:W3CDTF">2006-03-17T12:24:26Z</dcterms:created>
  <dcterms:modified xsi:type="dcterms:W3CDTF">2010-01-22T20:26:15Z</dcterms:modified>
  <cp:category/>
  <cp:version/>
  <cp:contentType/>
  <cp:contentStatus/>
</cp:coreProperties>
</file>