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2"/>
  </bookViews>
  <sheets>
    <sheet name="08-14 Jan' 10 (WK 02)" sheetId="1" r:id="rId1"/>
    <sheet name="01-14 Jan'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'01-14 Jan'' 10 (Annual)'!$A$5:$I$8</definedName>
    <definedName name="_xlnm.Print_Area" localSheetId="0">'08-14 Jan'' 10 (WK 02)'!$A$1:$N$91</definedName>
  </definedNames>
  <calcPr fullCalcOnLoad="1"/>
</workbook>
</file>

<file path=xl/sharedStrings.xml><?xml version="1.0" encoding="utf-8"?>
<sst xmlns="http://schemas.openxmlformats.org/spreadsheetml/2006/main" count="413" uniqueCount="132">
  <si>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</si>
  <si>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</si>
  <si>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</si>
  <si>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</si>
  <si>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</si>
  <si>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CINEFILM</t>
  </si>
  <si>
    <t>G.B.O. YTL</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</si>
  <si>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</si>
  <si>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</si>
  <si>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</si>
  <si>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</si>
  <si>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</si>
  <si>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</si>
  <si>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</si>
  <si>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</si>
  <si>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</si>
  <si>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</si>
  <si>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</si>
  <si>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</si>
  <si>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</si>
  <si>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</si>
  <si>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</si>
  <si>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</si>
  <si>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</si>
  <si>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</si>
  <si>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</si>
  <si>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WB</t>
  </si>
  <si>
    <t>UIP</t>
  </si>
  <si>
    <t>TIGLON</t>
  </si>
  <si>
    <t>*Sorted according to Week Total G.B.O. - Haftalık toplam hasılat sütununa göre sıralanmıştır.</t>
  </si>
  <si>
    <t>MEDYAVIZYON</t>
  </si>
  <si>
    <t>TOTAL</t>
  </si>
  <si>
    <t>LEMON TREE</t>
  </si>
  <si>
    <t>ICE AGE 3: DAWN OF THE DINOSAURS</t>
  </si>
  <si>
    <t>HIGH LANE</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</si>
  <si>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</si>
  <si>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</si>
  <si>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</si>
  <si>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</si>
  <si>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</si>
  <si>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</si>
  <si>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</si>
  <si>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</si>
  <si>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</si>
  <si>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</si>
  <si>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</si>
  <si>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</si>
  <si>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</si>
  <si>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</si>
  <si>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</si>
  <si>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</si>
  <si>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</si>
  <si>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</si>
  <si>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</si>
  <si>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</si>
  <si>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</si>
  <si>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</si>
  <si>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t>SUNSHINE BARRY AND THE DISCO WORMS</t>
  </si>
  <si>
    <r>
      <t xml:space="preserve">DABBE 2 </t>
    </r>
    <r>
      <rPr>
        <b/>
        <sz val="10"/>
        <color indexed="10"/>
        <rFont val="Arial Black"/>
        <family val="2"/>
      </rPr>
      <t>(LOCAL)</t>
    </r>
  </si>
  <si>
    <r>
      <t xml:space="preserve">NEŞELİ HAYAT </t>
    </r>
    <r>
      <rPr>
        <b/>
        <sz val="10"/>
        <color indexed="10"/>
        <rFont val="Arial Black"/>
        <family val="2"/>
      </rPr>
      <t>(LOCAL)</t>
    </r>
  </si>
  <si>
    <r>
      <t>VAVİEN</t>
    </r>
    <r>
      <rPr>
        <b/>
        <sz val="10"/>
        <color indexed="10"/>
        <rFont val="Arial Black"/>
        <family val="2"/>
      </rPr>
      <t xml:space="preserve"> (LOCAL)</t>
    </r>
  </si>
  <si>
    <r>
      <t xml:space="preserve">ACI AŞK </t>
    </r>
    <r>
      <rPr>
        <b/>
        <sz val="10"/>
        <color indexed="10"/>
        <rFont val="Arial Black"/>
        <family val="2"/>
      </rPr>
      <t>(LOCAL)</t>
    </r>
  </si>
  <si>
    <r>
      <t xml:space="preserve">GECENİN KANATLARI </t>
    </r>
    <r>
      <rPr>
        <b/>
        <sz val="10"/>
        <color indexed="10"/>
        <rFont val="Arial Black"/>
        <family val="2"/>
      </rPr>
      <t>(LOCAL)</t>
    </r>
  </si>
  <si>
    <r>
      <t xml:space="preserve">BAŞKA DİLDE AŞK </t>
    </r>
    <r>
      <rPr>
        <b/>
        <sz val="10"/>
        <color indexed="10"/>
        <rFont val="Arial Black"/>
        <family val="2"/>
      </rPr>
      <t>(LOCAL)</t>
    </r>
  </si>
  <si>
    <r>
      <t xml:space="preserve">KURTLAR VADİSİ GLADİO </t>
    </r>
    <r>
      <rPr>
        <b/>
        <sz val="10"/>
        <color indexed="10"/>
        <rFont val="Arial Black"/>
        <family val="2"/>
      </rPr>
      <t>(LOCAL)</t>
    </r>
  </si>
  <si>
    <r>
      <t xml:space="preserve">7 KOCALI HÜRMÜZ </t>
    </r>
    <r>
      <rPr>
        <b/>
        <sz val="10"/>
        <color indexed="10"/>
        <rFont val="Arial Black"/>
        <family val="2"/>
      </rPr>
      <t>(LOCAL)</t>
    </r>
  </si>
  <si>
    <r>
      <t xml:space="preserve">AŞK GELİYORUM DEMEZ </t>
    </r>
    <r>
      <rPr>
        <b/>
        <sz val="10"/>
        <color indexed="10"/>
        <rFont val="Arial Black"/>
        <family val="2"/>
      </rPr>
      <t>(LOCAL)</t>
    </r>
  </si>
  <si>
    <r>
      <t xml:space="preserve">ADINI SEN KOY </t>
    </r>
    <r>
      <rPr>
        <b/>
        <sz val="10"/>
        <color indexed="10"/>
        <rFont val="Arial Black"/>
        <family val="2"/>
      </rPr>
      <t>(LOCAL)</t>
    </r>
  </si>
  <si>
    <r>
      <t xml:space="preserve">ABİMM </t>
    </r>
    <r>
      <rPr>
        <b/>
        <sz val="10"/>
        <color indexed="10"/>
        <rFont val="Arial Black"/>
        <family val="2"/>
      </rPr>
      <t>(LOCAL)</t>
    </r>
  </si>
  <si>
    <r>
      <t xml:space="preserve">NEFES: VATAN SAĞOLSUN </t>
    </r>
    <r>
      <rPr>
        <b/>
        <sz val="10"/>
        <color indexed="10"/>
        <rFont val="Arial Black"/>
        <family val="2"/>
      </rPr>
      <t>(LOCAL)</t>
    </r>
  </si>
  <si>
    <r>
      <t xml:space="preserve">İKİ DİL BİR BAVUL </t>
    </r>
    <r>
      <rPr>
        <b/>
        <sz val="10"/>
        <color indexed="10"/>
        <rFont val="Arial Black"/>
        <family val="2"/>
      </rPr>
      <t>(LOCAL)</t>
    </r>
  </si>
  <si>
    <r>
      <t xml:space="preserve">KOLPAÇİNO </t>
    </r>
    <r>
      <rPr>
        <b/>
        <sz val="10"/>
        <color indexed="10"/>
        <rFont val="Arial Black"/>
        <family val="2"/>
      </rPr>
      <t>(LOCAL)</t>
    </r>
  </si>
  <si>
    <r>
      <t xml:space="preserve">ORADA </t>
    </r>
    <r>
      <rPr>
        <b/>
        <sz val="10"/>
        <color indexed="10"/>
        <rFont val="Arial Black"/>
        <family val="2"/>
      </rPr>
      <t>(LOCAL)</t>
    </r>
  </si>
  <si>
    <r>
      <t xml:space="preserve">KISKANMAK </t>
    </r>
    <r>
      <rPr>
        <b/>
        <sz val="10"/>
        <color indexed="10"/>
        <rFont val="Arial Black"/>
        <family val="2"/>
      </rPr>
      <t>(LOCAL)</t>
    </r>
  </si>
  <si>
    <r>
      <t xml:space="preserve">TÜRKLER ÇILDIRMIŞ OLMALI </t>
    </r>
    <r>
      <rPr>
        <b/>
        <sz val="10"/>
        <color indexed="10"/>
        <rFont val="Arial Black"/>
        <family val="2"/>
      </rPr>
      <t>(LOCAL)</t>
    </r>
  </si>
  <si>
    <r>
      <t xml:space="preserve">NOKTA </t>
    </r>
    <r>
      <rPr>
        <b/>
        <sz val="10"/>
        <color indexed="10"/>
        <rFont val="Arial Black"/>
        <family val="2"/>
      </rPr>
      <t>(LOCAL)</t>
    </r>
  </si>
  <si>
    <r>
      <t xml:space="preserve">BORNOVA BORNOVA </t>
    </r>
    <r>
      <rPr>
        <b/>
        <sz val="10"/>
        <color indexed="10"/>
        <rFont val="Arial Black"/>
        <family val="2"/>
      </rPr>
      <t>(LOCAL)</t>
    </r>
  </si>
  <si>
    <r>
      <t xml:space="preserve">SÜPÜRRR! </t>
    </r>
    <r>
      <rPr>
        <b/>
        <sz val="10"/>
        <color indexed="10"/>
        <rFont val="Arial Black"/>
        <family val="2"/>
      </rPr>
      <t>(LOCAL)</t>
    </r>
  </si>
  <si>
    <r>
      <t xml:space="preserve">KANAL-İ-ZASYON </t>
    </r>
    <r>
      <rPr>
        <b/>
        <sz val="10"/>
        <color indexed="10"/>
        <rFont val="Arial Black"/>
        <family val="2"/>
      </rPr>
      <t>(LOCAL)</t>
    </r>
  </si>
  <si>
    <r>
      <t xml:space="preserve">YAHŞİ BATI </t>
    </r>
    <r>
      <rPr>
        <sz val="10"/>
        <color indexed="10"/>
        <rFont val="Arial Black"/>
        <family val="2"/>
      </rPr>
      <t>(LOCAL)</t>
    </r>
  </si>
  <si>
    <r>
      <t>DABBE 2</t>
    </r>
    <r>
      <rPr>
        <sz val="10"/>
        <color indexed="10"/>
        <rFont val="Arial Black"/>
        <family val="2"/>
      </rPr>
      <t xml:space="preserve"> (LOCAL)</t>
    </r>
  </si>
  <si>
    <t>SOUL KITCHEN</t>
  </si>
  <si>
    <t>LAW ABIDING CITIZEN</t>
  </si>
  <si>
    <r>
      <t xml:space="preserve">NINJA ASSASSIN </t>
    </r>
    <r>
      <rPr>
        <sz val="10"/>
        <color indexed="12"/>
        <rFont val="Arial Black"/>
        <family val="2"/>
      </rPr>
      <t>(NEW)</t>
    </r>
  </si>
  <si>
    <r>
      <t xml:space="preserve">LOS ABRAZOS ROTOS </t>
    </r>
    <r>
      <rPr>
        <sz val="10"/>
        <color indexed="12"/>
        <rFont val="Arial Black"/>
        <family val="2"/>
      </rPr>
      <t>(NEW)</t>
    </r>
  </si>
  <si>
    <t>CHANTIER FILMS</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</si>
  <si>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</si>
  <si>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</si>
  <si>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</si>
  <si>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</si>
  <si>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r>
      <t xml:space="preserve">VAVİEN </t>
    </r>
    <r>
      <rPr>
        <sz val="10"/>
        <color indexed="10"/>
        <rFont val="Arial Black"/>
        <family val="2"/>
      </rPr>
      <t>(LOCAL)</t>
    </r>
  </si>
  <si>
    <r>
      <t xml:space="preserve">LET THE RIGHT ONE IN </t>
    </r>
    <r>
      <rPr>
        <sz val="10"/>
        <color indexed="12"/>
        <rFont val="Arial Black"/>
        <family val="2"/>
      </rPr>
      <t>(NEW)</t>
    </r>
  </si>
  <si>
    <t>CHERI</t>
  </si>
  <si>
    <r>
      <t xml:space="preserve">NORTH FACE </t>
    </r>
    <r>
      <rPr>
        <sz val="10"/>
        <color indexed="12"/>
        <rFont val="Arial Black"/>
        <family val="2"/>
      </rPr>
      <t>(NEW)</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</si>
  <si>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</si>
  <si>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</si>
  <si>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AMELIA </t>
    </r>
    <r>
      <rPr>
        <sz val="10"/>
        <color indexed="12"/>
        <rFont val="Arial Black"/>
        <family val="2"/>
      </rPr>
      <t>(NEW)</t>
    </r>
  </si>
  <si>
    <r>
      <t xml:space="preserve">ADINI SEN KOY </t>
    </r>
    <r>
      <rPr>
        <sz val="10"/>
        <color indexed="10"/>
        <rFont val="Arial Black"/>
        <family val="2"/>
      </rPr>
      <t>(LOCAL)</t>
    </r>
  </si>
  <si>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</si>
  <si>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</si>
  <si>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</si>
  <si>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</si>
  <si>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</si>
  <si>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</si>
  <si>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</si>
  <si>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</si>
  <si>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</si>
  <si>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</si>
  <si>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</si>
  <si>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</si>
  <si>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</si>
  <si>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FRITT WILT 2</t>
  </si>
  <si>
    <t>11</t>
  </si>
  <si>
    <t>1</t>
  </si>
  <si>
    <t>17</t>
  </si>
  <si>
    <t>KOLPAÇİNO (LOCAL)</t>
  </si>
  <si>
    <t>DRAG ME TO HELL</t>
  </si>
  <si>
    <t>CAPITALISM: A LOVE STORY</t>
  </si>
  <si>
    <r>
      <t xml:space="preserve">KELEBEK </t>
    </r>
    <r>
      <rPr>
        <sz val="10"/>
        <color indexed="10"/>
        <rFont val="Arial Black"/>
        <family val="2"/>
      </rPr>
      <t>(LOCAL)</t>
    </r>
  </si>
  <si>
    <t>COCO CHANEL &amp; IGOR STRAVINSKY</t>
  </si>
  <si>
    <t>WHATEVER WORKS</t>
  </si>
  <si>
    <t>UGLY TRUTH</t>
  </si>
  <si>
    <r>
      <t>KONAK</t>
    </r>
    <r>
      <rPr>
        <sz val="10"/>
        <color indexed="10"/>
        <rFont val="Arial Black"/>
        <family val="2"/>
      </rPr>
      <t xml:space="preserve"> (LOCAL)</t>
    </r>
  </si>
  <si>
    <t>SUNSHINE BARRY AND THE DISCO WORMS (DISCO ORMENE)</t>
  </si>
  <si>
    <r>
      <t>İNCİR ÇEKİRDEĞİ</t>
    </r>
    <r>
      <rPr>
        <sz val="10"/>
        <color indexed="10"/>
        <rFont val="Arial Black"/>
        <family val="2"/>
      </rPr>
      <t xml:space="preserve"> (LOCAL)</t>
    </r>
  </si>
  <si>
    <t>BED TIME STORIES</t>
  </si>
  <si>
    <r>
      <t xml:space="preserve">KAMPÜSTE ÇIPLAK AYAKLAR </t>
    </r>
    <r>
      <rPr>
        <sz val="10"/>
        <color indexed="10"/>
        <rFont val="Arial Black"/>
        <family val="2"/>
      </rPr>
      <t>(LOCAL)</t>
    </r>
  </si>
  <si>
    <t>MEDYAVİZYON</t>
  </si>
  <si>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</si>
  <si>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</si>
  <si>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2010 Türkiye Annual Box Office Report  </t>
    </r>
    <r>
      <rPr>
        <b/>
        <sz val="16"/>
        <rFont val="Garamond"/>
        <family val="1"/>
      </rPr>
      <t>01-14 January 2010</t>
    </r>
  </si>
  <si>
    <r>
      <t>2010 Türkiye Ex Years Releases Annual Box Office Report</t>
    </r>
    <r>
      <rPr>
        <sz val="26"/>
        <rFont val="Garamond"/>
        <family val="1"/>
      </rPr>
      <t xml:space="preserve">  </t>
    </r>
    <r>
      <rPr>
        <b/>
        <sz val="16"/>
        <rFont val="Garamond"/>
        <family val="1"/>
      </rPr>
      <t>01-14 January 2010</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</si>
</sst>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8">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8"/>
      <name val="Arial"/>
      <family val="2"/>
    </font>
    <font>
      <b/>
      <sz val="11"/>
      <name val="Century Gothic"/>
      <family val="2"/>
    </font>
    <font>
      <sz val="9"/>
      <name val="Trebuchet MS"/>
      <family val="2"/>
    </font>
    <font>
      <sz val="10"/>
      <color indexed="9"/>
      <name val="Arial"/>
      <family val="0"/>
    </font>
    <font>
      <b/>
      <sz val="8"/>
      <color indexed="9"/>
      <name val="Trebuchet MS"/>
      <family val="0"/>
    </font>
    <font>
      <sz val="8"/>
      <color indexed="9"/>
      <name val="Arial"/>
      <family val="2"/>
    </font>
    <font>
      <sz val="20"/>
      <color indexed="47"/>
      <name val="GoudyLight"/>
      <family val="0"/>
    </font>
    <font>
      <sz val="10"/>
      <color indexed="47"/>
      <name val="Arial"/>
      <family val="0"/>
    </font>
    <font>
      <sz val="9"/>
      <name val="Arial"/>
      <family val="0"/>
    </font>
    <font>
      <b/>
      <sz val="10"/>
      <name val="Garamond"/>
      <family val="1"/>
    </font>
    <font>
      <sz val="8"/>
      <name val="Garamond"/>
      <family val="1"/>
    </font>
    <font>
      <sz val="10"/>
      <name val="Garamond"/>
      <family val="1"/>
    </font>
    <font>
      <b/>
      <sz val="10"/>
      <name val="Verdana"/>
      <family val="2"/>
    </font>
    <font>
      <sz val="10"/>
      <name val="Verdana"/>
      <family val="2"/>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7"/>
      <color indexed="9"/>
      <name val="Verdana"/>
      <family val="2"/>
    </font>
    <font>
      <sz val="10"/>
      <color indexed="9"/>
      <name val="Garamond"/>
      <family val="1"/>
    </font>
    <font>
      <sz val="14"/>
      <name val="Arial Black"/>
      <family val="2"/>
    </font>
    <font>
      <sz val="10"/>
      <name val="Arial Black"/>
      <family val="2"/>
    </font>
    <font>
      <b/>
      <sz val="10"/>
      <name val="Arial Black"/>
      <family val="2"/>
    </font>
    <font>
      <b/>
      <sz val="10"/>
      <color indexed="10"/>
      <name val="Arial Black"/>
      <family val="2"/>
    </font>
    <font>
      <sz val="8"/>
      <name val="Arial Black"/>
      <family val="2"/>
    </font>
    <font>
      <sz val="8"/>
      <color indexed="9"/>
      <name val="Verdana"/>
      <family val="2"/>
    </font>
    <font>
      <b/>
      <sz val="10"/>
      <color indexed="9"/>
      <name val="Garamond"/>
      <family val="1"/>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sz val="26"/>
      <name val="Garamond"/>
      <family val="1"/>
    </font>
    <font>
      <sz val="16"/>
      <name val="Garamond"/>
      <family val="1"/>
    </font>
    <font>
      <b/>
      <sz val="16"/>
      <name val="Garamond"/>
      <family val="1"/>
    </font>
    <font>
      <sz val="10"/>
      <color indexed="10"/>
      <name val="Arial Black"/>
      <family val="2"/>
    </font>
    <font>
      <sz val="10"/>
      <color indexed="12"/>
      <name val="Arial Black"/>
      <family val="2"/>
    </font>
    <font>
      <b/>
      <sz val="9"/>
      <color indexed="9"/>
      <name val="Garamond"/>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40"/>
      <color indexed="8"/>
      <name val="Garamond"/>
      <family val="0"/>
    </font>
    <font>
      <sz val="26"/>
      <color indexed="8"/>
      <name val="Garamond"/>
      <family val="0"/>
    </font>
    <font>
      <sz val="11"/>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hair"/>
      <bottom style="medium"/>
    </border>
    <border>
      <left style="hair"/>
      <right>
        <color indexed="63"/>
      </right>
      <top style="hair"/>
      <bottom style="hair"/>
    </border>
    <border>
      <left style="hair"/>
      <right>
        <color indexed="63"/>
      </right>
      <top style="hair"/>
      <bottom>
        <color indexed="63"/>
      </bottom>
    </border>
    <border>
      <left style="thin"/>
      <right>
        <color indexed="63"/>
      </right>
      <top style="thin"/>
      <bottom style="medium"/>
    </border>
    <border>
      <left style="hair"/>
      <right>
        <color indexed="63"/>
      </right>
      <top>
        <color indexed="63"/>
      </top>
      <bottom style="hair"/>
    </border>
    <border>
      <left style="medium"/>
      <right style="hair"/>
      <top style="hair"/>
      <bottom style="hair"/>
    </border>
    <border>
      <left style="medium"/>
      <right style="hair"/>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medium"/>
      <top style="hair"/>
      <bottom style="hair"/>
    </border>
    <border>
      <left style="hair"/>
      <right style="medium"/>
      <top>
        <color indexed="63"/>
      </top>
      <bottom style="hair"/>
    </border>
    <border>
      <left style="hair"/>
      <right style="hair"/>
      <top style="medium"/>
      <bottom style="hair"/>
    </border>
    <border>
      <left style="medium"/>
      <right>
        <color indexed="63"/>
      </right>
      <top>
        <color indexed="63"/>
      </top>
      <bottom style="hair"/>
    </border>
    <border>
      <left style="medium"/>
      <right>
        <color indexed="63"/>
      </right>
      <top style="hair"/>
      <bottom style="medium"/>
    </border>
    <border>
      <left style="hair"/>
      <right style="medium"/>
      <top style="medium"/>
      <bottom style="hair"/>
    </border>
    <border>
      <left>
        <color indexed="63"/>
      </left>
      <right>
        <color indexed="63"/>
      </right>
      <top>
        <color indexed="63"/>
      </top>
      <bottom style="medium"/>
    </border>
    <border>
      <left>
        <color indexed="63"/>
      </left>
      <right style="hair"/>
      <top style="hair"/>
      <bottom style="hair"/>
    </border>
    <border>
      <left style="medium"/>
      <right style="hair"/>
      <top style="medium"/>
      <bottom style="hair"/>
    </border>
    <border>
      <left style="medium"/>
      <right style="hair"/>
      <top style="hair"/>
      <bottom style="medium"/>
    </border>
    <border>
      <left style="hair"/>
      <right style="medium"/>
      <top style="hair"/>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171" fontId="0" fillId="0" borderId="0" applyFont="0" applyFill="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20">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6" fillId="0" borderId="0" xfId="0" applyNumberFormat="1" applyFont="1" applyFill="1" applyBorder="1" applyAlignment="1" applyProtection="1">
      <alignment horizontal="center" vertical="center"/>
      <protection locked="0"/>
    </xf>
    <xf numFmtId="184" fontId="5"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0" fillId="0" borderId="0" xfId="0" applyBorder="1" applyAlignment="1">
      <alignment vertical="center"/>
    </xf>
    <xf numFmtId="184" fontId="9" fillId="33" borderId="10" xfId="0" applyNumberFormat="1" applyFont="1" applyFill="1" applyBorder="1" applyAlignment="1">
      <alignment horizontal="center" vertical="center"/>
    </xf>
    <xf numFmtId="0" fontId="14" fillId="0" borderId="0" xfId="0" applyFont="1" applyFill="1" applyBorder="1" applyAlignment="1" applyProtection="1">
      <alignment vertical="center"/>
      <protection locked="0"/>
    </xf>
    <xf numFmtId="184" fontId="0" fillId="0" borderId="0" xfId="0" applyNumberFormat="1" applyAlignment="1">
      <alignment horizontal="center" vertical="center"/>
    </xf>
    <xf numFmtId="3" fontId="0" fillId="0" borderId="0" xfId="0" applyNumberFormat="1" applyBorder="1" applyAlignment="1">
      <alignment vertical="center"/>
    </xf>
    <xf numFmtId="4" fontId="0" fillId="0" borderId="0" xfId="0" applyNumberFormat="1" applyBorder="1" applyAlignment="1">
      <alignment vertical="center"/>
    </xf>
    <xf numFmtId="184" fontId="0" fillId="0" borderId="0" xfId="0" applyNumberFormat="1" applyAlignment="1">
      <alignment horizontal="center"/>
    </xf>
    <xf numFmtId="3"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9" fillId="33" borderId="10"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3" fillId="0" borderId="0" xfId="0" applyFont="1" applyFill="1" applyAlignment="1">
      <alignment/>
    </xf>
    <xf numFmtId="3" fontId="10" fillId="0" borderId="0" xfId="0" applyNumberFormat="1" applyFont="1" applyFill="1" applyBorder="1" applyAlignment="1">
      <alignment vertical="center"/>
    </xf>
    <xf numFmtId="4" fontId="10" fillId="0" borderId="0" xfId="0" applyNumberFormat="1" applyFont="1" applyFill="1" applyBorder="1" applyAlignment="1">
      <alignment vertical="center"/>
    </xf>
    <xf numFmtId="0" fontId="10" fillId="0" borderId="0" xfId="0" applyFont="1" applyBorder="1" applyAlignment="1">
      <alignment vertical="center"/>
    </xf>
    <xf numFmtId="4" fontId="15" fillId="0" borderId="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184" fontId="20" fillId="34" borderId="11" xfId="0" applyNumberFormat="1" applyFont="1" applyFill="1" applyBorder="1" applyAlignment="1">
      <alignment horizontal="center" vertical="center"/>
    </xf>
    <xf numFmtId="14" fontId="20" fillId="34" borderId="11" xfId="0" applyNumberFormat="1" applyFont="1" applyFill="1" applyBorder="1" applyAlignment="1">
      <alignment vertical="center"/>
    </xf>
    <xf numFmtId="184" fontId="20" fillId="0" borderId="11" xfId="0" applyNumberFormat="1" applyFont="1" applyFill="1" applyBorder="1" applyAlignment="1">
      <alignment horizontal="center" vertical="center"/>
    </xf>
    <xf numFmtId="0" fontId="20" fillId="0" borderId="11" xfId="0" applyFont="1" applyFill="1" applyBorder="1" applyAlignment="1">
      <alignment vertical="center"/>
    </xf>
    <xf numFmtId="184" fontId="20" fillId="0" borderId="11" xfId="0" applyNumberFormat="1" applyFont="1" applyFill="1" applyBorder="1" applyAlignment="1" applyProtection="1">
      <alignment horizontal="center" vertical="center"/>
      <protection locked="0"/>
    </xf>
    <xf numFmtId="184" fontId="20" fillId="0" borderId="11" xfId="0" applyNumberFormat="1" applyFont="1" applyFill="1" applyBorder="1" applyAlignment="1" applyProtection="1">
      <alignment vertical="center"/>
      <protection locked="0"/>
    </xf>
    <xf numFmtId="0" fontId="20" fillId="0" borderId="11" xfId="0" applyFont="1" applyFill="1" applyBorder="1" applyAlignment="1" applyProtection="1">
      <alignment vertical="center"/>
      <protection locked="0"/>
    </xf>
    <xf numFmtId="0" fontId="20" fillId="0" borderId="11" xfId="0" applyNumberFormat="1" applyFont="1" applyFill="1" applyBorder="1" applyAlignment="1" applyProtection="1">
      <alignment vertical="center"/>
      <protection locked="0"/>
    </xf>
    <xf numFmtId="49" fontId="20" fillId="0" borderId="11" xfId="0" applyNumberFormat="1" applyFont="1" applyFill="1" applyBorder="1" applyAlignment="1" applyProtection="1">
      <alignment vertical="center"/>
      <protection locked="0"/>
    </xf>
    <xf numFmtId="184" fontId="20" fillId="0" borderId="12" xfId="0" applyNumberFormat="1" applyFont="1" applyFill="1" applyBorder="1" applyAlignment="1">
      <alignment horizontal="center" vertical="center"/>
    </xf>
    <xf numFmtId="1" fontId="22" fillId="0" borderId="0" xfId="0" applyNumberFormat="1" applyFont="1" applyFill="1" applyBorder="1" applyAlignment="1" applyProtection="1">
      <alignment horizontal="right" vertical="center"/>
      <protection/>
    </xf>
    <xf numFmtId="0" fontId="22" fillId="0" borderId="13"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16" xfId="0" applyFont="1" applyBorder="1" applyAlignment="1" applyProtection="1">
      <alignment vertical="center"/>
      <protection locked="0"/>
    </xf>
    <xf numFmtId="1" fontId="22" fillId="0" borderId="0" xfId="0" applyNumberFormat="1" applyFont="1" applyFill="1" applyBorder="1" applyAlignment="1" applyProtection="1">
      <alignment horizontal="right" vertical="center"/>
      <protection locked="0"/>
    </xf>
    <xf numFmtId="0" fontId="24" fillId="0" borderId="0" xfId="0" applyNumberFormat="1" applyFont="1" applyFill="1" applyBorder="1" applyAlignment="1" applyProtection="1">
      <alignment horizontal="center" vertical="center"/>
      <protection locked="0"/>
    </xf>
    <xf numFmtId="187" fontId="25" fillId="0" borderId="0" xfId="0" applyNumberFormat="1" applyFont="1" applyFill="1" applyBorder="1" applyAlignment="1" applyProtection="1">
      <alignment horizontal="center" vertical="center"/>
      <protection locked="0"/>
    </xf>
    <xf numFmtId="200" fontId="26" fillId="0" borderId="0" xfId="0" applyNumberFormat="1" applyFont="1" applyFill="1" applyBorder="1" applyAlignment="1" applyProtection="1">
      <alignment horizontal="right" vertical="center"/>
      <protection/>
    </xf>
    <xf numFmtId="4" fontId="22" fillId="0" borderId="11" xfId="40" applyNumberFormat="1" applyFont="1" applyFill="1" applyBorder="1" applyAlignment="1" applyProtection="1">
      <alignment horizontal="right" vertical="center"/>
      <protection locked="0"/>
    </xf>
    <xf numFmtId="4" fontId="22" fillId="0" borderId="11" xfId="0" applyNumberFormat="1" applyFont="1" applyFill="1" applyBorder="1" applyAlignment="1">
      <alignment horizontal="right" vertical="center"/>
    </xf>
    <xf numFmtId="4" fontId="22" fillId="0" borderId="11" xfId="45" applyNumberFormat="1" applyFont="1" applyFill="1" applyBorder="1" applyAlignment="1" applyProtection="1">
      <alignment horizontal="right" vertical="center"/>
      <protection locked="0"/>
    </xf>
    <xf numFmtId="4" fontId="22" fillId="34" borderId="11" xfId="0" applyNumberFormat="1" applyFont="1" applyFill="1" applyBorder="1" applyAlignment="1">
      <alignment horizontal="right" vertical="center"/>
    </xf>
    <xf numFmtId="4" fontId="22" fillId="0" borderId="11" xfId="43" applyNumberFormat="1" applyFont="1" applyFill="1" applyBorder="1" applyAlignment="1" applyProtection="1">
      <alignment horizontal="right" vertical="center"/>
      <protection locked="0"/>
    </xf>
    <xf numFmtId="4" fontId="22" fillId="0" borderId="11" xfId="43" applyNumberFormat="1" applyFont="1" applyFill="1" applyBorder="1" applyAlignment="1" applyProtection="1">
      <alignment horizontal="right" vertical="center"/>
      <protection/>
    </xf>
    <xf numFmtId="4" fontId="22" fillId="0" borderId="12" xfId="40" applyNumberFormat="1" applyFont="1" applyFill="1" applyBorder="1" applyAlignment="1" applyProtection="1">
      <alignment horizontal="right" vertical="center"/>
      <protection locked="0"/>
    </xf>
    <xf numFmtId="200" fontId="27" fillId="33" borderId="10" xfId="0" applyNumberFormat="1" applyFont="1" applyFill="1" applyBorder="1" applyAlignment="1">
      <alignment horizontal="right" vertical="center"/>
    </xf>
    <xf numFmtId="200" fontId="28" fillId="0" borderId="0" xfId="0" applyNumberFormat="1" applyFont="1" applyFill="1" applyBorder="1" applyAlignment="1" applyProtection="1">
      <alignment horizontal="right" vertical="center"/>
      <protection locked="0"/>
    </xf>
    <xf numFmtId="200" fontId="22" fillId="0" borderId="0" xfId="0" applyNumberFormat="1" applyFont="1" applyAlignment="1">
      <alignment horizontal="right" vertical="center"/>
    </xf>
    <xf numFmtId="200" fontId="26" fillId="0" borderId="0" xfId="0" applyNumberFormat="1" applyFont="1" applyFill="1" applyBorder="1" applyAlignment="1" applyProtection="1">
      <alignment horizontal="right" vertical="center"/>
      <protection locked="0"/>
    </xf>
    <xf numFmtId="193" fontId="29" fillId="0" borderId="0" xfId="0" applyNumberFormat="1" applyFont="1" applyFill="1" applyBorder="1" applyAlignment="1" applyProtection="1">
      <alignment horizontal="right" vertical="center"/>
      <protection/>
    </xf>
    <xf numFmtId="3" fontId="22" fillId="0" borderId="11" xfId="40" applyNumberFormat="1" applyFont="1" applyFill="1" applyBorder="1" applyAlignment="1" applyProtection="1">
      <alignment horizontal="right" vertical="center"/>
      <protection locked="0"/>
    </xf>
    <xf numFmtId="3" fontId="22" fillId="0" borderId="11" xfId="0" applyNumberFormat="1" applyFont="1" applyFill="1" applyBorder="1" applyAlignment="1">
      <alignment horizontal="right" vertical="center"/>
    </xf>
    <xf numFmtId="3" fontId="22" fillId="0" borderId="11" xfId="45" applyNumberFormat="1" applyFont="1" applyFill="1" applyBorder="1" applyAlignment="1" applyProtection="1">
      <alignment horizontal="right" vertical="center"/>
      <protection locked="0"/>
    </xf>
    <xf numFmtId="3" fontId="22" fillId="34" borderId="11" xfId="0" applyNumberFormat="1" applyFont="1" applyFill="1" applyBorder="1" applyAlignment="1">
      <alignment horizontal="right" vertical="center"/>
    </xf>
    <xf numFmtId="3" fontId="22" fillId="0" borderId="11" xfId="43" applyNumberFormat="1" applyFont="1" applyFill="1" applyBorder="1" applyAlignment="1" applyProtection="1">
      <alignment horizontal="right" vertical="center"/>
      <protection locked="0"/>
    </xf>
    <xf numFmtId="3" fontId="22" fillId="0" borderId="11" xfId="43" applyNumberFormat="1" applyFont="1" applyFill="1" applyBorder="1" applyAlignment="1" applyProtection="1">
      <alignment horizontal="right" vertical="center"/>
      <protection/>
    </xf>
    <xf numFmtId="3" fontId="22" fillId="0" borderId="12" xfId="40" applyNumberFormat="1" applyFont="1" applyFill="1" applyBorder="1" applyAlignment="1" applyProtection="1">
      <alignment horizontal="right" vertical="center"/>
      <protection locked="0"/>
    </xf>
    <xf numFmtId="193" fontId="27" fillId="33" borderId="10" xfId="0" applyNumberFormat="1" applyFont="1" applyFill="1" applyBorder="1" applyAlignment="1">
      <alignment horizontal="right" vertical="center"/>
    </xf>
    <xf numFmtId="193" fontId="25" fillId="0" borderId="0" xfId="0" applyNumberFormat="1" applyFont="1" applyFill="1" applyBorder="1" applyAlignment="1" applyProtection="1">
      <alignment horizontal="right" vertical="center"/>
      <protection locked="0"/>
    </xf>
    <xf numFmtId="193" fontId="22" fillId="0" borderId="0" xfId="0" applyNumberFormat="1" applyFont="1" applyAlignment="1">
      <alignment horizontal="right" vertical="center"/>
    </xf>
    <xf numFmtId="193" fontId="29"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vertical="center"/>
      <protection locked="0"/>
    </xf>
    <xf numFmtId="0" fontId="19" fillId="0" borderId="0" xfId="0" applyFont="1" applyFill="1" applyBorder="1" applyAlignment="1" applyProtection="1">
      <alignment horizontal="center" vertical="center" wrapText="1"/>
      <protection locked="0"/>
    </xf>
    <xf numFmtId="184" fontId="20" fillId="0" borderId="10" xfId="0" applyNumberFormat="1" applyFont="1" applyFill="1" applyBorder="1" applyAlignment="1">
      <alignment horizontal="center" vertical="center"/>
    </xf>
    <xf numFmtId="0" fontId="20" fillId="0" borderId="10" xfId="0" applyFont="1" applyFill="1" applyBorder="1" applyAlignment="1">
      <alignment vertical="center"/>
    </xf>
    <xf numFmtId="4" fontId="22" fillId="0" borderId="10" xfId="40" applyNumberFormat="1" applyFont="1" applyFill="1" applyBorder="1" applyAlignment="1" applyProtection="1">
      <alignment horizontal="right" vertical="center"/>
      <protection locked="0"/>
    </xf>
    <xf numFmtId="3" fontId="22" fillId="0" borderId="10" xfId="40" applyNumberFormat="1" applyFont="1" applyFill="1" applyBorder="1" applyAlignment="1" applyProtection="1">
      <alignment horizontal="right" vertical="center"/>
      <protection locked="0"/>
    </xf>
    <xf numFmtId="4" fontId="22" fillId="0" borderId="12" xfId="0" applyNumberFormat="1" applyFont="1" applyFill="1" applyBorder="1" applyAlignment="1">
      <alignment horizontal="right" vertical="center"/>
    </xf>
    <xf numFmtId="0" fontId="21" fillId="0" borderId="0" xfId="0" applyFont="1" applyAlignment="1">
      <alignment/>
    </xf>
    <xf numFmtId="171" fontId="32" fillId="0" borderId="0" xfId="43" applyFont="1" applyFill="1" applyBorder="1" applyAlignment="1" applyProtection="1">
      <alignment vertical="center"/>
      <protection/>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34" fillId="0" borderId="17" xfId="0" applyFont="1" applyFill="1" applyBorder="1" applyAlignment="1" applyProtection="1">
      <alignment horizontal="left" vertical="center"/>
      <protection locked="0"/>
    </xf>
    <xf numFmtId="0" fontId="34" fillId="0" borderId="17" xfId="0" applyNumberFormat="1" applyFont="1" applyFill="1" applyBorder="1" applyAlignment="1" applyProtection="1">
      <alignment horizontal="left" vertical="center"/>
      <protection locked="0"/>
    </xf>
    <xf numFmtId="0" fontId="34" fillId="34" borderId="17" xfId="0" applyFont="1" applyFill="1" applyBorder="1" applyAlignment="1">
      <alignment horizontal="left" vertical="center"/>
    </xf>
    <xf numFmtId="0" fontId="36" fillId="0" borderId="0" xfId="0" applyFont="1" applyFill="1" applyBorder="1" applyAlignment="1" applyProtection="1">
      <alignment vertical="center"/>
      <protection locked="0"/>
    </xf>
    <xf numFmtId="0" fontId="33" fillId="0" borderId="0" xfId="0" applyFont="1" applyAlignment="1">
      <alignment/>
    </xf>
    <xf numFmtId="0" fontId="33" fillId="0" borderId="0" xfId="0" applyFont="1" applyAlignment="1">
      <alignment vertical="center" readingOrder="1"/>
    </xf>
    <xf numFmtId="0" fontId="32" fillId="0" borderId="0" xfId="0" applyFont="1" applyFill="1" applyBorder="1" applyAlignment="1" applyProtection="1">
      <alignment vertical="center"/>
      <protection locked="0"/>
    </xf>
    <xf numFmtId="0" fontId="24" fillId="0" borderId="0" xfId="0" applyNumberFormat="1" applyFont="1" applyFill="1" applyBorder="1" applyAlignment="1" applyProtection="1">
      <alignment horizontal="center" vertical="center"/>
      <protection/>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pplyProtection="1">
      <alignment horizontal="center" vertical="center"/>
      <protection locked="0"/>
    </xf>
    <xf numFmtId="0" fontId="24" fillId="0" borderId="11" xfId="0" applyNumberFormat="1" applyFont="1" applyFill="1" applyBorder="1" applyAlignment="1" applyProtection="1">
      <alignment horizontal="center" vertical="center"/>
      <protection locked="0"/>
    </xf>
    <xf numFmtId="0" fontId="24" fillId="34" borderId="11" xfId="0" applyFont="1" applyFill="1" applyBorder="1" applyAlignment="1">
      <alignment horizontal="center" vertical="center"/>
    </xf>
    <xf numFmtId="0" fontId="37" fillId="33" borderId="10" xfId="0" applyFont="1" applyFill="1" applyBorder="1" applyAlignment="1">
      <alignment horizontal="center" vertical="center"/>
    </xf>
    <xf numFmtId="3" fontId="37" fillId="33" borderId="10" xfId="0" applyNumberFormat="1" applyFont="1" applyFill="1" applyBorder="1" applyAlignment="1">
      <alignment horizontal="center" vertical="center"/>
    </xf>
    <xf numFmtId="0" fontId="24" fillId="0" borderId="0" xfId="0" applyFont="1" applyAlignment="1">
      <alignment horizontal="center"/>
    </xf>
    <xf numFmtId="0" fontId="25" fillId="0" borderId="0" xfId="0" applyFont="1" applyBorder="1" applyAlignment="1">
      <alignment horizontal="center" vertical="center"/>
    </xf>
    <xf numFmtId="0" fontId="24" fillId="0" borderId="0" xfId="0" applyFont="1" applyBorder="1" applyAlignment="1">
      <alignment horizontal="center"/>
    </xf>
    <xf numFmtId="0" fontId="24" fillId="0" borderId="0" xfId="0" applyFont="1" applyAlignment="1">
      <alignment horizontal="center" vertical="center"/>
    </xf>
    <xf numFmtId="1" fontId="19" fillId="0" borderId="19" xfId="0" applyNumberFormat="1"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locked="0"/>
    </xf>
    <xf numFmtId="1" fontId="38" fillId="0" borderId="20" xfId="0" applyNumberFormat="1" applyFont="1" applyFill="1" applyBorder="1" applyAlignment="1" applyProtection="1">
      <alignment horizontal="center" vertical="center" wrapText="1"/>
      <protection/>
    </xf>
    <xf numFmtId="200" fontId="19" fillId="0" borderId="21" xfId="0" applyNumberFormat="1" applyFont="1" applyFill="1" applyBorder="1" applyAlignment="1" applyProtection="1">
      <alignment horizontal="center" wrapText="1"/>
      <protection/>
    </xf>
    <xf numFmtId="193" fontId="19" fillId="0" borderId="21" xfId="0" applyNumberFormat="1" applyFont="1" applyFill="1" applyBorder="1" applyAlignment="1" applyProtection="1">
      <alignment horizontal="center" wrapText="1"/>
      <protection/>
    </xf>
    <xf numFmtId="192" fontId="19" fillId="0" borderId="21" xfId="0" applyNumberFormat="1" applyFont="1" applyFill="1" applyBorder="1" applyAlignment="1" applyProtection="1">
      <alignment horizontal="center" wrapText="1"/>
      <protection/>
    </xf>
    <xf numFmtId="192" fontId="19" fillId="0" borderId="22" xfId="0" applyNumberFormat="1" applyFont="1" applyFill="1" applyBorder="1" applyAlignment="1" applyProtection="1">
      <alignment horizontal="center" wrapText="1"/>
      <protection/>
    </xf>
    <xf numFmtId="193" fontId="39" fillId="0" borderId="0" xfId="0" applyNumberFormat="1" applyFont="1" applyFill="1" applyBorder="1" applyAlignment="1" applyProtection="1">
      <alignment horizontal="right" vertical="center"/>
      <protection/>
    </xf>
    <xf numFmtId="192" fontId="40" fillId="0" borderId="0" xfId="0" applyNumberFormat="1" applyFont="1" applyFill="1" applyBorder="1" applyAlignment="1" applyProtection="1">
      <alignment horizontal="right" vertical="center"/>
      <protection/>
    </xf>
    <xf numFmtId="200" fontId="40" fillId="0" borderId="0" xfId="0" applyNumberFormat="1" applyFont="1" applyFill="1" applyBorder="1" applyAlignment="1" applyProtection="1">
      <alignment horizontal="right" vertical="center"/>
      <protection/>
    </xf>
    <xf numFmtId="193" fontId="40" fillId="0" borderId="0" xfId="0" applyNumberFormat="1" applyFont="1" applyFill="1" applyBorder="1" applyAlignment="1" applyProtection="1">
      <alignment horizontal="right" vertical="center"/>
      <protection/>
    </xf>
    <xf numFmtId="3" fontId="40" fillId="0" borderId="11" xfId="40" applyNumberFormat="1" applyFont="1" applyFill="1" applyBorder="1" applyAlignment="1" applyProtection="1">
      <alignment horizontal="right" vertical="center"/>
      <protection/>
    </xf>
    <xf numFmtId="2" fontId="40" fillId="0" borderId="11" xfId="40" applyNumberFormat="1" applyFont="1" applyFill="1" applyBorder="1" applyAlignment="1" applyProtection="1">
      <alignment vertical="center"/>
      <protection/>
    </xf>
    <xf numFmtId="4" fontId="40" fillId="0" borderId="11" xfId="40" applyNumberFormat="1" applyFont="1" applyFill="1" applyBorder="1" applyAlignment="1" applyProtection="1">
      <alignment horizontal="right" vertical="center"/>
      <protection locked="0"/>
    </xf>
    <xf numFmtId="3" fontId="40" fillId="0" borderId="11" xfId="40" applyNumberFormat="1" applyFont="1" applyFill="1" applyBorder="1" applyAlignment="1" applyProtection="1">
      <alignment horizontal="right" vertical="center"/>
      <protection locked="0"/>
    </xf>
    <xf numFmtId="2" fontId="40" fillId="0" borderId="23" xfId="40" applyNumberFormat="1" applyFont="1" applyFill="1" applyBorder="1" applyAlignment="1" applyProtection="1">
      <alignment vertical="center"/>
      <protection/>
    </xf>
    <xf numFmtId="4" fontId="40" fillId="0" borderId="12" xfId="0" applyNumberFormat="1" applyFont="1" applyFill="1" applyBorder="1" applyAlignment="1">
      <alignment horizontal="right" vertical="center"/>
    </xf>
    <xf numFmtId="3" fontId="40" fillId="0" borderId="12" xfId="0" applyNumberFormat="1" applyFont="1" applyFill="1" applyBorder="1" applyAlignment="1">
      <alignment horizontal="right" vertical="center"/>
    </xf>
    <xf numFmtId="3" fontId="40" fillId="0" borderId="10" xfId="40" applyNumberFormat="1" applyFont="1" applyFill="1" applyBorder="1" applyAlignment="1" applyProtection="1">
      <alignment horizontal="right" vertical="center"/>
      <protection/>
    </xf>
    <xf numFmtId="2" fontId="40" fillId="0" borderId="10" xfId="40" applyNumberFormat="1" applyFont="1" applyFill="1" applyBorder="1" applyAlignment="1" applyProtection="1">
      <alignment vertical="center"/>
      <protection/>
    </xf>
    <xf numFmtId="4" fontId="40" fillId="0" borderId="10" xfId="40" applyNumberFormat="1" applyFont="1" applyFill="1" applyBorder="1" applyAlignment="1" applyProtection="1">
      <alignment horizontal="right" vertical="center"/>
      <protection locked="0"/>
    </xf>
    <xf numFmtId="3" fontId="40" fillId="0" borderId="10" xfId="40" applyNumberFormat="1" applyFont="1" applyFill="1" applyBorder="1" applyAlignment="1" applyProtection="1">
      <alignment horizontal="right" vertical="center"/>
      <protection locked="0"/>
    </xf>
    <xf numFmtId="2" fontId="40" fillId="0" borderId="24" xfId="40" applyNumberFormat="1" applyFont="1" applyFill="1" applyBorder="1" applyAlignment="1" applyProtection="1">
      <alignment vertical="center"/>
      <protection/>
    </xf>
    <xf numFmtId="3" fontId="40" fillId="0" borderId="11" xfId="45" applyNumberFormat="1" applyFont="1" applyFill="1" applyBorder="1" applyAlignment="1" applyProtection="1">
      <alignment horizontal="right" vertical="center"/>
      <protection/>
    </xf>
    <xf numFmtId="2" fontId="40" fillId="0" borderId="11" xfId="45" applyNumberFormat="1" applyFont="1" applyFill="1" applyBorder="1" applyAlignment="1" applyProtection="1">
      <alignment vertical="center"/>
      <protection/>
    </xf>
    <xf numFmtId="4" fontId="40" fillId="0" borderId="11" xfId="45" applyNumberFormat="1" applyFont="1" applyFill="1" applyBorder="1" applyAlignment="1" applyProtection="1">
      <alignment horizontal="right" vertical="center"/>
      <protection locked="0"/>
    </xf>
    <xf numFmtId="3" fontId="40" fillId="0" borderId="11" xfId="45" applyNumberFormat="1" applyFont="1" applyFill="1" applyBorder="1" applyAlignment="1" applyProtection="1">
      <alignment horizontal="right" vertical="center"/>
      <protection locked="0"/>
    </xf>
    <xf numFmtId="2" fontId="40" fillId="0" borderId="23" xfId="45" applyNumberFormat="1" applyFont="1" applyFill="1" applyBorder="1" applyAlignment="1" applyProtection="1">
      <alignment vertical="center"/>
      <protection/>
    </xf>
    <xf numFmtId="3" fontId="40" fillId="34" borderId="11" xfId="0" applyNumberFormat="1" applyFont="1" applyFill="1" applyBorder="1" applyAlignment="1">
      <alignment horizontal="right" vertical="center"/>
    </xf>
    <xf numFmtId="2" fontId="40" fillId="34" borderId="11" xfId="0" applyNumberFormat="1" applyFont="1" applyFill="1" applyBorder="1" applyAlignment="1">
      <alignment vertical="center"/>
    </xf>
    <xf numFmtId="4" fontId="40" fillId="34" borderId="11" xfId="0" applyNumberFormat="1" applyFont="1" applyFill="1" applyBorder="1" applyAlignment="1">
      <alignment horizontal="right" vertical="center"/>
    </xf>
    <xf numFmtId="2" fontId="40" fillId="34" borderId="23" xfId="0" applyNumberFormat="1" applyFont="1" applyFill="1" applyBorder="1" applyAlignment="1">
      <alignment vertical="center"/>
    </xf>
    <xf numFmtId="3" fontId="40" fillId="0" borderId="11" xfId="61" applyNumberFormat="1" applyFont="1" applyFill="1" applyBorder="1" applyAlignment="1" applyProtection="1">
      <alignment horizontal="right" vertical="center"/>
      <protection/>
    </xf>
    <xf numFmtId="2" fontId="40" fillId="0" borderId="11" xfId="61" applyNumberFormat="1" applyFont="1" applyFill="1" applyBorder="1" applyAlignment="1" applyProtection="1">
      <alignment vertical="center"/>
      <protection/>
    </xf>
    <xf numFmtId="4" fontId="40" fillId="0" borderId="11" xfId="43" applyNumberFormat="1" applyFont="1" applyFill="1" applyBorder="1" applyAlignment="1" applyProtection="1">
      <alignment horizontal="right" vertical="center"/>
      <protection locked="0"/>
    </xf>
    <xf numFmtId="3" fontId="40" fillId="0" borderId="11" xfId="43" applyNumberFormat="1" applyFont="1" applyFill="1" applyBorder="1" applyAlignment="1" applyProtection="1">
      <alignment horizontal="right" vertical="center"/>
      <protection locked="0"/>
    </xf>
    <xf numFmtId="2" fontId="40" fillId="0" borderId="23" xfId="61" applyNumberFormat="1" applyFont="1" applyFill="1" applyBorder="1" applyAlignment="1" applyProtection="1">
      <alignment vertical="center"/>
      <protection/>
    </xf>
    <xf numFmtId="4" fontId="40" fillId="0" borderId="11" xfId="43" applyNumberFormat="1" applyFont="1" applyFill="1" applyBorder="1" applyAlignment="1" applyProtection="1">
      <alignment horizontal="right" vertical="center"/>
      <protection/>
    </xf>
    <xf numFmtId="3" fontId="40" fillId="0" borderId="11" xfId="0" applyNumberFormat="1" applyFont="1" applyFill="1" applyBorder="1" applyAlignment="1">
      <alignment horizontal="right" vertical="center"/>
    </xf>
    <xf numFmtId="4" fontId="40" fillId="0" borderId="11" xfId="0" applyNumberFormat="1" applyFont="1" applyFill="1" applyBorder="1" applyAlignment="1">
      <alignment horizontal="right" vertical="center"/>
    </xf>
    <xf numFmtId="2" fontId="40" fillId="0" borderId="11" xfId="0" applyNumberFormat="1" applyFont="1" applyFill="1" applyBorder="1" applyAlignment="1">
      <alignment vertical="center"/>
    </xf>
    <xf numFmtId="2" fontId="40" fillId="0" borderId="23" xfId="0" applyNumberFormat="1" applyFont="1" applyFill="1" applyBorder="1" applyAlignment="1">
      <alignment vertical="center"/>
    </xf>
    <xf numFmtId="3" fontId="40" fillId="0" borderId="11" xfId="43" applyNumberFormat="1" applyFont="1" applyFill="1" applyBorder="1" applyAlignment="1" applyProtection="1">
      <alignment horizontal="right" vertical="center"/>
      <protection/>
    </xf>
    <xf numFmtId="2" fontId="40" fillId="0" borderId="23" xfId="43" applyNumberFormat="1" applyFont="1" applyFill="1" applyBorder="1" applyAlignment="1" applyProtection="1">
      <alignment vertical="center"/>
      <protection/>
    </xf>
    <xf numFmtId="3" fontId="40" fillId="0" borderId="12" xfId="40" applyNumberFormat="1" applyFont="1" applyFill="1" applyBorder="1" applyAlignment="1" applyProtection="1">
      <alignment horizontal="right" vertical="center"/>
      <protection/>
    </xf>
    <xf numFmtId="4" fontId="40" fillId="0" borderId="12" xfId="40" applyNumberFormat="1" applyFont="1" applyFill="1" applyBorder="1" applyAlignment="1" applyProtection="1">
      <alignment horizontal="right" vertical="center"/>
      <protection locked="0"/>
    </xf>
    <xf numFmtId="3" fontId="40" fillId="0" borderId="12" xfId="40" applyNumberFormat="1" applyFont="1" applyFill="1" applyBorder="1" applyAlignment="1" applyProtection="1">
      <alignment horizontal="right" vertical="center"/>
      <protection locked="0"/>
    </xf>
    <xf numFmtId="193" fontId="41" fillId="33" borderId="10" xfId="0" applyNumberFormat="1" applyFont="1" applyFill="1" applyBorder="1" applyAlignment="1">
      <alignment horizontal="right" vertical="center"/>
    </xf>
    <xf numFmtId="192" fontId="42" fillId="33" borderId="10" xfId="0" applyNumberFormat="1" applyFont="1" applyFill="1" applyBorder="1" applyAlignment="1">
      <alignment horizontal="right" vertical="center"/>
    </xf>
    <xf numFmtId="200" fontId="42" fillId="33" borderId="10" xfId="0" applyNumberFormat="1" applyFont="1" applyFill="1" applyBorder="1" applyAlignment="1">
      <alignment horizontal="right" vertical="center"/>
    </xf>
    <xf numFmtId="193" fontId="42" fillId="33" borderId="10" xfId="0" applyNumberFormat="1" applyFont="1" applyFill="1" applyBorder="1" applyAlignment="1">
      <alignment horizontal="right" vertical="center"/>
    </xf>
    <xf numFmtId="192" fontId="42" fillId="33" borderId="24" xfId="0" applyNumberFormat="1" applyFont="1" applyFill="1" applyBorder="1" applyAlignment="1">
      <alignment horizontal="right" vertical="center"/>
    </xf>
    <xf numFmtId="193" fontId="39" fillId="0" borderId="0" xfId="0" applyNumberFormat="1" applyFont="1" applyFill="1" applyBorder="1" applyAlignment="1" applyProtection="1">
      <alignment horizontal="right" vertical="center"/>
      <protection locked="0"/>
    </xf>
    <xf numFmtId="192" fontId="40" fillId="0" borderId="0" xfId="0" applyNumberFormat="1" applyFont="1" applyFill="1" applyBorder="1" applyAlignment="1" applyProtection="1">
      <alignment horizontal="right" vertical="center"/>
      <protection locked="0"/>
    </xf>
    <xf numFmtId="200" fontId="40" fillId="0" borderId="0" xfId="43" applyNumberFormat="1" applyFont="1" applyFill="1" applyBorder="1" applyAlignment="1" applyProtection="1">
      <alignment horizontal="right" vertical="center"/>
      <protection/>
    </xf>
    <xf numFmtId="193" fontId="40" fillId="0" borderId="0" xfId="0" applyNumberFormat="1" applyFont="1" applyFill="1" applyBorder="1" applyAlignment="1" applyProtection="1">
      <alignment horizontal="right" vertical="center"/>
      <protection locked="0"/>
    </xf>
    <xf numFmtId="193" fontId="39" fillId="0" borderId="0" xfId="0" applyNumberFormat="1" applyFont="1" applyAlignment="1">
      <alignment horizontal="right" vertical="center"/>
    </xf>
    <xf numFmtId="192" fontId="40" fillId="0" borderId="0" xfId="0" applyNumberFormat="1" applyFont="1" applyAlignment="1">
      <alignment horizontal="right" vertical="center"/>
    </xf>
    <xf numFmtId="200" fontId="40" fillId="0" borderId="0" xfId="0" applyNumberFormat="1" applyFont="1" applyAlignment="1">
      <alignment horizontal="right" vertical="center"/>
    </xf>
    <xf numFmtId="193" fontId="40" fillId="0" borderId="0" xfId="0" applyNumberFormat="1" applyFont="1" applyAlignment="1">
      <alignment horizontal="right" vertical="center"/>
    </xf>
    <xf numFmtId="200" fontId="40" fillId="0" borderId="0" xfId="0" applyNumberFormat="1" applyFont="1" applyFill="1" applyBorder="1" applyAlignment="1" applyProtection="1">
      <alignment horizontal="right" vertical="center"/>
      <protection locked="0"/>
    </xf>
    <xf numFmtId="2" fontId="19" fillId="0" borderId="22" xfId="0" applyNumberFormat="1" applyFont="1" applyFill="1" applyBorder="1" applyAlignment="1" applyProtection="1">
      <alignment horizontal="center" wrapText="1"/>
      <protection/>
    </xf>
    <xf numFmtId="184" fontId="20" fillId="0" borderId="25" xfId="0" applyNumberFormat="1" applyFont="1" applyFill="1" applyBorder="1" applyAlignment="1">
      <alignment horizontal="center" vertical="center"/>
    </xf>
    <xf numFmtId="0" fontId="21" fillId="0" borderId="0" xfId="0" applyFont="1" applyAlignment="1">
      <alignment horizontal="center"/>
    </xf>
    <xf numFmtId="4" fontId="22" fillId="0" borderId="25" xfId="40" applyNumberFormat="1" applyFont="1" applyFill="1" applyBorder="1" applyAlignment="1" applyProtection="1">
      <alignment horizontal="right" vertical="center"/>
      <protection locked="0"/>
    </xf>
    <xf numFmtId="3" fontId="22" fillId="0" borderId="25" xfId="40" applyNumberFormat="1" applyFont="1" applyFill="1" applyBorder="1" applyAlignment="1" applyProtection="1">
      <alignment horizontal="right" vertical="center"/>
      <protection locked="0"/>
    </xf>
    <xf numFmtId="4" fontId="23" fillId="0" borderId="0" xfId="0" applyNumberFormat="1" applyFont="1" applyAlignment="1">
      <alignment horizontal="right"/>
    </xf>
    <xf numFmtId="3" fontId="23" fillId="0" borderId="0" xfId="0" applyNumberFormat="1" applyFont="1" applyAlignment="1">
      <alignment horizontal="right"/>
    </xf>
    <xf numFmtId="0" fontId="22" fillId="0" borderId="26" xfId="0" applyFont="1" applyFill="1" applyBorder="1" applyAlignment="1" applyProtection="1">
      <alignment horizontal="right" vertical="center"/>
      <protection/>
    </xf>
    <xf numFmtId="0" fontId="22" fillId="0" borderId="27" xfId="0" applyFont="1" applyFill="1" applyBorder="1" applyAlignment="1" applyProtection="1">
      <alignment horizontal="right" vertical="center"/>
      <protection/>
    </xf>
    <xf numFmtId="0" fontId="23" fillId="0" borderId="0" xfId="0" applyFont="1" applyAlignment="1">
      <alignment/>
    </xf>
    <xf numFmtId="4" fontId="19" fillId="0" borderId="21" xfId="0" applyNumberFormat="1" applyFont="1" applyFill="1" applyBorder="1" applyAlignment="1" applyProtection="1">
      <alignment horizontal="center" wrapText="1"/>
      <protection/>
    </xf>
    <xf numFmtId="3" fontId="19" fillId="0" borderId="21" xfId="0" applyNumberFormat="1" applyFont="1" applyFill="1" applyBorder="1" applyAlignment="1" applyProtection="1">
      <alignment horizontal="center" wrapText="1"/>
      <protection/>
    </xf>
    <xf numFmtId="2" fontId="19" fillId="0" borderId="21" xfId="0" applyNumberFormat="1" applyFont="1" applyFill="1" applyBorder="1" applyAlignment="1" applyProtection="1">
      <alignment horizontal="center" wrapText="1"/>
      <protection/>
    </xf>
    <xf numFmtId="0" fontId="24" fillId="0" borderId="25" xfId="0" applyFont="1" applyFill="1" applyBorder="1" applyAlignment="1">
      <alignment horizontal="center" vertical="center"/>
    </xf>
    <xf numFmtId="200" fontId="25" fillId="0" borderId="0" xfId="0" applyNumberFormat="1" applyFont="1" applyAlignment="1">
      <alignment horizontal="center"/>
    </xf>
    <xf numFmtId="193" fontId="25" fillId="0" borderId="0" xfId="0" applyNumberFormat="1" applyFont="1" applyAlignment="1">
      <alignment horizontal="center"/>
    </xf>
    <xf numFmtId="3" fontId="40" fillId="0" borderId="25" xfId="40" applyNumberFormat="1" applyFont="1" applyFill="1" applyBorder="1" applyAlignment="1" applyProtection="1">
      <alignment horizontal="right" vertical="center"/>
      <protection/>
    </xf>
    <xf numFmtId="2" fontId="40" fillId="0" borderId="25" xfId="40" applyNumberFormat="1" applyFont="1" applyFill="1" applyBorder="1" applyAlignment="1" applyProtection="1">
      <alignment vertical="center"/>
      <protection/>
    </xf>
    <xf numFmtId="4" fontId="40" fillId="0" borderId="25" xfId="40" applyNumberFormat="1" applyFont="1" applyFill="1" applyBorder="1" applyAlignment="1" applyProtection="1">
      <alignment horizontal="right" vertical="center"/>
      <protection locked="0"/>
    </xf>
    <xf numFmtId="3" fontId="40" fillId="0" borderId="25" xfId="40" applyNumberFormat="1" applyFont="1" applyFill="1" applyBorder="1" applyAlignment="1" applyProtection="1">
      <alignment horizontal="right" vertical="center"/>
      <protection locked="0"/>
    </xf>
    <xf numFmtId="2" fontId="40" fillId="0" borderId="28" xfId="40" applyNumberFormat="1" applyFont="1" applyFill="1" applyBorder="1" applyAlignment="1" applyProtection="1">
      <alignment vertical="center"/>
      <protection/>
    </xf>
    <xf numFmtId="2" fontId="40" fillId="0" borderId="11" xfId="43" applyNumberFormat="1" applyFont="1" applyFill="1" applyBorder="1" applyAlignment="1" applyProtection="1">
      <alignment vertical="center"/>
      <protection/>
    </xf>
    <xf numFmtId="3" fontId="40" fillId="0" borderId="0" xfId="0" applyNumberFormat="1" applyFont="1" applyAlignment="1">
      <alignment horizontal="right"/>
    </xf>
    <xf numFmtId="2" fontId="40" fillId="0" borderId="0" xfId="0" applyNumberFormat="1" applyFont="1" applyAlignment="1">
      <alignment/>
    </xf>
    <xf numFmtId="4" fontId="40" fillId="0" borderId="0" xfId="0" applyNumberFormat="1" applyFont="1" applyAlignment="1">
      <alignment horizontal="right"/>
    </xf>
    <xf numFmtId="184" fontId="20" fillId="0" borderId="10" xfId="0" applyNumberFormat="1" applyFont="1" applyFill="1" applyBorder="1" applyAlignment="1" applyProtection="1">
      <alignment horizontal="center" vertical="center"/>
      <protection locked="0"/>
    </xf>
    <xf numFmtId="184" fontId="20" fillId="0" borderId="12" xfId="0" applyNumberFormat="1" applyFont="1" applyFill="1" applyBorder="1" applyAlignment="1" applyProtection="1">
      <alignment horizontal="center" vertical="center"/>
      <protection locked="0"/>
    </xf>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0" fontId="22" fillId="0" borderId="29" xfId="0" applyFont="1" applyFill="1" applyBorder="1" applyAlignment="1">
      <alignment horizontal="right" vertical="center"/>
    </xf>
    <xf numFmtId="200" fontId="22" fillId="0" borderId="0" xfId="0" applyNumberFormat="1" applyFont="1" applyBorder="1" applyAlignment="1">
      <alignment horizontal="right" vertical="center"/>
    </xf>
    <xf numFmtId="193" fontId="22" fillId="0" borderId="0" xfId="0" applyNumberFormat="1" applyFont="1" applyBorder="1" applyAlignment="1">
      <alignment horizontal="right" vertical="center" indent="1"/>
    </xf>
    <xf numFmtId="192" fontId="23" fillId="0" borderId="0" xfId="0" applyNumberFormat="1" applyFont="1" applyBorder="1" applyAlignment="1">
      <alignment horizontal="right" vertical="center" indent="1"/>
    </xf>
    <xf numFmtId="0" fontId="10" fillId="0" borderId="0" xfId="0" applyFont="1" applyBorder="1" applyAlignment="1">
      <alignment horizontal="center" vertical="center"/>
    </xf>
    <xf numFmtId="0" fontId="24" fillId="0" borderId="0" xfId="0" applyFont="1" applyBorder="1" applyAlignment="1">
      <alignment horizontal="center" vertical="center"/>
    </xf>
    <xf numFmtId="0" fontId="19" fillId="0" borderId="0" xfId="0" applyFont="1" applyBorder="1" applyAlignment="1">
      <alignment horizontal="right" vertical="center"/>
    </xf>
    <xf numFmtId="0" fontId="21" fillId="0" borderId="0" xfId="0" applyFont="1" applyBorder="1" applyAlignment="1">
      <alignment vertical="center"/>
    </xf>
    <xf numFmtId="200" fontId="19" fillId="0" borderId="0" xfId="0" applyNumberFormat="1" applyFont="1" applyBorder="1" applyAlignment="1">
      <alignment horizontal="right" vertical="center"/>
    </xf>
    <xf numFmtId="193" fontId="19" fillId="0" borderId="0" xfId="0" applyNumberFormat="1" applyFont="1" applyBorder="1" applyAlignment="1">
      <alignment horizontal="right" vertical="center" indent="1"/>
    </xf>
    <xf numFmtId="192" fontId="21" fillId="0" borderId="0" xfId="0" applyNumberFormat="1" applyFont="1" applyBorder="1" applyAlignment="1">
      <alignment horizontal="right" vertical="center" indent="1"/>
    </xf>
    <xf numFmtId="4" fontId="31" fillId="0" borderId="0" xfId="0" applyNumberFormat="1" applyFont="1" applyFill="1" applyBorder="1" applyAlignment="1">
      <alignment horizontal="righ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0" fontId="19" fillId="0" borderId="19" xfId="0" applyFont="1" applyFill="1" applyBorder="1" applyAlignment="1">
      <alignment horizontal="center" vertical="center"/>
    </xf>
    <xf numFmtId="0" fontId="38" fillId="0" borderId="20" xfId="0" applyFont="1" applyFill="1" applyBorder="1" applyAlignment="1">
      <alignment horizontal="center" vertical="center"/>
    </xf>
    <xf numFmtId="0" fontId="21" fillId="0" borderId="0" xfId="0" applyFont="1" applyBorder="1" applyAlignment="1">
      <alignment horizontal="center" vertical="center"/>
    </xf>
    <xf numFmtId="4" fontId="38" fillId="0" borderId="0" xfId="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200" fontId="19" fillId="0" borderId="21" xfId="0" applyNumberFormat="1" applyFont="1" applyFill="1" applyBorder="1" applyAlignment="1" applyProtection="1">
      <alignment horizontal="center" vertical="center" wrapText="1"/>
      <protection/>
    </xf>
    <xf numFmtId="193" fontId="19" fillId="0" borderId="21" xfId="0" applyNumberFormat="1" applyFont="1" applyFill="1" applyBorder="1" applyAlignment="1" applyProtection="1">
      <alignment horizontal="center" vertical="center" wrapText="1"/>
      <protection/>
    </xf>
    <xf numFmtId="14" fontId="20" fillId="0" borderId="11" xfId="0" applyNumberFormat="1" applyFont="1" applyFill="1" applyBorder="1" applyAlignment="1">
      <alignment horizontal="left" vertical="center"/>
    </xf>
    <xf numFmtId="2" fontId="40" fillId="0" borderId="11" xfId="0" applyNumberFormat="1" applyFont="1" applyFill="1" applyBorder="1" applyAlignment="1">
      <alignment horizontal="right" vertical="center"/>
    </xf>
    <xf numFmtId="0" fontId="20" fillId="0" borderId="11" xfId="0" applyFont="1" applyFill="1" applyBorder="1" applyAlignment="1">
      <alignment horizontal="left" vertical="center"/>
    </xf>
    <xf numFmtId="2" fontId="40" fillId="0" borderId="11" xfId="40" applyNumberFormat="1" applyFont="1" applyFill="1" applyBorder="1" applyAlignment="1" applyProtection="1">
      <alignment horizontal="right" vertical="center"/>
      <protection/>
    </xf>
    <xf numFmtId="0" fontId="20" fillId="0" borderId="11" xfId="0" applyFont="1" applyFill="1" applyBorder="1" applyAlignment="1" applyProtection="1">
      <alignment horizontal="left" vertical="center"/>
      <protection locked="0"/>
    </xf>
    <xf numFmtId="4" fontId="22" fillId="0" borderId="11" xfId="0" applyNumberFormat="1" applyFont="1" applyFill="1" applyBorder="1" applyAlignment="1" applyProtection="1">
      <alignment horizontal="right" vertical="center"/>
      <protection/>
    </xf>
    <xf numFmtId="3" fontId="22" fillId="0" borderId="11" xfId="0" applyNumberFormat="1" applyFont="1" applyFill="1" applyBorder="1" applyAlignment="1" applyProtection="1">
      <alignment horizontal="right" vertical="center"/>
      <protection/>
    </xf>
    <xf numFmtId="3" fontId="40" fillId="0" borderId="11" xfId="0" applyNumberFormat="1" applyFont="1" applyFill="1" applyBorder="1" applyAlignment="1" applyProtection="1">
      <alignment horizontal="right" vertical="center"/>
      <protection/>
    </xf>
    <xf numFmtId="2" fontId="40" fillId="0" borderId="11" xfId="61" applyNumberFormat="1" applyFont="1" applyFill="1" applyBorder="1" applyAlignment="1" applyProtection="1">
      <alignment horizontal="right" vertical="center"/>
      <protection/>
    </xf>
    <xf numFmtId="4" fontId="40" fillId="0" borderId="11" xfId="0" applyNumberFormat="1" applyFont="1" applyFill="1" applyBorder="1" applyAlignment="1" applyProtection="1">
      <alignment horizontal="right" vertical="center"/>
      <protection/>
    </xf>
    <xf numFmtId="49" fontId="20" fillId="0" borderId="11" xfId="0" applyNumberFormat="1" applyFont="1" applyFill="1" applyBorder="1" applyAlignment="1" applyProtection="1">
      <alignment horizontal="left" vertical="center"/>
      <protection locked="0"/>
    </xf>
    <xf numFmtId="0" fontId="20" fillId="0" borderId="11" xfId="0" applyNumberFormat="1" applyFont="1" applyFill="1" applyBorder="1" applyAlignment="1" applyProtection="1">
      <alignment horizontal="left" vertical="center"/>
      <protection locked="0"/>
    </xf>
    <xf numFmtId="2" fontId="40" fillId="0" borderId="11" xfId="45" applyNumberFormat="1" applyFont="1" applyFill="1" applyBorder="1" applyAlignment="1" applyProtection="1">
      <alignment horizontal="right" vertical="center"/>
      <protection/>
    </xf>
    <xf numFmtId="49" fontId="24" fillId="0" borderId="11" xfId="0" applyNumberFormat="1" applyFont="1" applyFill="1" applyBorder="1" applyAlignment="1" applyProtection="1">
      <alignment horizontal="center" vertical="center"/>
      <protection locked="0"/>
    </xf>
    <xf numFmtId="2" fontId="40" fillId="0" borderId="11" xfId="43" applyNumberFormat="1" applyFont="1" applyFill="1" applyBorder="1" applyAlignment="1" applyProtection="1">
      <alignment horizontal="right" vertical="center"/>
      <protection/>
    </xf>
    <xf numFmtId="0" fontId="40" fillId="0" borderId="30" xfId="0" applyFont="1" applyFill="1" applyBorder="1" applyAlignment="1">
      <alignment horizontal="right" vertical="center"/>
    </xf>
    <xf numFmtId="0" fontId="40" fillId="0" borderId="30" xfId="0" applyFont="1" applyFill="1" applyBorder="1" applyAlignment="1" applyProtection="1">
      <alignment horizontal="right" vertical="center"/>
      <protection locked="0"/>
    </xf>
    <xf numFmtId="0" fontId="33" fillId="0" borderId="31" xfId="0" applyFont="1" applyFill="1" applyBorder="1" applyAlignment="1">
      <alignment horizontal="left" vertical="center"/>
    </xf>
    <xf numFmtId="14" fontId="20" fillId="0" borderId="25" xfId="0" applyNumberFormat="1" applyFont="1" applyFill="1" applyBorder="1" applyAlignment="1">
      <alignment horizontal="left" vertical="center"/>
    </xf>
    <xf numFmtId="4" fontId="22" fillId="0" borderId="25" xfId="0" applyNumberFormat="1" applyFont="1" applyFill="1" applyBorder="1" applyAlignment="1">
      <alignment horizontal="right" vertical="center"/>
    </xf>
    <xf numFmtId="3" fontId="22" fillId="0" borderId="25" xfId="0" applyNumberFormat="1" applyFont="1" applyFill="1" applyBorder="1" applyAlignment="1">
      <alignment horizontal="right" vertical="center"/>
    </xf>
    <xf numFmtId="3" fontId="40" fillId="0" borderId="25" xfId="0" applyNumberFormat="1" applyFont="1" applyFill="1" applyBorder="1" applyAlignment="1">
      <alignment horizontal="right" vertical="center"/>
    </xf>
    <xf numFmtId="2" fontId="40" fillId="0" borderId="25" xfId="0" applyNumberFormat="1" applyFont="1" applyFill="1" applyBorder="1" applyAlignment="1">
      <alignment horizontal="right" vertical="center"/>
    </xf>
    <xf numFmtId="4" fontId="40" fillId="0" borderId="25" xfId="0" applyNumberFormat="1" applyFont="1" applyFill="1" applyBorder="1" applyAlignment="1">
      <alignment horizontal="right" vertical="center"/>
    </xf>
    <xf numFmtId="2" fontId="40" fillId="0" borderId="28" xfId="0" applyNumberFormat="1" applyFont="1" applyFill="1" applyBorder="1" applyAlignment="1">
      <alignment horizontal="right" vertical="center"/>
    </xf>
    <xf numFmtId="0" fontId="33" fillId="0" borderId="17" xfId="0" applyFont="1" applyFill="1" applyBorder="1" applyAlignment="1">
      <alignment horizontal="left" vertical="center"/>
    </xf>
    <xf numFmtId="2" fontId="40" fillId="0" borderId="23" xfId="40" applyNumberFormat="1" applyFont="1" applyFill="1" applyBorder="1" applyAlignment="1" applyProtection="1">
      <alignment horizontal="right" vertical="center"/>
      <protection/>
    </xf>
    <xf numFmtId="2" fontId="40" fillId="0" borderId="23" xfId="0" applyNumberFormat="1" applyFont="1" applyFill="1" applyBorder="1" applyAlignment="1">
      <alignment horizontal="right" vertical="center"/>
    </xf>
    <xf numFmtId="0" fontId="33" fillId="0" borderId="17" xfId="0" applyFont="1" applyFill="1" applyBorder="1" applyAlignment="1" applyProtection="1">
      <alignment horizontal="left" vertical="center"/>
      <protection locked="0"/>
    </xf>
    <xf numFmtId="2" fontId="40" fillId="0" borderId="23" xfId="61" applyNumberFormat="1" applyFont="1" applyFill="1" applyBorder="1" applyAlignment="1" applyProtection="1">
      <alignment horizontal="right" vertical="center"/>
      <protection/>
    </xf>
    <xf numFmtId="0" fontId="33" fillId="0" borderId="17" xfId="0" applyNumberFormat="1" applyFont="1" applyFill="1" applyBorder="1" applyAlignment="1" applyProtection="1">
      <alignment horizontal="left" vertical="center"/>
      <protection locked="0"/>
    </xf>
    <xf numFmtId="49" fontId="33" fillId="0" borderId="17" xfId="0" applyNumberFormat="1" applyFont="1" applyFill="1" applyBorder="1" applyAlignment="1" applyProtection="1">
      <alignment horizontal="left" vertical="center"/>
      <protection locked="0"/>
    </xf>
    <xf numFmtId="2" fontId="40" fillId="0" borderId="23" xfId="43" applyNumberFormat="1" applyFont="1" applyFill="1" applyBorder="1" applyAlignment="1" applyProtection="1">
      <alignment horizontal="right" vertical="center"/>
      <protection/>
    </xf>
    <xf numFmtId="0" fontId="33" fillId="0" borderId="32" xfId="0" applyFont="1" applyFill="1" applyBorder="1" applyAlignment="1">
      <alignment horizontal="left" vertical="center"/>
    </xf>
    <xf numFmtId="0" fontId="20" fillId="0" borderId="12" xfId="0" applyFont="1" applyFill="1" applyBorder="1" applyAlignment="1">
      <alignment horizontal="left" vertical="center"/>
    </xf>
    <xf numFmtId="2" fontId="40" fillId="0" borderId="12" xfId="40" applyNumberFormat="1" applyFont="1" applyFill="1" applyBorder="1" applyAlignment="1" applyProtection="1">
      <alignment horizontal="right" vertical="center"/>
      <protection/>
    </xf>
    <xf numFmtId="2" fontId="40" fillId="0" borderId="33" xfId="40" applyNumberFormat="1" applyFont="1" applyFill="1" applyBorder="1" applyAlignment="1" applyProtection="1">
      <alignment horizontal="right" vertical="center"/>
      <protection/>
    </xf>
    <xf numFmtId="0" fontId="33" fillId="0" borderId="18" xfId="0" applyFont="1" applyFill="1" applyBorder="1" applyAlignment="1">
      <alignment horizontal="left" vertical="center"/>
    </xf>
    <xf numFmtId="0" fontId="20" fillId="0" borderId="10" xfId="0" applyFont="1" applyFill="1" applyBorder="1" applyAlignment="1">
      <alignment horizontal="left" vertical="center"/>
    </xf>
    <xf numFmtId="2" fontId="40" fillId="0" borderId="10" xfId="40" applyNumberFormat="1" applyFont="1" applyFill="1" applyBorder="1" applyAlignment="1" applyProtection="1">
      <alignment horizontal="right" vertical="center"/>
      <protection/>
    </xf>
    <xf numFmtId="2" fontId="40" fillId="0" borderId="24" xfId="40" applyNumberFormat="1" applyFont="1" applyFill="1" applyBorder="1" applyAlignment="1" applyProtection="1">
      <alignment horizontal="right" vertical="center"/>
      <protection/>
    </xf>
    <xf numFmtId="3" fontId="22" fillId="0" borderId="12" xfId="0" applyNumberFormat="1" applyFont="1" applyFill="1" applyBorder="1" applyAlignment="1">
      <alignment horizontal="right" vertical="center"/>
    </xf>
    <xf numFmtId="2" fontId="40" fillId="0" borderId="12" xfId="0" applyNumberFormat="1" applyFont="1" applyFill="1" applyBorder="1" applyAlignment="1">
      <alignment horizontal="right" vertical="center"/>
    </xf>
    <xf numFmtId="2" fontId="40" fillId="0" borderId="33" xfId="0" applyNumberFormat="1" applyFont="1" applyFill="1" applyBorder="1" applyAlignment="1">
      <alignment horizontal="right" vertical="center"/>
    </xf>
    <xf numFmtId="0" fontId="42" fillId="0" borderId="30" xfId="0" applyFont="1" applyFill="1" applyBorder="1" applyAlignment="1">
      <alignment horizontal="right" vertical="center"/>
    </xf>
    <xf numFmtId="0" fontId="42" fillId="0" borderId="30" xfId="0" applyFont="1" applyFill="1" applyBorder="1" applyAlignment="1" applyProtection="1">
      <alignment horizontal="right" vertical="center"/>
      <protection locked="0"/>
    </xf>
    <xf numFmtId="0" fontId="34" fillId="0" borderId="31" xfId="0" applyFont="1" applyFill="1" applyBorder="1" applyAlignment="1" applyProtection="1">
      <alignment horizontal="left" vertical="center"/>
      <protection locked="0"/>
    </xf>
    <xf numFmtId="184" fontId="20" fillId="0" borderId="25" xfId="0" applyNumberFormat="1" applyFont="1" applyFill="1" applyBorder="1" applyAlignment="1" applyProtection="1">
      <alignment horizontal="center" vertical="center"/>
      <protection locked="0"/>
    </xf>
    <xf numFmtId="184" fontId="20" fillId="0" borderId="25" xfId="0" applyNumberFormat="1" applyFont="1" applyFill="1" applyBorder="1" applyAlignment="1" applyProtection="1">
      <alignment vertical="center"/>
      <protection locked="0"/>
    </xf>
    <xf numFmtId="0" fontId="24" fillId="0" borderId="25" xfId="0" applyFont="1" applyFill="1" applyBorder="1" applyAlignment="1" applyProtection="1">
      <alignment horizontal="center" vertical="center"/>
      <protection locked="0"/>
    </xf>
    <xf numFmtId="0" fontId="33" fillId="0" borderId="32" xfId="0" applyFont="1" applyFill="1" applyBorder="1" applyAlignment="1" applyProtection="1">
      <alignment horizontal="left" vertical="center"/>
      <protection locked="0"/>
    </xf>
    <xf numFmtId="0" fontId="20" fillId="0" borderId="12" xfId="0" applyFont="1" applyFill="1" applyBorder="1" applyAlignment="1" applyProtection="1">
      <alignment horizontal="left" vertical="center"/>
      <protection locked="0"/>
    </xf>
    <xf numFmtId="0" fontId="24" fillId="0" borderId="12" xfId="0" applyFont="1" applyFill="1" applyBorder="1" applyAlignment="1" applyProtection="1">
      <alignment horizontal="center" vertical="center"/>
      <protection locked="0"/>
    </xf>
    <xf numFmtId="0" fontId="42" fillId="0" borderId="0" xfId="0" applyFont="1" applyFill="1" applyBorder="1" applyAlignment="1">
      <alignment horizontal="right"/>
    </xf>
    <xf numFmtId="0" fontId="50" fillId="0" borderId="0" xfId="0" applyFont="1" applyFill="1" applyBorder="1" applyAlignment="1" applyProtection="1">
      <alignment horizontal="right" vertical="center" wrapText="1"/>
      <protection locked="0"/>
    </xf>
    <xf numFmtId="0" fontId="33" fillId="0" borderId="18" xfId="0" applyFont="1" applyFill="1" applyBorder="1" applyAlignment="1" applyProtection="1">
      <alignment horizontal="left" vertical="center"/>
      <protection locked="0"/>
    </xf>
    <xf numFmtId="0" fontId="20" fillId="0" borderId="10" xfId="0" applyFont="1" applyFill="1" applyBorder="1" applyAlignment="1" applyProtection="1">
      <alignment horizontal="left" vertical="center"/>
      <protection locked="0"/>
    </xf>
    <xf numFmtId="0" fontId="24" fillId="0" borderId="10"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wrapText="1"/>
      <protection/>
    </xf>
    <xf numFmtId="0" fontId="21" fillId="0" borderId="35" xfId="0" applyFont="1" applyBorder="1" applyAlignment="1">
      <alignment/>
    </xf>
    <xf numFmtId="0" fontId="19" fillId="0" borderId="34" xfId="0" applyNumberFormat="1" applyFont="1" applyFill="1" applyBorder="1" applyAlignment="1" applyProtection="1">
      <alignment horizontal="center" vertical="center" wrapText="1"/>
      <protection/>
    </xf>
    <xf numFmtId="4" fontId="19" fillId="0" borderId="36" xfId="0" applyNumberFormat="1" applyFont="1" applyFill="1" applyBorder="1" applyAlignment="1" applyProtection="1">
      <alignment horizontal="center" vertical="center" wrapText="1"/>
      <protection/>
    </xf>
    <xf numFmtId="4" fontId="19" fillId="0" borderId="37" xfId="0" applyNumberFormat="1" applyFont="1" applyFill="1" applyBorder="1" applyAlignment="1" applyProtection="1">
      <alignment horizontal="center" vertical="center" wrapText="1"/>
      <protection/>
    </xf>
    <xf numFmtId="4" fontId="19" fillId="0" borderId="38" xfId="0" applyNumberFormat="1" applyFont="1" applyFill="1" applyBorder="1" applyAlignment="1" applyProtection="1">
      <alignment horizontal="center" vertical="center" wrapText="1"/>
      <protection/>
    </xf>
    <xf numFmtId="184" fontId="19" fillId="0" borderId="3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right" vertical="center" wrapText="1"/>
      <protection locked="0"/>
    </xf>
    <xf numFmtId="0" fontId="0" fillId="0" borderId="0" xfId="0" applyAlignment="1">
      <alignment/>
    </xf>
    <xf numFmtId="0" fontId="6" fillId="0" borderId="0" xfId="0" applyFont="1" applyAlignment="1">
      <alignment horizontal="right" vertical="center" wrapText="1"/>
    </xf>
    <xf numFmtId="0" fontId="31" fillId="33" borderId="39" xfId="0" applyFont="1" applyFill="1" applyBorder="1" applyAlignment="1">
      <alignment horizontal="right" vertical="center"/>
    </xf>
    <xf numFmtId="0" fontId="21" fillId="0" borderId="40" xfId="0" applyFont="1" applyBorder="1" applyAlignment="1">
      <alignment/>
    </xf>
    <xf numFmtId="0" fontId="43" fillId="0" borderId="0" xfId="0" applyFont="1" applyBorder="1" applyAlignment="1" applyProtection="1">
      <alignment horizontal="right" vertical="center" wrapText="1"/>
      <protection locked="0"/>
    </xf>
    <xf numFmtId="0" fontId="18" fillId="0" borderId="0" xfId="0" applyFont="1" applyAlignment="1">
      <alignment/>
    </xf>
    <xf numFmtId="0" fontId="44" fillId="0" borderId="0" xfId="0" applyFont="1" applyBorder="1" applyAlignment="1" applyProtection="1">
      <alignment horizontal="right" vertical="center" wrapText="1"/>
      <protection locked="0"/>
    </xf>
    <xf numFmtId="0" fontId="16" fillId="33" borderId="29" xfId="0" applyFont="1" applyFill="1" applyBorder="1" applyAlignment="1" applyProtection="1">
      <alignment horizontal="center" vertical="center"/>
      <protection/>
    </xf>
    <xf numFmtId="0" fontId="17" fillId="0" borderId="29" xfId="0" applyFont="1" applyBorder="1" applyAlignment="1">
      <alignment/>
    </xf>
    <xf numFmtId="181" fontId="19" fillId="0" borderId="36" xfId="0" applyNumberFormat="1" applyFont="1" applyFill="1" applyBorder="1" applyAlignment="1" applyProtection="1">
      <alignment horizontal="center" vertical="center" wrapText="1"/>
      <protection/>
    </xf>
    <xf numFmtId="0" fontId="21" fillId="0" borderId="37" xfId="0" applyFont="1" applyBorder="1" applyAlignment="1">
      <alignment/>
    </xf>
    <xf numFmtId="0" fontId="21" fillId="0" borderId="41" xfId="0" applyFont="1" applyBorder="1" applyAlignment="1">
      <alignment/>
    </xf>
    <xf numFmtId="171" fontId="19" fillId="0" borderId="34" xfId="43" applyFont="1" applyFill="1" applyBorder="1" applyAlignment="1" applyProtection="1">
      <alignment horizontal="center" vertical="center" wrapText="1"/>
      <protection/>
    </xf>
    <xf numFmtId="0" fontId="45" fillId="35" borderId="29" xfId="0" applyFont="1" applyFill="1" applyBorder="1" applyAlignment="1">
      <alignment horizontal="center" vertical="center" wrapText="1"/>
    </xf>
    <xf numFmtId="0" fontId="19" fillId="0" borderId="42" xfId="0" applyNumberFormat="1" applyFont="1" applyFill="1" applyBorder="1" applyAlignment="1">
      <alignment horizontal="center" vertical="center" wrapText="1"/>
    </xf>
    <xf numFmtId="0" fontId="19" fillId="0" borderId="43" xfId="0"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wrapText="1"/>
    </xf>
    <xf numFmtId="0" fontId="19" fillId="0" borderId="35" xfId="0" applyNumberFormat="1" applyFont="1" applyFill="1" applyBorder="1" applyAlignment="1">
      <alignment horizontal="center" vertical="center" wrapText="1"/>
    </xf>
    <xf numFmtId="0" fontId="19" fillId="0" borderId="35" xfId="0" applyNumberFormat="1" applyFont="1" applyFill="1" applyBorder="1" applyAlignment="1" applyProtection="1">
      <alignment horizontal="center" vertical="center" wrapText="1"/>
      <protection/>
    </xf>
    <xf numFmtId="0" fontId="19" fillId="0" borderId="36" xfId="0" applyNumberFormat="1" applyFont="1" applyFill="1" applyBorder="1" applyAlignment="1" applyProtection="1">
      <alignment horizontal="center" vertical="center" wrapText="1"/>
      <protection/>
    </xf>
    <xf numFmtId="0" fontId="19" fillId="0" borderId="38" xfId="0" applyNumberFormat="1" applyFont="1" applyFill="1" applyBorder="1" applyAlignment="1" applyProtection="1">
      <alignment horizontal="center" vertical="center" wrapText="1"/>
      <protection/>
    </xf>
    <xf numFmtId="192" fontId="19" fillId="0" borderId="44" xfId="0" applyNumberFormat="1" applyFont="1" applyFill="1" applyBorder="1" applyAlignment="1" applyProtection="1">
      <alignment horizontal="center" vertical="center" wrapText="1"/>
      <protection/>
    </xf>
    <xf numFmtId="192" fontId="19" fillId="0" borderId="45" xfId="0" applyNumberFormat="1" applyFont="1" applyFill="1" applyBorder="1" applyAlignment="1" applyProtection="1">
      <alignment horizontal="center" vertical="center" wrapText="1"/>
      <protection/>
    </xf>
    <xf numFmtId="0" fontId="19" fillId="0" borderId="46" xfId="0" applyNumberFormat="1" applyFont="1" applyFill="1" applyBorder="1" applyAlignment="1" applyProtection="1">
      <alignment horizontal="center" vertical="center" wrapText="1"/>
      <protection/>
    </xf>
    <xf numFmtId="0" fontId="19" fillId="0" borderId="21" xfId="0" applyFont="1" applyBorder="1" applyAlignment="1">
      <alignment horizontal="center" vertical="center"/>
    </xf>
    <xf numFmtId="2" fontId="46" fillId="35" borderId="29" xfId="0" applyNumberFormat="1" applyFont="1" applyFill="1" applyBorder="1" applyAlignment="1">
      <alignment horizontal="center" vertical="center" wrapText="1"/>
    </xf>
    <xf numFmtId="2" fontId="45" fillId="35" borderId="29" xfId="0" applyNumberFormat="1" applyFont="1" applyFill="1" applyBorder="1" applyAlignment="1">
      <alignment vertical="center" wrapText="1"/>
    </xf>
    <xf numFmtId="2" fontId="21" fillId="35" borderId="29" xfId="0" applyNumberFormat="1" applyFont="1" applyFill="1" applyBorder="1" applyAlignment="1">
      <alignment wrapText="1"/>
    </xf>
    <xf numFmtId="171" fontId="19" fillId="0" borderId="47" xfId="43" applyFont="1" applyFill="1" applyBorder="1" applyAlignment="1" applyProtection="1">
      <alignment horizontal="center" vertical="center" wrapText="1"/>
      <protection/>
    </xf>
    <xf numFmtId="0" fontId="19" fillId="0" borderId="48" xfId="0" applyFont="1" applyBorder="1" applyAlignment="1">
      <alignment horizontal="center" vertical="center"/>
    </xf>
    <xf numFmtId="184" fontId="19" fillId="0" borderId="46" xfId="0" applyNumberFormat="1" applyFont="1" applyFill="1" applyBorder="1" applyAlignment="1" applyProtection="1">
      <alignment horizontal="center" vertical="center" wrapText="1"/>
      <protection/>
    </xf>
    <xf numFmtId="184" fontId="19" fillId="0" borderId="21" xfId="0" applyNumberFormat="1" applyFont="1" applyBorder="1" applyAlignment="1">
      <alignment horizontal="center" vertical="center"/>
    </xf>
    <xf numFmtId="0" fontId="19" fillId="0" borderId="46" xfId="0" applyFont="1" applyFill="1" applyBorder="1" applyAlignment="1" applyProtection="1">
      <alignment horizontal="center" vertical="center" wrapText="1"/>
      <protection/>
    </xf>
    <xf numFmtId="0" fontId="19" fillId="0" borderId="35" xfId="0" applyFont="1" applyBorder="1" applyAlignment="1">
      <alignment horizontal="center" vertical="center" wrapText="1"/>
    </xf>
    <xf numFmtId="2" fontId="19" fillId="0" borderId="46" xfId="0" applyNumberFormat="1" applyFont="1" applyFill="1" applyBorder="1" applyAlignment="1" applyProtection="1">
      <alignment horizontal="center" vertical="center" wrapText="1"/>
      <protection/>
    </xf>
    <xf numFmtId="2" fontId="19" fillId="0" borderId="49"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13</xdr:col>
      <xdr:colOff>476250</xdr:colOff>
      <xdr:row>0</xdr:row>
      <xdr:rowOff>1066800</xdr:rowOff>
    </xdr:to>
    <xdr:sp>
      <xdr:nvSpPr>
        <xdr:cNvPr id="1" name="Text Box 1"/>
        <xdr:cNvSpPr txBox="1">
          <a:spLocks noChangeArrowheads="1"/>
        </xdr:cNvSpPr>
      </xdr:nvSpPr>
      <xdr:spPr>
        <a:xfrm>
          <a:off x="0" y="9525"/>
          <a:ext cx="12258675" cy="10572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WEEKLY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WEEKLY BOX OFFICE &amp; ADMISSION REPORT</a:t>
          </a:r>
        </a:p>
      </xdr:txBody>
    </xdr:sp>
    <xdr:clientData/>
  </xdr:twoCellAnchor>
  <xdr:twoCellAnchor>
    <xdr:from>
      <xdr:col>11</xdr:col>
      <xdr:colOff>695325</xdr:colOff>
      <xdr:row>0</xdr:row>
      <xdr:rowOff>600075</xdr:rowOff>
    </xdr:from>
    <xdr:to>
      <xdr:col>13</xdr:col>
      <xdr:colOff>400050</xdr:colOff>
      <xdr:row>0</xdr:row>
      <xdr:rowOff>1066800</xdr:rowOff>
    </xdr:to>
    <xdr:sp fLocksText="0">
      <xdr:nvSpPr>
        <xdr:cNvPr id="2" name="Text Box 2"/>
        <xdr:cNvSpPr txBox="1">
          <a:spLocks noChangeArrowheads="1"/>
        </xdr:cNvSpPr>
      </xdr:nvSpPr>
      <xdr:spPr>
        <a:xfrm>
          <a:off x="10458450" y="600075"/>
          <a:ext cx="1724025" cy="466725"/>
        </a:xfrm>
        <a:prstGeom prst="rect">
          <a:avLst/>
        </a:prstGeom>
        <a:solidFill>
          <a:srgbClr val="FFCC99"/>
        </a:solidFill>
        <a:ln w="9525" cmpd="sng">
          <a:noFill/>
        </a:ln>
      </xdr:spPr>
      <xdr:txBody>
        <a:bodyPr vertOverflow="clip" wrap="square" lIns="0" tIns="27432" rIns="36576" bIns="0"/>
        <a:p>
          <a:pPr algn="r">
            <a:defRPr/>
          </a:pPr>
          <a:r>
            <a:rPr lang="en-US" cap="none" sz="1100" b="0" i="0" u="none" baseline="0">
              <a:solidFill>
                <a:srgbClr val="000000"/>
              </a:solidFill>
              <a:latin typeface="Bookman Old Style"/>
              <a:ea typeface="Bookman Old Style"/>
              <a:cs typeface="Bookman Old Style"/>
            </a:rPr>
            <a:t>WEEK: 02
</a:t>
          </a:r>
          <a:r>
            <a:rPr lang="en-US" cap="none" sz="1100" b="0" i="0" u="none" baseline="0">
              <a:solidFill>
                <a:srgbClr val="000000"/>
              </a:solidFill>
              <a:latin typeface="Bookman Old Style"/>
              <a:ea typeface="Bookman Old Style"/>
              <a:cs typeface="Bookman Old Style"/>
            </a:rPr>
            <a:t>08-14 JANUARY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07"/>
  <sheetViews>
    <sheetView showGridLines="0"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F9" sqref="F9"/>
    </sheetView>
  </sheetViews>
  <sheetFormatPr defaultColWidth="9.140625" defaultRowHeight="12.75"/>
  <cols>
    <col min="1" max="1" width="3.8515625" style="47" bestFit="1" customWidth="1"/>
    <col min="2" max="2" width="50.8515625" style="91" bestFit="1" customWidth="1"/>
    <col min="3" max="3" width="8.28125" style="8" bestFit="1" customWidth="1"/>
    <col min="4" max="4" width="13.7109375" style="11" bestFit="1" customWidth="1"/>
    <col min="5" max="5" width="6.421875" style="48" bestFit="1" customWidth="1"/>
    <col min="6" max="6" width="7.28125" style="48" bestFit="1" customWidth="1"/>
    <col min="7" max="7" width="6.57421875" style="48" customWidth="1"/>
    <col min="8" max="8" width="17.28125" style="61" bestFit="1" customWidth="1"/>
    <col min="9" max="9" width="12.421875" style="73" bestFit="1" customWidth="1"/>
    <col min="10" max="10" width="12.00390625" style="157" bestFit="1" customWidth="1"/>
    <col min="11" max="11" width="7.7109375" style="158" bestFit="1" customWidth="1"/>
    <col min="12" max="12" width="17.7109375" style="165" bestFit="1" customWidth="1"/>
    <col min="13" max="13" width="12.57421875" style="160" bestFit="1" customWidth="1"/>
    <col min="14" max="14" width="7.7109375" style="158" bestFit="1" customWidth="1"/>
    <col min="15" max="15" width="2.8515625" style="74" bestFit="1" customWidth="1"/>
    <col min="16" max="16384" width="9.140625" style="3" customWidth="1"/>
  </cols>
  <sheetData>
    <row r="1" spans="1:15" s="1" customFormat="1" ht="90.75" customHeight="1">
      <c r="A1" s="42"/>
      <c r="B1" s="82"/>
      <c r="C1" s="6"/>
      <c r="D1" s="9"/>
      <c r="E1" s="92"/>
      <c r="F1" s="92"/>
      <c r="G1" s="92"/>
      <c r="H1" s="50"/>
      <c r="I1" s="62"/>
      <c r="J1" s="112"/>
      <c r="K1" s="113"/>
      <c r="L1" s="114"/>
      <c r="M1" s="115"/>
      <c r="N1" s="113"/>
      <c r="O1" s="74"/>
    </row>
    <row r="2" spans="1:15" s="5" customFormat="1" ht="27.75" thickBot="1">
      <c r="A2" s="291" t="s">
        <v>24</v>
      </c>
      <c r="B2" s="292"/>
      <c r="C2" s="292"/>
      <c r="D2" s="292"/>
      <c r="E2" s="292"/>
      <c r="F2" s="292"/>
      <c r="G2" s="292"/>
      <c r="H2" s="292"/>
      <c r="I2" s="292"/>
      <c r="J2" s="292"/>
      <c r="K2" s="292"/>
      <c r="L2" s="292"/>
      <c r="M2" s="292"/>
      <c r="N2" s="292"/>
      <c r="O2" s="74"/>
    </row>
    <row r="3" spans="1:15" s="75" customFormat="1" ht="12.75">
      <c r="A3" s="105"/>
      <c r="B3" s="296" t="s">
        <v>2</v>
      </c>
      <c r="C3" s="282" t="s">
        <v>14</v>
      </c>
      <c r="D3" s="276" t="s">
        <v>25</v>
      </c>
      <c r="E3" s="278" t="s">
        <v>15</v>
      </c>
      <c r="F3" s="278" t="s">
        <v>22</v>
      </c>
      <c r="G3" s="278" t="s">
        <v>23</v>
      </c>
      <c r="H3" s="279" t="s">
        <v>16</v>
      </c>
      <c r="I3" s="280"/>
      <c r="J3" s="280"/>
      <c r="K3" s="281"/>
      <c r="L3" s="293" t="s">
        <v>17</v>
      </c>
      <c r="M3" s="294"/>
      <c r="N3" s="295"/>
      <c r="O3" s="106"/>
    </row>
    <row r="4" spans="1:15" s="75" customFormat="1" ht="48" customHeight="1" thickBot="1">
      <c r="A4" s="107"/>
      <c r="B4" s="277"/>
      <c r="C4" s="277"/>
      <c r="D4" s="277"/>
      <c r="E4" s="277"/>
      <c r="F4" s="277"/>
      <c r="G4" s="277"/>
      <c r="H4" s="108" t="s">
        <v>18</v>
      </c>
      <c r="I4" s="109" t="s">
        <v>19</v>
      </c>
      <c r="J4" s="109" t="s">
        <v>8</v>
      </c>
      <c r="K4" s="110" t="s">
        <v>20</v>
      </c>
      <c r="L4" s="108" t="s">
        <v>18</v>
      </c>
      <c r="M4" s="109" t="s">
        <v>19</v>
      </c>
      <c r="N4" s="111" t="s">
        <v>21</v>
      </c>
      <c r="O4" s="106"/>
    </row>
    <row r="5" spans="1:15" s="2" customFormat="1" ht="15">
      <c r="A5" s="43">
        <v>1</v>
      </c>
      <c r="B5" s="235" t="s">
        <v>79</v>
      </c>
      <c r="C5" s="167">
        <v>40179</v>
      </c>
      <c r="D5" s="236" t="s">
        <v>27</v>
      </c>
      <c r="E5" s="179">
        <v>370</v>
      </c>
      <c r="F5" s="179">
        <v>656</v>
      </c>
      <c r="G5" s="179">
        <v>2</v>
      </c>
      <c r="H5" s="237">
        <v>4714707</v>
      </c>
      <c r="I5" s="238">
        <v>516085</v>
      </c>
      <c r="J5" s="239">
        <f>I5/F5</f>
        <v>786.7149390243902</v>
      </c>
      <c r="K5" s="240">
        <f>+H5/I5</f>
        <v>9.135524186907196</v>
      </c>
      <c r="L5" s="241">
        <v>15677754</v>
      </c>
      <c r="M5" s="239">
        <v>1715233</v>
      </c>
      <c r="N5" s="242">
        <f>+L5/M5</f>
        <v>9.140305719397888</v>
      </c>
      <c r="O5" s="262">
        <v>1</v>
      </c>
    </row>
    <row r="6" spans="1:15" s="2" customFormat="1" ht="15">
      <c r="A6" s="44">
        <v>2</v>
      </c>
      <c r="B6" s="243" t="s">
        <v>53</v>
      </c>
      <c r="C6" s="34">
        <v>40165</v>
      </c>
      <c r="D6" s="220" t="s">
        <v>28</v>
      </c>
      <c r="E6" s="93">
        <v>125</v>
      </c>
      <c r="F6" s="93">
        <v>158</v>
      </c>
      <c r="G6" s="93">
        <v>4</v>
      </c>
      <c r="H6" s="51">
        <v>3099545</v>
      </c>
      <c r="I6" s="63">
        <v>280170</v>
      </c>
      <c r="J6" s="116">
        <f>(I6/F6)</f>
        <v>1773.2278481012659</v>
      </c>
      <c r="K6" s="221">
        <f>H6/I6</f>
        <v>11.063086697362316</v>
      </c>
      <c r="L6" s="118">
        <f>4033069.5+3582182.5+3469556.5+3099545</f>
        <v>14184353.5</v>
      </c>
      <c r="M6" s="119">
        <f>383242+338340+309119+280170</f>
        <v>1310871</v>
      </c>
      <c r="N6" s="244">
        <f>L6/M6</f>
        <v>10.820556332392737</v>
      </c>
      <c r="O6" s="263"/>
    </row>
    <row r="7" spans="1:15" s="2" customFormat="1" ht="15.75" thickBot="1">
      <c r="A7" s="45">
        <v>3</v>
      </c>
      <c r="B7" s="251" t="s">
        <v>80</v>
      </c>
      <c r="C7" s="41">
        <v>40172</v>
      </c>
      <c r="D7" s="252" t="s">
        <v>42</v>
      </c>
      <c r="E7" s="94">
        <v>196</v>
      </c>
      <c r="F7" s="94">
        <v>183</v>
      </c>
      <c r="G7" s="94">
        <v>3</v>
      </c>
      <c r="H7" s="80">
        <v>300546.5</v>
      </c>
      <c r="I7" s="259">
        <v>39464</v>
      </c>
      <c r="J7" s="122">
        <f>I7/F7</f>
        <v>215.65027322404373</v>
      </c>
      <c r="K7" s="260">
        <f>+H7/I7</f>
        <v>7.615713054936144</v>
      </c>
      <c r="L7" s="121">
        <f>821982.75+546264.5+300546.5</f>
        <v>1668793.75</v>
      </c>
      <c r="M7" s="122">
        <f>109740+66898+39464</f>
        <v>216102</v>
      </c>
      <c r="N7" s="261">
        <f>+L7/M7</f>
        <v>7.722250372509278</v>
      </c>
      <c r="O7" s="262">
        <v>1</v>
      </c>
    </row>
    <row r="8" spans="1:15" s="2" customFormat="1" ht="15">
      <c r="A8" s="46">
        <v>4</v>
      </c>
      <c r="B8" s="255" t="s">
        <v>56</v>
      </c>
      <c r="C8" s="76">
        <v>40172</v>
      </c>
      <c r="D8" s="256" t="s">
        <v>28</v>
      </c>
      <c r="E8" s="95">
        <v>60</v>
      </c>
      <c r="F8" s="95">
        <v>60</v>
      </c>
      <c r="G8" s="95">
        <v>3</v>
      </c>
      <c r="H8" s="78">
        <v>287050</v>
      </c>
      <c r="I8" s="79">
        <v>31780</v>
      </c>
      <c r="J8" s="123">
        <f>(I8/F8)</f>
        <v>529.6666666666666</v>
      </c>
      <c r="K8" s="257">
        <f>H8/I8</f>
        <v>9.032410320956576</v>
      </c>
      <c r="L8" s="125">
        <f>421775.5+397095.5+287050</f>
        <v>1105921</v>
      </c>
      <c r="M8" s="126">
        <f>43739+40732+31780</f>
        <v>116251</v>
      </c>
      <c r="N8" s="258">
        <f>L8/M8</f>
        <v>9.513217090605671</v>
      </c>
      <c r="O8" s="263"/>
    </row>
    <row r="9" spans="1:15" s="4" customFormat="1" ht="15">
      <c r="A9" s="43">
        <v>5</v>
      </c>
      <c r="B9" s="243" t="s">
        <v>81</v>
      </c>
      <c r="C9" s="34">
        <v>40179</v>
      </c>
      <c r="D9" s="220" t="s">
        <v>28</v>
      </c>
      <c r="E9" s="93">
        <v>42</v>
      </c>
      <c r="F9" s="93">
        <v>42</v>
      </c>
      <c r="G9" s="93">
        <v>2</v>
      </c>
      <c r="H9" s="51">
        <v>275157.5</v>
      </c>
      <c r="I9" s="63">
        <v>24068</v>
      </c>
      <c r="J9" s="116">
        <f>(I9/F9)</f>
        <v>573.047619047619</v>
      </c>
      <c r="K9" s="221">
        <f>H9/I9</f>
        <v>11.43250373940502</v>
      </c>
      <c r="L9" s="118">
        <f>310442.5+275157.5</f>
        <v>585600</v>
      </c>
      <c r="M9" s="119">
        <f>26771+24068</f>
        <v>50839</v>
      </c>
      <c r="N9" s="244">
        <f>L9/M9</f>
        <v>11.518715946419087</v>
      </c>
      <c r="O9" s="263"/>
    </row>
    <row r="10" spans="1:15" s="4" customFormat="1" ht="15">
      <c r="A10" s="43">
        <v>6</v>
      </c>
      <c r="B10" s="246" t="s">
        <v>82</v>
      </c>
      <c r="C10" s="36">
        <v>40179</v>
      </c>
      <c r="D10" s="222" t="s">
        <v>26</v>
      </c>
      <c r="E10" s="96">
        <v>60</v>
      </c>
      <c r="F10" s="96">
        <v>60</v>
      </c>
      <c r="G10" s="96">
        <v>2</v>
      </c>
      <c r="H10" s="51">
        <f>187163+154</f>
        <v>187317</v>
      </c>
      <c r="I10" s="63">
        <f>17511+18</f>
        <v>17529</v>
      </c>
      <c r="J10" s="116">
        <f>I10/F10</f>
        <v>292.15</v>
      </c>
      <c r="K10" s="221">
        <f>H10/I10</f>
        <v>10.686120143761766</v>
      </c>
      <c r="L10" s="118">
        <f>242167+187163+154</f>
        <v>429484</v>
      </c>
      <c r="M10" s="119">
        <f>21845+17511+18</f>
        <v>39374</v>
      </c>
      <c r="N10" s="244">
        <f>+L10/M10</f>
        <v>10.907807182404632</v>
      </c>
      <c r="O10" s="262"/>
    </row>
    <row r="11" spans="1:15" s="4" customFormat="1" ht="15">
      <c r="A11" s="43">
        <v>7</v>
      </c>
      <c r="B11" s="246" t="s">
        <v>83</v>
      </c>
      <c r="C11" s="36">
        <v>40186</v>
      </c>
      <c r="D11" s="222" t="s">
        <v>26</v>
      </c>
      <c r="E11" s="96">
        <v>59</v>
      </c>
      <c r="F11" s="96">
        <v>59</v>
      </c>
      <c r="G11" s="96">
        <v>1</v>
      </c>
      <c r="H11" s="51">
        <v>177508</v>
      </c>
      <c r="I11" s="63">
        <v>17102</v>
      </c>
      <c r="J11" s="116">
        <f>I11/F11</f>
        <v>289.864406779661</v>
      </c>
      <c r="K11" s="221">
        <f>H11/I11</f>
        <v>10.379370833820605</v>
      </c>
      <c r="L11" s="118">
        <v>177508</v>
      </c>
      <c r="M11" s="119">
        <v>17102</v>
      </c>
      <c r="N11" s="244">
        <f>+L11/M11</f>
        <v>10.379370833820605</v>
      </c>
      <c r="O11" s="262"/>
    </row>
    <row r="12" spans="1:15" s="4" customFormat="1" ht="15">
      <c r="A12" s="43">
        <v>8</v>
      </c>
      <c r="B12" s="243" t="s">
        <v>84</v>
      </c>
      <c r="C12" s="34">
        <v>40186</v>
      </c>
      <c r="D12" s="220" t="s">
        <v>85</v>
      </c>
      <c r="E12" s="93">
        <v>19</v>
      </c>
      <c r="F12" s="93">
        <v>19</v>
      </c>
      <c r="G12" s="93">
        <v>1</v>
      </c>
      <c r="H12" s="223">
        <v>146099</v>
      </c>
      <c r="I12" s="224">
        <v>11468</v>
      </c>
      <c r="J12" s="225">
        <f>I12/F12</f>
        <v>603.578947368421</v>
      </c>
      <c r="K12" s="226">
        <f>IF(H12&lt;&gt;0,H12/I12,"")</f>
        <v>12.739710498779212</v>
      </c>
      <c r="L12" s="227">
        <v>146099</v>
      </c>
      <c r="M12" s="225">
        <v>11468</v>
      </c>
      <c r="N12" s="247">
        <f>IF(L12&lt;&gt;0,L12/M12,"")</f>
        <v>12.739710498779212</v>
      </c>
      <c r="O12" s="262"/>
    </row>
    <row r="13" spans="1:15" s="4" customFormat="1" ht="15">
      <c r="A13" s="43">
        <v>9</v>
      </c>
      <c r="B13" s="246" t="s">
        <v>86</v>
      </c>
      <c r="C13" s="36">
        <v>40165</v>
      </c>
      <c r="D13" s="222" t="s">
        <v>30</v>
      </c>
      <c r="E13" s="96">
        <v>38</v>
      </c>
      <c r="F13" s="96">
        <v>40</v>
      </c>
      <c r="G13" s="96">
        <v>4</v>
      </c>
      <c r="H13" s="56">
        <v>118129</v>
      </c>
      <c r="I13" s="68">
        <v>14601</v>
      </c>
      <c r="J13" s="137">
        <f>IF(H13&lt;&gt;0,I13/F13,"")</f>
        <v>365.025</v>
      </c>
      <c r="K13" s="226">
        <f>IF(H13&lt;&gt;0,H13/I13,"")</f>
        <v>8.090473255256489</v>
      </c>
      <c r="L13" s="142">
        <v>736893.5</v>
      </c>
      <c r="M13" s="143">
        <v>81207</v>
      </c>
      <c r="N13" s="247">
        <f>IF(L13&lt;&gt;0,L13/M13,"")</f>
        <v>9.074260839582795</v>
      </c>
      <c r="O13" s="262">
        <v>1</v>
      </c>
    </row>
    <row r="14" spans="1:15" s="4" customFormat="1" ht="15">
      <c r="A14" s="43">
        <v>10</v>
      </c>
      <c r="B14" s="243" t="s">
        <v>87</v>
      </c>
      <c r="C14" s="34">
        <v>40165</v>
      </c>
      <c r="D14" s="220" t="s">
        <v>28</v>
      </c>
      <c r="E14" s="93">
        <v>74</v>
      </c>
      <c r="F14" s="93">
        <v>74</v>
      </c>
      <c r="G14" s="93">
        <v>4</v>
      </c>
      <c r="H14" s="51">
        <v>100787</v>
      </c>
      <c r="I14" s="63">
        <v>15043</v>
      </c>
      <c r="J14" s="116">
        <f>(I14/F14)</f>
        <v>203.28378378378378</v>
      </c>
      <c r="K14" s="221">
        <f>H14/I14</f>
        <v>6.699926876287974</v>
      </c>
      <c r="L14" s="118">
        <f>507128.25+345268.5+124291.75+100787</f>
        <v>1077475.5</v>
      </c>
      <c r="M14" s="119">
        <f>53408+37346+14864+15043</f>
        <v>120661</v>
      </c>
      <c r="N14" s="244">
        <f>L14/M14</f>
        <v>8.929774326418643</v>
      </c>
      <c r="O14" s="263">
        <v>1</v>
      </c>
    </row>
    <row r="15" spans="1:15" s="4" customFormat="1" ht="15">
      <c r="A15" s="43">
        <v>11</v>
      </c>
      <c r="B15" s="243" t="s">
        <v>54</v>
      </c>
      <c r="C15" s="34">
        <v>40172</v>
      </c>
      <c r="D15" s="218" t="s">
        <v>27</v>
      </c>
      <c r="E15" s="93">
        <v>51</v>
      </c>
      <c r="F15" s="93">
        <v>38</v>
      </c>
      <c r="G15" s="93">
        <v>3</v>
      </c>
      <c r="H15" s="52">
        <v>69657</v>
      </c>
      <c r="I15" s="64">
        <v>6224</v>
      </c>
      <c r="J15" s="143">
        <f>I15/F15</f>
        <v>163.78947368421052</v>
      </c>
      <c r="K15" s="219">
        <f>+H15/I15</f>
        <v>11.19167737789203</v>
      </c>
      <c r="L15" s="144">
        <v>518546</v>
      </c>
      <c r="M15" s="143">
        <v>45746</v>
      </c>
      <c r="N15" s="245">
        <f>+L15/M15</f>
        <v>11.335329864906221</v>
      </c>
      <c r="O15" s="262"/>
    </row>
    <row r="16" spans="1:15" s="4" customFormat="1" ht="15">
      <c r="A16" s="43">
        <v>12</v>
      </c>
      <c r="B16" s="248" t="s">
        <v>88</v>
      </c>
      <c r="C16" s="36">
        <v>40158</v>
      </c>
      <c r="D16" s="228" t="s">
        <v>3</v>
      </c>
      <c r="E16" s="97">
        <v>148</v>
      </c>
      <c r="F16" s="97">
        <v>77</v>
      </c>
      <c r="G16" s="97">
        <v>5</v>
      </c>
      <c r="H16" s="55">
        <v>62188</v>
      </c>
      <c r="I16" s="67">
        <v>9495</v>
      </c>
      <c r="J16" s="137">
        <f>+I16/F16</f>
        <v>123.31168831168831</v>
      </c>
      <c r="K16" s="226">
        <f>+H16/I16</f>
        <v>6.549552395997893</v>
      </c>
      <c r="L16" s="139">
        <v>2819404</v>
      </c>
      <c r="M16" s="140">
        <v>333204</v>
      </c>
      <c r="N16" s="247">
        <f>+L16/M16</f>
        <v>8.461495060083312</v>
      </c>
      <c r="O16" s="262">
        <v>1</v>
      </c>
    </row>
    <row r="17" spans="1:15" s="4" customFormat="1" ht="15">
      <c r="A17" s="43">
        <v>13</v>
      </c>
      <c r="B17" s="248" t="s">
        <v>89</v>
      </c>
      <c r="C17" s="36">
        <v>40144</v>
      </c>
      <c r="D17" s="229" t="s">
        <v>5</v>
      </c>
      <c r="E17" s="97">
        <v>258</v>
      </c>
      <c r="F17" s="97">
        <v>55</v>
      </c>
      <c r="G17" s="97">
        <v>7</v>
      </c>
      <c r="H17" s="53">
        <v>58586</v>
      </c>
      <c r="I17" s="65">
        <v>9274</v>
      </c>
      <c r="J17" s="128">
        <f>I17/F17</f>
        <v>168.61818181818182</v>
      </c>
      <c r="K17" s="230">
        <f>H17/I17</f>
        <v>6.317230968298468</v>
      </c>
      <c r="L17" s="130">
        <v>9610201.25</v>
      </c>
      <c r="M17" s="131">
        <v>1116642</v>
      </c>
      <c r="N17" s="247">
        <f>IF(L17&lt;&gt;0,L17/M17,"")</f>
        <v>8.60634048334202</v>
      </c>
      <c r="O17" s="262">
        <v>1</v>
      </c>
    </row>
    <row r="18" spans="1:15" s="4" customFormat="1" ht="15">
      <c r="A18" s="43">
        <v>14</v>
      </c>
      <c r="B18" s="243" t="s">
        <v>90</v>
      </c>
      <c r="C18" s="34">
        <v>40165</v>
      </c>
      <c r="D18" s="218" t="s">
        <v>27</v>
      </c>
      <c r="E18" s="93">
        <v>109</v>
      </c>
      <c r="F18" s="93">
        <v>39</v>
      </c>
      <c r="G18" s="93">
        <v>4</v>
      </c>
      <c r="H18" s="52">
        <v>54378</v>
      </c>
      <c r="I18" s="64">
        <v>5850</v>
      </c>
      <c r="J18" s="143">
        <f>I18/F18</f>
        <v>150</v>
      </c>
      <c r="K18" s="219">
        <f>+H18/I18</f>
        <v>9.295384615384615</v>
      </c>
      <c r="L18" s="144">
        <v>1261662</v>
      </c>
      <c r="M18" s="143">
        <v>126841</v>
      </c>
      <c r="N18" s="245">
        <f>+L18/M18</f>
        <v>9.946799536427497</v>
      </c>
      <c r="O18" s="262">
        <v>1</v>
      </c>
    </row>
    <row r="19" spans="1:15" s="4" customFormat="1" ht="15">
      <c r="A19" s="43">
        <v>15</v>
      </c>
      <c r="B19" s="243" t="s">
        <v>46</v>
      </c>
      <c r="C19" s="34">
        <v>40137</v>
      </c>
      <c r="D19" s="220" t="s">
        <v>28</v>
      </c>
      <c r="E19" s="93">
        <v>147</v>
      </c>
      <c r="F19" s="93">
        <v>32</v>
      </c>
      <c r="G19" s="93">
        <v>8</v>
      </c>
      <c r="H19" s="51">
        <v>33908</v>
      </c>
      <c r="I19" s="63">
        <v>6247</v>
      </c>
      <c r="J19" s="116">
        <f>(I19/F19)</f>
        <v>195.21875</v>
      </c>
      <c r="K19" s="221">
        <f aca="true" t="shared" si="0" ref="K19:K28">H19/I19</f>
        <v>5.427885384984792</v>
      </c>
      <c r="L19" s="118">
        <f>4499732.5+3362984.5+1262292.25+664013.75+490740.5+244990+87796+33908</f>
        <v>10646457.5</v>
      </c>
      <c r="M19" s="119">
        <f>493806+365411+142937+78728+74756+40294+15922+6247</f>
        <v>1218101</v>
      </c>
      <c r="N19" s="244">
        <f>L19/M19</f>
        <v>8.740209145218664</v>
      </c>
      <c r="O19" s="263"/>
    </row>
    <row r="20" spans="1:15" s="4" customFormat="1" ht="15">
      <c r="A20" s="43">
        <v>16</v>
      </c>
      <c r="B20" s="246" t="s">
        <v>51</v>
      </c>
      <c r="C20" s="36">
        <v>40158</v>
      </c>
      <c r="D20" s="222" t="s">
        <v>26</v>
      </c>
      <c r="E20" s="96">
        <v>141</v>
      </c>
      <c r="F20" s="96">
        <v>34</v>
      </c>
      <c r="G20" s="96">
        <v>5</v>
      </c>
      <c r="H20" s="51">
        <v>32443</v>
      </c>
      <c r="I20" s="63">
        <v>5335</v>
      </c>
      <c r="J20" s="116">
        <f>I20/F20</f>
        <v>156.91176470588235</v>
      </c>
      <c r="K20" s="221">
        <f t="shared" si="0"/>
        <v>6.08116213683224</v>
      </c>
      <c r="L20" s="118">
        <f>1607914+23244+32443</f>
        <v>1663601</v>
      </c>
      <c r="M20" s="119">
        <f>183968+3818+5335</f>
        <v>193121</v>
      </c>
      <c r="N20" s="244">
        <f>+L20/M20</f>
        <v>8.614293629382615</v>
      </c>
      <c r="O20" s="262"/>
    </row>
    <row r="21" spans="1:15" s="4" customFormat="1" ht="15">
      <c r="A21" s="43">
        <v>17</v>
      </c>
      <c r="B21" s="246">
        <v>2012</v>
      </c>
      <c r="C21" s="36">
        <v>40130</v>
      </c>
      <c r="D21" s="222" t="s">
        <v>26</v>
      </c>
      <c r="E21" s="96">
        <v>178</v>
      </c>
      <c r="F21" s="96">
        <v>25</v>
      </c>
      <c r="G21" s="96">
        <v>9</v>
      </c>
      <c r="H21" s="51">
        <v>29270</v>
      </c>
      <c r="I21" s="63">
        <v>4996</v>
      </c>
      <c r="J21" s="116">
        <f>I21/F21</f>
        <v>199.84</v>
      </c>
      <c r="K21" s="221">
        <f t="shared" si="0"/>
        <v>5.858686949559647</v>
      </c>
      <c r="L21" s="118">
        <f>13107603+48622+283+29270</f>
        <v>13185778</v>
      </c>
      <c r="M21" s="119">
        <f>1468855+7403+116+4996</f>
        <v>1481370</v>
      </c>
      <c r="N21" s="244">
        <f>+L21/M21</f>
        <v>8.901069955514153</v>
      </c>
      <c r="O21" s="262"/>
    </row>
    <row r="22" spans="1:15" s="4" customFormat="1" ht="15">
      <c r="A22" s="43">
        <v>18</v>
      </c>
      <c r="B22" s="243" t="s">
        <v>91</v>
      </c>
      <c r="C22" s="34">
        <v>40186</v>
      </c>
      <c r="D22" s="220" t="s">
        <v>28</v>
      </c>
      <c r="E22" s="93">
        <v>4</v>
      </c>
      <c r="F22" s="93">
        <v>4</v>
      </c>
      <c r="G22" s="93">
        <v>1</v>
      </c>
      <c r="H22" s="51">
        <v>19677.25</v>
      </c>
      <c r="I22" s="63">
        <v>1627</v>
      </c>
      <c r="J22" s="116">
        <f aca="true" t="shared" si="1" ref="J22:J27">(I22/F22)</f>
        <v>406.75</v>
      </c>
      <c r="K22" s="221">
        <f t="shared" si="0"/>
        <v>12.09419176398279</v>
      </c>
      <c r="L22" s="118">
        <f>19677.25</f>
        <v>19677.25</v>
      </c>
      <c r="M22" s="119">
        <f>1627</f>
        <v>1627</v>
      </c>
      <c r="N22" s="244">
        <f aca="true" t="shared" si="2" ref="N22:N27">L22/M22</f>
        <v>12.09419176398279</v>
      </c>
      <c r="O22" s="263"/>
    </row>
    <row r="23" spans="1:15" s="4" customFormat="1" ht="15">
      <c r="A23" s="43">
        <v>19</v>
      </c>
      <c r="B23" s="243" t="s">
        <v>92</v>
      </c>
      <c r="C23" s="34">
        <v>40179</v>
      </c>
      <c r="D23" s="220" t="s">
        <v>28</v>
      </c>
      <c r="E23" s="93">
        <v>8</v>
      </c>
      <c r="F23" s="93">
        <v>8</v>
      </c>
      <c r="G23" s="93">
        <v>2</v>
      </c>
      <c r="H23" s="51">
        <v>19560</v>
      </c>
      <c r="I23" s="63">
        <v>1674</v>
      </c>
      <c r="J23" s="116">
        <f t="shared" si="1"/>
        <v>209.25</v>
      </c>
      <c r="K23" s="221">
        <f t="shared" si="0"/>
        <v>11.684587813620071</v>
      </c>
      <c r="L23" s="118">
        <f>61026+19560</f>
        <v>80586</v>
      </c>
      <c r="M23" s="119">
        <f>4540+1674</f>
        <v>6214</v>
      </c>
      <c r="N23" s="244">
        <f t="shared" si="2"/>
        <v>12.968458319922755</v>
      </c>
      <c r="O23" s="263"/>
    </row>
    <row r="24" spans="1:15" s="4" customFormat="1" ht="15">
      <c r="A24" s="43">
        <v>20</v>
      </c>
      <c r="B24" s="243" t="s">
        <v>93</v>
      </c>
      <c r="C24" s="34">
        <v>40186</v>
      </c>
      <c r="D24" s="220" t="s">
        <v>28</v>
      </c>
      <c r="E24" s="93">
        <v>4</v>
      </c>
      <c r="F24" s="93">
        <v>4</v>
      </c>
      <c r="G24" s="93">
        <v>1</v>
      </c>
      <c r="H24" s="51">
        <v>16093</v>
      </c>
      <c r="I24" s="63">
        <v>1351</v>
      </c>
      <c r="J24" s="116">
        <f t="shared" si="1"/>
        <v>337.75</v>
      </c>
      <c r="K24" s="221">
        <f t="shared" si="0"/>
        <v>11.911917098445596</v>
      </c>
      <c r="L24" s="118">
        <f>16093</f>
        <v>16093</v>
      </c>
      <c r="M24" s="119">
        <f>1351</f>
        <v>1351</v>
      </c>
      <c r="N24" s="244">
        <f t="shared" si="2"/>
        <v>11.911917098445596</v>
      </c>
      <c r="O24" s="263"/>
    </row>
    <row r="25" spans="1:15" s="4" customFormat="1" ht="15">
      <c r="A25" s="43">
        <v>21</v>
      </c>
      <c r="B25" s="243" t="s">
        <v>94</v>
      </c>
      <c r="C25" s="34">
        <v>40109</v>
      </c>
      <c r="D25" s="220" t="s">
        <v>28</v>
      </c>
      <c r="E25" s="93">
        <v>25</v>
      </c>
      <c r="F25" s="93">
        <v>8</v>
      </c>
      <c r="G25" s="93">
        <v>12</v>
      </c>
      <c r="H25" s="51">
        <v>13931</v>
      </c>
      <c r="I25" s="63">
        <v>2457</v>
      </c>
      <c r="J25" s="116">
        <f t="shared" si="1"/>
        <v>307.125</v>
      </c>
      <c r="K25" s="221">
        <f t="shared" si="0"/>
        <v>5.66992266992267</v>
      </c>
      <c r="L25" s="118">
        <f>198009+121514.5+95148.5+66495+23091+12092+17648.5+7279+6352.5+7838.5+3895+13931</f>
        <v>573294.5</v>
      </c>
      <c r="M25" s="119">
        <f>27092+16078+14204+10980+3903+1664+3329+1236+1212+1399+730+2457</f>
        <v>84284</v>
      </c>
      <c r="N25" s="244">
        <f t="shared" si="2"/>
        <v>6.801937497033838</v>
      </c>
      <c r="O25" s="263">
        <v>1</v>
      </c>
    </row>
    <row r="26" spans="1:15" s="4" customFormat="1" ht="15">
      <c r="A26" s="43">
        <v>22</v>
      </c>
      <c r="B26" s="243" t="s">
        <v>95</v>
      </c>
      <c r="C26" s="34">
        <v>40123</v>
      </c>
      <c r="D26" s="220" t="s">
        <v>28</v>
      </c>
      <c r="E26" s="93">
        <v>144</v>
      </c>
      <c r="F26" s="93">
        <v>8</v>
      </c>
      <c r="G26" s="93">
        <v>10</v>
      </c>
      <c r="H26" s="51">
        <v>13616</v>
      </c>
      <c r="I26" s="63">
        <v>2381</v>
      </c>
      <c r="J26" s="116">
        <f t="shared" si="1"/>
        <v>297.625</v>
      </c>
      <c r="K26" s="221">
        <f t="shared" si="0"/>
        <v>5.718605627887443</v>
      </c>
      <c r="L26" s="118">
        <f>909778+593215.5+203934.5+91391+32233.5+29451.5+14597.5+12123.5+12906+13616</f>
        <v>1913247</v>
      </c>
      <c r="M26" s="119">
        <f>103944+67300+25860+13426+5611+5689+2739+1975+2803+2381</f>
        <v>231728</v>
      </c>
      <c r="N26" s="244">
        <f t="shared" si="2"/>
        <v>8.256434267762204</v>
      </c>
      <c r="O26" s="263">
        <v>1</v>
      </c>
    </row>
    <row r="27" spans="1:15" s="4" customFormat="1" ht="15">
      <c r="A27" s="43">
        <v>23</v>
      </c>
      <c r="B27" s="243" t="s">
        <v>96</v>
      </c>
      <c r="C27" s="34">
        <v>40186</v>
      </c>
      <c r="D27" s="220" t="s">
        <v>28</v>
      </c>
      <c r="E27" s="93">
        <v>1</v>
      </c>
      <c r="F27" s="93">
        <v>1</v>
      </c>
      <c r="G27" s="93">
        <v>1</v>
      </c>
      <c r="H27" s="51">
        <v>11823.5</v>
      </c>
      <c r="I27" s="63">
        <v>798</v>
      </c>
      <c r="J27" s="116">
        <f t="shared" si="1"/>
        <v>798</v>
      </c>
      <c r="K27" s="221">
        <f t="shared" si="0"/>
        <v>14.81641604010025</v>
      </c>
      <c r="L27" s="118">
        <f>9061+11823.5</f>
        <v>20884.5</v>
      </c>
      <c r="M27" s="119">
        <f>906+798</f>
        <v>1704</v>
      </c>
      <c r="N27" s="244">
        <f t="shared" si="2"/>
        <v>12.256161971830986</v>
      </c>
      <c r="O27" s="263"/>
    </row>
    <row r="28" spans="1:15" s="4" customFormat="1" ht="15">
      <c r="A28" s="43">
        <v>24</v>
      </c>
      <c r="B28" s="248" t="s">
        <v>97</v>
      </c>
      <c r="C28" s="36">
        <v>40151</v>
      </c>
      <c r="D28" s="229" t="s">
        <v>5</v>
      </c>
      <c r="E28" s="97">
        <v>128</v>
      </c>
      <c r="F28" s="97">
        <v>13</v>
      </c>
      <c r="G28" s="97">
        <v>6</v>
      </c>
      <c r="H28" s="53">
        <v>10811</v>
      </c>
      <c r="I28" s="65">
        <v>1908</v>
      </c>
      <c r="J28" s="128">
        <f>I28/F28</f>
        <v>146.76923076923077</v>
      </c>
      <c r="K28" s="230">
        <f t="shared" si="0"/>
        <v>5.666142557651992</v>
      </c>
      <c r="L28" s="130">
        <v>1613332</v>
      </c>
      <c r="M28" s="131">
        <v>187420</v>
      </c>
      <c r="N28" s="247">
        <f>IF(L28&lt;&gt;0,L28/M28,"")</f>
        <v>8.608110126987516</v>
      </c>
      <c r="O28" s="262">
        <v>1</v>
      </c>
    </row>
    <row r="29" spans="1:15" s="4" customFormat="1" ht="15">
      <c r="A29" s="43">
        <v>25</v>
      </c>
      <c r="B29" s="249" t="s">
        <v>98</v>
      </c>
      <c r="C29" s="36">
        <v>40158</v>
      </c>
      <c r="D29" s="228" t="s">
        <v>99</v>
      </c>
      <c r="E29" s="231" t="s">
        <v>100</v>
      </c>
      <c r="F29" s="231" t="s">
        <v>100</v>
      </c>
      <c r="G29" s="231" t="s">
        <v>101</v>
      </c>
      <c r="H29" s="55">
        <v>10169</v>
      </c>
      <c r="I29" s="67">
        <v>1579</v>
      </c>
      <c r="J29" s="147">
        <f>+I29/F29</f>
        <v>157.9</v>
      </c>
      <c r="K29" s="226">
        <f>IF(H29&lt;&gt;0,H29/I29,"")</f>
        <v>6.440151994933502</v>
      </c>
      <c r="L29" s="139">
        <v>104779</v>
      </c>
      <c r="M29" s="140">
        <v>9582</v>
      </c>
      <c r="N29" s="247">
        <f>IF(L29&lt;&gt;0,L29/M29,"")</f>
        <v>10.934982258401169</v>
      </c>
      <c r="O29" s="262"/>
    </row>
    <row r="30" spans="1:15" s="4" customFormat="1" ht="15">
      <c r="A30" s="43">
        <v>26</v>
      </c>
      <c r="B30" s="243" t="s">
        <v>129</v>
      </c>
      <c r="C30" s="34">
        <v>40137</v>
      </c>
      <c r="D30" s="220" t="s">
        <v>52</v>
      </c>
      <c r="E30" s="93">
        <v>149</v>
      </c>
      <c r="F30" s="93">
        <v>3</v>
      </c>
      <c r="G30" s="93">
        <v>8</v>
      </c>
      <c r="H30" s="52">
        <v>9904.5</v>
      </c>
      <c r="I30" s="64">
        <v>2118</v>
      </c>
      <c r="J30" s="143">
        <f>I30/F30</f>
        <v>706</v>
      </c>
      <c r="K30" s="219">
        <f>H30/I30</f>
        <v>4.676345609065156</v>
      </c>
      <c r="L30" s="144">
        <v>3113297.5</v>
      </c>
      <c r="M30" s="143">
        <v>363022</v>
      </c>
      <c r="N30" s="245">
        <f>L30/M30</f>
        <v>8.57605737393326</v>
      </c>
      <c r="O30" s="262">
        <v>1</v>
      </c>
    </row>
    <row r="31" spans="1:15" s="4" customFormat="1" ht="15">
      <c r="A31" s="43">
        <v>27</v>
      </c>
      <c r="B31" s="246" t="s">
        <v>102</v>
      </c>
      <c r="C31" s="36">
        <v>40151</v>
      </c>
      <c r="D31" s="222" t="s">
        <v>30</v>
      </c>
      <c r="E31" s="96">
        <v>140</v>
      </c>
      <c r="F31" s="96">
        <v>18</v>
      </c>
      <c r="G31" s="96">
        <v>6</v>
      </c>
      <c r="H31" s="56">
        <v>9901</v>
      </c>
      <c r="I31" s="68">
        <v>1541</v>
      </c>
      <c r="J31" s="137">
        <f>IF(H31&lt;&gt;0,I31/F31,"")</f>
        <v>85.61111111111111</v>
      </c>
      <c r="K31" s="226">
        <f>IF(H31&lt;&gt;0,H31/I31,"")</f>
        <v>6.425048669695003</v>
      </c>
      <c r="L31" s="142">
        <v>1019844</v>
      </c>
      <c r="M31" s="143">
        <v>129178</v>
      </c>
      <c r="N31" s="247">
        <f>IF(L31&lt;&gt;0,L31/M31,"")</f>
        <v>7.894873740110545</v>
      </c>
      <c r="O31" s="262">
        <v>1</v>
      </c>
    </row>
    <row r="32" spans="1:15" s="4" customFormat="1" ht="15">
      <c r="A32" s="43">
        <v>28</v>
      </c>
      <c r="B32" s="243" t="s">
        <v>103</v>
      </c>
      <c r="C32" s="34">
        <v>40144</v>
      </c>
      <c r="D32" s="220" t="s">
        <v>104</v>
      </c>
      <c r="E32" s="93">
        <v>2</v>
      </c>
      <c r="F32" s="93">
        <v>1</v>
      </c>
      <c r="G32" s="93">
        <v>3</v>
      </c>
      <c r="H32" s="52">
        <v>6827</v>
      </c>
      <c r="I32" s="64">
        <v>1058</v>
      </c>
      <c r="J32" s="128">
        <f>I32/F32</f>
        <v>1058</v>
      </c>
      <c r="K32" s="230">
        <f>H32/I32</f>
        <v>6.452741020793951</v>
      </c>
      <c r="L32" s="144">
        <v>12004</v>
      </c>
      <c r="M32" s="143">
        <v>1817</v>
      </c>
      <c r="N32" s="247">
        <f>IF(L32&lt;&gt;0,L32/M32,"")</f>
        <v>6.606494221243809</v>
      </c>
      <c r="O32" s="262"/>
    </row>
    <row r="33" spans="1:15" s="4" customFormat="1" ht="15">
      <c r="A33" s="43">
        <v>29</v>
      </c>
      <c r="B33" s="243" t="s">
        <v>49</v>
      </c>
      <c r="C33" s="34">
        <v>40151</v>
      </c>
      <c r="D33" s="220" t="s">
        <v>28</v>
      </c>
      <c r="E33" s="93">
        <v>8</v>
      </c>
      <c r="F33" s="93">
        <v>7</v>
      </c>
      <c r="G33" s="93">
        <v>6</v>
      </c>
      <c r="H33" s="51">
        <v>4958.5</v>
      </c>
      <c r="I33" s="63">
        <v>693</v>
      </c>
      <c r="J33" s="116">
        <f>(I33/F33)</f>
        <v>99</v>
      </c>
      <c r="K33" s="221">
        <f>H33/I33</f>
        <v>7.155122655122655</v>
      </c>
      <c r="L33" s="118">
        <f>69195.5+29540+2797+8009+1473.5+4958.5</f>
        <v>115973.5</v>
      </c>
      <c r="M33" s="119">
        <f>5170+2208+292+904+296+693</f>
        <v>9563</v>
      </c>
      <c r="N33" s="244">
        <f>L33/M33</f>
        <v>12.127313604517411</v>
      </c>
      <c r="O33" s="263"/>
    </row>
    <row r="34" spans="1:15" s="4" customFormat="1" ht="15">
      <c r="A34" s="43">
        <v>30</v>
      </c>
      <c r="B34" s="246" t="s">
        <v>35</v>
      </c>
      <c r="C34" s="36">
        <v>40067</v>
      </c>
      <c r="D34" s="222" t="s">
        <v>30</v>
      </c>
      <c r="E34" s="96">
        <v>105</v>
      </c>
      <c r="F34" s="96">
        <v>9</v>
      </c>
      <c r="G34" s="96">
        <v>18</v>
      </c>
      <c r="H34" s="56">
        <v>4342.75</v>
      </c>
      <c r="I34" s="68">
        <v>845</v>
      </c>
      <c r="J34" s="137">
        <f>IF(H34&lt;&gt;0,I34/F34,"")</f>
        <v>93.88888888888889</v>
      </c>
      <c r="K34" s="226">
        <f>IF(H34&lt;&gt;0,H34/I34,"")</f>
        <v>5.139349112426036</v>
      </c>
      <c r="L34" s="142">
        <v>614319.5</v>
      </c>
      <c r="M34" s="143">
        <v>72096</v>
      </c>
      <c r="N34" s="247">
        <f>IF(L34&lt;&gt;0,L34/M34,"")</f>
        <v>8.520854138925877</v>
      </c>
      <c r="O34" s="262"/>
    </row>
    <row r="35" spans="1:15" s="4" customFormat="1" ht="15">
      <c r="A35" s="43">
        <v>31</v>
      </c>
      <c r="B35" s="248" t="s">
        <v>45</v>
      </c>
      <c r="C35" s="36">
        <v>40130</v>
      </c>
      <c r="D35" s="228" t="s">
        <v>3</v>
      </c>
      <c r="E35" s="97">
        <v>17</v>
      </c>
      <c r="F35" s="97">
        <v>8</v>
      </c>
      <c r="G35" s="97">
        <v>8</v>
      </c>
      <c r="H35" s="55">
        <v>3794</v>
      </c>
      <c r="I35" s="67">
        <v>543</v>
      </c>
      <c r="J35" s="137">
        <f>+I35/F35</f>
        <v>67.875</v>
      </c>
      <c r="K35" s="226">
        <f>+H35/I35</f>
        <v>6.987108655616943</v>
      </c>
      <c r="L35" s="139">
        <v>55202</v>
      </c>
      <c r="M35" s="140">
        <v>5006</v>
      </c>
      <c r="N35" s="247">
        <f>+L35/M35</f>
        <v>11.027167399121055</v>
      </c>
      <c r="O35" s="262"/>
    </row>
    <row r="36" spans="1:15" s="4" customFormat="1" ht="15">
      <c r="A36" s="43">
        <v>32</v>
      </c>
      <c r="B36" s="246" t="s">
        <v>55</v>
      </c>
      <c r="C36" s="36">
        <v>40172</v>
      </c>
      <c r="D36" s="222" t="s">
        <v>26</v>
      </c>
      <c r="E36" s="96">
        <v>40</v>
      </c>
      <c r="F36" s="96">
        <v>10</v>
      </c>
      <c r="G36" s="96">
        <v>3</v>
      </c>
      <c r="H36" s="51">
        <f>3431+38</f>
        <v>3469</v>
      </c>
      <c r="I36" s="63">
        <f>499+4</f>
        <v>503</v>
      </c>
      <c r="J36" s="116">
        <f>I36/F36</f>
        <v>50.3</v>
      </c>
      <c r="K36" s="221">
        <f>H36/I36</f>
        <v>6.89662027833002</v>
      </c>
      <c r="L36" s="118">
        <f>74576+15275+3431+38</f>
        <v>93320</v>
      </c>
      <c r="M36" s="119">
        <f>7330+1524+499+4</f>
        <v>9357</v>
      </c>
      <c r="N36" s="244">
        <f>+L36/M36</f>
        <v>9.973282034840226</v>
      </c>
      <c r="O36" s="262"/>
    </row>
    <row r="37" spans="1:15" s="4" customFormat="1" ht="15">
      <c r="A37" s="43">
        <v>33</v>
      </c>
      <c r="B37" s="243" t="s">
        <v>38</v>
      </c>
      <c r="C37" s="34">
        <v>40095</v>
      </c>
      <c r="D37" s="220" t="s">
        <v>28</v>
      </c>
      <c r="E37" s="93">
        <v>22</v>
      </c>
      <c r="F37" s="93">
        <v>3</v>
      </c>
      <c r="G37" s="93">
        <v>10</v>
      </c>
      <c r="H37" s="51">
        <v>3158</v>
      </c>
      <c r="I37" s="63">
        <v>596</v>
      </c>
      <c r="J37" s="116">
        <f>(I37/F37)</f>
        <v>198.66666666666666</v>
      </c>
      <c r="K37" s="221">
        <f>H37/I37</f>
        <v>5.298657718120805</v>
      </c>
      <c r="L37" s="118">
        <f>158809.5+140713.25+103696.25+38523+19360+17458+1188+196+2484+3158</f>
        <v>485586</v>
      </c>
      <c r="M37" s="119">
        <f>14214+13110+10683+4685+3074+2645+297+16+571+596</f>
        <v>49891</v>
      </c>
      <c r="N37" s="244">
        <f>L37/M37</f>
        <v>9.732937804413622</v>
      </c>
      <c r="O37" s="263"/>
    </row>
    <row r="38" spans="1:15" s="4" customFormat="1" ht="15">
      <c r="A38" s="43">
        <v>34</v>
      </c>
      <c r="B38" s="243" t="s">
        <v>105</v>
      </c>
      <c r="C38" s="34">
        <v>40172</v>
      </c>
      <c r="D38" s="220" t="s">
        <v>42</v>
      </c>
      <c r="E38" s="93">
        <v>10</v>
      </c>
      <c r="F38" s="93">
        <v>9</v>
      </c>
      <c r="G38" s="93">
        <v>3</v>
      </c>
      <c r="H38" s="52">
        <v>3129.5</v>
      </c>
      <c r="I38" s="64">
        <v>431</v>
      </c>
      <c r="J38" s="143">
        <f>I38/F38</f>
        <v>47.888888888888886</v>
      </c>
      <c r="K38" s="219">
        <f>+H38/I38</f>
        <v>7.261020881670533</v>
      </c>
      <c r="L38" s="144">
        <f>9917+0.75+3107+3129+0.5</f>
        <v>16154.25</v>
      </c>
      <c r="M38" s="143">
        <f>987+335+431</f>
        <v>1753</v>
      </c>
      <c r="N38" s="245">
        <f>+L38/M38</f>
        <v>9.215202509982886</v>
      </c>
      <c r="O38" s="262">
        <v>1</v>
      </c>
    </row>
    <row r="39" spans="1:15" s="4" customFormat="1" ht="15">
      <c r="A39" s="43">
        <v>35</v>
      </c>
      <c r="B39" s="246" t="s">
        <v>44</v>
      </c>
      <c r="C39" s="36">
        <v>40123</v>
      </c>
      <c r="D39" s="222" t="s">
        <v>30</v>
      </c>
      <c r="E39" s="96">
        <v>58</v>
      </c>
      <c r="F39" s="96">
        <v>7</v>
      </c>
      <c r="G39" s="96">
        <v>9</v>
      </c>
      <c r="H39" s="56">
        <v>2843</v>
      </c>
      <c r="I39" s="68">
        <v>406</v>
      </c>
      <c r="J39" s="137">
        <f>IF(H39&lt;&gt;0,I39/F39,"")</f>
        <v>58</v>
      </c>
      <c r="K39" s="226">
        <f>IF(H39&lt;&gt;0,H39/I39,"")</f>
        <v>7.002463054187192</v>
      </c>
      <c r="L39" s="142">
        <v>471356.75</v>
      </c>
      <c r="M39" s="143">
        <v>45156</v>
      </c>
      <c r="N39" s="247">
        <f>IF(L39&lt;&gt;0,L39/M39,"")</f>
        <v>10.438407963504297</v>
      </c>
      <c r="O39" s="262"/>
    </row>
    <row r="40" spans="1:15" s="4" customFormat="1" ht="15">
      <c r="A40" s="43">
        <v>36</v>
      </c>
      <c r="B40" s="243" t="s">
        <v>33</v>
      </c>
      <c r="C40" s="34">
        <v>39995</v>
      </c>
      <c r="D40" s="220" t="s">
        <v>28</v>
      </c>
      <c r="E40" s="93">
        <v>209</v>
      </c>
      <c r="F40" s="93">
        <v>3</v>
      </c>
      <c r="G40" s="93">
        <v>28</v>
      </c>
      <c r="H40" s="51">
        <v>2821</v>
      </c>
      <c r="I40" s="63">
        <v>551</v>
      </c>
      <c r="J40" s="116">
        <f>(I40/F40)</f>
        <v>183.66666666666666</v>
      </c>
      <c r="K40" s="221">
        <f>H40/I40</f>
        <v>5.11978221415608</v>
      </c>
      <c r="L40" s="118">
        <f>872160.5+3062686.25+2016658.5+1330226.25+943221.5+742732+516667.5+450351.5+331944.75+238834+191406+133484.5+252388.75+88483.5+54821.5+50455.5+10393.5+13219.5+4551+15537+5404+869+4082+1834+3805+1635+750+1385+2821</f>
        <v>11342808.5</v>
      </c>
      <c r="M40" s="119">
        <f>115039+364710+241056+162109+115810+90639+66180+59650+44695+33272+25508+18324+32600+11489+6695+7353+1723+3013+920+3530+1123+138+968+454+919+396+210+249+551</f>
        <v>1409323</v>
      </c>
      <c r="N40" s="244">
        <f>L40/M40</f>
        <v>8.048409413597877</v>
      </c>
      <c r="O40" s="263"/>
    </row>
    <row r="41" spans="1:15" s="4" customFormat="1" ht="15">
      <c r="A41" s="43">
        <v>37</v>
      </c>
      <c r="B41" s="243" t="s">
        <v>40</v>
      </c>
      <c r="C41" s="34">
        <v>40109</v>
      </c>
      <c r="D41" s="220" t="s">
        <v>28</v>
      </c>
      <c r="E41" s="93">
        <v>35</v>
      </c>
      <c r="F41" s="93">
        <v>4</v>
      </c>
      <c r="G41" s="93">
        <v>10</v>
      </c>
      <c r="H41" s="51">
        <v>2698</v>
      </c>
      <c r="I41" s="63">
        <v>403</v>
      </c>
      <c r="J41" s="116">
        <f>(I41/F41)</f>
        <v>100.75</v>
      </c>
      <c r="K41" s="221">
        <f>H41/I41</f>
        <v>6.694789081885856</v>
      </c>
      <c r="L41" s="118">
        <f>138311.75+79345.25+13093+10041+3739+971+1340+254+1082+2698</f>
        <v>250875</v>
      </c>
      <c r="M41" s="119">
        <f>12918+7558+2061+1540+644+195+252+48+177+403</f>
        <v>25796</v>
      </c>
      <c r="N41" s="244">
        <f>L41/M41</f>
        <v>9.725345014730966</v>
      </c>
      <c r="O41" s="263"/>
    </row>
    <row r="42" spans="1:15" s="4" customFormat="1" ht="15">
      <c r="A42" s="43">
        <v>38</v>
      </c>
      <c r="B42" s="243" t="s">
        <v>106</v>
      </c>
      <c r="C42" s="34">
        <v>40144</v>
      </c>
      <c r="D42" s="218" t="s">
        <v>27</v>
      </c>
      <c r="E42" s="93">
        <v>128</v>
      </c>
      <c r="F42" s="93">
        <v>5</v>
      </c>
      <c r="G42" s="93">
        <v>7</v>
      </c>
      <c r="H42" s="52">
        <v>2478</v>
      </c>
      <c r="I42" s="64">
        <v>419</v>
      </c>
      <c r="J42" s="143">
        <f>I42/F42</f>
        <v>83.8</v>
      </c>
      <c r="K42" s="219">
        <f>+H42/I42</f>
        <v>5.914081145584726</v>
      </c>
      <c r="L42" s="144">
        <v>2572498</v>
      </c>
      <c r="M42" s="143">
        <v>307913</v>
      </c>
      <c r="N42" s="245">
        <f>+L42/M42</f>
        <v>8.35462614439793</v>
      </c>
      <c r="O42" s="262">
        <v>1</v>
      </c>
    </row>
    <row r="43" spans="1:15" s="4" customFormat="1" ht="15">
      <c r="A43" s="43">
        <v>39</v>
      </c>
      <c r="B43" s="243" t="s">
        <v>47</v>
      </c>
      <c r="C43" s="34">
        <v>40137</v>
      </c>
      <c r="D43" s="218" t="s">
        <v>27</v>
      </c>
      <c r="E43" s="93">
        <v>61</v>
      </c>
      <c r="F43" s="93">
        <v>4</v>
      </c>
      <c r="G43" s="93">
        <v>8</v>
      </c>
      <c r="H43" s="52">
        <v>2148</v>
      </c>
      <c r="I43" s="64">
        <v>594</v>
      </c>
      <c r="J43" s="143">
        <f>I43/F43</f>
        <v>148.5</v>
      </c>
      <c r="K43" s="219">
        <f>+H43/I43</f>
        <v>3.6161616161616164</v>
      </c>
      <c r="L43" s="144">
        <v>458401</v>
      </c>
      <c r="M43" s="143">
        <v>42433</v>
      </c>
      <c r="N43" s="245">
        <f>+L43/M43</f>
        <v>10.802936393844414</v>
      </c>
      <c r="O43" s="262"/>
    </row>
    <row r="44" spans="1:15" s="4" customFormat="1" ht="15">
      <c r="A44" s="43">
        <v>40</v>
      </c>
      <c r="B44" s="243" t="s">
        <v>41</v>
      </c>
      <c r="C44" s="34">
        <v>40046</v>
      </c>
      <c r="D44" s="218" t="s">
        <v>27</v>
      </c>
      <c r="E44" s="93">
        <v>55</v>
      </c>
      <c r="F44" s="93">
        <v>2</v>
      </c>
      <c r="G44" s="93">
        <v>12</v>
      </c>
      <c r="H44" s="52">
        <v>2059</v>
      </c>
      <c r="I44" s="64">
        <v>466</v>
      </c>
      <c r="J44" s="143">
        <f>I44/F44</f>
        <v>233</v>
      </c>
      <c r="K44" s="219">
        <f>+H44/I44</f>
        <v>4.418454935622318</v>
      </c>
      <c r="L44" s="144">
        <v>189359</v>
      </c>
      <c r="M44" s="143">
        <v>19405</v>
      </c>
      <c r="N44" s="245">
        <f>+L44/M44</f>
        <v>9.758258180881215</v>
      </c>
      <c r="O44" s="262"/>
    </row>
    <row r="45" spans="1:15" s="4" customFormat="1" ht="15">
      <c r="A45" s="43">
        <v>41</v>
      </c>
      <c r="B45" s="246" t="s">
        <v>107</v>
      </c>
      <c r="C45" s="36">
        <v>40102</v>
      </c>
      <c r="D45" s="222" t="s">
        <v>30</v>
      </c>
      <c r="E45" s="96">
        <v>319</v>
      </c>
      <c r="F45" s="96">
        <v>7</v>
      </c>
      <c r="G45" s="96">
        <v>13</v>
      </c>
      <c r="H45" s="56">
        <v>1900</v>
      </c>
      <c r="I45" s="68">
        <v>264</v>
      </c>
      <c r="J45" s="137">
        <f>IF(H45&lt;&gt;0,I45/F45,"")</f>
        <v>37.714285714285715</v>
      </c>
      <c r="K45" s="226">
        <f>IF(H45&lt;&gt;0,H45/I45,"")</f>
        <v>7.196969696969697</v>
      </c>
      <c r="L45" s="142">
        <v>19728939.25</v>
      </c>
      <c r="M45" s="143">
        <v>2420390</v>
      </c>
      <c r="N45" s="247">
        <f>IF(L45&lt;&gt;0,L45/M45,"")</f>
        <v>8.151140621965881</v>
      </c>
      <c r="O45" s="262">
        <v>1</v>
      </c>
    </row>
    <row r="46" spans="1:15" s="4" customFormat="1" ht="15">
      <c r="A46" s="43">
        <v>42</v>
      </c>
      <c r="B46" s="243" t="s">
        <v>108</v>
      </c>
      <c r="C46" s="34">
        <v>39829</v>
      </c>
      <c r="D46" s="228" t="s">
        <v>28</v>
      </c>
      <c r="E46" s="93">
        <v>65</v>
      </c>
      <c r="F46" s="93">
        <v>1</v>
      </c>
      <c r="G46" s="93">
        <v>34</v>
      </c>
      <c r="H46" s="51">
        <v>1780</v>
      </c>
      <c r="I46" s="63">
        <v>445</v>
      </c>
      <c r="J46" s="116">
        <f>(I46/F46)</f>
        <v>445</v>
      </c>
      <c r="K46" s="221">
        <f>H46/I46</f>
        <v>4</v>
      </c>
      <c r="L46" s="118">
        <f>237023+244842+160469+47021+21536+18820+18020.5+26440+10695+9162.5+9870+6322+1787+2032+757+348+420.5+158+4053+339.5+3161.5+1729.5+752+1417+1780+64+1208+952+552+139.5+544+40+8072+1780</f>
        <v>842307.5</v>
      </c>
      <c r="M46" s="119">
        <f>25678+28966+21290+6590+4890+3520+3479+4786+1907+1716+2388+1533+368+541+126+70+67+48+991+81+743+414+155+169+445+16+302+238+117+23+48+12+2018+445</f>
        <v>114180</v>
      </c>
      <c r="N46" s="244">
        <f>L46/M46</f>
        <v>7.377014363286039</v>
      </c>
      <c r="O46" s="263"/>
    </row>
    <row r="47" spans="1:15" s="4" customFormat="1" ht="15">
      <c r="A47" s="43">
        <v>43</v>
      </c>
      <c r="B47" s="243" t="s">
        <v>32</v>
      </c>
      <c r="C47" s="34">
        <v>39871</v>
      </c>
      <c r="D47" s="228" t="s">
        <v>28</v>
      </c>
      <c r="E47" s="93">
        <v>1</v>
      </c>
      <c r="F47" s="93">
        <v>1</v>
      </c>
      <c r="G47" s="93">
        <v>22</v>
      </c>
      <c r="H47" s="51">
        <v>1780</v>
      </c>
      <c r="I47" s="63">
        <v>445</v>
      </c>
      <c r="J47" s="116">
        <f>(I47/F47)</f>
        <v>445</v>
      </c>
      <c r="K47" s="221">
        <f>H47/I47</f>
        <v>4</v>
      </c>
      <c r="L47" s="118">
        <f>1088+1510+1304+856+387+214+424+106+162+130+476+60.5+118+96+1664+1780+454+259.5+1188+119.5+1188+1780+1780</f>
        <v>17144.5</v>
      </c>
      <c r="M47" s="119">
        <f>267+175+155+102+46+26+51+12+18+16+57+8+22+16+416+445+57+31+297+19+297+445+445</f>
        <v>3423</v>
      </c>
      <c r="N47" s="244">
        <f>L47/M47</f>
        <v>5.0086181711948585</v>
      </c>
      <c r="O47" s="263"/>
    </row>
    <row r="48" spans="1:15" s="4" customFormat="1" ht="15">
      <c r="A48" s="43">
        <v>44</v>
      </c>
      <c r="B48" s="243" t="s">
        <v>109</v>
      </c>
      <c r="C48" s="34">
        <v>40130</v>
      </c>
      <c r="D48" s="220" t="s">
        <v>28</v>
      </c>
      <c r="E48" s="93">
        <v>13</v>
      </c>
      <c r="F48" s="93">
        <v>4</v>
      </c>
      <c r="G48" s="93">
        <v>9</v>
      </c>
      <c r="H48" s="51">
        <v>1678.5</v>
      </c>
      <c r="I48" s="63">
        <v>334</v>
      </c>
      <c r="J48" s="116">
        <f>(I48/F48)</f>
        <v>83.5</v>
      </c>
      <c r="K48" s="221">
        <f>H48/I48</f>
        <v>5.025449101796407</v>
      </c>
      <c r="L48" s="118">
        <f>61012+24426+6122+10040+4081+228+2698+1216+1678.5</f>
        <v>111501.5</v>
      </c>
      <c r="M48" s="119">
        <f>5982+2401+678+1620+879+42+433+305+334</f>
        <v>12674</v>
      </c>
      <c r="N48" s="244">
        <f>L48/M48</f>
        <v>8.797656619851665</v>
      </c>
      <c r="O48" s="263">
        <v>1</v>
      </c>
    </row>
    <row r="49" spans="1:15" s="4" customFormat="1" ht="15">
      <c r="A49" s="43">
        <v>45</v>
      </c>
      <c r="B49" s="246" t="s">
        <v>110</v>
      </c>
      <c r="C49" s="36">
        <v>40123</v>
      </c>
      <c r="D49" s="222" t="s">
        <v>30</v>
      </c>
      <c r="E49" s="96">
        <v>40</v>
      </c>
      <c r="F49" s="96">
        <v>4</v>
      </c>
      <c r="G49" s="96">
        <v>9</v>
      </c>
      <c r="H49" s="56">
        <v>1672</v>
      </c>
      <c r="I49" s="68">
        <v>314</v>
      </c>
      <c r="J49" s="137">
        <f>IF(H49&lt;&gt;0,I49/F49,"")</f>
        <v>78.5</v>
      </c>
      <c r="K49" s="226">
        <f>IF(H49&lt;&gt;0,H49/I49,"")</f>
        <v>5.32484076433121</v>
      </c>
      <c r="L49" s="142">
        <v>262036.25</v>
      </c>
      <c r="M49" s="143">
        <v>26644</v>
      </c>
      <c r="N49" s="247">
        <f>IF(L49&lt;&gt;0,L49/M49,"")</f>
        <v>9.834718886053146</v>
      </c>
      <c r="O49" s="262">
        <v>1</v>
      </c>
    </row>
    <row r="50" spans="1:15" s="4" customFormat="1" ht="15">
      <c r="A50" s="43">
        <v>46</v>
      </c>
      <c r="B50" s="249" t="s">
        <v>111</v>
      </c>
      <c r="C50" s="36">
        <v>40074</v>
      </c>
      <c r="D50" s="228" t="s">
        <v>99</v>
      </c>
      <c r="E50" s="231" t="s">
        <v>112</v>
      </c>
      <c r="F50" s="231" t="s">
        <v>113</v>
      </c>
      <c r="G50" s="231" t="s">
        <v>114</v>
      </c>
      <c r="H50" s="55">
        <v>1385</v>
      </c>
      <c r="I50" s="67">
        <v>222</v>
      </c>
      <c r="J50" s="147">
        <f>+I50/F50</f>
        <v>222</v>
      </c>
      <c r="K50" s="226">
        <f>IF(H50&lt;&gt;0,H50/I50,"")</f>
        <v>6.238738738738738</v>
      </c>
      <c r="L50" s="139">
        <v>176398</v>
      </c>
      <c r="M50" s="140">
        <v>21849</v>
      </c>
      <c r="N50" s="247">
        <f>IF(L50&lt;&gt;0,L50/M50,"")</f>
        <v>8.073504508215478</v>
      </c>
      <c r="O50" s="262"/>
    </row>
    <row r="51" spans="1:15" s="4" customFormat="1" ht="15">
      <c r="A51" s="43">
        <v>47</v>
      </c>
      <c r="B51" s="243" t="s">
        <v>115</v>
      </c>
      <c r="C51" s="34">
        <v>40116</v>
      </c>
      <c r="D51" s="220" t="s">
        <v>42</v>
      </c>
      <c r="E51" s="93">
        <v>252</v>
      </c>
      <c r="F51" s="93">
        <v>2</v>
      </c>
      <c r="G51" s="93">
        <v>11</v>
      </c>
      <c r="H51" s="52">
        <v>1275</v>
      </c>
      <c r="I51" s="64">
        <v>224</v>
      </c>
      <c r="J51" s="143">
        <f>I51/F51</f>
        <v>112</v>
      </c>
      <c r="K51" s="219">
        <f>+H51/I51</f>
        <v>5.691964285714286</v>
      </c>
      <c r="L51" s="144">
        <f>1669127.75+948082.25+584112.75-1430.5+253635+167357+9936+0.5+7987+1963+4065+3546+1275</f>
        <v>3649656.75</v>
      </c>
      <c r="M51" s="143">
        <f>200044+117374+72700-112+36636+25117+1706+1163+472+1036+675+224</f>
        <v>457035</v>
      </c>
      <c r="N51" s="245">
        <f>+L51/M51</f>
        <v>7.985508221471004</v>
      </c>
      <c r="O51" s="262">
        <v>1</v>
      </c>
    </row>
    <row r="52" spans="1:15" s="4" customFormat="1" ht="15">
      <c r="A52" s="43">
        <v>48</v>
      </c>
      <c r="B52" s="243" t="s">
        <v>116</v>
      </c>
      <c r="C52" s="34">
        <v>40102</v>
      </c>
      <c r="D52" s="218" t="s">
        <v>27</v>
      </c>
      <c r="E52" s="93">
        <v>62</v>
      </c>
      <c r="F52" s="93">
        <v>1</v>
      </c>
      <c r="G52" s="93">
        <v>12</v>
      </c>
      <c r="H52" s="52">
        <v>1258</v>
      </c>
      <c r="I52" s="64">
        <v>177</v>
      </c>
      <c r="J52" s="143">
        <f>I52/F52</f>
        <v>177</v>
      </c>
      <c r="K52" s="219">
        <f>+H52/I52</f>
        <v>7.107344632768362</v>
      </c>
      <c r="L52" s="144">
        <v>490015</v>
      </c>
      <c r="M52" s="143">
        <v>55707</v>
      </c>
      <c r="N52" s="245">
        <f>+L52/M52</f>
        <v>8.796291309889241</v>
      </c>
      <c r="O52" s="262"/>
    </row>
    <row r="53" spans="1:15" s="4" customFormat="1" ht="15">
      <c r="A53" s="43">
        <v>49</v>
      </c>
      <c r="B53" s="243" t="s">
        <v>39</v>
      </c>
      <c r="C53" s="34">
        <v>40102</v>
      </c>
      <c r="D53" s="218" t="s">
        <v>27</v>
      </c>
      <c r="E53" s="93">
        <v>99</v>
      </c>
      <c r="F53" s="93">
        <v>5</v>
      </c>
      <c r="G53" s="93">
        <v>13</v>
      </c>
      <c r="H53" s="52">
        <v>1237</v>
      </c>
      <c r="I53" s="64">
        <v>218</v>
      </c>
      <c r="J53" s="143">
        <f>I53/F53</f>
        <v>43.6</v>
      </c>
      <c r="K53" s="219">
        <f>+H53/I53</f>
        <v>5.674311926605505</v>
      </c>
      <c r="L53" s="144">
        <v>2576802</v>
      </c>
      <c r="M53" s="143">
        <v>272184</v>
      </c>
      <c r="N53" s="245">
        <f>+L53/M53</f>
        <v>9.467132527995767</v>
      </c>
      <c r="O53" s="262"/>
    </row>
    <row r="54" spans="1:15" s="4" customFormat="1" ht="15">
      <c r="A54" s="43">
        <v>50</v>
      </c>
      <c r="B54" s="246" t="s">
        <v>117</v>
      </c>
      <c r="C54" s="36">
        <v>40158</v>
      </c>
      <c r="D54" s="222" t="s">
        <v>30</v>
      </c>
      <c r="E54" s="96">
        <v>6</v>
      </c>
      <c r="F54" s="96">
        <v>3</v>
      </c>
      <c r="G54" s="96">
        <v>4</v>
      </c>
      <c r="H54" s="56">
        <v>1098</v>
      </c>
      <c r="I54" s="68">
        <v>177</v>
      </c>
      <c r="J54" s="137">
        <f>IF(H54&lt;&gt;0,I54/F54,"")</f>
        <v>59</v>
      </c>
      <c r="K54" s="226">
        <f>IF(H54&lt;&gt;0,H54/I54,"")</f>
        <v>6.203389830508475</v>
      </c>
      <c r="L54" s="142">
        <v>48973</v>
      </c>
      <c r="M54" s="143">
        <v>4330</v>
      </c>
      <c r="N54" s="247">
        <f>IF(L54&lt;&gt;0,L54/M54,"")</f>
        <v>11.310161662817553</v>
      </c>
      <c r="O54" s="262"/>
    </row>
    <row r="55" spans="1:15" s="4" customFormat="1" ht="15">
      <c r="A55" s="43">
        <v>51</v>
      </c>
      <c r="B55" s="243" t="s">
        <v>118</v>
      </c>
      <c r="C55" s="34">
        <v>39934</v>
      </c>
      <c r="D55" s="220" t="s">
        <v>42</v>
      </c>
      <c r="E55" s="93">
        <v>125</v>
      </c>
      <c r="F55" s="93">
        <v>1</v>
      </c>
      <c r="G55" s="93">
        <v>11</v>
      </c>
      <c r="H55" s="52">
        <v>1085</v>
      </c>
      <c r="I55" s="64">
        <v>217</v>
      </c>
      <c r="J55" s="143">
        <f>I55/F55</f>
        <v>217</v>
      </c>
      <c r="K55" s="219">
        <f>+H55/I55</f>
        <v>5</v>
      </c>
      <c r="L55" s="144">
        <f>114460.75+42138+22420+8194+3259+329+823+25444.5+546+3853+1085</f>
        <v>222552.25</v>
      </c>
      <c r="M55" s="143">
        <f>15343+6534+4108+1491+680+62+130+4241+100+770+217</f>
        <v>33676</v>
      </c>
      <c r="N55" s="245">
        <f>+L55/M55</f>
        <v>6.608630775626559</v>
      </c>
      <c r="O55" s="262">
        <v>1</v>
      </c>
    </row>
    <row r="56" spans="1:15" s="4" customFormat="1" ht="15">
      <c r="A56" s="43">
        <v>52</v>
      </c>
      <c r="B56" s="243" t="s">
        <v>119</v>
      </c>
      <c r="C56" s="34">
        <v>40102</v>
      </c>
      <c r="D56" s="220" t="s">
        <v>28</v>
      </c>
      <c r="E56" s="93">
        <v>22</v>
      </c>
      <c r="F56" s="93">
        <v>1</v>
      </c>
      <c r="G56" s="93">
        <v>6</v>
      </c>
      <c r="H56" s="51">
        <v>1081.5</v>
      </c>
      <c r="I56" s="63">
        <v>369</v>
      </c>
      <c r="J56" s="116">
        <f>(I56/F56)</f>
        <v>369</v>
      </c>
      <c r="K56" s="221">
        <f>H56/I56</f>
        <v>2.930894308943089</v>
      </c>
      <c r="L56" s="118">
        <f>129717.5+110957+18478+6527+6853.5+1081.5</f>
        <v>273614.5</v>
      </c>
      <c r="M56" s="119">
        <f>10402+8975+1885+691+1109+369</f>
        <v>23431</v>
      </c>
      <c r="N56" s="244">
        <f>L56/M56</f>
        <v>11.677457214800905</v>
      </c>
      <c r="O56" s="263"/>
    </row>
    <row r="57" spans="1:15" s="4" customFormat="1" ht="15">
      <c r="A57" s="43">
        <v>53</v>
      </c>
      <c r="B57" s="243" t="s">
        <v>120</v>
      </c>
      <c r="C57" s="34">
        <v>40193</v>
      </c>
      <c r="D57" s="220" t="s">
        <v>28</v>
      </c>
      <c r="E57" s="93">
        <v>1</v>
      </c>
      <c r="F57" s="93">
        <v>1</v>
      </c>
      <c r="G57" s="93">
        <v>0</v>
      </c>
      <c r="H57" s="51">
        <v>1080</v>
      </c>
      <c r="I57" s="63">
        <v>108</v>
      </c>
      <c r="J57" s="116">
        <f>(I57/F57)</f>
        <v>108</v>
      </c>
      <c r="K57" s="221">
        <f>H57/I57</f>
        <v>10</v>
      </c>
      <c r="L57" s="118">
        <f>1080</f>
        <v>1080</v>
      </c>
      <c r="M57" s="119">
        <f>108</f>
        <v>108</v>
      </c>
      <c r="N57" s="244">
        <f>L57/M57</f>
        <v>10</v>
      </c>
      <c r="O57" s="263"/>
    </row>
    <row r="58" spans="1:15" s="4" customFormat="1" ht="15">
      <c r="A58" s="43">
        <v>54</v>
      </c>
      <c r="B58" s="246" t="s">
        <v>121</v>
      </c>
      <c r="C58" s="36">
        <v>40081</v>
      </c>
      <c r="D58" s="222" t="s">
        <v>26</v>
      </c>
      <c r="E58" s="96">
        <v>70</v>
      </c>
      <c r="F58" s="96">
        <v>1</v>
      </c>
      <c r="G58" s="96">
        <v>12</v>
      </c>
      <c r="H58" s="51">
        <v>803</v>
      </c>
      <c r="I58" s="63">
        <v>132</v>
      </c>
      <c r="J58" s="116">
        <f>I58/F58</f>
        <v>132</v>
      </c>
      <c r="K58" s="221">
        <f>H58/I58</f>
        <v>6.083333333333333</v>
      </c>
      <c r="L58" s="118">
        <f>1392975+803</f>
        <v>1393778</v>
      </c>
      <c r="M58" s="119">
        <f>137156+132</f>
        <v>137288</v>
      </c>
      <c r="N58" s="244">
        <f>+L58/M58</f>
        <v>10.15222015034089</v>
      </c>
      <c r="O58" s="262"/>
    </row>
    <row r="59" spans="1:15" s="4" customFormat="1" ht="15">
      <c r="A59" s="43">
        <v>55</v>
      </c>
      <c r="B59" s="246" t="s">
        <v>122</v>
      </c>
      <c r="C59" s="36">
        <v>40116</v>
      </c>
      <c r="D59" s="222" t="s">
        <v>30</v>
      </c>
      <c r="E59" s="96">
        <v>88</v>
      </c>
      <c r="F59" s="96">
        <v>3</v>
      </c>
      <c r="G59" s="96">
        <v>10</v>
      </c>
      <c r="H59" s="56">
        <v>720</v>
      </c>
      <c r="I59" s="68">
        <v>126</v>
      </c>
      <c r="J59" s="137">
        <f>IF(H59&lt;&gt;0,I59/F59,"")</f>
        <v>42</v>
      </c>
      <c r="K59" s="226">
        <f>IF(H59&lt;&gt;0,H59/I59,"")</f>
        <v>5.714285714285714</v>
      </c>
      <c r="L59" s="142">
        <v>277792</v>
      </c>
      <c r="M59" s="143">
        <v>37243</v>
      </c>
      <c r="N59" s="247">
        <f>IF(L59&lt;&gt;0,L59/M59,"")</f>
        <v>7.458905029132992</v>
      </c>
      <c r="O59" s="262">
        <v>1</v>
      </c>
    </row>
    <row r="60" spans="1:15" s="4" customFormat="1" ht="15">
      <c r="A60" s="43">
        <v>56</v>
      </c>
      <c r="B60" s="243" t="s">
        <v>123</v>
      </c>
      <c r="C60" s="34">
        <v>39926</v>
      </c>
      <c r="D60" s="228" t="s">
        <v>28</v>
      </c>
      <c r="E60" s="93">
        <v>40</v>
      </c>
      <c r="F60" s="93">
        <v>2</v>
      </c>
      <c r="G60" s="93">
        <v>31</v>
      </c>
      <c r="H60" s="51">
        <v>700</v>
      </c>
      <c r="I60" s="63">
        <v>115</v>
      </c>
      <c r="J60" s="116">
        <f>(I60/F60)</f>
        <v>57.5</v>
      </c>
      <c r="K60" s="221">
        <f>H60/I60</f>
        <v>6.086956521739131</v>
      </c>
      <c r="L60" s="118">
        <f>35864.5+53058.5+35303.5+15734.5+12778.5+9687.5+8045+13953.5+10307+6140.75+1296+667+231+755+1970+2246+752.5+591.5+130+445+2051+750+1477+2060+1816+47+72+84+378+2301+1280+700</f>
        <v>222973.25</v>
      </c>
      <c r="M60" s="119">
        <f>3971+5771+3969+2398+2257+2131+1634+2509+1783+912+230+126+48+181+472+311+114+91+20+78+493+183+365+462+452+9+24+28+94+494+182+115</f>
        <v>31907</v>
      </c>
      <c r="N60" s="244">
        <f>L60/M60</f>
        <v>6.988223587300593</v>
      </c>
      <c r="O60" s="263"/>
    </row>
    <row r="61" spans="1:15" s="4" customFormat="1" ht="15">
      <c r="A61" s="43">
        <v>57</v>
      </c>
      <c r="B61" s="243" t="s">
        <v>50</v>
      </c>
      <c r="C61" s="34">
        <v>40151</v>
      </c>
      <c r="D61" s="220" t="s">
        <v>28</v>
      </c>
      <c r="E61" s="93">
        <v>2</v>
      </c>
      <c r="F61" s="93">
        <v>2</v>
      </c>
      <c r="G61" s="93">
        <v>6</v>
      </c>
      <c r="H61" s="51">
        <v>674</v>
      </c>
      <c r="I61" s="63">
        <v>81</v>
      </c>
      <c r="J61" s="116">
        <f>(I61/F61)</f>
        <v>40.5</v>
      </c>
      <c r="K61" s="221">
        <f>H61/I61</f>
        <v>8.320987654320987</v>
      </c>
      <c r="L61" s="118">
        <f>14952+6112+2196+2975+2853+674</f>
        <v>29762</v>
      </c>
      <c r="M61" s="119">
        <f>1468+666+254+478+502+81</f>
        <v>3449</v>
      </c>
      <c r="N61" s="244">
        <f>L61/M61</f>
        <v>8.629167874746303</v>
      </c>
      <c r="O61" s="263"/>
    </row>
    <row r="62" spans="1:15" s="4" customFormat="1" ht="15">
      <c r="A62" s="43">
        <v>58</v>
      </c>
      <c r="B62" s="243" t="s">
        <v>124</v>
      </c>
      <c r="C62" s="34">
        <v>40074</v>
      </c>
      <c r="D62" s="220" t="s">
        <v>42</v>
      </c>
      <c r="E62" s="93">
        <v>20</v>
      </c>
      <c r="F62" s="93">
        <v>1</v>
      </c>
      <c r="G62" s="93">
        <v>8</v>
      </c>
      <c r="H62" s="52">
        <v>622</v>
      </c>
      <c r="I62" s="64">
        <v>104</v>
      </c>
      <c r="J62" s="143">
        <f>I62/F62</f>
        <v>104</v>
      </c>
      <c r="K62" s="219">
        <f>+H62/I62</f>
        <v>5.980769230769231</v>
      </c>
      <c r="L62" s="144">
        <f>29605.75+13687.5+1715.5+10167+0.5+1482+874+865+622</f>
        <v>59019.25</v>
      </c>
      <c r="M62" s="143">
        <f>2984+1583+274+1724+229+164+167+104</f>
        <v>7229</v>
      </c>
      <c r="N62" s="245">
        <f>+L62/M62</f>
        <v>8.164234333932772</v>
      </c>
      <c r="O62" s="262">
        <v>1</v>
      </c>
    </row>
    <row r="63" spans="1:15" s="4" customFormat="1" ht="15">
      <c r="A63" s="43">
        <v>59</v>
      </c>
      <c r="B63" s="246" t="s">
        <v>48</v>
      </c>
      <c r="C63" s="36">
        <v>40137</v>
      </c>
      <c r="D63" s="222" t="s">
        <v>26</v>
      </c>
      <c r="E63" s="96">
        <v>20</v>
      </c>
      <c r="F63" s="96">
        <v>1</v>
      </c>
      <c r="G63" s="96">
        <v>8</v>
      </c>
      <c r="H63" s="51">
        <v>617</v>
      </c>
      <c r="I63" s="63">
        <v>106</v>
      </c>
      <c r="J63" s="116">
        <f>I63/F63</f>
        <v>106</v>
      </c>
      <c r="K63" s="221">
        <f>H63/I63</f>
        <v>5.820754716981132</v>
      </c>
      <c r="L63" s="118">
        <f>997860+4193+617</f>
        <v>1002670</v>
      </c>
      <c r="M63" s="119">
        <f>81544+595+106</f>
        <v>82245</v>
      </c>
      <c r="N63" s="244">
        <f>+L63/M63</f>
        <v>12.19125782722354</v>
      </c>
      <c r="O63" s="262"/>
    </row>
    <row r="64" spans="1:15" s="4" customFormat="1" ht="15">
      <c r="A64" s="43">
        <v>60</v>
      </c>
      <c r="B64" s="243" t="s">
        <v>125</v>
      </c>
      <c r="C64" s="34">
        <v>39850</v>
      </c>
      <c r="D64" s="218" t="s">
        <v>27</v>
      </c>
      <c r="E64" s="93">
        <v>78</v>
      </c>
      <c r="F64" s="93">
        <v>1</v>
      </c>
      <c r="G64" s="93">
        <v>48</v>
      </c>
      <c r="H64" s="52">
        <v>609</v>
      </c>
      <c r="I64" s="64">
        <v>280</v>
      </c>
      <c r="J64" s="143">
        <f>I64/F64</f>
        <v>280</v>
      </c>
      <c r="K64" s="219">
        <f>+H64/I64</f>
        <v>2.175</v>
      </c>
      <c r="L64" s="144">
        <v>905076</v>
      </c>
      <c r="M64" s="143">
        <v>98834</v>
      </c>
      <c r="N64" s="245">
        <f>+L64/M64</f>
        <v>9.157536880021045</v>
      </c>
      <c r="O64" s="262"/>
    </row>
    <row r="65" spans="1:15" s="4" customFormat="1" ht="15">
      <c r="A65" s="43">
        <v>61</v>
      </c>
      <c r="B65" s="243" t="s">
        <v>34</v>
      </c>
      <c r="C65" s="34">
        <v>40046</v>
      </c>
      <c r="D65" s="220" t="s">
        <v>28</v>
      </c>
      <c r="E65" s="93">
        <v>5</v>
      </c>
      <c r="F65" s="93">
        <v>1</v>
      </c>
      <c r="G65" s="93">
        <v>17</v>
      </c>
      <c r="H65" s="51">
        <v>487.5</v>
      </c>
      <c r="I65" s="63">
        <v>78</v>
      </c>
      <c r="J65" s="116">
        <f>(I65/F65)</f>
        <v>78</v>
      </c>
      <c r="K65" s="221">
        <f>H65/I65</f>
        <v>6.25</v>
      </c>
      <c r="L65" s="118">
        <f>29266.75+13116.25+9279.25+8463+18147.5+3121+4110+6763+926+5173.5+9461.5+192+486+2002+382+72+487.5</f>
        <v>111449.25</v>
      </c>
      <c r="M65" s="119">
        <f>2425+1257+1223+1013+2360+455+662+1253+138+745+1554+44+79+353+69+18+78</f>
        <v>13726</v>
      </c>
      <c r="N65" s="244">
        <f>L65/M65</f>
        <v>8.119572344455777</v>
      </c>
      <c r="O65" s="263"/>
    </row>
    <row r="66" spans="1:15" s="4" customFormat="1" ht="15">
      <c r="A66" s="43">
        <v>62</v>
      </c>
      <c r="B66" s="246" t="s">
        <v>126</v>
      </c>
      <c r="C66" s="36">
        <v>40088</v>
      </c>
      <c r="D66" s="222" t="s">
        <v>127</v>
      </c>
      <c r="E66" s="96">
        <v>55</v>
      </c>
      <c r="F66" s="96">
        <v>1</v>
      </c>
      <c r="G66" s="96">
        <v>10</v>
      </c>
      <c r="H66" s="56">
        <v>210</v>
      </c>
      <c r="I66" s="68">
        <v>42</v>
      </c>
      <c r="J66" s="137">
        <f>IF(H66&lt;&gt;0,I66/F66,"")</f>
        <v>42</v>
      </c>
      <c r="K66" s="226">
        <f>IF(H66&lt;&gt;0,H66/I66,"")</f>
        <v>5</v>
      </c>
      <c r="L66" s="142">
        <v>147461</v>
      </c>
      <c r="M66" s="143">
        <v>18201</v>
      </c>
      <c r="N66" s="247">
        <f>IF(L66&lt;&gt;0,L66/M66,"")</f>
        <v>8.101807592989395</v>
      </c>
      <c r="O66" s="262">
        <v>1</v>
      </c>
    </row>
    <row r="67" spans="1:15" s="4" customFormat="1" ht="15">
      <c r="A67" s="43">
        <v>63</v>
      </c>
      <c r="B67" s="243" t="s">
        <v>128</v>
      </c>
      <c r="C67" s="34">
        <v>40137</v>
      </c>
      <c r="D67" s="220" t="s">
        <v>42</v>
      </c>
      <c r="E67" s="93">
        <v>311</v>
      </c>
      <c r="F67" s="93">
        <v>1</v>
      </c>
      <c r="G67" s="93">
        <v>8</v>
      </c>
      <c r="H67" s="52">
        <v>150</v>
      </c>
      <c r="I67" s="64">
        <v>15</v>
      </c>
      <c r="J67" s="143">
        <f>I67/F67</f>
        <v>15</v>
      </c>
      <c r="K67" s="219">
        <f>+H67/I67</f>
        <v>10</v>
      </c>
      <c r="L67" s="144">
        <f>3304754.25+2499078+631694+23+231806.5+262+75092+83827.5+39718+180+150</f>
        <v>6866585.25</v>
      </c>
      <c r="M67" s="143">
        <f>413699+312050+80320+31253+42+12537-15+13061+6551+45+15</f>
        <v>869558</v>
      </c>
      <c r="N67" s="245">
        <f>+L67/M67</f>
        <v>7.896638579600211</v>
      </c>
      <c r="O67" s="262">
        <v>1</v>
      </c>
    </row>
    <row r="68" spans="1:15" s="4" customFormat="1" ht="15">
      <c r="A68" s="43">
        <v>64</v>
      </c>
      <c r="B68" s="243" t="s">
        <v>37</v>
      </c>
      <c r="C68" s="34">
        <v>40074</v>
      </c>
      <c r="D68" s="218" t="s">
        <v>27</v>
      </c>
      <c r="E68" s="93">
        <v>61</v>
      </c>
      <c r="F68" s="93">
        <v>1</v>
      </c>
      <c r="G68" s="93">
        <v>16</v>
      </c>
      <c r="H68" s="52">
        <v>116</v>
      </c>
      <c r="I68" s="64">
        <v>16</v>
      </c>
      <c r="J68" s="143">
        <f>I68/F68</f>
        <v>16</v>
      </c>
      <c r="K68" s="219">
        <f>+H68/I68</f>
        <v>7.25</v>
      </c>
      <c r="L68" s="144">
        <v>1027490</v>
      </c>
      <c r="M68" s="143">
        <v>103403</v>
      </c>
      <c r="N68" s="245">
        <f>+L68/M68</f>
        <v>9.936752318598106</v>
      </c>
      <c r="O68" s="262"/>
    </row>
    <row r="69" spans="1:15" s="4" customFormat="1" ht="15">
      <c r="A69" s="43">
        <v>65</v>
      </c>
      <c r="B69" s="243" t="s">
        <v>4</v>
      </c>
      <c r="C69" s="34">
        <v>39745</v>
      </c>
      <c r="D69" s="220" t="s">
        <v>28</v>
      </c>
      <c r="E69" s="93">
        <v>7</v>
      </c>
      <c r="F69" s="93">
        <v>1</v>
      </c>
      <c r="G69" s="93">
        <v>18</v>
      </c>
      <c r="H69" s="55">
        <v>45</v>
      </c>
      <c r="I69" s="67">
        <v>15</v>
      </c>
      <c r="J69" s="147">
        <f>(I69/F69)</f>
        <v>15</v>
      </c>
      <c r="K69" s="232">
        <f>H69/I69</f>
        <v>3</v>
      </c>
      <c r="L69" s="139">
        <f>31758.5+8225.5+1958+2180+395+7254.5+494+2046+429+128+135+1066+1003+620+20+120+87+45</f>
        <v>57964.5</v>
      </c>
      <c r="M69" s="140">
        <f>2732+851+288+247+46+761+52+333+72+22+23+258+223+133+2+12+29+15</f>
        <v>6099</v>
      </c>
      <c r="N69" s="250">
        <f>L69/M69</f>
        <v>9.503935071323168</v>
      </c>
      <c r="O69" s="263"/>
    </row>
    <row r="70" spans="1:15" s="4" customFormat="1" ht="15.75" thickBot="1">
      <c r="A70" s="43">
        <v>66</v>
      </c>
      <c r="B70" s="251" t="s">
        <v>36</v>
      </c>
      <c r="C70" s="41">
        <v>40067</v>
      </c>
      <c r="D70" s="252" t="s">
        <v>28</v>
      </c>
      <c r="E70" s="94">
        <v>51</v>
      </c>
      <c r="F70" s="94">
        <v>1</v>
      </c>
      <c r="G70" s="94">
        <v>17</v>
      </c>
      <c r="H70" s="57">
        <v>44</v>
      </c>
      <c r="I70" s="69">
        <v>11</v>
      </c>
      <c r="J70" s="149">
        <f>(I70/F70)</f>
        <v>11</v>
      </c>
      <c r="K70" s="253">
        <f>H70/I70</f>
        <v>4</v>
      </c>
      <c r="L70" s="150">
        <f>182949+180053+29827+20114+26140.5+10395.5+4671+3342+2340+5520+249.5+165+3602+91+952+1264+44</f>
        <v>471719.5</v>
      </c>
      <c r="M70" s="151">
        <f>18625+17802+3355+2859+3903+1800+782+594+465+1366+90+60+905+15+238+316+11</f>
        <v>53186</v>
      </c>
      <c r="N70" s="254">
        <f>L70/M70</f>
        <v>8.869241905764675</v>
      </c>
      <c r="O70" s="263"/>
    </row>
    <row r="71" spans="1:15" s="16" customFormat="1" ht="15">
      <c r="A71" s="286" t="s">
        <v>31</v>
      </c>
      <c r="B71" s="287"/>
      <c r="C71" s="15"/>
      <c r="D71" s="23"/>
      <c r="E71" s="99"/>
      <c r="F71" s="100"/>
      <c r="G71" s="99"/>
      <c r="H71" s="58">
        <f>SUM(H5:H70)</f>
        <v>9951595.5</v>
      </c>
      <c r="I71" s="70">
        <f>SUM(I5:I70)</f>
        <v>1044308</v>
      </c>
      <c r="J71" s="152"/>
      <c r="K71" s="153"/>
      <c r="L71" s="154"/>
      <c r="M71" s="155"/>
      <c r="N71" s="156"/>
      <c r="O71" s="74"/>
    </row>
    <row r="72" spans="1:15" s="4" customFormat="1" ht="13.5">
      <c r="A72" s="47"/>
      <c r="B72" s="88"/>
      <c r="C72" s="7"/>
      <c r="D72" s="10"/>
      <c r="E72" s="48"/>
      <c r="F72" s="48"/>
      <c r="G72" s="48"/>
      <c r="H72" s="59"/>
      <c r="I72" s="71"/>
      <c r="J72" s="157"/>
      <c r="K72" s="158"/>
      <c r="L72" s="159"/>
      <c r="M72" s="160"/>
      <c r="N72" s="158"/>
      <c r="O72" s="74"/>
    </row>
    <row r="73" spans="1:15" s="4" customFormat="1" ht="15">
      <c r="A73" s="47"/>
      <c r="B73" s="89"/>
      <c r="C73" s="20"/>
      <c r="D73" s="24"/>
      <c r="E73" s="101"/>
      <c r="F73" s="102"/>
      <c r="G73" s="48"/>
      <c r="H73" s="59"/>
      <c r="I73" s="71"/>
      <c r="J73" s="288" t="s">
        <v>29</v>
      </c>
      <c r="K73" s="289"/>
      <c r="L73" s="289"/>
      <c r="M73" s="289"/>
      <c r="N73" s="289"/>
      <c r="O73" s="74"/>
    </row>
    <row r="74" spans="1:15" s="4" customFormat="1" ht="15">
      <c r="A74" s="47"/>
      <c r="B74" s="89"/>
      <c r="C74" s="20"/>
      <c r="D74" s="24"/>
      <c r="E74" s="101"/>
      <c r="F74" s="48"/>
      <c r="G74" s="49"/>
      <c r="H74" s="59"/>
      <c r="I74" s="71"/>
      <c r="J74" s="289"/>
      <c r="K74" s="289"/>
      <c r="L74" s="289"/>
      <c r="M74" s="289"/>
      <c r="N74" s="289"/>
      <c r="O74" s="74"/>
    </row>
    <row r="75" spans="1:15" s="4" customFormat="1" ht="15">
      <c r="A75" s="47"/>
      <c r="B75" s="89"/>
      <c r="C75" s="20"/>
      <c r="D75" s="24"/>
      <c r="E75" s="101"/>
      <c r="F75" s="48"/>
      <c r="G75" s="49"/>
      <c r="H75" s="59"/>
      <c r="I75" s="71"/>
      <c r="J75" s="289"/>
      <c r="K75" s="289"/>
      <c r="L75" s="289"/>
      <c r="M75" s="289"/>
      <c r="N75" s="289"/>
      <c r="O75" s="74"/>
    </row>
    <row r="76" spans="1:15" s="4" customFormat="1" ht="15">
      <c r="A76" s="47"/>
      <c r="B76" s="89"/>
      <c r="C76" s="20"/>
      <c r="D76" s="24"/>
      <c r="E76" s="101"/>
      <c r="F76" s="48"/>
      <c r="G76" s="49"/>
      <c r="H76" s="59"/>
      <c r="I76" s="71"/>
      <c r="J76" s="290"/>
      <c r="K76" s="290"/>
      <c r="L76" s="290"/>
      <c r="M76" s="290"/>
      <c r="N76" s="290"/>
      <c r="O76" s="74"/>
    </row>
    <row r="77" spans="1:15" s="4" customFormat="1" ht="15">
      <c r="A77" s="47"/>
      <c r="B77" s="89"/>
      <c r="C77" s="20"/>
      <c r="D77" s="24"/>
      <c r="E77" s="101"/>
      <c r="F77" s="48"/>
      <c r="G77" s="283" t="s">
        <v>7</v>
      </c>
      <c r="H77" s="284"/>
      <c r="I77" s="284"/>
      <c r="J77" s="284"/>
      <c r="K77" s="284"/>
      <c r="L77" s="284"/>
      <c r="M77" s="284"/>
      <c r="N77" s="284"/>
      <c r="O77" s="74"/>
    </row>
    <row r="78" spans="1:15" s="12" customFormat="1" ht="15">
      <c r="A78" s="47"/>
      <c r="B78" s="89"/>
      <c r="C78" s="20"/>
      <c r="D78" s="24"/>
      <c r="E78" s="101"/>
      <c r="F78" s="103"/>
      <c r="G78" s="284"/>
      <c r="H78" s="284"/>
      <c r="I78" s="284"/>
      <c r="J78" s="284"/>
      <c r="K78" s="284"/>
      <c r="L78" s="284"/>
      <c r="M78" s="284"/>
      <c r="N78" s="284"/>
      <c r="O78" s="74"/>
    </row>
    <row r="79" spans="1:15" s="12" customFormat="1" ht="15">
      <c r="A79" s="47"/>
      <c r="B79" s="89"/>
      <c r="C79" s="20"/>
      <c r="D79" s="24"/>
      <c r="E79" s="101"/>
      <c r="F79" s="48"/>
      <c r="G79" s="284"/>
      <c r="H79" s="284"/>
      <c r="I79" s="284"/>
      <c r="J79" s="284"/>
      <c r="K79" s="284"/>
      <c r="L79" s="284"/>
      <c r="M79" s="284"/>
      <c r="N79" s="284"/>
      <c r="O79" s="74"/>
    </row>
    <row r="80" spans="1:15" s="12" customFormat="1" ht="15">
      <c r="A80" s="47"/>
      <c r="B80" s="89"/>
      <c r="C80" s="20"/>
      <c r="D80" s="24"/>
      <c r="E80" s="101"/>
      <c r="F80" s="48"/>
      <c r="G80" s="284"/>
      <c r="H80" s="284"/>
      <c r="I80" s="284"/>
      <c r="J80" s="284"/>
      <c r="K80" s="284"/>
      <c r="L80" s="284"/>
      <c r="M80" s="284"/>
      <c r="N80" s="284"/>
      <c r="O80" s="74"/>
    </row>
    <row r="81" spans="1:15" s="12" customFormat="1" ht="15">
      <c r="A81" s="47"/>
      <c r="B81" s="89"/>
      <c r="C81" s="20"/>
      <c r="D81" s="24"/>
      <c r="E81" s="101"/>
      <c r="F81" s="48"/>
      <c r="G81" s="284"/>
      <c r="H81" s="284"/>
      <c r="I81" s="284"/>
      <c r="J81" s="284"/>
      <c r="K81" s="284"/>
      <c r="L81" s="284"/>
      <c r="M81" s="284"/>
      <c r="N81" s="284"/>
      <c r="O81" s="74"/>
    </row>
    <row r="82" spans="1:15" s="12" customFormat="1" ht="15">
      <c r="A82" s="47"/>
      <c r="B82" s="89"/>
      <c r="C82" s="20"/>
      <c r="D82" s="24"/>
      <c r="E82" s="101"/>
      <c r="F82" s="48"/>
      <c r="G82" s="284"/>
      <c r="H82" s="284"/>
      <c r="I82" s="284"/>
      <c r="J82" s="284"/>
      <c r="K82" s="284"/>
      <c r="L82" s="284"/>
      <c r="M82" s="284"/>
      <c r="N82" s="284"/>
      <c r="O82" s="74"/>
    </row>
    <row r="83" spans="1:15" s="12" customFormat="1" ht="15">
      <c r="A83" s="47"/>
      <c r="B83" s="89"/>
      <c r="C83" s="20"/>
      <c r="D83" s="24"/>
      <c r="E83" s="101"/>
      <c r="F83" s="48"/>
      <c r="G83" s="285" t="s">
        <v>0</v>
      </c>
      <c r="H83" s="284"/>
      <c r="I83" s="284"/>
      <c r="J83" s="284"/>
      <c r="K83" s="284"/>
      <c r="L83" s="284"/>
      <c r="M83" s="284"/>
      <c r="N83" s="284"/>
      <c r="O83" s="74"/>
    </row>
    <row r="84" spans="1:15" s="12" customFormat="1" ht="15">
      <c r="A84" s="47"/>
      <c r="B84" s="89"/>
      <c r="C84" s="20"/>
      <c r="D84" s="24"/>
      <c r="E84" s="101"/>
      <c r="F84" s="48"/>
      <c r="G84" s="284"/>
      <c r="H84" s="284"/>
      <c r="I84" s="284"/>
      <c r="J84" s="284"/>
      <c r="K84" s="284"/>
      <c r="L84" s="284"/>
      <c r="M84" s="284"/>
      <c r="N84" s="284"/>
      <c r="O84" s="74"/>
    </row>
    <row r="85" spans="1:15" s="12" customFormat="1" ht="15">
      <c r="A85" s="47"/>
      <c r="B85" s="89"/>
      <c r="C85" s="20"/>
      <c r="D85" s="24"/>
      <c r="E85" s="101"/>
      <c r="F85" s="48"/>
      <c r="G85" s="284"/>
      <c r="H85" s="284"/>
      <c r="I85" s="284"/>
      <c r="J85" s="284"/>
      <c r="K85" s="284"/>
      <c r="L85" s="284"/>
      <c r="M85" s="284"/>
      <c r="N85" s="284"/>
      <c r="O85" s="74"/>
    </row>
    <row r="86" spans="1:15" s="12" customFormat="1" ht="15">
      <c r="A86" s="47"/>
      <c r="B86" s="89"/>
      <c r="C86" s="20"/>
      <c r="D86" s="24"/>
      <c r="E86" s="101"/>
      <c r="F86" s="48"/>
      <c r="G86" s="284"/>
      <c r="H86" s="284"/>
      <c r="I86" s="284"/>
      <c r="J86" s="284"/>
      <c r="K86" s="284"/>
      <c r="L86" s="284"/>
      <c r="M86" s="284"/>
      <c r="N86" s="284"/>
      <c r="O86" s="74"/>
    </row>
    <row r="87" spans="1:15" s="12" customFormat="1" ht="15">
      <c r="A87" s="47"/>
      <c r="B87" s="89"/>
      <c r="C87" s="20"/>
      <c r="D87" s="24"/>
      <c r="E87" s="101"/>
      <c r="F87" s="48"/>
      <c r="G87" s="284"/>
      <c r="H87" s="284"/>
      <c r="I87" s="284"/>
      <c r="J87" s="284"/>
      <c r="K87" s="284"/>
      <c r="L87" s="284"/>
      <c r="M87" s="284"/>
      <c r="N87" s="284"/>
      <c r="O87" s="74"/>
    </row>
    <row r="88" spans="1:15" s="12" customFormat="1" ht="15">
      <c r="A88" s="47"/>
      <c r="B88" s="90"/>
      <c r="C88" s="17"/>
      <c r="D88" s="25"/>
      <c r="E88" s="104"/>
      <c r="F88" s="48"/>
      <c r="G88" s="284"/>
      <c r="H88" s="284"/>
      <c r="I88" s="284"/>
      <c r="J88" s="284"/>
      <c r="K88" s="284"/>
      <c r="L88" s="284"/>
      <c r="M88" s="284"/>
      <c r="N88" s="284"/>
      <c r="O88" s="74"/>
    </row>
    <row r="89" spans="1:15" s="12" customFormat="1" ht="15">
      <c r="A89" s="47"/>
      <c r="B89" s="90"/>
      <c r="C89" s="17"/>
      <c r="D89" s="25"/>
      <c r="E89" s="104"/>
      <c r="F89" s="48"/>
      <c r="G89" s="284"/>
      <c r="H89" s="284"/>
      <c r="I89" s="284"/>
      <c r="J89" s="284"/>
      <c r="K89" s="284"/>
      <c r="L89" s="284"/>
      <c r="M89" s="284"/>
      <c r="N89" s="284"/>
      <c r="O89" s="74"/>
    </row>
    <row r="90" spans="1:15" s="12" customFormat="1" ht="15">
      <c r="A90" s="47"/>
      <c r="B90" s="90"/>
      <c r="C90" s="17"/>
      <c r="D90" s="25"/>
      <c r="E90" s="104"/>
      <c r="F90" s="48"/>
      <c r="G90" s="104"/>
      <c r="H90" s="60"/>
      <c r="I90" s="72"/>
      <c r="J90" s="161"/>
      <c r="K90" s="162"/>
      <c r="L90" s="163"/>
      <c r="M90" s="164"/>
      <c r="N90" s="162"/>
      <c r="O90" s="74"/>
    </row>
    <row r="91" spans="1:15" s="12" customFormat="1" ht="15">
      <c r="A91" s="47"/>
      <c r="B91" s="90"/>
      <c r="C91" s="17"/>
      <c r="D91" s="25"/>
      <c r="E91" s="104"/>
      <c r="F91" s="48"/>
      <c r="G91" s="104"/>
      <c r="H91" s="60"/>
      <c r="I91" s="72"/>
      <c r="J91" s="161"/>
      <c r="K91" s="162"/>
      <c r="L91" s="163"/>
      <c r="M91" s="164"/>
      <c r="N91" s="162"/>
      <c r="O91" s="74"/>
    </row>
    <row r="92" spans="2:5" ht="18">
      <c r="B92" s="90"/>
      <c r="C92" s="17"/>
      <c r="D92" s="25"/>
      <c r="E92" s="104"/>
    </row>
    <row r="93" spans="2:5" ht="18">
      <c r="B93" s="90"/>
      <c r="C93" s="17"/>
      <c r="D93" s="25"/>
      <c r="E93" s="104"/>
    </row>
    <row r="94" spans="2:14" ht="18">
      <c r="B94" s="90"/>
      <c r="C94" s="17"/>
      <c r="D94" s="25"/>
      <c r="E94" s="104"/>
      <c r="F94" s="104"/>
      <c r="G94" s="104"/>
      <c r="H94" s="60"/>
      <c r="I94" s="72"/>
      <c r="J94" s="161"/>
      <c r="K94" s="162"/>
      <c r="L94" s="163"/>
      <c r="M94" s="164"/>
      <c r="N94" s="162"/>
    </row>
    <row r="95" spans="2:14" ht="18">
      <c r="B95" s="90"/>
      <c r="C95" s="17"/>
      <c r="D95" s="25"/>
      <c r="E95" s="104"/>
      <c r="F95" s="104"/>
      <c r="G95" s="104"/>
      <c r="H95" s="60"/>
      <c r="I95" s="72"/>
      <c r="J95" s="161"/>
      <c r="K95" s="162"/>
      <c r="L95" s="163"/>
      <c r="M95" s="164"/>
      <c r="N95" s="162"/>
    </row>
    <row r="96" spans="2:14" ht="18">
      <c r="B96" s="90"/>
      <c r="C96" s="17"/>
      <c r="D96" s="25"/>
      <c r="E96" s="104"/>
      <c r="F96" s="104"/>
      <c r="G96" s="104"/>
      <c r="H96" s="60"/>
      <c r="I96" s="72"/>
      <c r="J96" s="161"/>
      <c r="K96" s="162"/>
      <c r="L96" s="163"/>
      <c r="M96" s="164"/>
      <c r="N96" s="162"/>
    </row>
    <row r="97" spans="2:14" ht="18">
      <c r="B97" s="90"/>
      <c r="C97" s="17"/>
      <c r="D97" s="25"/>
      <c r="E97" s="104"/>
      <c r="F97" s="104"/>
      <c r="G97" s="104"/>
      <c r="H97" s="60"/>
      <c r="I97" s="72"/>
      <c r="J97" s="161"/>
      <c r="K97" s="162"/>
      <c r="L97" s="163"/>
      <c r="M97" s="164"/>
      <c r="N97" s="162"/>
    </row>
    <row r="98" spans="2:14" ht="18">
      <c r="B98" s="90"/>
      <c r="C98" s="17"/>
      <c r="D98" s="25"/>
      <c r="E98" s="104"/>
      <c r="F98" s="104"/>
      <c r="G98" s="104"/>
      <c r="H98" s="60"/>
      <c r="I98" s="72"/>
      <c r="J98" s="161"/>
      <c r="K98" s="162"/>
      <c r="L98" s="163"/>
      <c r="M98" s="164"/>
      <c r="N98" s="162"/>
    </row>
    <row r="99" spans="2:14" ht="18">
      <c r="B99" s="90"/>
      <c r="C99" s="17"/>
      <c r="D99" s="25"/>
      <c r="E99" s="104"/>
      <c r="F99" s="104"/>
      <c r="G99" s="104"/>
      <c r="H99" s="60"/>
      <c r="I99" s="72"/>
      <c r="J99" s="161"/>
      <c r="K99" s="162"/>
      <c r="L99" s="163"/>
      <c r="M99" s="164"/>
      <c r="N99" s="162"/>
    </row>
    <row r="100" spans="2:14" ht="18">
      <c r="B100" s="90"/>
      <c r="C100" s="17"/>
      <c r="D100" s="25"/>
      <c r="E100" s="104"/>
      <c r="F100" s="104"/>
      <c r="G100" s="104"/>
      <c r="H100" s="60"/>
      <c r="I100" s="72"/>
      <c r="J100" s="161"/>
      <c r="K100" s="162"/>
      <c r="L100" s="163"/>
      <c r="M100" s="164"/>
      <c r="N100" s="162"/>
    </row>
    <row r="101" spans="2:14" ht="18">
      <c r="B101" s="90"/>
      <c r="C101" s="17"/>
      <c r="D101" s="25"/>
      <c r="E101" s="104"/>
      <c r="F101" s="104"/>
      <c r="G101" s="104"/>
      <c r="H101" s="60"/>
      <c r="I101" s="72"/>
      <c r="J101" s="161"/>
      <c r="K101" s="162"/>
      <c r="L101" s="163"/>
      <c r="M101" s="164"/>
      <c r="N101" s="162"/>
    </row>
    <row r="102" spans="6:14" ht="22.5">
      <c r="F102" s="104"/>
      <c r="G102" s="104"/>
      <c r="H102" s="60"/>
      <c r="I102" s="72"/>
      <c r="J102" s="161"/>
      <c r="K102" s="162"/>
      <c r="L102" s="163"/>
      <c r="M102" s="164"/>
      <c r="N102" s="162"/>
    </row>
    <row r="103" spans="6:14" ht="22.5">
      <c r="F103" s="104"/>
      <c r="G103" s="104"/>
      <c r="H103" s="60"/>
      <c r="I103" s="72"/>
      <c r="J103" s="161"/>
      <c r="K103" s="162"/>
      <c r="L103" s="163"/>
      <c r="M103" s="164"/>
      <c r="N103" s="162"/>
    </row>
    <row r="104" spans="6:14" ht="22.5">
      <c r="F104" s="104"/>
      <c r="G104" s="104"/>
      <c r="H104" s="60"/>
      <c r="I104" s="72"/>
      <c r="J104" s="161"/>
      <c r="K104" s="162"/>
      <c r="L104" s="163"/>
      <c r="M104" s="164"/>
      <c r="N104" s="162"/>
    </row>
    <row r="105" spans="6:14" ht="22.5">
      <c r="F105" s="104"/>
      <c r="G105" s="104"/>
      <c r="H105" s="60"/>
      <c r="I105" s="72"/>
      <c r="J105" s="161"/>
      <c r="K105" s="162"/>
      <c r="L105" s="163"/>
      <c r="M105" s="164"/>
      <c r="N105" s="162"/>
    </row>
    <row r="106" spans="6:14" ht="22.5">
      <c r="F106" s="104"/>
      <c r="G106" s="104"/>
      <c r="H106" s="60"/>
      <c r="I106" s="72"/>
      <c r="J106" s="161"/>
      <c r="K106" s="162"/>
      <c r="L106" s="163"/>
      <c r="M106" s="164"/>
      <c r="N106" s="162"/>
    </row>
    <row r="107" spans="6:14" ht="22.5">
      <c r="F107" s="104"/>
      <c r="G107" s="104"/>
      <c r="H107" s="60"/>
      <c r="I107" s="72"/>
      <c r="J107" s="161"/>
      <c r="K107" s="162"/>
      <c r="L107" s="163"/>
      <c r="M107" s="164"/>
      <c r="N107" s="162"/>
    </row>
  </sheetData>
  <sheetProtection insertRows="0" deleteRows="0" sort="0"/>
  <mergeCells count="14">
    <mergeCell ref="A71:B71"/>
    <mergeCell ref="J73:N75"/>
    <mergeCell ref="J76:N76"/>
    <mergeCell ref="A2:N2"/>
    <mergeCell ref="L3:N3"/>
    <mergeCell ref="F3:F4"/>
    <mergeCell ref="E3:E4"/>
    <mergeCell ref="B3:B4"/>
    <mergeCell ref="D3:D4"/>
    <mergeCell ref="G3:G4"/>
    <mergeCell ref="H3:K3"/>
    <mergeCell ref="C3:C4"/>
    <mergeCell ref="G77:N82"/>
    <mergeCell ref="G83:N89"/>
  </mergeCells>
  <printOptions horizontalCentered="1" verticalCentered="1"/>
  <pageMargins left="0.53" right="0.19" top="0.5905511811023623" bottom="0.5" header="0.5118110236220472" footer="0.45"/>
  <pageSetup orientation="portrait" paperSize="9" scale="45" r:id="rId2"/>
  <ignoredErrors>
    <ignoredError sqref="G71:G82 H72:I82 J71:N82 P6:P30 K6:K37 J6:J9 K38:K41 N6:N37 L39:M39 L68 N54 J68:K70 M66:M68" formula="1"/>
    <ignoredError sqref="J42:J46 I42:I46 H10:H28 H42:H46 H37:H41 I10:I41 J38:J41 L42:L49 M42:M53" unlockedFormula="1"/>
    <ignoredError sqref="J10:J37 L6:M37 L38:M38 L40:M41 M54:M65 L69:L70 M69:M70 H29:H36 L50:L53 L54:L65 L66:L67 J54:K67" formula="1" unlockedFormula="1"/>
    <ignoredError sqref="H29:H36 L50:L53" numberStoredAsText="1" unlockedFormula="1"/>
    <ignoredError sqref="E29:G36 E50:I67 J50:K53" numberStoredAsText="1"/>
    <ignoredError sqref="L54:L65" numberStoredAsText="1" formula="1" unlockedFormula="1"/>
    <ignoredError sqref="L66:L67 J54:K67" numberStoredAsText="1" formula="1"/>
  </ignoredErrors>
  <drawing r:id="rId1"/>
</worksheet>
</file>

<file path=xl/worksheets/sheet2.xml><?xml version="1.0" encoding="utf-8"?>
<worksheet xmlns="http://schemas.openxmlformats.org/spreadsheetml/2006/main" xmlns:r="http://schemas.openxmlformats.org/officeDocument/2006/relationships">
  <dimension ref="A1:O14"/>
  <sheetViews>
    <sheetView zoomScale="140" zoomScaleNormal="140" zoomScalePageLayoutView="0" workbookViewId="0" topLeftCell="A1">
      <selection activeCell="D5" sqref="D5"/>
    </sheetView>
  </sheetViews>
  <sheetFormatPr defaultColWidth="17.421875" defaultRowHeight="12.75"/>
  <cols>
    <col min="1" max="1" width="4.140625" style="193" bestFit="1" customWidth="1"/>
    <col min="2" max="2" width="34.57421875" style="14" bestFit="1" customWidth="1"/>
    <col min="3" max="3" width="8.8515625" style="199" customWidth="1"/>
    <col min="4" max="4" width="14.28125" style="199" customWidth="1"/>
    <col min="5" max="5" width="6.28125" style="200" bestFit="1" customWidth="1"/>
    <col min="6" max="6" width="10.00390625" style="200" customWidth="1"/>
    <col min="7" max="7" width="17.8515625" style="196" bestFit="1" customWidth="1"/>
    <col min="8" max="8" width="12.7109375" style="197" bestFit="1" customWidth="1"/>
    <col min="9" max="9" width="11.00390625" style="198" customWidth="1"/>
    <col min="10" max="10" width="2.421875" style="31" bestFit="1" customWidth="1"/>
    <col min="11" max="11" width="17.421875" style="18" customWidth="1"/>
    <col min="12" max="12" width="17.421875" style="19" customWidth="1"/>
    <col min="13" max="13" width="17.421875" style="18" customWidth="1"/>
    <col min="14" max="15" width="17.421875" style="0" customWidth="1"/>
    <col min="16" max="16384" width="17.421875" style="14" customWidth="1"/>
  </cols>
  <sheetData>
    <row r="1" spans="1:13" s="29" customFormat="1" ht="36.75" customHeight="1" thickBot="1">
      <c r="A1" s="297" t="s">
        <v>130</v>
      </c>
      <c r="B1" s="297"/>
      <c r="C1" s="297"/>
      <c r="D1" s="297"/>
      <c r="E1" s="297"/>
      <c r="F1" s="297"/>
      <c r="G1" s="297"/>
      <c r="H1" s="297"/>
      <c r="I1" s="297"/>
      <c r="J1" s="30"/>
      <c r="K1" s="27"/>
      <c r="L1" s="28"/>
      <c r="M1" s="27"/>
    </row>
    <row r="2" spans="1:15" s="202" customFormat="1" ht="13.5" thickBot="1">
      <c r="A2" s="201"/>
      <c r="C2" s="211"/>
      <c r="D2" s="211"/>
      <c r="E2" s="211"/>
      <c r="F2" s="211"/>
      <c r="G2" s="203"/>
      <c r="H2" s="204"/>
      <c r="I2" s="205"/>
      <c r="J2" s="206"/>
      <c r="K2" s="207"/>
      <c r="L2" s="208"/>
      <c r="M2" s="207"/>
      <c r="N2" s="81"/>
      <c r="O2" s="81"/>
    </row>
    <row r="3" spans="1:13" s="215" customFormat="1" ht="12.75">
      <c r="A3" s="209"/>
      <c r="B3" s="298" t="s">
        <v>2</v>
      </c>
      <c r="C3" s="300" t="s">
        <v>9</v>
      </c>
      <c r="D3" s="300" t="s">
        <v>13</v>
      </c>
      <c r="E3" s="278" t="s">
        <v>15</v>
      </c>
      <c r="F3" s="278" t="s">
        <v>10</v>
      </c>
      <c r="G3" s="303" t="s">
        <v>17</v>
      </c>
      <c r="H3" s="304"/>
      <c r="I3" s="305" t="s">
        <v>11</v>
      </c>
      <c r="J3" s="212"/>
      <c r="K3" s="213"/>
      <c r="L3" s="214"/>
      <c r="M3" s="213"/>
    </row>
    <row r="4" spans="1:13" s="215" customFormat="1" ht="13.5" thickBot="1">
      <c r="A4" s="210"/>
      <c r="B4" s="299"/>
      <c r="C4" s="301"/>
      <c r="D4" s="301"/>
      <c r="E4" s="302"/>
      <c r="F4" s="302"/>
      <c r="G4" s="216" t="s">
        <v>6</v>
      </c>
      <c r="H4" s="217" t="s">
        <v>1</v>
      </c>
      <c r="I4" s="306"/>
      <c r="J4" s="212"/>
      <c r="K4" s="213"/>
      <c r="L4" s="214"/>
      <c r="M4" s="213"/>
    </row>
    <row r="5" spans="1:13" s="13" customFormat="1" ht="15">
      <c r="A5" s="194">
        <v>1</v>
      </c>
      <c r="B5" s="235" t="s">
        <v>79</v>
      </c>
      <c r="C5" s="167">
        <v>40179</v>
      </c>
      <c r="D5" s="236" t="s">
        <v>27</v>
      </c>
      <c r="E5" s="179">
        <v>370</v>
      </c>
      <c r="F5" s="179">
        <v>2</v>
      </c>
      <c r="G5" s="237">
        <v>15677754</v>
      </c>
      <c r="H5" s="238">
        <v>1715233</v>
      </c>
      <c r="I5" s="242">
        <f>+G5/H5</f>
        <v>9.140305719397888</v>
      </c>
      <c r="J5" s="262">
        <v>1</v>
      </c>
      <c r="K5" s="21"/>
      <c r="L5" s="22"/>
      <c r="M5" s="21"/>
    </row>
    <row r="6" spans="1:13" s="13" customFormat="1" ht="15">
      <c r="A6" s="194">
        <v>2</v>
      </c>
      <c r="B6" s="243" t="s">
        <v>81</v>
      </c>
      <c r="C6" s="34">
        <v>40179</v>
      </c>
      <c r="D6" s="220" t="s">
        <v>28</v>
      </c>
      <c r="E6" s="93">
        <v>42</v>
      </c>
      <c r="F6" s="93">
        <v>2</v>
      </c>
      <c r="G6" s="51">
        <f>310442.5+275157.5</f>
        <v>585600</v>
      </c>
      <c r="H6" s="63">
        <f>26771+24068</f>
        <v>50839</v>
      </c>
      <c r="I6" s="244">
        <f>G6/H6</f>
        <v>11.518715946419087</v>
      </c>
      <c r="J6" s="234"/>
      <c r="K6" s="21"/>
      <c r="L6" s="22"/>
      <c r="M6" s="21"/>
    </row>
    <row r="7" spans="1:13" s="13" customFormat="1" ht="15.75" thickBot="1">
      <c r="A7" s="195">
        <v>3</v>
      </c>
      <c r="B7" s="268" t="s">
        <v>82</v>
      </c>
      <c r="C7" s="192">
        <v>40179</v>
      </c>
      <c r="D7" s="269" t="s">
        <v>26</v>
      </c>
      <c r="E7" s="270">
        <v>60</v>
      </c>
      <c r="F7" s="270">
        <v>2</v>
      </c>
      <c r="G7" s="57">
        <f>242167+187163+154</f>
        <v>429484</v>
      </c>
      <c r="H7" s="69">
        <f>21845+17511+18</f>
        <v>39374</v>
      </c>
      <c r="I7" s="254">
        <f>+G7/H7</f>
        <v>10.907807182404632</v>
      </c>
      <c r="J7" s="233"/>
      <c r="K7" s="21"/>
      <c r="L7" s="22"/>
      <c r="M7" s="21"/>
    </row>
    <row r="8" spans="1:13" s="13" customFormat="1" ht="15">
      <c r="A8" s="194">
        <v>4</v>
      </c>
      <c r="B8" s="273" t="s">
        <v>83</v>
      </c>
      <c r="C8" s="191">
        <v>40186</v>
      </c>
      <c r="D8" s="274" t="s">
        <v>26</v>
      </c>
      <c r="E8" s="275">
        <v>59</v>
      </c>
      <c r="F8" s="275">
        <v>1</v>
      </c>
      <c r="G8" s="78">
        <v>177508</v>
      </c>
      <c r="H8" s="79">
        <v>17102</v>
      </c>
      <c r="I8" s="258">
        <f>+G8/H8</f>
        <v>10.379370833820605</v>
      </c>
      <c r="J8" s="233"/>
      <c r="K8" s="21"/>
      <c r="L8" s="22"/>
      <c r="M8" s="21"/>
    </row>
    <row r="9" spans="1:10" ht="15">
      <c r="A9" s="193">
        <v>5</v>
      </c>
      <c r="B9" s="243" t="s">
        <v>84</v>
      </c>
      <c r="C9" s="34">
        <v>40186</v>
      </c>
      <c r="D9" s="220" t="s">
        <v>85</v>
      </c>
      <c r="E9" s="93">
        <v>19</v>
      </c>
      <c r="F9" s="93">
        <v>1</v>
      </c>
      <c r="G9" s="223">
        <v>146099</v>
      </c>
      <c r="H9" s="224">
        <v>11468</v>
      </c>
      <c r="I9" s="247">
        <f>IF(G9&lt;&gt;0,G9/H9,"")</f>
        <v>12.739710498779212</v>
      </c>
      <c r="J9" s="233"/>
    </row>
    <row r="10" spans="1:10" ht="15">
      <c r="A10" s="193">
        <v>6</v>
      </c>
      <c r="B10" s="243" t="s">
        <v>92</v>
      </c>
      <c r="C10" s="34">
        <v>40179</v>
      </c>
      <c r="D10" s="220" t="s">
        <v>28</v>
      </c>
      <c r="E10" s="93">
        <v>8</v>
      </c>
      <c r="F10" s="93">
        <v>2</v>
      </c>
      <c r="G10" s="51">
        <f>61026+19560</f>
        <v>80586</v>
      </c>
      <c r="H10" s="63">
        <f>4540+1674</f>
        <v>6214</v>
      </c>
      <c r="I10" s="244">
        <f>G10/H10</f>
        <v>12.968458319922755</v>
      </c>
      <c r="J10" s="234"/>
    </row>
    <row r="11" spans="1:10" ht="15">
      <c r="A11" s="193">
        <v>7</v>
      </c>
      <c r="B11" s="243" t="s">
        <v>96</v>
      </c>
      <c r="C11" s="34">
        <v>40186</v>
      </c>
      <c r="D11" s="220" t="s">
        <v>28</v>
      </c>
      <c r="E11" s="93">
        <v>1</v>
      </c>
      <c r="F11" s="93">
        <v>1</v>
      </c>
      <c r="G11" s="51">
        <f>9061+11823.5</f>
        <v>20884.5</v>
      </c>
      <c r="H11" s="63">
        <f>906+798</f>
        <v>1704</v>
      </c>
      <c r="I11" s="244">
        <f>G11/H11</f>
        <v>12.256161971830986</v>
      </c>
      <c r="J11" s="234"/>
    </row>
    <row r="12" spans="1:10" ht="15">
      <c r="A12" s="193">
        <v>8</v>
      </c>
      <c r="B12" s="243" t="s">
        <v>91</v>
      </c>
      <c r="C12" s="34">
        <v>40186</v>
      </c>
      <c r="D12" s="220" t="s">
        <v>28</v>
      </c>
      <c r="E12" s="93">
        <v>4</v>
      </c>
      <c r="F12" s="93">
        <v>1</v>
      </c>
      <c r="G12" s="51">
        <f>19677.25</f>
        <v>19677.25</v>
      </c>
      <c r="H12" s="63">
        <f>1627</f>
        <v>1627</v>
      </c>
      <c r="I12" s="244">
        <f>G12/H12</f>
        <v>12.09419176398279</v>
      </c>
      <c r="J12" s="234"/>
    </row>
    <row r="13" spans="1:10" ht="15">
      <c r="A13" s="193">
        <v>9</v>
      </c>
      <c r="B13" s="243" t="s">
        <v>93</v>
      </c>
      <c r="C13" s="34">
        <v>40186</v>
      </c>
      <c r="D13" s="220" t="s">
        <v>28</v>
      </c>
      <c r="E13" s="93">
        <v>4</v>
      </c>
      <c r="F13" s="93">
        <v>1</v>
      </c>
      <c r="G13" s="51">
        <f>16093</f>
        <v>16093</v>
      </c>
      <c r="H13" s="63">
        <f>1351</f>
        <v>1351</v>
      </c>
      <c r="I13" s="244">
        <f>G13/H13</f>
        <v>11.911917098445596</v>
      </c>
      <c r="J13" s="234"/>
    </row>
    <row r="14" spans="1:10" ht="15.75" thickBot="1">
      <c r="A14" s="193">
        <v>10</v>
      </c>
      <c r="B14" s="251" t="s">
        <v>120</v>
      </c>
      <c r="C14" s="41">
        <v>40193</v>
      </c>
      <c r="D14" s="252" t="s">
        <v>28</v>
      </c>
      <c r="E14" s="94">
        <v>1</v>
      </c>
      <c r="F14" s="94">
        <v>0</v>
      </c>
      <c r="G14" s="57">
        <f>1080</f>
        <v>1080</v>
      </c>
      <c r="H14" s="69">
        <f>108</f>
        <v>108</v>
      </c>
      <c r="I14" s="254">
        <f>G14/H14</f>
        <v>10</v>
      </c>
      <c r="J14" s="234"/>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r:id="rId1"/>
  <ignoredErrors>
    <ignoredError sqref="K8 G6:H14" unlockedFormula="1"/>
    <ignoredError sqref="I6" formula="1"/>
  </ignoredErrors>
</worksheet>
</file>

<file path=xl/worksheets/sheet3.xml><?xml version="1.0" encoding="utf-8"?>
<worksheet xmlns="http://schemas.openxmlformats.org/spreadsheetml/2006/main" xmlns:r="http://schemas.openxmlformats.org/officeDocument/2006/relationships">
  <dimension ref="A1:P106"/>
  <sheetViews>
    <sheetView tabSelected="1" zoomScalePageLayoutView="0" workbookViewId="0" topLeftCell="A1">
      <selection activeCell="H9" sqref="H9"/>
    </sheetView>
  </sheetViews>
  <sheetFormatPr defaultColWidth="4.00390625" defaultRowHeight="12.75"/>
  <cols>
    <col min="1" max="1" width="5.140625" style="175" bestFit="1" customWidth="1"/>
    <col min="2" max="2" width="50.8515625" style="89" bestFit="1" customWidth="1"/>
    <col min="3" max="3" width="7.00390625" style="168" bestFit="1" customWidth="1"/>
    <col min="4" max="4" width="13.7109375" style="81" bestFit="1" customWidth="1"/>
    <col min="5" max="5" width="5.7109375" style="180" bestFit="1" customWidth="1"/>
    <col min="6" max="6" width="6.28125" style="181" bestFit="1" customWidth="1"/>
    <col min="7" max="7" width="7.421875" style="101" customWidth="1"/>
    <col min="8" max="8" width="15.28125" style="171" bestFit="1" customWidth="1"/>
    <col min="9" max="9" width="9.7109375" style="172" customWidth="1"/>
    <col min="10" max="10" width="10.00390625" style="188" bestFit="1" customWidth="1"/>
    <col min="11" max="11" width="6.140625" style="189" bestFit="1" customWidth="1"/>
    <col min="12" max="12" width="14.421875" style="190" bestFit="1" customWidth="1"/>
    <col min="13" max="13" width="10.28125" style="188" bestFit="1" customWidth="1"/>
    <col min="14" max="14" width="6.140625" style="189" bestFit="1" customWidth="1"/>
    <col min="15" max="15" width="2.8515625" style="271" bestFit="1" customWidth="1"/>
    <col min="16" max="16" width="4.00390625" style="26" customWidth="1"/>
  </cols>
  <sheetData>
    <row r="1" spans="1:14" ht="34.5" thickBot="1">
      <c r="A1" s="309" t="s">
        <v>131</v>
      </c>
      <c r="B1" s="310"/>
      <c r="C1" s="310"/>
      <c r="D1" s="310"/>
      <c r="E1" s="310"/>
      <c r="F1" s="310"/>
      <c r="G1" s="311"/>
      <c r="H1" s="311"/>
      <c r="I1" s="311"/>
      <c r="J1" s="311"/>
      <c r="K1" s="311"/>
      <c r="L1" s="311"/>
      <c r="M1" s="311"/>
      <c r="N1" s="311"/>
    </row>
    <row r="2" spans="1:16" s="75" customFormat="1" ht="12.75">
      <c r="A2" s="105"/>
      <c r="B2" s="312" t="s">
        <v>2</v>
      </c>
      <c r="C2" s="314" t="s">
        <v>14</v>
      </c>
      <c r="D2" s="316" t="s">
        <v>25</v>
      </c>
      <c r="E2" s="307" t="s">
        <v>15</v>
      </c>
      <c r="F2" s="307" t="s">
        <v>22</v>
      </c>
      <c r="G2" s="278" t="s">
        <v>23</v>
      </c>
      <c r="H2" s="318" t="s">
        <v>16</v>
      </c>
      <c r="I2" s="318"/>
      <c r="J2" s="318"/>
      <c r="K2" s="318"/>
      <c r="L2" s="318" t="s">
        <v>17</v>
      </c>
      <c r="M2" s="318"/>
      <c r="N2" s="319"/>
      <c r="O2" s="272"/>
      <c r="P2" s="106"/>
    </row>
    <row r="3" spans="1:16" s="75" customFormat="1" ht="48" customHeight="1" thickBot="1">
      <c r="A3" s="107"/>
      <c r="B3" s="313"/>
      <c r="C3" s="315"/>
      <c r="D3" s="308"/>
      <c r="E3" s="308"/>
      <c r="F3" s="308"/>
      <c r="G3" s="317"/>
      <c r="H3" s="176" t="s">
        <v>18</v>
      </c>
      <c r="I3" s="177" t="s">
        <v>19</v>
      </c>
      <c r="J3" s="177" t="s">
        <v>8</v>
      </c>
      <c r="K3" s="178" t="s">
        <v>20</v>
      </c>
      <c r="L3" s="176" t="s">
        <v>18</v>
      </c>
      <c r="M3" s="177" t="s">
        <v>19</v>
      </c>
      <c r="N3" s="166" t="s">
        <v>21</v>
      </c>
      <c r="O3" s="272"/>
      <c r="P3" s="106"/>
    </row>
    <row r="4" spans="1:15" ht="15">
      <c r="A4" s="173">
        <v>1</v>
      </c>
      <c r="B4" s="264">
        <v>2012</v>
      </c>
      <c r="C4" s="265">
        <v>40130</v>
      </c>
      <c r="D4" s="266" t="s">
        <v>26</v>
      </c>
      <c r="E4" s="267">
        <v>178</v>
      </c>
      <c r="F4" s="267">
        <v>37</v>
      </c>
      <c r="G4" s="267">
        <v>8</v>
      </c>
      <c r="H4" s="169">
        <f>48622+283</f>
        <v>48905</v>
      </c>
      <c r="I4" s="170">
        <f>7403+116</f>
        <v>7519</v>
      </c>
      <c r="J4" s="182">
        <f>I4/F4</f>
        <v>203.21621621621622</v>
      </c>
      <c r="K4" s="183">
        <f aca="true" t="shared" si="0" ref="K4:K9">H4/I4</f>
        <v>6.504189386886554</v>
      </c>
      <c r="L4" s="184">
        <f>13107603+48622+283</f>
        <v>13156508</v>
      </c>
      <c r="M4" s="185">
        <f>1468855+7403+116</f>
        <v>1476374</v>
      </c>
      <c r="N4" s="186">
        <f>+L4/M4</f>
        <v>8.91136527736197</v>
      </c>
      <c r="O4" s="263"/>
    </row>
    <row r="5" spans="1:15" ht="15">
      <c r="A5" s="173">
        <v>2</v>
      </c>
      <c r="B5" s="246">
        <v>2012</v>
      </c>
      <c r="C5" s="36">
        <v>40130</v>
      </c>
      <c r="D5" s="222" t="s">
        <v>26</v>
      </c>
      <c r="E5" s="96">
        <v>178</v>
      </c>
      <c r="F5" s="96">
        <v>25</v>
      </c>
      <c r="G5" s="96">
        <v>9</v>
      </c>
      <c r="H5" s="51">
        <v>29270</v>
      </c>
      <c r="I5" s="63">
        <v>4996</v>
      </c>
      <c r="J5" s="116">
        <f>I5/F5</f>
        <v>199.84</v>
      </c>
      <c r="K5" s="221">
        <f t="shared" si="0"/>
        <v>5.858686949559647</v>
      </c>
      <c r="L5" s="118">
        <f>13107603+48622+283+29270</f>
        <v>13185778</v>
      </c>
      <c r="M5" s="119">
        <f>1468855+7403+116+4996</f>
        <v>1481370</v>
      </c>
      <c r="N5" s="244">
        <f>+L5/M5</f>
        <v>8.901069955514153</v>
      </c>
      <c r="O5" s="262"/>
    </row>
    <row r="6" spans="1:15" ht="15.75" thickBot="1">
      <c r="A6" s="174">
        <v>3</v>
      </c>
      <c r="B6" s="251" t="s">
        <v>38</v>
      </c>
      <c r="C6" s="41">
        <v>40095</v>
      </c>
      <c r="D6" s="252" t="s">
        <v>28</v>
      </c>
      <c r="E6" s="94">
        <v>22</v>
      </c>
      <c r="F6" s="94">
        <v>3</v>
      </c>
      <c r="G6" s="94">
        <v>10</v>
      </c>
      <c r="H6" s="57">
        <v>3158</v>
      </c>
      <c r="I6" s="69">
        <v>596</v>
      </c>
      <c r="J6" s="149">
        <f>(I6/F6)</f>
        <v>198.66666666666666</v>
      </c>
      <c r="K6" s="253">
        <f t="shared" si="0"/>
        <v>5.298657718120805</v>
      </c>
      <c r="L6" s="150">
        <f>158809.5+140713.25+103696.25+38523+19360+17458+1188+196+2484+3158</f>
        <v>485586</v>
      </c>
      <c r="M6" s="151">
        <f>14214+13110+10683+4685+3074+2645+297+16+571+596</f>
        <v>49891</v>
      </c>
      <c r="N6" s="254">
        <f>L6/M6</f>
        <v>9.732937804413622</v>
      </c>
      <c r="O6" s="263"/>
    </row>
    <row r="7" spans="1:15" ht="15">
      <c r="A7" s="173">
        <v>4</v>
      </c>
      <c r="B7" s="84" t="s">
        <v>38</v>
      </c>
      <c r="C7" s="76">
        <v>40095</v>
      </c>
      <c r="D7" s="77" t="s">
        <v>28</v>
      </c>
      <c r="E7" s="95">
        <v>22</v>
      </c>
      <c r="F7" s="95">
        <v>2</v>
      </c>
      <c r="G7" s="95">
        <v>9</v>
      </c>
      <c r="H7" s="78">
        <v>2484</v>
      </c>
      <c r="I7" s="79">
        <v>571</v>
      </c>
      <c r="J7" s="123">
        <f>(I7/F7)</f>
        <v>285.5</v>
      </c>
      <c r="K7" s="124">
        <f t="shared" si="0"/>
        <v>4.350262697022767</v>
      </c>
      <c r="L7" s="125">
        <f>158809.5+140713.25+103696.25+38523+19360+17458+1188+196+2484</f>
        <v>482428</v>
      </c>
      <c r="M7" s="126">
        <f>14214+13110+10683+4685+3074+2645+297+16+571</f>
        <v>49295</v>
      </c>
      <c r="N7" s="127">
        <f>L7/M7</f>
        <v>9.786550360077086</v>
      </c>
      <c r="O7" s="263"/>
    </row>
    <row r="8" spans="1:15" ht="15">
      <c r="A8" s="173">
        <v>5</v>
      </c>
      <c r="B8" s="83" t="s">
        <v>65</v>
      </c>
      <c r="C8" s="34">
        <v>40137</v>
      </c>
      <c r="D8" s="35" t="s">
        <v>52</v>
      </c>
      <c r="E8" s="93">
        <v>149</v>
      </c>
      <c r="F8" s="93">
        <v>9</v>
      </c>
      <c r="G8" s="93">
        <v>7</v>
      </c>
      <c r="H8" s="52">
        <v>27101.5</v>
      </c>
      <c r="I8" s="64">
        <v>4448</v>
      </c>
      <c r="J8" s="143">
        <f>I8/F8</f>
        <v>494.22222222222223</v>
      </c>
      <c r="K8" s="145">
        <f t="shared" si="0"/>
        <v>6.092963129496403</v>
      </c>
      <c r="L8" s="144">
        <v>3103393</v>
      </c>
      <c r="M8" s="143">
        <v>360904</v>
      </c>
      <c r="N8" s="146">
        <f>L8/M8</f>
        <v>8.598943209274488</v>
      </c>
      <c r="O8" s="263">
        <v>1</v>
      </c>
    </row>
    <row r="9" spans="1:15" ht="15">
      <c r="A9" s="173">
        <v>6</v>
      </c>
      <c r="B9" s="83" t="s">
        <v>65</v>
      </c>
      <c r="C9" s="34">
        <v>40137</v>
      </c>
      <c r="D9" s="35" t="s">
        <v>52</v>
      </c>
      <c r="E9" s="93">
        <v>149</v>
      </c>
      <c r="F9" s="93">
        <v>9</v>
      </c>
      <c r="G9" s="93">
        <v>8</v>
      </c>
      <c r="H9" s="52">
        <v>9904.5</v>
      </c>
      <c r="I9" s="64">
        <v>2118</v>
      </c>
      <c r="J9" s="143">
        <f>I9/F9</f>
        <v>235.33333333333334</v>
      </c>
      <c r="K9" s="219">
        <f t="shared" si="0"/>
        <v>4.676345609065156</v>
      </c>
      <c r="L9" s="144">
        <v>3113297.5</v>
      </c>
      <c r="M9" s="143">
        <v>363022</v>
      </c>
      <c r="N9" s="245">
        <f>L9/M9</f>
        <v>8.57605737393326</v>
      </c>
      <c r="O9" s="263">
        <v>1</v>
      </c>
    </row>
    <row r="10" spans="1:15" ht="15">
      <c r="A10" s="173">
        <v>7</v>
      </c>
      <c r="B10" s="246" t="s">
        <v>102</v>
      </c>
      <c r="C10" s="36">
        <v>40151</v>
      </c>
      <c r="D10" s="222" t="s">
        <v>30</v>
      </c>
      <c r="E10" s="96">
        <v>140</v>
      </c>
      <c r="F10" s="96">
        <v>18</v>
      </c>
      <c r="G10" s="96">
        <v>6</v>
      </c>
      <c r="H10" s="56">
        <v>9901</v>
      </c>
      <c r="I10" s="68">
        <v>1541</v>
      </c>
      <c r="J10" s="137">
        <f>IF(H10&lt;&gt;0,I10/F10,"")</f>
        <v>85.61111111111111</v>
      </c>
      <c r="K10" s="226">
        <f>IF(H10&lt;&gt;0,H10/I10,"")</f>
        <v>6.425048669695003</v>
      </c>
      <c r="L10" s="142">
        <v>1019844</v>
      </c>
      <c r="M10" s="143">
        <v>129178</v>
      </c>
      <c r="N10" s="247">
        <f>IF(L10&lt;&gt;0,L10/M10,"")</f>
        <v>7.894873740110545</v>
      </c>
      <c r="O10" s="262">
        <v>1</v>
      </c>
    </row>
    <row r="11" spans="1:15" ht="15">
      <c r="A11" s="173">
        <v>8</v>
      </c>
      <c r="B11" s="85" t="s">
        <v>68</v>
      </c>
      <c r="C11" s="36">
        <v>40151</v>
      </c>
      <c r="D11" s="38" t="s">
        <v>30</v>
      </c>
      <c r="E11" s="96">
        <v>140</v>
      </c>
      <c r="F11" s="96">
        <v>15</v>
      </c>
      <c r="G11" s="96">
        <v>5</v>
      </c>
      <c r="H11" s="56">
        <v>6903</v>
      </c>
      <c r="I11" s="68">
        <v>1187</v>
      </c>
      <c r="J11" s="137">
        <f>IF(H11&lt;&gt;0,I11/F11,"")</f>
        <v>79.13333333333334</v>
      </c>
      <c r="K11" s="138">
        <f>IF(H11&lt;&gt;0,H11/I11,"")</f>
        <v>5.815501263689975</v>
      </c>
      <c r="L11" s="142">
        <v>1009943</v>
      </c>
      <c r="M11" s="143">
        <v>127637</v>
      </c>
      <c r="N11" s="141">
        <f>IF(L11&lt;&gt;0,L11/M11,"")</f>
        <v>7.9126193815273</v>
      </c>
      <c r="O11" s="263">
        <v>1</v>
      </c>
    </row>
    <row r="12" spans="1:15" ht="15">
      <c r="A12" s="173">
        <v>9</v>
      </c>
      <c r="B12" s="83" t="s">
        <v>61</v>
      </c>
      <c r="C12" s="34">
        <v>40165</v>
      </c>
      <c r="D12" s="35" t="s">
        <v>28</v>
      </c>
      <c r="E12" s="93">
        <v>74</v>
      </c>
      <c r="F12" s="93">
        <v>63</v>
      </c>
      <c r="G12" s="93">
        <v>3</v>
      </c>
      <c r="H12" s="51">
        <v>124291.75</v>
      </c>
      <c r="I12" s="63">
        <v>14864</v>
      </c>
      <c r="J12" s="116">
        <f>(I12/F12)</f>
        <v>235.93650793650792</v>
      </c>
      <c r="K12" s="117">
        <f aca="true" t="shared" si="1" ref="K12:K23">H12/I12</f>
        <v>8.361931512378902</v>
      </c>
      <c r="L12" s="118">
        <f>507128.25+345268.5+124291.75</f>
        <v>976688.5</v>
      </c>
      <c r="M12" s="119">
        <f>53408+37346+14864</f>
        <v>105618</v>
      </c>
      <c r="N12" s="120">
        <f>L12/M12</f>
        <v>9.247367872900453</v>
      </c>
      <c r="O12" s="263">
        <v>1</v>
      </c>
    </row>
    <row r="13" spans="1:15" ht="15">
      <c r="A13" s="173">
        <v>10</v>
      </c>
      <c r="B13" s="243" t="s">
        <v>87</v>
      </c>
      <c r="C13" s="34">
        <v>40165</v>
      </c>
      <c r="D13" s="220" t="s">
        <v>28</v>
      </c>
      <c r="E13" s="93">
        <v>74</v>
      </c>
      <c r="F13" s="93">
        <v>74</v>
      </c>
      <c r="G13" s="93">
        <v>4</v>
      </c>
      <c r="H13" s="51">
        <v>100787</v>
      </c>
      <c r="I13" s="63">
        <v>15043</v>
      </c>
      <c r="J13" s="116">
        <f>(I13/F13)</f>
        <v>203.28378378378378</v>
      </c>
      <c r="K13" s="221">
        <f t="shared" si="1"/>
        <v>6.699926876287974</v>
      </c>
      <c r="L13" s="118">
        <f>507128.25+345268.5+124291.75+100787</f>
        <v>1077475.5</v>
      </c>
      <c r="M13" s="119">
        <f>53408+37346+14864+15043</f>
        <v>120661</v>
      </c>
      <c r="N13" s="244">
        <f>L13/M13</f>
        <v>8.929774326418643</v>
      </c>
      <c r="O13" s="263">
        <v>1</v>
      </c>
    </row>
    <row r="14" spans="1:15" ht="15">
      <c r="A14" s="173">
        <v>11</v>
      </c>
      <c r="B14" s="86" t="s">
        <v>67</v>
      </c>
      <c r="C14" s="36">
        <v>40151</v>
      </c>
      <c r="D14" s="39" t="s">
        <v>5</v>
      </c>
      <c r="E14" s="97">
        <v>128</v>
      </c>
      <c r="F14" s="97">
        <v>14</v>
      </c>
      <c r="G14" s="97">
        <v>5</v>
      </c>
      <c r="H14" s="53">
        <v>10820.5</v>
      </c>
      <c r="I14" s="65">
        <v>2203</v>
      </c>
      <c r="J14" s="128">
        <f>I14/F14</f>
        <v>157.35714285714286</v>
      </c>
      <c r="K14" s="129">
        <f t="shared" si="1"/>
        <v>4.911711302768952</v>
      </c>
      <c r="L14" s="130">
        <v>1602521</v>
      </c>
      <c r="M14" s="131">
        <v>185512</v>
      </c>
      <c r="N14" s="132">
        <f>+L14/M14</f>
        <v>8.638368407434559</v>
      </c>
      <c r="O14" s="263">
        <v>1</v>
      </c>
    </row>
    <row r="15" spans="1:15" ht="15">
      <c r="A15" s="173">
        <v>12</v>
      </c>
      <c r="B15" s="248" t="s">
        <v>97</v>
      </c>
      <c r="C15" s="36">
        <v>40151</v>
      </c>
      <c r="D15" s="229" t="s">
        <v>5</v>
      </c>
      <c r="E15" s="97">
        <v>128</v>
      </c>
      <c r="F15" s="97">
        <v>13</v>
      </c>
      <c r="G15" s="97">
        <v>6</v>
      </c>
      <c r="H15" s="53">
        <v>10811</v>
      </c>
      <c r="I15" s="65">
        <v>1908</v>
      </c>
      <c r="J15" s="128">
        <f>I15/F15</f>
        <v>146.76923076923077</v>
      </c>
      <c r="K15" s="230">
        <f t="shared" si="1"/>
        <v>5.666142557651992</v>
      </c>
      <c r="L15" s="130">
        <v>1613332</v>
      </c>
      <c r="M15" s="131">
        <v>187420</v>
      </c>
      <c r="N15" s="247">
        <f>IF(L15&lt;&gt;0,L15/M15,"")</f>
        <v>8.608110126987516</v>
      </c>
      <c r="O15" s="262">
        <v>1</v>
      </c>
    </row>
    <row r="16" spans="1:15" ht="15">
      <c r="A16" s="173">
        <v>13</v>
      </c>
      <c r="B16" s="83" t="s">
        <v>36</v>
      </c>
      <c r="C16" s="34">
        <v>40067</v>
      </c>
      <c r="D16" s="35" t="s">
        <v>28</v>
      </c>
      <c r="E16" s="93">
        <v>51</v>
      </c>
      <c r="F16" s="93">
        <v>2</v>
      </c>
      <c r="G16" s="93">
        <v>16</v>
      </c>
      <c r="H16" s="51">
        <v>1264</v>
      </c>
      <c r="I16" s="63">
        <v>316</v>
      </c>
      <c r="J16" s="116">
        <f aca="true" t="shared" si="2" ref="J16:J23">(I16/F16)</f>
        <v>158</v>
      </c>
      <c r="K16" s="117">
        <f t="shared" si="1"/>
        <v>4</v>
      </c>
      <c r="L16" s="118">
        <f>182949+180053+29827+20114+26140.5+10395.5+4671+3342+2340+5520+249.5+165+3602+91+952+1264</f>
        <v>471675.5</v>
      </c>
      <c r="M16" s="119">
        <f>18625+17802+3355+2859+3903+1800+782+594+465+1366+90+60+905+15+238+316</f>
        <v>53175</v>
      </c>
      <c r="N16" s="120">
        <f aca="true" t="shared" si="3" ref="N16:N23">L16/M16</f>
        <v>8.870249177244945</v>
      </c>
      <c r="O16" s="263"/>
    </row>
    <row r="17" spans="1:15" ht="15">
      <c r="A17" s="173">
        <v>14</v>
      </c>
      <c r="B17" s="243" t="s">
        <v>36</v>
      </c>
      <c r="C17" s="34">
        <v>40067</v>
      </c>
      <c r="D17" s="220" t="s">
        <v>28</v>
      </c>
      <c r="E17" s="93">
        <v>51</v>
      </c>
      <c r="F17" s="93">
        <v>1</v>
      </c>
      <c r="G17" s="93">
        <v>17</v>
      </c>
      <c r="H17" s="51">
        <v>44</v>
      </c>
      <c r="I17" s="63">
        <v>11</v>
      </c>
      <c r="J17" s="116">
        <f t="shared" si="2"/>
        <v>11</v>
      </c>
      <c r="K17" s="221">
        <f t="shared" si="1"/>
        <v>4</v>
      </c>
      <c r="L17" s="118">
        <f>182949+180053+29827+20114+26140.5+10395.5+4671+3342+2340+5520+249.5+165+3602+91+952+1264+44</f>
        <v>471719.5</v>
      </c>
      <c r="M17" s="119">
        <f>18625+17802+3355+2859+3903+1800+782+594+465+1366+90+60+905+15+238+316+11</f>
        <v>53186</v>
      </c>
      <c r="N17" s="244">
        <f t="shared" si="3"/>
        <v>8.869241905764675</v>
      </c>
      <c r="O17" s="263"/>
    </row>
    <row r="18" spans="1:15" ht="15">
      <c r="A18" s="173">
        <v>15</v>
      </c>
      <c r="B18" s="83" t="s">
        <v>56</v>
      </c>
      <c r="C18" s="34">
        <v>40172</v>
      </c>
      <c r="D18" s="35" t="s">
        <v>28</v>
      </c>
      <c r="E18" s="93">
        <v>60</v>
      </c>
      <c r="F18" s="93">
        <v>60</v>
      </c>
      <c r="G18" s="93">
        <v>2</v>
      </c>
      <c r="H18" s="51">
        <v>397159.5</v>
      </c>
      <c r="I18" s="63">
        <v>40733</v>
      </c>
      <c r="J18" s="116">
        <f t="shared" si="2"/>
        <v>678.8833333333333</v>
      </c>
      <c r="K18" s="117">
        <f t="shared" si="1"/>
        <v>9.750313014018118</v>
      </c>
      <c r="L18" s="118">
        <f>421775.5+397159.5</f>
        <v>818935</v>
      </c>
      <c r="M18" s="119">
        <f>43739+40733</f>
        <v>84472</v>
      </c>
      <c r="N18" s="120">
        <f t="shared" si="3"/>
        <v>9.694750923382896</v>
      </c>
      <c r="O18" s="263"/>
    </row>
    <row r="19" spans="1:15" ht="15">
      <c r="A19" s="173">
        <v>16</v>
      </c>
      <c r="B19" s="83" t="s">
        <v>56</v>
      </c>
      <c r="C19" s="34">
        <v>40172</v>
      </c>
      <c r="D19" s="35" t="s">
        <v>28</v>
      </c>
      <c r="E19" s="93">
        <v>60</v>
      </c>
      <c r="F19" s="93">
        <v>60</v>
      </c>
      <c r="G19" s="93">
        <v>3</v>
      </c>
      <c r="H19" s="51">
        <v>287050</v>
      </c>
      <c r="I19" s="63">
        <v>31780</v>
      </c>
      <c r="J19" s="116">
        <f t="shared" si="2"/>
        <v>529.6666666666666</v>
      </c>
      <c r="K19" s="221">
        <f t="shared" si="1"/>
        <v>9.032410320956576</v>
      </c>
      <c r="L19" s="118">
        <f>421775.5+397095.5+287050</f>
        <v>1105921</v>
      </c>
      <c r="M19" s="119">
        <f>43739+40732+31780</f>
        <v>116251</v>
      </c>
      <c r="N19" s="244">
        <f t="shared" si="3"/>
        <v>9.513217090605671</v>
      </c>
      <c r="O19" s="234"/>
    </row>
    <row r="20" spans="1:15" ht="15">
      <c r="A20" s="173">
        <v>17</v>
      </c>
      <c r="B20" s="243" t="s">
        <v>95</v>
      </c>
      <c r="C20" s="34">
        <v>40123</v>
      </c>
      <c r="D20" s="220" t="s">
        <v>28</v>
      </c>
      <c r="E20" s="93">
        <v>144</v>
      </c>
      <c r="F20" s="93">
        <v>8</v>
      </c>
      <c r="G20" s="93">
        <v>10</v>
      </c>
      <c r="H20" s="51">
        <v>13616</v>
      </c>
      <c r="I20" s="63">
        <v>2381</v>
      </c>
      <c r="J20" s="116">
        <f t="shared" si="2"/>
        <v>297.625</v>
      </c>
      <c r="K20" s="221">
        <f t="shared" si="1"/>
        <v>5.718605627887443</v>
      </c>
      <c r="L20" s="118">
        <f>909778+593215.5+203934.5+91391+32233.5+29451.5+14597.5+12123.5+12906+13616</f>
        <v>1913247</v>
      </c>
      <c r="M20" s="119">
        <f>103944+67300+25860+13426+5611+5689+2739+1975+2803+2381</f>
        <v>231728</v>
      </c>
      <c r="N20" s="244">
        <f t="shared" si="3"/>
        <v>8.256434267762204</v>
      </c>
      <c r="O20" s="263">
        <v>1</v>
      </c>
    </row>
    <row r="21" spans="1:15" ht="15">
      <c r="A21" s="173">
        <v>18</v>
      </c>
      <c r="B21" s="83" t="s">
        <v>66</v>
      </c>
      <c r="C21" s="34">
        <v>40123</v>
      </c>
      <c r="D21" s="35" t="s">
        <v>28</v>
      </c>
      <c r="E21" s="93">
        <v>144</v>
      </c>
      <c r="F21" s="93">
        <v>12</v>
      </c>
      <c r="G21" s="93">
        <v>9</v>
      </c>
      <c r="H21" s="51">
        <v>12906</v>
      </c>
      <c r="I21" s="63">
        <v>2803</v>
      </c>
      <c r="J21" s="116">
        <f t="shared" si="2"/>
        <v>233.58333333333334</v>
      </c>
      <c r="K21" s="117">
        <f t="shared" si="1"/>
        <v>4.6043524794862645</v>
      </c>
      <c r="L21" s="118">
        <f>909778+593215.5+203934.5+91391+32233.5+29451.5+14597.5+12123.5+12906</f>
        <v>1899631</v>
      </c>
      <c r="M21" s="119">
        <f>103944+67300+25860+13426+5611+5689+2739+1975+2803</f>
        <v>229347</v>
      </c>
      <c r="N21" s="120">
        <f t="shared" si="3"/>
        <v>8.282781113334815</v>
      </c>
      <c r="O21" s="263">
        <v>1</v>
      </c>
    </row>
    <row r="22" spans="1:15" ht="15">
      <c r="A22" s="173">
        <v>19</v>
      </c>
      <c r="B22" s="83" t="s">
        <v>53</v>
      </c>
      <c r="C22" s="34">
        <v>40165</v>
      </c>
      <c r="D22" s="35" t="s">
        <v>28</v>
      </c>
      <c r="E22" s="93">
        <v>125</v>
      </c>
      <c r="F22" s="93">
        <v>156</v>
      </c>
      <c r="G22" s="93">
        <v>3</v>
      </c>
      <c r="H22" s="51">
        <v>3469556.5</v>
      </c>
      <c r="I22" s="63">
        <v>309119</v>
      </c>
      <c r="J22" s="116">
        <f t="shared" si="2"/>
        <v>1981.5320512820513</v>
      </c>
      <c r="K22" s="117">
        <f t="shared" si="1"/>
        <v>11.224015670340549</v>
      </c>
      <c r="L22" s="118">
        <f>4033069.5+3582182.5+3469556.5</f>
        <v>11084808.5</v>
      </c>
      <c r="M22" s="119">
        <f>383242+338340+309119</f>
        <v>1030701</v>
      </c>
      <c r="N22" s="120">
        <f t="shared" si="3"/>
        <v>10.754630586367918</v>
      </c>
      <c r="O22" s="263"/>
    </row>
    <row r="23" spans="1:15" ht="15">
      <c r="A23" s="173">
        <v>20</v>
      </c>
      <c r="B23" s="243" t="s">
        <v>53</v>
      </c>
      <c r="C23" s="34">
        <v>40165</v>
      </c>
      <c r="D23" s="220" t="s">
        <v>28</v>
      </c>
      <c r="E23" s="93">
        <v>125</v>
      </c>
      <c r="F23" s="93">
        <v>158</v>
      </c>
      <c r="G23" s="93">
        <v>4</v>
      </c>
      <c r="H23" s="51">
        <v>3099545</v>
      </c>
      <c r="I23" s="63">
        <v>280170</v>
      </c>
      <c r="J23" s="116">
        <f t="shared" si="2"/>
        <v>1773.2278481012659</v>
      </c>
      <c r="K23" s="221">
        <f t="shared" si="1"/>
        <v>11.063086697362316</v>
      </c>
      <c r="L23" s="118">
        <f>4033069.5+3582182.5+3469556.5+3099545</f>
        <v>14184353.5</v>
      </c>
      <c r="M23" s="119">
        <f>383242+338340+309119+280170</f>
        <v>1310871</v>
      </c>
      <c r="N23" s="244">
        <f t="shared" si="3"/>
        <v>10.820556332392737</v>
      </c>
      <c r="O23" s="263"/>
    </row>
    <row r="24" spans="1:15" ht="15">
      <c r="A24" s="173">
        <v>21</v>
      </c>
      <c r="B24" s="246" t="s">
        <v>86</v>
      </c>
      <c r="C24" s="36">
        <v>40165</v>
      </c>
      <c r="D24" s="222" t="s">
        <v>30</v>
      </c>
      <c r="E24" s="96">
        <v>38</v>
      </c>
      <c r="F24" s="96">
        <v>40</v>
      </c>
      <c r="G24" s="96">
        <v>4</v>
      </c>
      <c r="H24" s="56">
        <v>118129</v>
      </c>
      <c r="I24" s="68">
        <v>14601</v>
      </c>
      <c r="J24" s="137">
        <f>IF(H24&lt;&gt;0,I24/F24,"")</f>
        <v>365.025</v>
      </c>
      <c r="K24" s="226">
        <f>IF(H24&lt;&gt;0,H24/I24,"")</f>
        <v>8.090473255256489</v>
      </c>
      <c r="L24" s="142">
        <v>736893.5</v>
      </c>
      <c r="M24" s="143">
        <v>81207</v>
      </c>
      <c r="N24" s="247">
        <f>IF(L24&lt;&gt;0,L24/M24,"")</f>
        <v>9.074260839582795</v>
      </c>
      <c r="O24" s="262">
        <v>1</v>
      </c>
    </row>
    <row r="25" spans="1:15" ht="15">
      <c r="A25" s="173">
        <v>22</v>
      </c>
      <c r="B25" s="85" t="s">
        <v>63</v>
      </c>
      <c r="C25" s="36">
        <v>40165</v>
      </c>
      <c r="D25" s="38" t="s">
        <v>30</v>
      </c>
      <c r="E25" s="96">
        <v>38</v>
      </c>
      <c r="F25" s="96">
        <v>29</v>
      </c>
      <c r="G25" s="96">
        <v>3</v>
      </c>
      <c r="H25" s="56">
        <v>96495.25</v>
      </c>
      <c r="I25" s="68">
        <v>11131</v>
      </c>
      <c r="J25" s="137">
        <f>IF(H25&lt;&gt;0,I25/F25,"")</f>
        <v>383.82758620689657</v>
      </c>
      <c r="K25" s="138">
        <f>IF(H25&lt;&gt;0,H25/I25,"")</f>
        <v>8.669054891743778</v>
      </c>
      <c r="L25" s="142">
        <v>618764.5</v>
      </c>
      <c r="M25" s="143">
        <v>66606</v>
      </c>
      <c r="N25" s="141">
        <f>IF(L25&lt;&gt;0,L25/M25,"")</f>
        <v>9.289921328408852</v>
      </c>
      <c r="O25" s="263">
        <v>1</v>
      </c>
    </row>
    <row r="26" spans="1:15" ht="15">
      <c r="A26" s="173">
        <v>23</v>
      </c>
      <c r="B26" s="243" t="s">
        <v>125</v>
      </c>
      <c r="C26" s="34">
        <v>39850</v>
      </c>
      <c r="D26" s="218" t="s">
        <v>27</v>
      </c>
      <c r="E26" s="93">
        <v>78</v>
      </c>
      <c r="F26" s="93">
        <v>1</v>
      </c>
      <c r="G26" s="93">
        <v>48</v>
      </c>
      <c r="H26" s="52">
        <v>609</v>
      </c>
      <c r="I26" s="64">
        <v>280</v>
      </c>
      <c r="J26" s="143">
        <f>I26/F26</f>
        <v>280</v>
      </c>
      <c r="K26" s="219">
        <f>+H26/I26</f>
        <v>2.175</v>
      </c>
      <c r="L26" s="144">
        <v>905076</v>
      </c>
      <c r="M26" s="143">
        <v>98834</v>
      </c>
      <c r="N26" s="245">
        <f>+L26/M26</f>
        <v>9.157536880021045</v>
      </c>
      <c r="O26" s="262"/>
    </row>
    <row r="27" spans="1:15" ht="15">
      <c r="A27" s="173">
        <v>24</v>
      </c>
      <c r="B27" s="243" t="s">
        <v>109</v>
      </c>
      <c r="C27" s="34">
        <v>40130</v>
      </c>
      <c r="D27" s="220" t="s">
        <v>28</v>
      </c>
      <c r="E27" s="93">
        <v>13</v>
      </c>
      <c r="F27" s="93">
        <v>4</v>
      </c>
      <c r="G27" s="93">
        <v>9</v>
      </c>
      <c r="H27" s="51">
        <v>1678.5</v>
      </c>
      <c r="I27" s="63">
        <v>334</v>
      </c>
      <c r="J27" s="116">
        <f>(I27/F27)</f>
        <v>83.5</v>
      </c>
      <c r="K27" s="221">
        <f>H27/I27</f>
        <v>5.025449101796407</v>
      </c>
      <c r="L27" s="118">
        <f>61012+24426+6122+10040+4081+228+2698+1216+1678.5</f>
        <v>111501.5</v>
      </c>
      <c r="M27" s="119">
        <f>5982+2401+678+1620+879+42+433+305+334</f>
        <v>12674</v>
      </c>
      <c r="N27" s="244">
        <f>L27/M27</f>
        <v>8.797656619851665</v>
      </c>
      <c r="O27" s="263">
        <v>1</v>
      </c>
    </row>
    <row r="28" spans="1:15" ht="15">
      <c r="A28" s="173">
        <v>25</v>
      </c>
      <c r="B28" s="83" t="s">
        <v>76</v>
      </c>
      <c r="C28" s="34">
        <v>40130</v>
      </c>
      <c r="D28" s="35" t="s">
        <v>28</v>
      </c>
      <c r="E28" s="93">
        <v>13</v>
      </c>
      <c r="F28" s="93">
        <v>2</v>
      </c>
      <c r="G28" s="93">
        <v>8</v>
      </c>
      <c r="H28" s="51">
        <v>1216</v>
      </c>
      <c r="I28" s="63">
        <v>305</v>
      </c>
      <c r="J28" s="116">
        <f>(I28/F28)</f>
        <v>152.5</v>
      </c>
      <c r="K28" s="117">
        <f>H28/I28</f>
        <v>3.9868852459016395</v>
      </c>
      <c r="L28" s="118">
        <f>61012+24426+6122+10040+4081+228+2698+1216</f>
        <v>109823</v>
      </c>
      <c r="M28" s="119">
        <f>5982+2401+678+1620+879+42+433+305</f>
        <v>12340</v>
      </c>
      <c r="N28" s="120">
        <f>L28/M28</f>
        <v>8.899756888168557</v>
      </c>
      <c r="O28" s="263">
        <v>1</v>
      </c>
    </row>
    <row r="29" spans="1:15" ht="15">
      <c r="A29" s="173">
        <v>26</v>
      </c>
      <c r="B29" s="246" t="s">
        <v>117</v>
      </c>
      <c r="C29" s="36">
        <v>40158</v>
      </c>
      <c r="D29" s="222" t="s">
        <v>30</v>
      </c>
      <c r="E29" s="96">
        <v>6</v>
      </c>
      <c r="F29" s="96">
        <v>3</v>
      </c>
      <c r="G29" s="96">
        <v>4</v>
      </c>
      <c r="H29" s="56">
        <v>1098</v>
      </c>
      <c r="I29" s="68">
        <v>177</v>
      </c>
      <c r="J29" s="137">
        <f>IF(H29&lt;&gt;0,I29/F29,"")</f>
        <v>59</v>
      </c>
      <c r="K29" s="226">
        <f>IF(H29&lt;&gt;0,H29/I29,"")</f>
        <v>6.203389830508475</v>
      </c>
      <c r="L29" s="142">
        <v>48973</v>
      </c>
      <c r="M29" s="143">
        <v>4330</v>
      </c>
      <c r="N29" s="247">
        <f>IF(L29&lt;&gt;0,L29/M29,"")</f>
        <v>11.310161662817553</v>
      </c>
      <c r="O29" s="262"/>
    </row>
    <row r="30" spans="1:15" ht="15">
      <c r="A30" s="173">
        <v>27</v>
      </c>
      <c r="B30" s="243" t="s">
        <v>47</v>
      </c>
      <c r="C30" s="34">
        <v>40137</v>
      </c>
      <c r="D30" s="218" t="s">
        <v>27</v>
      </c>
      <c r="E30" s="93">
        <v>61</v>
      </c>
      <c r="F30" s="93">
        <v>4</v>
      </c>
      <c r="G30" s="93">
        <v>8</v>
      </c>
      <c r="H30" s="52">
        <v>2148</v>
      </c>
      <c r="I30" s="64">
        <v>594</v>
      </c>
      <c r="J30" s="143">
        <f>I30/F30</f>
        <v>148.5</v>
      </c>
      <c r="K30" s="219">
        <f>+H30/I30</f>
        <v>3.6161616161616164</v>
      </c>
      <c r="L30" s="144">
        <v>458401</v>
      </c>
      <c r="M30" s="143">
        <v>42433</v>
      </c>
      <c r="N30" s="245">
        <f>+L30/M30</f>
        <v>10.802936393844414</v>
      </c>
      <c r="O30" s="262"/>
    </row>
    <row r="31" spans="1:15" ht="15">
      <c r="A31" s="173">
        <v>28</v>
      </c>
      <c r="B31" s="87" t="s">
        <v>47</v>
      </c>
      <c r="C31" s="32">
        <v>40137</v>
      </c>
      <c r="D31" s="33" t="s">
        <v>27</v>
      </c>
      <c r="E31" s="98">
        <v>61</v>
      </c>
      <c r="F31" s="98">
        <v>1</v>
      </c>
      <c r="G31" s="98">
        <v>7</v>
      </c>
      <c r="H31" s="54">
        <v>768</v>
      </c>
      <c r="I31" s="66">
        <v>63</v>
      </c>
      <c r="J31" s="133">
        <f>I31/F31</f>
        <v>63</v>
      </c>
      <c r="K31" s="134">
        <f>+H31/I31</f>
        <v>12.19047619047619</v>
      </c>
      <c r="L31" s="135">
        <v>456253</v>
      </c>
      <c r="M31" s="133">
        <v>41839</v>
      </c>
      <c r="N31" s="136">
        <f>+L31/M31</f>
        <v>10.9049690480174</v>
      </c>
      <c r="O31" s="263"/>
    </row>
    <row r="32" spans="1:15" ht="15">
      <c r="A32" s="173">
        <v>29</v>
      </c>
      <c r="B32" s="85" t="s">
        <v>48</v>
      </c>
      <c r="C32" s="36">
        <v>40137</v>
      </c>
      <c r="D32" s="37" t="s">
        <v>26</v>
      </c>
      <c r="E32" s="96">
        <v>20</v>
      </c>
      <c r="F32" s="96">
        <v>1</v>
      </c>
      <c r="G32" s="96">
        <v>7</v>
      </c>
      <c r="H32" s="51">
        <v>4193</v>
      </c>
      <c r="I32" s="63">
        <v>595</v>
      </c>
      <c r="J32" s="116">
        <f>I32/F32</f>
        <v>595</v>
      </c>
      <c r="K32" s="117">
        <f>H32/I32</f>
        <v>7.047058823529412</v>
      </c>
      <c r="L32" s="118">
        <f>997860+4193</f>
        <v>1002053</v>
      </c>
      <c r="M32" s="119">
        <f>81544+595</f>
        <v>82139</v>
      </c>
      <c r="N32" s="120">
        <f>+L32/M32</f>
        <v>12.1994789320542</v>
      </c>
      <c r="O32" s="263"/>
    </row>
    <row r="33" spans="1:15" ht="15">
      <c r="A33" s="173">
        <v>30</v>
      </c>
      <c r="B33" s="246" t="s">
        <v>48</v>
      </c>
      <c r="C33" s="36">
        <v>40137</v>
      </c>
      <c r="D33" s="222" t="s">
        <v>26</v>
      </c>
      <c r="E33" s="96">
        <v>20</v>
      </c>
      <c r="F33" s="96">
        <v>1</v>
      </c>
      <c r="G33" s="96">
        <v>8</v>
      </c>
      <c r="H33" s="51">
        <v>617</v>
      </c>
      <c r="I33" s="63">
        <v>106</v>
      </c>
      <c r="J33" s="116">
        <f>I33/F33</f>
        <v>106</v>
      </c>
      <c r="K33" s="221">
        <f>H33/I33</f>
        <v>5.820754716981132</v>
      </c>
      <c r="L33" s="118">
        <f>997860+4193+617</f>
        <v>1002670</v>
      </c>
      <c r="M33" s="119">
        <f>81544+595+106</f>
        <v>82245</v>
      </c>
      <c r="N33" s="244">
        <f>+L33/M33</f>
        <v>12.19125782722354</v>
      </c>
      <c r="O33" s="262"/>
    </row>
    <row r="34" spans="1:15" ht="15">
      <c r="A34" s="173">
        <v>31</v>
      </c>
      <c r="B34" s="243" t="s">
        <v>119</v>
      </c>
      <c r="C34" s="34">
        <v>40102</v>
      </c>
      <c r="D34" s="220" t="s">
        <v>28</v>
      </c>
      <c r="E34" s="93">
        <v>22</v>
      </c>
      <c r="F34" s="93">
        <v>1</v>
      </c>
      <c r="G34" s="93">
        <v>6</v>
      </c>
      <c r="H34" s="51">
        <v>1081.5</v>
      </c>
      <c r="I34" s="63">
        <v>369</v>
      </c>
      <c r="J34" s="116">
        <f>(I34/F34)</f>
        <v>369</v>
      </c>
      <c r="K34" s="221">
        <f>H34/I34</f>
        <v>2.930894308943089</v>
      </c>
      <c r="L34" s="118">
        <f>129717.5+110957+18478+6527+6853.5+1081.5</f>
        <v>273614.5</v>
      </c>
      <c r="M34" s="119">
        <f>10402+8975+1885+691+1109+369</f>
        <v>23431</v>
      </c>
      <c r="N34" s="244">
        <f>L34/M34</f>
        <v>11.677457214800905</v>
      </c>
      <c r="O34" s="263"/>
    </row>
    <row r="35" spans="1:15" ht="15">
      <c r="A35" s="173">
        <v>32</v>
      </c>
      <c r="B35" s="87" t="s">
        <v>54</v>
      </c>
      <c r="C35" s="32">
        <v>40172</v>
      </c>
      <c r="D35" s="33" t="s">
        <v>27</v>
      </c>
      <c r="E35" s="98">
        <v>51</v>
      </c>
      <c r="F35" s="98">
        <v>51</v>
      </c>
      <c r="G35" s="98">
        <v>2</v>
      </c>
      <c r="H35" s="54">
        <v>175309</v>
      </c>
      <c r="I35" s="66">
        <v>14721</v>
      </c>
      <c r="J35" s="133">
        <f>I35/F35</f>
        <v>288.6470588235294</v>
      </c>
      <c r="K35" s="134">
        <f>+H35/I35</f>
        <v>11.908769784661368</v>
      </c>
      <c r="L35" s="135">
        <v>448889</v>
      </c>
      <c r="M35" s="133">
        <v>39522</v>
      </c>
      <c r="N35" s="136">
        <f>+L35/M35</f>
        <v>11.35795253276656</v>
      </c>
      <c r="O35" s="263"/>
    </row>
    <row r="36" spans="1:15" ht="15">
      <c r="A36" s="173">
        <v>33</v>
      </c>
      <c r="B36" s="243" t="s">
        <v>54</v>
      </c>
      <c r="C36" s="34">
        <v>40172</v>
      </c>
      <c r="D36" s="218" t="s">
        <v>27</v>
      </c>
      <c r="E36" s="93">
        <v>51</v>
      </c>
      <c r="F36" s="93">
        <v>38</v>
      </c>
      <c r="G36" s="93">
        <v>3</v>
      </c>
      <c r="H36" s="52">
        <v>69657</v>
      </c>
      <c r="I36" s="64">
        <v>6224</v>
      </c>
      <c r="J36" s="143">
        <f>I36/F36</f>
        <v>163.78947368421052</v>
      </c>
      <c r="K36" s="219">
        <f>+H36/I36</f>
        <v>11.19167737789203</v>
      </c>
      <c r="L36" s="144">
        <v>518546</v>
      </c>
      <c r="M36" s="143">
        <v>45746</v>
      </c>
      <c r="N36" s="245">
        <f>+L36/M36</f>
        <v>11.335329864906221</v>
      </c>
      <c r="O36" s="262"/>
    </row>
    <row r="37" spans="1:15" ht="15">
      <c r="A37" s="173">
        <v>34</v>
      </c>
      <c r="B37" s="83" t="s">
        <v>58</v>
      </c>
      <c r="C37" s="34">
        <v>40172</v>
      </c>
      <c r="D37" s="35" t="s">
        <v>42</v>
      </c>
      <c r="E37" s="93">
        <v>196</v>
      </c>
      <c r="F37" s="93">
        <v>196</v>
      </c>
      <c r="G37" s="93">
        <v>2</v>
      </c>
      <c r="H37" s="52">
        <v>546264.5</v>
      </c>
      <c r="I37" s="64">
        <v>66898</v>
      </c>
      <c r="J37" s="137">
        <f>IF(H37&lt;&gt;0,I37/F37,"")</f>
        <v>341.31632653061223</v>
      </c>
      <c r="K37" s="138">
        <f>IF(H37&lt;&gt;0,H37/I37,"")</f>
        <v>8.165632754342433</v>
      </c>
      <c r="L37" s="144">
        <f>821982.75+546264.5</f>
        <v>1368247.25</v>
      </c>
      <c r="M37" s="143">
        <f>109740+66898</f>
        <v>176638</v>
      </c>
      <c r="N37" s="141">
        <f>IF(L37&lt;&gt;0,L37/M37,"")</f>
        <v>7.746052661375242</v>
      </c>
      <c r="O37" s="263">
        <v>1</v>
      </c>
    </row>
    <row r="38" spans="1:15" ht="15">
      <c r="A38" s="173">
        <v>35</v>
      </c>
      <c r="B38" s="243" t="s">
        <v>80</v>
      </c>
      <c r="C38" s="34">
        <v>40172</v>
      </c>
      <c r="D38" s="220" t="s">
        <v>42</v>
      </c>
      <c r="E38" s="93">
        <v>196</v>
      </c>
      <c r="F38" s="93">
        <v>183</v>
      </c>
      <c r="G38" s="93">
        <v>3</v>
      </c>
      <c r="H38" s="52">
        <v>300546.5</v>
      </c>
      <c r="I38" s="64">
        <v>39464</v>
      </c>
      <c r="J38" s="143">
        <f>I38/F38</f>
        <v>215.65027322404373</v>
      </c>
      <c r="K38" s="219">
        <f>+H38/I38</f>
        <v>7.615713054936144</v>
      </c>
      <c r="L38" s="144">
        <f>821982.75+546264.5+300546.5</f>
        <v>1668793.75</v>
      </c>
      <c r="M38" s="143">
        <f>109740+66898+39464</f>
        <v>216102</v>
      </c>
      <c r="N38" s="245">
        <f>+L38/M38</f>
        <v>7.722250372509278</v>
      </c>
      <c r="O38" s="262">
        <v>1</v>
      </c>
    </row>
    <row r="39" spans="1:15" ht="15">
      <c r="A39" s="173">
        <v>36</v>
      </c>
      <c r="B39" s="246" t="s">
        <v>44</v>
      </c>
      <c r="C39" s="36">
        <v>40123</v>
      </c>
      <c r="D39" s="222" t="s">
        <v>30</v>
      </c>
      <c r="E39" s="96">
        <v>58</v>
      </c>
      <c r="F39" s="96">
        <v>7</v>
      </c>
      <c r="G39" s="96">
        <v>9</v>
      </c>
      <c r="H39" s="56">
        <v>2843</v>
      </c>
      <c r="I39" s="68">
        <v>406</v>
      </c>
      <c r="J39" s="137">
        <f>IF(H39&lt;&gt;0,I39/F39,"")</f>
        <v>58</v>
      </c>
      <c r="K39" s="226">
        <f>IF(H39&lt;&gt;0,H39/I39,"")</f>
        <v>7.002463054187192</v>
      </c>
      <c r="L39" s="142">
        <v>471356.75</v>
      </c>
      <c r="M39" s="143">
        <v>45156</v>
      </c>
      <c r="N39" s="247">
        <f>IF(L39&lt;&gt;0,L39/M39,"")</f>
        <v>10.438407963504297</v>
      </c>
      <c r="O39" s="262"/>
    </row>
    <row r="40" spans="1:15" ht="15">
      <c r="A40" s="173">
        <v>37</v>
      </c>
      <c r="B40" s="85" t="s">
        <v>44</v>
      </c>
      <c r="C40" s="36">
        <v>40123</v>
      </c>
      <c r="D40" s="38" t="s">
        <v>30</v>
      </c>
      <c r="E40" s="96">
        <v>58</v>
      </c>
      <c r="F40" s="96">
        <v>1</v>
      </c>
      <c r="G40" s="96">
        <v>8</v>
      </c>
      <c r="H40" s="56">
        <v>414</v>
      </c>
      <c r="I40" s="68">
        <v>83</v>
      </c>
      <c r="J40" s="137">
        <f>IF(H40&lt;&gt;0,I40/F40,"")</f>
        <v>83</v>
      </c>
      <c r="K40" s="138">
        <f>IF(H40&lt;&gt;0,H40/I40,"")</f>
        <v>4.9879518072289155</v>
      </c>
      <c r="L40" s="142">
        <v>468513.75</v>
      </c>
      <c r="M40" s="143">
        <v>44750</v>
      </c>
      <c r="N40" s="141">
        <f>IF(L40&lt;&gt;0,L40/M40,"")</f>
        <v>10.469581005586592</v>
      </c>
      <c r="O40" s="263"/>
    </row>
    <row r="41" spans="1:15" ht="15">
      <c r="A41" s="173">
        <v>38</v>
      </c>
      <c r="B41" s="243" t="s">
        <v>49</v>
      </c>
      <c r="C41" s="34">
        <v>40151</v>
      </c>
      <c r="D41" s="220" t="s">
        <v>28</v>
      </c>
      <c r="E41" s="93">
        <v>8</v>
      </c>
      <c r="F41" s="93">
        <v>7</v>
      </c>
      <c r="G41" s="93">
        <v>6</v>
      </c>
      <c r="H41" s="51">
        <v>4958.5</v>
      </c>
      <c r="I41" s="63">
        <v>693</v>
      </c>
      <c r="J41" s="116">
        <f>(I41/F41)</f>
        <v>99</v>
      </c>
      <c r="K41" s="221">
        <f>H41/I41</f>
        <v>7.155122655122655</v>
      </c>
      <c r="L41" s="118">
        <f>69195.5+29540+2797+8009+1473.5+4958.5</f>
        <v>115973.5</v>
      </c>
      <c r="M41" s="119">
        <f>5170+2208+292+904+296+693</f>
        <v>9563</v>
      </c>
      <c r="N41" s="244">
        <f>L41/M41</f>
        <v>12.127313604517411</v>
      </c>
      <c r="O41" s="263"/>
    </row>
    <row r="42" spans="1:15" ht="15">
      <c r="A42" s="173">
        <v>39</v>
      </c>
      <c r="B42" s="83" t="s">
        <v>49</v>
      </c>
      <c r="C42" s="34">
        <v>40151</v>
      </c>
      <c r="D42" s="35" t="s">
        <v>28</v>
      </c>
      <c r="E42" s="93">
        <v>8</v>
      </c>
      <c r="F42" s="93">
        <v>3</v>
      </c>
      <c r="G42" s="93">
        <v>5</v>
      </c>
      <c r="H42" s="51">
        <v>1473.5</v>
      </c>
      <c r="I42" s="63">
        <v>296</v>
      </c>
      <c r="J42" s="116">
        <f>(I42/F42)</f>
        <v>98.66666666666667</v>
      </c>
      <c r="K42" s="117">
        <f>H42/I42</f>
        <v>4.97804054054054</v>
      </c>
      <c r="L42" s="118">
        <f>69195.5+29540+2797+8009+1473.5</f>
        <v>111015</v>
      </c>
      <c r="M42" s="119">
        <f>5170+2208+292+904+296</f>
        <v>8870</v>
      </c>
      <c r="N42" s="120">
        <f>L42/M42</f>
        <v>12.515783540022548</v>
      </c>
      <c r="O42" s="263"/>
    </row>
    <row r="43" spans="1:15" ht="15">
      <c r="A43" s="173">
        <v>40</v>
      </c>
      <c r="B43" s="243" t="s">
        <v>116</v>
      </c>
      <c r="C43" s="34">
        <v>40102</v>
      </c>
      <c r="D43" s="218" t="s">
        <v>27</v>
      </c>
      <c r="E43" s="93">
        <v>62</v>
      </c>
      <c r="F43" s="93">
        <v>1</v>
      </c>
      <c r="G43" s="93">
        <v>12</v>
      </c>
      <c r="H43" s="52">
        <v>1258</v>
      </c>
      <c r="I43" s="64">
        <v>177</v>
      </c>
      <c r="J43" s="143">
        <f>I43/F43</f>
        <v>177</v>
      </c>
      <c r="K43" s="219">
        <f>+H43/I43</f>
        <v>7.107344632768362</v>
      </c>
      <c r="L43" s="144">
        <v>490015</v>
      </c>
      <c r="M43" s="143">
        <v>55707</v>
      </c>
      <c r="N43" s="245">
        <f>+L43/M43</f>
        <v>8.796291309889241</v>
      </c>
      <c r="O43" s="262"/>
    </row>
    <row r="44" spans="1:15" ht="15">
      <c r="A44" s="173">
        <v>41</v>
      </c>
      <c r="B44" s="83" t="s">
        <v>43</v>
      </c>
      <c r="C44" s="34">
        <v>40116</v>
      </c>
      <c r="D44" s="35" t="s">
        <v>12</v>
      </c>
      <c r="E44" s="93">
        <v>24</v>
      </c>
      <c r="F44" s="93">
        <v>1</v>
      </c>
      <c r="G44" s="93">
        <v>8</v>
      </c>
      <c r="H44" s="52">
        <v>497</v>
      </c>
      <c r="I44" s="64">
        <v>81</v>
      </c>
      <c r="J44" s="137">
        <f>IF(H44&lt;&gt;0,I44/F44,"")</f>
        <v>81</v>
      </c>
      <c r="K44" s="138">
        <f>IF(H44&lt;&gt;0,H44/I44,"")</f>
        <v>6.135802469135802</v>
      </c>
      <c r="L44" s="144">
        <f>87403.25+34862.75+15508.5+2797+944+915+1620+497</f>
        <v>144547.5</v>
      </c>
      <c r="M44" s="143">
        <f>14575+405+81</f>
        <v>15061</v>
      </c>
      <c r="N44" s="141">
        <f>IF(L44&lt;&gt;0,L44/M44,"")</f>
        <v>9.59747028749751</v>
      </c>
      <c r="O44" s="263"/>
    </row>
    <row r="45" spans="1:15" ht="15">
      <c r="A45" s="173">
        <v>42</v>
      </c>
      <c r="B45" s="83" t="s">
        <v>50</v>
      </c>
      <c r="C45" s="34">
        <v>40151</v>
      </c>
      <c r="D45" s="35" t="s">
        <v>28</v>
      </c>
      <c r="E45" s="93">
        <v>2</v>
      </c>
      <c r="F45" s="93">
        <v>2</v>
      </c>
      <c r="G45" s="93">
        <v>5</v>
      </c>
      <c r="H45" s="51">
        <v>2853</v>
      </c>
      <c r="I45" s="63">
        <v>502</v>
      </c>
      <c r="J45" s="116">
        <f>(I45/F45)</f>
        <v>251</v>
      </c>
      <c r="K45" s="117">
        <f>H45/I45</f>
        <v>5.683266932270916</v>
      </c>
      <c r="L45" s="118">
        <f>14952+6112+2196+2975+2853</f>
        <v>29088</v>
      </c>
      <c r="M45" s="119">
        <f>1468+666+254+478+502</f>
        <v>3368</v>
      </c>
      <c r="N45" s="120">
        <f>L45/M45</f>
        <v>8.636579572446555</v>
      </c>
      <c r="O45" s="263"/>
    </row>
    <row r="46" spans="1:15" ht="15">
      <c r="A46" s="173">
        <v>43</v>
      </c>
      <c r="B46" s="243" t="s">
        <v>50</v>
      </c>
      <c r="C46" s="34">
        <v>40151</v>
      </c>
      <c r="D46" s="220" t="s">
        <v>28</v>
      </c>
      <c r="E46" s="93">
        <v>2</v>
      </c>
      <c r="F46" s="93">
        <v>2</v>
      </c>
      <c r="G46" s="93">
        <v>6</v>
      </c>
      <c r="H46" s="51">
        <v>674</v>
      </c>
      <c r="I46" s="63">
        <v>81</v>
      </c>
      <c r="J46" s="116">
        <f>(I46/F46)</f>
        <v>40.5</v>
      </c>
      <c r="K46" s="221">
        <f>H46/I46</f>
        <v>8.320987654320987</v>
      </c>
      <c r="L46" s="118">
        <f>14952+6112+2196+2975+2853+674</f>
        <v>29762</v>
      </c>
      <c r="M46" s="119">
        <f>1468+666+254+478+502+81</f>
        <v>3449</v>
      </c>
      <c r="N46" s="244">
        <f>L46/M46</f>
        <v>8.629167874746303</v>
      </c>
      <c r="O46" s="263"/>
    </row>
    <row r="47" spans="1:15" ht="15">
      <c r="A47" s="173">
        <v>44</v>
      </c>
      <c r="B47" s="249" t="s">
        <v>111</v>
      </c>
      <c r="C47" s="36">
        <v>40074</v>
      </c>
      <c r="D47" s="228" t="s">
        <v>99</v>
      </c>
      <c r="E47" s="231" t="s">
        <v>112</v>
      </c>
      <c r="F47" s="231" t="s">
        <v>113</v>
      </c>
      <c r="G47" s="231" t="s">
        <v>114</v>
      </c>
      <c r="H47" s="55">
        <v>1385</v>
      </c>
      <c r="I47" s="67">
        <v>222</v>
      </c>
      <c r="J47" s="147">
        <f>+I47/F47</f>
        <v>222</v>
      </c>
      <c r="K47" s="226">
        <f>IF(H47&lt;&gt;0,H47/I47,"")</f>
        <v>6.238738738738738</v>
      </c>
      <c r="L47" s="139">
        <v>176398</v>
      </c>
      <c r="M47" s="140">
        <v>21849</v>
      </c>
      <c r="N47" s="247">
        <f>IF(L47&lt;&gt;0,L47/M47,"")</f>
        <v>8.073504508215478</v>
      </c>
      <c r="O47" s="262"/>
    </row>
    <row r="48" spans="1:15" ht="15">
      <c r="A48" s="173">
        <v>45</v>
      </c>
      <c r="B48" s="86" t="s">
        <v>62</v>
      </c>
      <c r="C48" s="36">
        <v>40158</v>
      </c>
      <c r="D48" s="40" t="s">
        <v>3</v>
      </c>
      <c r="E48" s="97">
        <v>148</v>
      </c>
      <c r="F48" s="97">
        <v>91</v>
      </c>
      <c r="G48" s="97">
        <v>4</v>
      </c>
      <c r="H48" s="55">
        <v>119681</v>
      </c>
      <c r="I48" s="67">
        <v>17048</v>
      </c>
      <c r="J48" s="137">
        <f>+I48/F48</f>
        <v>187.34065934065933</v>
      </c>
      <c r="K48" s="138">
        <f>+H48/I48</f>
        <v>7.020236977944627</v>
      </c>
      <c r="L48" s="139">
        <v>2757217</v>
      </c>
      <c r="M48" s="140">
        <v>323709</v>
      </c>
      <c r="N48" s="141">
        <f>+L48/M48</f>
        <v>8.517579060205307</v>
      </c>
      <c r="O48" s="263">
        <v>1</v>
      </c>
    </row>
    <row r="49" spans="1:15" ht="15">
      <c r="A49" s="173">
        <v>46</v>
      </c>
      <c r="B49" s="248" t="s">
        <v>88</v>
      </c>
      <c r="C49" s="36">
        <v>40158</v>
      </c>
      <c r="D49" s="228" t="s">
        <v>3</v>
      </c>
      <c r="E49" s="97">
        <v>148</v>
      </c>
      <c r="F49" s="97">
        <v>77</v>
      </c>
      <c r="G49" s="97">
        <v>5</v>
      </c>
      <c r="H49" s="55">
        <v>62188</v>
      </c>
      <c r="I49" s="67">
        <v>9495</v>
      </c>
      <c r="J49" s="137">
        <f>+I49/F49</f>
        <v>123.31168831168831</v>
      </c>
      <c r="K49" s="226">
        <f>+H49/I49</f>
        <v>6.549552395997893</v>
      </c>
      <c r="L49" s="139">
        <v>2819404</v>
      </c>
      <c r="M49" s="140">
        <v>333204</v>
      </c>
      <c r="N49" s="247">
        <f>+L49/M49</f>
        <v>8.461495060083312</v>
      </c>
      <c r="O49" s="262">
        <v>1</v>
      </c>
    </row>
    <row r="50" spans="1:15" ht="15">
      <c r="A50" s="173">
        <v>47</v>
      </c>
      <c r="B50" s="87" t="s">
        <v>37</v>
      </c>
      <c r="C50" s="32">
        <v>40074</v>
      </c>
      <c r="D50" s="33" t="s">
        <v>27</v>
      </c>
      <c r="E50" s="98">
        <v>61</v>
      </c>
      <c r="F50" s="98">
        <v>1</v>
      </c>
      <c r="G50" s="98">
        <v>15</v>
      </c>
      <c r="H50" s="54">
        <v>1521</v>
      </c>
      <c r="I50" s="66">
        <v>408</v>
      </c>
      <c r="J50" s="133">
        <f>I50/F50</f>
        <v>408</v>
      </c>
      <c r="K50" s="134">
        <f>+H50/I50</f>
        <v>3.7279411764705883</v>
      </c>
      <c r="L50" s="135">
        <v>1027374</v>
      </c>
      <c r="M50" s="133">
        <v>103387</v>
      </c>
      <c r="N50" s="136">
        <f>+L50/M50</f>
        <v>9.937168115913993</v>
      </c>
      <c r="O50" s="263"/>
    </row>
    <row r="51" spans="1:15" ht="15">
      <c r="A51" s="173">
        <v>48</v>
      </c>
      <c r="B51" s="243" t="s">
        <v>37</v>
      </c>
      <c r="C51" s="34">
        <v>40074</v>
      </c>
      <c r="D51" s="218" t="s">
        <v>27</v>
      </c>
      <c r="E51" s="93">
        <v>61</v>
      </c>
      <c r="F51" s="93">
        <v>1</v>
      </c>
      <c r="G51" s="93">
        <v>16</v>
      </c>
      <c r="H51" s="52">
        <v>116</v>
      </c>
      <c r="I51" s="64">
        <v>16</v>
      </c>
      <c r="J51" s="143">
        <f>I51/F51</f>
        <v>16</v>
      </c>
      <c r="K51" s="219">
        <f>+H51/I51</f>
        <v>7.25</v>
      </c>
      <c r="L51" s="144">
        <v>1027490</v>
      </c>
      <c r="M51" s="143">
        <v>103403</v>
      </c>
      <c r="N51" s="245">
        <f>+L51/M51</f>
        <v>9.936752318598106</v>
      </c>
      <c r="O51" s="262"/>
    </row>
    <row r="52" spans="1:15" ht="15">
      <c r="A52" s="173">
        <v>49</v>
      </c>
      <c r="B52" s="243" t="s">
        <v>34</v>
      </c>
      <c r="C52" s="34">
        <v>40046</v>
      </c>
      <c r="D52" s="220" t="s">
        <v>28</v>
      </c>
      <c r="E52" s="93">
        <v>5</v>
      </c>
      <c r="F52" s="93">
        <v>1</v>
      </c>
      <c r="G52" s="93">
        <v>17</v>
      </c>
      <c r="H52" s="51">
        <v>487.5</v>
      </c>
      <c r="I52" s="63">
        <v>78</v>
      </c>
      <c r="J52" s="116">
        <f aca="true" t="shared" si="4" ref="J52:J57">(I52/F52)</f>
        <v>78</v>
      </c>
      <c r="K52" s="221">
        <f aca="true" t="shared" si="5" ref="K52:K57">H52/I52</f>
        <v>6.25</v>
      </c>
      <c r="L52" s="118">
        <f>29266.75+13116.25+9279.25+8463+18147.5+3121+4110+6763+926+5173.5+9461.5+192+486+2002+382+72+487.5</f>
        <v>111449.25</v>
      </c>
      <c r="M52" s="119">
        <f>2425+1257+1223+1013+2360+455+662+1253+138+745+1554+44+79+353+69+18+78</f>
        <v>13726</v>
      </c>
      <c r="N52" s="244">
        <f aca="true" t="shared" si="6" ref="N52:N57">L52/M52</f>
        <v>8.119572344455777</v>
      </c>
      <c r="O52" s="263"/>
    </row>
    <row r="53" spans="1:15" ht="15">
      <c r="A53" s="173">
        <v>50</v>
      </c>
      <c r="B53" s="83" t="s">
        <v>34</v>
      </c>
      <c r="C53" s="34">
        <v>40046</v>
      </c>
      <c r="D53" s="35" t="s">
        <v>28</v>
      </c>
      <c r="E53" s="93">
        <v>5</v>
      </c>
      <c r="F53" s="93">
        <v>1</v>
      </c>
      <c r="G53" s="93">
        <v>16</v>
      </c>
      <c r="H53" s="51">
        <v>72</v>
      </c>
      <c r="I53" s="63">
        <v>18</v>
      </c>
      <c r="J53" s="116">
        <f t="shared" si="4"/>
        <v>18</v>
      </c>
      <c r="K53" s="117">
        <f t="shared" si="5"/>
        <v>4</v>
      </c>
      <c r="L53" s="118">
        <f>29266.75+13116.25+9279.25+8463+18147.5+3121+4110+6763+926+5173.5+9461.5+192+486+2002+382+72</f>
        <v>110961.75</v>
      </c>
      <c r="M53" s="119">
        <f>2425+1257+1223+1013+2360+455+662+1253+138+745+1554+44+79+353+69+18</f>
        <v>13648</v>
      </c>
      <c r="N53" s="120">
        <f t="shared" si="6"/>
        <v>8.130257180539273</v>
      </c>
      <c r="O53" s="263"/>
    </row>
    <row r="54" spans="1:15" ht="15">
      <c r="A54" s="173">
        <v>51</v>
      </c>
      <c r="B54" s="243" t="s">
        <v>33</v>
      </c>
      <c r="C54" s="34">
        <v>39995</v>
      </c>
      <c r="D54" s="220" t="s">
        <v>28</v>
      </c>
      <c r="E54" s="93">
        <v>209</v>
      </c>
      <c r="F54" s="93">
        <v>3</v>
      </c>
      <c r="G54" s="93">
        <v>28</v>
      </c>
      <c r="H54" s="51">
        <v>2821</v>
      </c>
      <c r="I54" s="63">
        <v>551</v>
      </c>
      <c r="J54" s="116">
        <f t="shared" si="4"/>
        <v>183.66666666666666</v>
      </c>
      <c r="K54" s="221">
        <f t="shared" si="5"/>
        <v>5.11978221415608</v>
      </c>
      <c r="L54" s="118">
        <f>872160.5+3062686.25+2016658.5+1330226.25+943221.5+742732+516667.5+450351.5+331944.75+238834+191406+133484.5+252388.75+88483.5+54821.5+50455.5+10393.5+13219.5+4551+15537+5404+869+4082+1834+3805+1635+750+1385+2821</f>
        <v>11342808.5</v>
      </c>
      <c r="M54" s="119">
        <f>115039+364710+241056+162109+115810+90639+66180+59650+44695+33272+25508+18324+32600+11489+6695+7353+1723+3013+920+3530+1123+138+968+454+919+396+210+249+551</f>
        <v>1409323</v>
      </c>
      <c r="N54" s="244">
        <f t="shared" si="6"/>
        <v>8.048409413597877</v>
      </c>
      <c r="O54" s="263"/>
    </row>
    <row r="55" spans="1:15" ht="15">
      <c r="A55" s="173">
        <v>52</v>
      </c>
      <c r="B55" s="83" t="s">
        <v>33</v>
      </c>
      <c r="C55" s="34">
        <v>39995</v>
      </c>
      <c r="D55" s="35" t="s">
        <v>28</v>
      </c>
      <c r="E55" s="93">
        <v>209</v>
      </c>
      <c r="F55" s="93">
        <v>2</v>
      </c>
      <c r="G55" s="93">
        <v>27</v>
      </c>
      <c r="H55" s="51">
        <v>1385</v>
      </c>
      <c r="I55" s="63">
        <v>249</v>
      </c>
      <c r="J55" s="116">
        <f t="shared" si="4"/>
        <v>124.5</v>
      </c>
      <c r="K55" s="117">
        <f t="shared" si="5"/>
        <v>5.562248995983936</v>
      </c>
      <c r="L55" s="118">
        <f>872160.5+3062686.25+2016658.5+1330226.25+943221.5+742732+516667.5+450351.5+331944.75+238834+191406+133484.5+252388.75+88483.5+54821.5+50455.5+10393.5+13219.5+4551+15537+5404+869+4082+1834+3805+1635+750+1385</f>
        <v>11339987.5</v>
      </c>
      <c r="M55" s="119">
        <f>115039+364710+241056+162109+115810+90639+66180+59650+44695+33272+25508+18324+32600+11489+6695+7353+1723+3013+920+3530+1123+138+968+454+919+396+210+249</f>
        <v>1408772</v>
      </c>
      <c r="N55" s="120">
        <f t="shared" si="6"/>
        <v>8.049554860545213</v>
      </c>
      <c r="O55" s="263"/>
    </row>
    <row r="56" spans="1:15" ht="15">
      <c r="A56" s="173">
        <v>53</v>
      </c>
      <c r="B56" s="243" t="s">
        <v>94</v>
      </c>
      <c r="C56" s="34">
        <v>40109</v>
      </c>
      <c r="D56" s="220" t="s">
        <v>28</v>
      </c>
      <c r="E56" s="93">
        <v>25</v>
      </c>
      <c r="F56" s="93">
        <v>8</v>
      </c>
      <c r="G56" s="93">
        <v>12</v>
      </c>
      <c r="H56" s="51">
        <v>13931</v>
      </c>
      <c r="I56" s="63">
        <v>2457</v>
      </c>
      <c r="J56" s="116">
        <f t="shared" si="4"/>
        <v>307.125</v>
      </c>
      <c r="K56" s="221">
        <f t="shared" si="5"/>
        <v>5.66992266992267</v>
      </c>
      <c r="L56" s="118">
        <f>198009+121514.5+95148.5+66495+23091+12092+17648.5+7279+6352.5+7838.5+3895+13931</f>
        <v>573294.5</v>
      </c>
      <c r="M56" s="119">
        <f>27092+16078+14204+10980+3903+1664+3329+1236+1212+1399+730+2457</f>
        <v>84284</v>
      </c>
      <c r="N56" s="244">
        <f t="shared" si="6"/>
        <v>6.801937497033838</v>
      </c>
      <c r="O56" s="263">
        <v>1</v>
      </c>
    </row>
    <row r="57" spans="1:15" ht="15">
      <c r="A57" s="173">
        <v>54</v>
      </c>
      <c r="B57" s="83" t="s">
        <v>70</v>
      </c>
      <c r="C57" s="34">
        <v>40109</v>
      </c>
      <c r="D57" s="35" t="s">
        <v>28</v>
      </c>
      <c r="E57" s="93">
        <v>25</v>
      </c>
      <c r="F57" s="93">
        <v>5</v>
      </c>
      <c r="G57" s="93">
        <v>11</v>
      </c>
      <c r="H57" s="51">
        <v>3895</v>
      </c>
      <c r="I57" s="63">
        <v>730</v>
      </c>
      <c r="J57" s="116">
        <f t="shared" si="4"/>
        <v>146</v>
      </c>
      <c r="K57" s="117">
        <f t="shared" si="5"/>
        <v>5.335616438356165</v>
      </c>
      <c r="L57" s="118">
        <f>198009+121514.5+95148.5+66495+23091+12092+17648.5+7279+6352.5+7838.5+3895</f>
        <v>559363.5</v>
      </c>
      <c r="M57" s="119">
        <f>27092+16078+14204+10980+3903+1664+3329+1236+1212+1399+730</f>
        <v>81827</v>
      </c>
      <c r="N57" s="120">
        <f t="shared" si="6"/>
        <v>6.835928238845369</v>
      </c>
      <c r="O57" s="263">
        <v>1</v>
      </c>
    </row>
    <row r="58" spans="1:15" ht="15">
      <c r="A58" s="173">
        <v>55</v>
      </c>
      <c r="B58" s="243" t="s">
        <v>124</v>
      </c>
      <c r="C58" s="34">
        <v>40074</v>
      </c>
      <c r="D58" s="220" t="s">
        <v>42</v>
      </c>
      <c r="E58" s="93">
        <v>20</v>
      </c>
      <c r="F58" s="93">
        <v>1</v>
      </c>
      <c r="G58" s="93">
        <v>8</v>
      </c>
      <c r="H58" s="52">
        <v>622</v>
      </c>
      <c r="I58" s="64">
        <v>104</v>
      </c>
      <c r="J58" s="143">
        <f>I58/F58</f>
        <v>104</v>
      </c>
      <c r="K58" s="219">
        <f>+H58/I58</f>
        <v>5.980769230769231</v>
      </c>
      <c r="L58" s="144">
        <f>29605.75+13687.5+1715.5+10167+0.5+1482+874+865+622</f>
        <v>59019.25</v>
      </c>
      <c r="M58" s="143">
        <f>2984+1583+274+1724+229+164+167+104</f>
        <v>7229</v>
      </c>
      <c r="N58" s="245">
        <f>+L58/M58</f>
        <v>8.164234333932772</v>
      </c>
      <c r="O58" s="262">
        <v>1</v>
      </c>
    </row>
    <row r="59" spans="1:15" ht="15">
      <c r="A59" s="173">
        <v>56</v>
      </c>
      <c r="B59" s="243" t="s">
        <v>40</v>
      </c>
      <c r="C59" s="34">
        <v>40109</v>
      </c>
      <c r="D59" s="220" t="s">
        <v>28</v>
      </c>
      <c r="E59" s="93">
        <v>35</v>
      </c>
      <c r="F59" s="93">
        <v>4</v>
      </c>
      <c r="G59" s="93">
        <v>10</v>
      </c>
      <c r="H59" s="51">
        <v>2698</v>
      </c>
      <c r="I59" s="63">
        <v>403</v>
      </c>
      <c r="J59" s="116">
        <f>(I59/F59)</f>
        <v>100.75</v>
      </c>
      <c r="K59" s="221">
        <f>H59/I59</f>
        <v>6.694789081885856</v>
      </c>
      <c r="L59" s="118">
        <f>138311.75+79345.25+13093+10041+3739+971+1340+254+1082+2698</f>
        <v>250875</v>
      </c>
      <c r="M59" s="119">
        <f>12918+7558+2061+1540+644+195+252+48+177+403</f>
        <v>25796</v>
      </c>
      <c r="N59" s="244">
        <f>L59/M59</f>
        <v>9.725345014730966</v>
      </c>
      <c r="O59" s="263"/>
    </row>
    <row r="60" spans="1:15" ht="15">
      <c r="A60" s="173">
        <v>57</v>
      </c>
      <c r="B60" s="83" t="s">
        <v>40</v>
      </c>
      <c r="C60" s="34">
        <v>40109</v>
      </c>
      <c r="D60" s="35" t="s">
        <v>28</v>
      </c>
      <c r="E60" s="93">
        <v>35</v>
      </c>
      <c r="F60" s="93">
        <v>1</v>
      </c>
      <c r="G60" s="93">
        <v>9</v>
      </c>
      <c r="H60" s="51">
        <v>1082</v>
      </c>
      <c r="I60" s="63">
        <v>177</v>
      </c>
      <c r="J60" s="116">
        <f>(I60/F60)</f>
        <v>177</v>
      </c>
      <c r="K60" s="117">
        <f>H60/I60</f>
        <v>6.112994350282486</v>
      </c>
      <c r="L60" s="118">
        <f>138311.75+79345.25+13093+10041+3739+971+1340+254+1082</f>
        <v>248177</v>
      </c>
      <c r="M60" s="119">
        <f>12918+7558+2061+1540+644+195+252+48+177</f>
        <v>25393</v>
      </c>
      <c r="N60" s="120">
        <f>L60/M60</f>
        <v>9.77344149962588</v>
      </c>
      <c r="O60" s="263"/>
    </row>
    <row r="61" spans="1:15" ht="15">
      <c r="A61" s="173">
        <v>58</v>
      </c>
      <c r="B61" s="246" t="s">
        <v>126</v>
      </c>
      <c r="C61" s="36">
        <v>40088</v>
      </c>
      <c r="D61" s="222" t="s">
        <v>127</v>
      </c>
      <c r="E61" s="96">
        <v>55</v>
      </c>
      <c r="F61" s="96">
        <v>1</v>
      </c>
      <c r="G61" s="96">
        <v>10</v>
      </c>
      <c r="H61" s="56">
        <v>210</v>
      </c>
      <c r="I61" s="68">
        <v>42</v>
      </c>
      <c r="J61" s="137">
        <f>IF(H61&lt;&gt;0,I61/F61,"")</f>
        <v>42</v>
      </c>
      <c r="K61" s="226">
        <f>IF(H61&lt;&gt;0,H61/I61,"")</f>
        <v>5</v>
      </c>
      <c r="L61" s="142">
        <v>147461</v>
      </c>
      <c r="M61" s="143">
        <v>18201</v>
      </c>
      <c r="N61" s="247">
        <f>IF(L61&lt;&gt;0,L61/M61,"")</f>
        <v>8.101807592989395</v>
      </c>
      <c r="O61" s="262">
        <v>1</v>
      </c>
    </row>
    <row r="62" spans="1:15" ht="15">
      <c r="A62" s="173">
        <v>59</v>
      </c>
      <c r="B62" s="83" t="s">
        <v>78</v>
      </c>
      <c r="C62" s="34">
        <v>40109</v>
      </c>
      <c r="D62" s="35" t="s">
        <v>28</v>
      </c>
      <c r="E62" s="93">
        <v>179</v>
      </c>
      <c r="F62" s="93">
        <v>2</v>
      </c>
      <c r="G62" s="93">
        <v>11</v>
      </c>
      <c r="H62" s="51">
        <v>564</v>
      </c>
      <c r="I62" s="63">
        <v>91</v>
      </c>
      <c r="J62" s="116">
        <f>(I62/F62)</f>
        <v>45.5</v>
      </c>
      <c r="K62" s="117">
        <f>H62/I62</f>
        <v>6.197802197802198</v>
      </c>
      <c r="L62" s="118">
        <f>1128559+561773+266735+93447+7005+1818+273+24520+599+3199+564</f>
        <v>2088492</v>
      </c>
      <c r="M62" s="119">
        <f>129422+68620+41591+19064+1291+300+35+6130+81+717+91</f>
        <v>267342</v>
      </c>
      <c r="N62" s="120">
        <f>L62/M62</f>
        <v>7.8120609556298675</v>
      </c>
      <c r="O62" s="263">
        <v>1</v>
      </c>
    </row>
    <row r="63" spans="1:15" ht="15">
      <c r="A63" s="173">
        <v>60</v>
      </c>
      <c r="B63" s="243" t="s">
        <v>118</v>
      </c>
      <c r="C63" s="34">
        <v>39934</v>
      </c>
      <c r="D63" s="220" t="s">
        <v>42</v>
      </c>
      <c r="E63" s="93">
        <v>125</v>
      </c>
      <c r="F63" s="93">
        <v>1</v>
      </c>
      <c r="G63" s="93">
        <v>11</v>
      </c>
      <c r="H63" s="52">
        <v>1085</v>
      </c>
      <c r="I63" s="64">
        <v>217</v>
      </c>
      <c r="J63" s="143">
        <f>I63/F63</f>
        <v>217</v>
      </c>
      <c r="K63" s="219">
        <f>+H63/I63</f>
        <v>5</v>
      </c>
      <c r="L63" s="144">
        <f>114460.75+42138+22420+8194+3259+329+823+25444.5+546+3853+1085</f>
        <v>222552.25</v>
      </c>
      <c r="M63" s="143">
        <f>15343+6534+4108+1491+680+62+130+4241+100+770+217</f>
        <v>33676</v>
      </c>
      <c r="N63" s="245">
        <f>+L63/M63</f>
        <v>6.608630775626559</v>
      </c>
      <c r="O63" s="262">
        <v>1</v>
      </c>
    </row>
    <row r="64" spans="1:15" ht="15">
      <c r="A64" s="173">
        <v>61</v>
      </c>
      <c r="B64" s="85" t="s">
        <v>73</v>
      </c>
      <c r="C64" s="36">
        <v>40123</v>
      </c>
      <c r="D64" s="38" t="s">
        <v>30</v>
      </c>
      <c r="E64" s="96">
        <v>40</v>
      </c>
      <c r="F64" s="96">
        <v>3</v>
      </c>
      <c r="G64" s="96">
        <v>8</v>
      </c>
      <c r="H64" s="56">
        <v>2876</v>
      </c>
      <c r="I64" s="68">
        <v>477</v>
      </c>
      <c r="J64" s="137">
        <f>IF(H64&lt;&gt;0,I64/F64,"")</f>
        <v>159</v>
      </c>
      <c r="K64" s="138">
        <f>IF(H64&lt;&gt;0,H64/I64,"")</f>
        <v>6.029350104821803</v>
      </c>
      <c r="L64" s="142">
        <v>260364.25</v>
      </c>
      <c r="M64" s="143">
        <v>26330</v>
      </c>
      <c r="N64" s="141">
        <f>IF(L64&lt;&gt;0,L64/M64,"")</f>
        <v>9.888501709077099</v>
      </c>
      <c r="O64" s="263">
        <v>1</v>
      </c>
    </row>
    <row r="65" spans="1:15" ht="15">
      <c r="A65" s="173">
        <v>62</v>
      </c>
      <c r="B65" s="246" t="s">
        <v>110</v>
      </c>
      <c r="C65" s="36">
        <v>40123</v>
      </c>
      <c r="D65" s="222" t="s">
        <v>30</v>
      </c>
      <c r="E65" s="96">
        <v>40</v>
      </c>
      <c r="F65" s="96">
        <v>4</v>
      </c>
      <c r="G65" s="96">
        <v>9</v>
      </c>
      <c r="H65" s="56">
        <v>1672</v>
      </c>
      <c r="I65" s="68">
        <v>314</v>
      </c>
      <c r="J65" s="137">
        <f>IF(H65&lt;&gt;0,I65/F65,"")</f>
        <v>78.5</v>
      </c>
      <c r="K65" s="226">
        <f>IF(H65&lt;&gt;0,H65/I65,"")</f>
        <v>5.32484076433121</v>
      </c>
      <c r="L65" s="142">
        <v>262036.25</v>
      </c>
      <c r="M65" s="143">
        <v>26644</v>
      </c>
      <c r="N65" s="247">
        <f>IF(L65&lt;&gt;0,L65/M65,"")</f>
        <v>9.834718886053146</v>
      </c>
      <c r="O65" s="262">
        <v>1</v>
      </c>
    </row>
    <row r="66" spans="1:15" ht="15">
      <c r="A66" s="173">
        <v>63</v>
      </c>
      <c r="B66" s="83" t="s">
        <v>71</v>
      </c>
      <c r="C66" s="34">
        <v>40116</v>
      </c>
      <c r="D66" s="35" t="s">
        <v>42</v>
      </c>
      <c r="E66" s="93">
        <v>252</v>
      </c>
      <c r="F66" s="93">
        <v>3</v>
      </c>
      <c r="G66" s="93">
        <v>10</v>
      </c>
      <c r="H66" s="52">
        <v>3546</v>
      </c>
      <c r="I66" s="64">
        <v>675</v>
      </c>
      <c r="J66" s="137">
        <f>IF(H66&lt;&gt;0,I66/F66,"")</f>
        <v>225</v>
      </c>
      <c r="K66" s="138">
        <f>IF(H66&lt;&gt;0,H66/I66,"")</f>
        <v>5.253333333333333</v>
      </c>
      <c r="L66" s="144">
        <f>1669127.75+948082.25+584112.75-1430.5+253635+167357+9936+0.5+7987+1963+4065+3546</f>
        <v>3648381.75</v>
      </c>
      <c r="M66" s="143">
        <f>200044+117374+72700-112+36636+25117+1706+1163+472+1036+675</f>
        <v>456811</v>
      </c>
      <c r="N66" s="141">
        <f>IF(L66&lt;&gt;0,L66/M66,"")</f>
        <v>7.986632874427279</v>
      </c>
      <c r="O66" s="263">
        <v>1</v>
      </c>
    </row>
    <row r="67" spans="1:15" ht="15">
      <c r="A67" s="173">
        <v>64</v>
      </c>
      <c r="B67" s="243" t="s">
        <v>115</v>
      </c>
      <c r="C67" s="34">
        <v>40116</v>
      </c>
      <c r="D67" s="220" t="s">
        <v>42</v>
      </c>
      <c r="E67" s="93">
        <v>252</v>
      </c>
      <c r="F67" s="93">
        <v>2</v>
      </c>
      <c r="G67" s="93">
        <v>11</v>
      </c>
      <c r="H67" s="52">
        <v>1275</v>
      </c>
      <c r="I67" s="64">
        <v>224</v>
      </c>
      <c r="J67" s="143">
        <f>I67/F67</f>
        <v>112</v>
      </c>
      <c r="K67" s="219">
        <f>+H67/I67</f>
        <v>5.691964285714286</v>
      </c>
      <c r="L67" s="144">
        <f>1669127.75+948082.25+584112.75-1430.5+253635+167357+9936+0.5+7987+1963+4065+3546+1275</f>
        <v>3649656.75</v>
      </c>
      <c r="M67" s="143">
        <f>200044+117374+72700-112+36636+25117+1706+1163+472+1036+675+224</f>
        <v>457035</v>
      </c>
      <c r="N67" s="245">
        <f>+L67/M67</f>
        <v>7.985508221471004</v>
      </c>
      <c r="O67" s="262">
        <v>1</v>
      </c>
    </row>
    <row r="68" spans="1:15" ht="15">
      <c r="A68" s="173">
        <v>65</v>
      </c>
      <c r="B68" s="246" t="s">
        <v>122</v>
      </c>
      <c r="C68" s="36">
        <v>40116</v>
      </c>
      <c r="D68" s="222" t="s">
        <v>30</v>
      </c>
      <c r="E68" s="96">
        <v>88</v>
      </c>
      <c r="F68" s="96">
        <v>3</v>
      </c>
      <c r="G68" s="96">
        <v>10</v>
      </c>
      <c r="H68" s="56">
        <v>720</v>
      </c>
      <c r="I68" s="68">
        <v>126</v>
      </c>
      <c r="J68" s="137">
        <f>IF(H68&lt;&gt;0,I68/F68,"")</f>
        <v>42</v>
      </c>
      <c r="K68" s="226">
        <f>IF(H68&lt;&gt;0,H68/I68,"")</f>
        <v>5.714285714285714</v>
      </c>
      <c r="L68" s="142">
        <v>277792</v>
      </c>
      <c r="M68" s="143">
        <v>37243</v>
      </c>
      <c r="N68" s="247">
        <f>IF(L68&lt;&gt;0,L68/M68,"")</f>
        <v>7.458905029132992</v>
      </c>
      <c r="O68" s="262">
        <v>1</v>
      </c>
    </row>
    <row r="69" spans="1:15" ht="15">
      <c r="A69" s="173">
        <v>66</v>
      </c>
      <c r="B69" s="83" t="s">
        <v>64</v>
      </c>
      <c r="C69" s="34">
        <v>40137</v>
      </c>
      <c r="D69" s="35" t="s">
        <v>42</v>
      </c>
      <c r="E69" s="93">
        <v>311</v>
      </c>
      <c r="F69" s="93">
        <v>3</v>
      </c>
      <c r="G69" s="93">
        <v>7</v>
      </c>
      <c r="H69" s="52">
        <v>39718</v>
      </c>
      <c r="I69" s="64">
        <v>6551</v>
      </c>
      <c r="J69" s="137">
        <f>IF(H69&lt;&gt;0,I69/F69,"")</f>
        <v>2183.6666666666665</v>
      </c>
      <c r="K69" s="138">
        <f>IF(H69&lt;&gt;0,H69/I69,"")</f>
        <v>6.06289116165471</v>
      </c>
      <c r="L69" s="144">
        <f>3304754.25+2499078+631694+23+231806.5+262+75092+83827.5+39718+180</f>
        <v>6866435.25</v>
      </c>
      <c r="M69" s="143">
        <f>413699+312050+80320+31253+42+12537-15+13061+6551+45</f>
        <v>869543</v>
      </c>
      <c r="N69" s="141">
        <f>IF(L69&lt;&gt;0,L69/M69,"")</f>
        <v>7.896602295688655</v>
      </c>
      <c r="O69" s="263">
        <v>1</v>
      </c>
    </row>
    <row r="70" spans="1:15" ht="15">
      <c r="A70" s="173">
        <v>67</v>
      </c>
      <c r="B70" s="243" t="s">
        <v>128</v>
      </c>
      <c r="C70" s="34">
        <v>40137</v>
      </c>
      <c r="D70" s="220" t="s">
        <v>42</v>
      </c>
      <c r="E70" s="93">
        <v>311</v>
      </c>
      <c r="F70" s="93">
        <v>1</v>
      </c>
      <c r="G70" s="93">
        <v>8</v>
      </c>
      <c r="H70" s="52">
        <v>150</v>
      </c>
      <c r="I70" s="64">
        <v>15</v>
      </c>
      <c r="J70" s="143">
        <f>I70/F70</f>
        <v>15</v>
      </c>
      <c r="K70" s="219">
        <f>+H70/I70</f>
        <v>10</v>
      </c>
      <c r="L70" s="144">
        <f>3304754.25+2499078+631694+23+231806.5+262+75092+83827.5+39718+180+150</f>
        <v>6866585.25</v>
      </c>
      <c r="M70" s="143">
        <f>413699+312050+80320+31253+42+12537-15+13061+6551+45+15</f>
        <v>869558</v>
      </c>
      <c r="N70" s="245">
        <f>+L70/M70</f>
        <v>7.896638579600211</v>
      </c>
      <c r="O70" s="262">
        <v>1</v>
      </c>
    </row>
    <row r="71" spans="1:15" ht="15">
      <c r="A71" s="173">
        <v>68</v>
      </c>
      <c r="B71" s="246" t="s">
        <v>35</v>
      </c>
      <c r="C71" s="36">
        <v>40067</v>
      </c>
      <c r="D71" s="222" t="s">
        <v>30</v>
      </c>
      <c r="E71" s="96">
        <v>105</v>
      </c>
      <c r="F71" s="96">
        <v>9</v>
      </c>
      <c r="G71" s="96">
        <v>18</v>
      </c>
      <c r="H71" s="56">
        <v>4342.75</v>
      </c>
      <c r="I71" s="68">
        <v>845</v>
      </c>
      <c r="J71" s="137">
        <f>IF(H71&lt;&gt;0,I71/F71,"")</f>
        <v>93.88888888888889</v>
      </c>
      <c r="K71" s="226">
        <f>IF(H71&lt;&gt;0,H71/I71,"")</f>
        <v>5.139349112426036</v>
      </c>
      <c r="L71" s="142">
        <v>614319.5</v>
      </c>
      <c r="M71" s="143">
        <v>72096</v>
      </c>
      <c r="N71" s="247">
        <f>IF(L71&lt;&gt;0,L71/M71,"")</f>
        <v>8.520854138925877</v>
      </c>
      <c r="O71" s="262"/>
    </row>
    <row r="72" spans="1:15" ht="15">
      <c r="A72" s="173">
        <v>69</v>
      </c>
      <c r="B72" s="85" t="s">
        <v>35</v>
      </c>
      <c r="C72" s="36">
        <v>40067</v>
      </c>
      <c r="D72" s="38" t="s">
        <v>30</v>
      </c>
      <c r="E72" s="96">
        <v>105</v>
      </c>
      <c r="F72" s="96">
        <v>7</v>
      </c>
      <c r="G72" s="96">
        <v>17</v>
      </c>
      <c r="H72" s="56">
        <v>810</v>
      </c>
      <c r="I72" s="68">
        <v>154</v>
      </c>
      <c r="J72" s="137">
        <f>IF(H72&lt;&gt;0,I72/F72,"")</f>
        <v>22</v>
      </c>
      <c r="K72" s="138">
        <f>IF(H72&lt;&gt;0,H72/I72,"")</f>
        <v>5.259740259740259</v>
      </c>
      <c r="L72" s="142">
        <v>609976.75</v>
      </c>
      <c r="M72" s="143">
        <v>71251</v>
      </c>
      <c r="N72" s="141">
        <f>IF(L72&lt;&gt;0,L72/M72,"")</f>
        <v>8.56095703919945</v>
      </c>
      <c r="O72" s="263"/>
    </row>
    <row r="73" spans="1:15" ht="15">
      <c r="A73" s="173">
        <v>70</v>
      </c>
      <c r="B73" s="83" t="s">
        <v>32</v>
      </c>
      <c r="C73" s="34">
        <v>39871</v>
      </c>
      <c r="D73" s="40" t="s">
        <v>28</v>
      </c>
      <c r="E73" s="93">
        <v>1</v>
      </c>
      <c r="F73" s="93">
        <v>1</v>
      </c>
      <c r="G73" s="93">
        <v>21</v>
      </c>
      <c r="H73" s="51">
        <v>1780</v>
      </c>
      <c r="I73" s="63">
        <v>445</v>
      </c>
      <c r="J73" s="116">
        <f>(I73/F73)</f>
        <v>445</v>
      </c>
      <c r="K73" s="117">
        <f>H73/I73</f>
        <v>4</v>
      </c>
      <c r="L73" s="118">
        <f>1088+1510+1304+856+387+214+424+106+162+130+476+60.5+118+96+1664+1780+454+259.5+1188+119.5+1188+1780</f>
        <v>15364.5</v>
      </c>
      <c r="M73" s="119">
        <f>267+175+155+102+46+26+51+12+18+16+57+8+22+16+416+445+57+31+297+19+297+445</f>
        <v>2978</v>
      </c>
      <c r="N73" s="120">
        <f>L73/M73</f>
        <v>5.15933512424446</v>
      </c>
      <c r="O73" s="263"/>
    </row>
    <row r="74" spans="1:15" ht="15">
      <c r="A74" s="173">
        <v>71</v>
      </c>
      <c r="B74" s="243" t="s">
        <v>32</v>
      </c>
      <c r="C74" s="34">
        <v>39871</v>
      </c>
      <c r="D74" s="228" t="s">
        <v>28</v>
      </c>
      <c r="E74" s="93">
        <v>1</v>
      </c>
      <c r="F74" s="93">
        <v>1</v>
      </c>
      <c r="G74" s="93">
        <v>22</v>
      </c>
      <c r="H74" s="51">
        <v>1780</v>
      </c>
      <c r="I74" s="63">
        <v>445</v>
      </c>
      <c r="J74" s="116">
        <f>(I74/F74)</f>
        <v>445</v>
      </c>
      <c r="K74" s="221">
        <f>H74/I74</f>
        <v>4</v>
      </c>
      <c r="L74" s="118">
        <f>1088+1510+1304+856+387+214+424+106+162+130+476+60.5+118+96+1664+1780+454+259.5+1188+119.5+1188+1780+1780</f>
        <v>17144.5</v>
      </c>
      <c r="M74" s="119">
        <f>267+175+155+102+46+26+51+12+18+16+57+8+22+16+416+445+57+31+297+19+297+445+445</f>
        <v>3423</v>
      </c>
      <c r="N74" s="244">
        <f>L74/M74</f>
        <v>5.0086181711948585</v>
      </c>
      <c r="O74" s="263"/>
    </row>
    <row r="75" spans="1:15" ht="15">
      <c r="A75" s="173">
        <v>72</v>
      </c>
      <c r="B75" s="249" t="s">
        <v>98</v>
      </c>
      <c r="C75" s="36">
        <v>40158</v>
      </c>
      <c r="D75" s="228" t="s">
        <v>99</v>
      </c>
      <c r="E75" s="231" t="s">
        <v>100</v>
      </c>
      <c r="F75" s="231" t="s">
        <v>100</v>
      </c>
      <c r="G75" s="231" t="s">
        <v>101</v>
      </c>
      <c r="H75" s="55">
        <v>10169</v>
      </c>
      <c r="I75" s="67">
        <v>1579</v>
      </c>
      <c r="J75" s="147">
        <f>+I75/F75</f>
        <v>157.9</v>
      </c>
      <c r="K75" s="226">
        <f>IF(H75&lt;&gt;0,H75/I75,"")</f>
        <v>6.440151994933502</v>
      </c>
      <c r="L75" s="139">
        <v>104779</v>
      </c>
      <c r="M75" s="140">
        <v>9582</v>
      </c>
      <c r="N75" s="247">
        <f>IF(L75&lt;&gt;0,L75/M75,"")</f>
        <v>10.934982258401169</v>
      </c>
      <c r="O75" s="262"/>
    </row>
    <row r="76" spans="1:15" ht="15">
      <c r="A76" s="173">
        <v>73</v>
      </c>
      <c r="B76" s="85" t="s">
        <v>69</v>
      </c>
      <c r="C76" s="36">
        <v>40102</v>
      </c>
      <c r="D76" s="38" t="s">
        <v>30</v>
      </c>
      <c r="E76" s="96">
        <v>319</v>
      </c>
      <c r="F76" s="96">
        <v>13</v>
      </c>
      <c r="G76" s="96">
        <v>12</v>
      </c>
      <c r="H76" s="56">
        <v>6659</v>
      </c>
      <c r="I76" s="68">
        <v>990</v>
      </c>
      <c r="J76" s="137">
        <f>IF(H76&lt;&gt;0,I76/F76,"")</f>
        <v>76.15384615384616</v>
      </c>
      <c r="K76" s="138">
        <f>IF(H76&lt;&gt;0,H76/I76,"")</f>
        <v>6.726262626262626</v>
      </c>
      <c r="L76" s="142">
        <v>19727039.25</v>
      </c>
      <c r="M76" s="143">
        <v>2420126</v>
      </c>
      <c r="N76" s="141">
        <f>IF(L76&lt;&gt;0,L76/M76,"")</f>
        <v>8.151244707920165</v>
      </c>
      <c r="O76" s="263">
        <v>1</v>
      </c>
    </row>
    <row r="77" spans="1:15" ht="15">
      <c r="A77" s="173">
        <v>74</v>
      </c>
      <c r="B77" s="246" t="s">
        <v>107</v>
      </c>
      <c r="C77" s="36">
        <v>40102</v>
      </c>
      <c r="D77" s="222" t="s">
        <v>30</v>
      </c>
      <c r="E77" s="96">
        <v>319</v>
      </c>
      <c r="F77" s="96">
        <v>7</v>
      </c>
      <c r="G77" s="96">
        <v>13</v>
      </c>
      <c r="H77" s="56">
        <v>1900</v>
      </c>
      <c r="I77" s="68">
        <v>264</v>
      </c>
      <c r="J77" s="137">
        <f>IF(H77&lt;&gt;0,I77/F77,"")</f>
        <v>37.714285714285715</v>
      </c>
      <c r="K77" s="226">
        <f>IF(H77&lt;&gt;0,H77/I77,"")</f>
        <v>7.196969696969697</v>
      </c>
      <c r="L77" s="142">
        <v>19728939.25</v>
      </c>
      <c r="M77" s="143">
        <v>2420390</v>
      </c>
      <c r="N77" s="247">
        <f>IF(L77&lt;&gt;0,L77/M77,"")</f>
        <v>8.151140621965881</v>
      </c>
      <c r="O77" s="262">
        <v>1</v>
      </c>
    </row>
    <row r="78" spans="1:15" ht="15">
      <c r="A78" s="173">
        <v>75</v>
      </c>
      <c r="B78" s="86" t="s">
        <v>59</v>
      </c>
      <c r="C78" s="36">
        <v>40144</v>
      </c>
      <c r="D78" s="39" t="s">
        <v>5</v>
      </c>
      <c r="E78" s="97">
        <v>258</v>
      </c>
      <c r="F78" s="97">
        <v>176</v>
      </c>
      <c r="G78" s="97">
        <v>6</v>
      </c>
      <c r="H78" s="53">
        <v>225694.5</v>
      </c>
      <c r="I78" s="65">
        <v>35788</v>
      </c>
      <c r="J78" s="128">
        <f>I78/F78</f>
        <v>203.3409090909091</v>
      </c>
      <c r="K78" s="129">
        <f>H78/I78</f>
        <v>6.306429529451212</v>
      </c>
      <c r="L78" s="130">
        <v>9551615.25</v>
      </c>
      <c r="M78" s="131">
        <v>1107368</v>
      </c>
      <c r="N78" s="132">
        <f>+L78/M78</f>
        <v>8.625511347627889</v>
      </c>
      <c r="O78" s="263">
        <v>1</v>
      </c>
    </row>
    <row r="79" spans="1:15" ht="15">
      <c r="A79" s="173">
        <v>76</v>
      </c>
      <c r="B79" s="248" t="s">
        <v>89</v>
      </c>
      <c r="C79" s="36">
        <v>40144</v>
      </c>
      <c r="D79" s="229" t="s">
        <v>5</v>
      </c>
      <c r="E79" s="97">
        <v>258</v>
      </c>
      <c r="F79" s="97">
        <v>55</v>
      </c>
      <c r="G79" s="97">
        <v>7</v>
      </c>
      <c r="H79" s="53">
        <v>58586</v>
      </c>
      <c r="I79" s="65">
        <v>9274</v>
      </c>
      <c r="J79" s="128">
        <f>I79/F79</f>
        <v>168.61818181818182</v>
      </c>
      <c r="K79" s="230">
        <f>H79/I79</f>
        <v>6.317230968298468</v>
      </c>
      <c r="L79" s="130">
        <v>9610201.25</v>
      </c>
      <c r="M79" s="131">
        <v>1116642</v>
      </c>
      <c r="N79" s="247">
        <f>IF(L79&lt;&gt;0,L79/M79,"")</f>
        <v>8.60634048334202</v>
      </c>
      <c r="O79" s="262">
        <v>1</v>
      </c>
    </row>
    <row r="80" spans="1:15" ht="15">
      <c r="A80" s="173">
        <v>77</v>
      </c>
      <c r="B80" s="83" t="s">
        <v>75</v>
      </c>
      <c r="C80" s="34">
        <v>39941</v>
      </c>
      <c r="D80" s="40" t="s">
        <v>28</v>
      </c>
      <c r="E80" s="93">
        <v>26</v>
      </c>
      <c r="F80" s="93">
        <v>1</v>
      </c>
      <c r="G80" s="93">
        <v>21</v>
      </c>
      <c r="H80" s="51">
        <v>1780</v>
      </c>
      <c r="I80" s="63">
        <v>445</v>
      </c>
      <c r="J80" s="116">
        <f>(I80/F80)</f>
        <v>445</v>
      </c>
      <c r="K80" s="117">
        <f>H80/I80</f>
        <v>4</v>
      </c>
      <c r="L80" s="118">
        <f>36482.75+16583.5+5922.75+3249+4769+4925+4199.5+5525+366+924+414+2215+2444+33+1987+838+1440+537+604+3792+2376+1780</f>
        <v>101406.5</v>
      </c>
      <c r="M80" s="119">
        <f>4495+1934+744+517+1003+1215+722+968+65+193+83+369+384+5+336+159+238+83+151+948+594+445</f>
        <v>15651</v>
      </c>
      <c r="N80" s="120">
        <f>L80/M80</f>
        <v>6.479234553702639</v>
      </c>
      <c r="O80" s="263">
        <v>1</v>
      </c>
    </row>
    <row r="81" spans="1:15" ht="15">
      <c r="A81" s="173">
        <v>78</v>
      </c>
      <c r="B81" s="243" t="s">
        <v>108</v>
      </c>
      <c r="C81" s="34">
        <v>39829</v>
      </c>
      <c r="D81" s="228" t="s">
        <v>28</v>
      </c>
      <c r="E81" s="93">
        <v>65</v>
      </c>
      <c r="F81" s="93">
        <v>1</v>
      </c>
      <c r="G81" s="93">
        <v>34</v>
      </c>
      <c r="H81" s="51">
        <v>1780</v>
      </c>
      <c r="I81" s="63">
        <v>445</v>
      </c>
      <c r="J81" s="116">
        <f>(I81/F81)</f>
        <v>445</v>
      </c>
      <c r="K81" s="221">
        <f>H81/I81</f>
        <v>4</v>
      </c>
      <c r="L81" s="118">
        <f>237023+244842+160469+47021+21536+18820+18020.5+26440+10695+9162.5+9870+6322+1787+2032+757+348+420.5+158+4053+339.5+3161.5+1729.5+752+1417+1780+64+1208+952+552+139.5+544+40+8072+1780</f>
        <v>842307.5</v>
      </c>
      <c r="M81" s="119">
        <f>25678+28966+21290+6590+4890+3520+3479+4786+1907+1716+2388+1533+368+541+126+70+67+48+991+81+743+414+155+169+445+16+302+238+117+23+48+12+2018+445</f>
        <v>114180</v>
      </c>
      <c r="N81" s="244">
        <f>L81/M81</f>
        <v>7.377014363286039</v>
      </c>
      <c r="O81" s="263"/>
    </row>
    <row r="82" spans="1:15" ht="15">
      <c r="A82" s="173">
        <v>79</v>
      </c>
      <c r="B82" s="243" t="s">
        <v>105</v>
      </c>
      <c r="C82" s="34">
        <v>40172</v>
      </c>
      <c r="D82" s="220" t="s">
        <v>42</v>
      </c>
      <c r="E82" s="93">
        <v>10</v>
      </c>
      <c r="F82" s="93">
        <v>9</v>
      </c>
      <c r="G82" s="93">
        <v>3</v>
      </c>
      <c r="H82" s="52">
        <v>3129.5</v>
      </c>
      <c r="I82" s="64">
        <v>431</v>
      </c>
      <c r="J82" s="143">
        <f>I82/F82</f>
        <v>47.888888888888886</v>
      </c>
      <c r="K82" s="219">
        <f>+H82/I82</f>
        <v>7.261020881670533</v>
      </c>
      <c r="L82" s="144">
        <f>9917+0.75+3107+3129+0.5</f>
        <v>16154.25</v>
      </c>
      <c r="M82" s="143">
        <f>987+335+431</f>
        <v>1753</v>
      </c>
      <c r="N82" s="245">
        <f>+L82/M82</f>
        <v>9.215202509982886</v>
      </c>
      <c r="O82" s="262">
        <v>1</v>
      </c>
    </row>
    <row r="83" spans="1:15" ht="15">
      <c r="A83" s="173">
        <v>80</v>
      </c>
      <c r="B83" s="83" t="s">
        <v>72</v>
      </c>
      <c r="C83" s="34">
        <v>40172</v>
      </c>
      <c r="D83" s="35" t="s">
        <v>42</v>
      </c>
      <c r="E83" s="93">
        <v>10</v>
      </c>
      <c r="F83" s="93">
        <v>9</v>
      </c>
      <c r="G83" s="93">
        <v>2</v>
      </c>
      <c r="H83" s="52">
        <v>3107</v>
      </c>
      <c r="I83" s="64">
        <v>335</v>
      </c>
      <c r="J83" s="137">
        <f>IF(H83&lt;&gt;0,I83/F83,"")</f>
        <v>37.22222222222222</v>
      </c>
      <c r="K83" s="138">
        <f>IF(H83&lt;&gt;0,H83/I83,"")</f>
        <v>9.274626865671642</v>
      </c>
      <c r="L83" s="144">
        <f>9917+0.75+3107</f>
        <v>13024.75</v>
      </c>
      <c r="M83" s="143">
        <f>987+335</f>
        <v>1322</v>
      </c>
      <c r="N83" s="141">
        <f>IF(L83&lt;&gt;0,L83/M83,"")</f>
        <v>9.85230711043873</v>
      </c>
      <c r="O83" s="263">
        <v>1</v>
      </c>
    </row>
    <row r="84" spans="1:15" ht="15">
      <c r="A84" s="173">
        <v>81</v>
      </c>
      <c r="B84" s="83" t="s">
        <v>4</v>
      </c>
      <c r="C84" s="34">
        <v>39745</v>
      </c>
      <c r="D84" s="35" t="s">
        <v>28</v>
      </c>
      <c r="E84" s="93">
        <v>7</v>
      </c>
      <c r="F84" s="93">
        <v>1</v>
      </c>
      <c r="G84" s="93">
        <v>17</v>
      </c>
      <c r="H84" s="55">
        <v>87</v>
      </c>
      <c r="I84" s="67">
        <v>29</v>
      </c>
      <c r="J84" s="147">
        <f>(I84/F84)</f>
        <v>29</v>
      </c>
      <c r="K84" s="187">
        <f aca="true" t="shared" si="7" ref="K84:K90">H84/I84</f>
        <v>3</v>
      </c>
      <c r="L84" s="139">
        <f>31758.5+8225.5+1958+2180+395+7254.5+494+2046+429+128+135+1066+1003+620+20+120+87</f>
        <v>57919.5</v>
      </c>
      <c r="M84" s="140">
        <f>2732+851+288+247+46+761+52+333+72+22+23+258+223+133+2+12+29</f>
        <v>6084</v>
      </c>
      <c r="N84" s="148">
        <f>L84/M84</f>
        <v>9.519970414201184</v>
      </c>
      <c r="O84" s="263"/>
    </row>
    <row r="85" spans="1:15" ht="15">
      <c r="A85" s="173">
        <v>82</v>
      </c>
      <c r="B85" s="243" t="s">
        <v>4</v>
      </c>
      <c r="C85" s="34">
        <v>39745</v>
      </c>
      <c r="D85" s="220" t="s">
        <v>28</v>
      </c>
      <c r="E85" s="93">
        <v>7</v>
      </c>
      <c r="F85" s="93">
        <v>1</v>
      </c>
      <c r="G85" s="93">
        <v>18</v>
      </c>
      <c r="H85" s="55">
        <v>45</v>
      </c>
      <c r="I85" s="67">
        <v>15</v>
      </c>
      <c r="J85" s="147">
        <f>(I85/F85)</f>
        <v>15</v>
      </c>
      <c r="K85" s="232">
        <f t="shared" si="7"/>
        <v>3</v>
      </c>
      <c r="L85" s="139">
        <f>31758.5+8225.5+1958+2180+395+7254.5+494+2046+429+128+135+1066+1003+620+20+120+87+45</f>
        <v>57964.5</v>
      </c>
      <c r="M85" s="140">
        <f>2732+851+288+247+46+761+52+333+72+22+23+258+223+133+2+12+29+15</f>
        <v>6099</v>
      </c>
      <c r="N85" s="250">
        <f>L85/M85</f>
        <v>9.503935071323168</v>
      </c>
      <c r="O85" s="263"/>
    </row>
    <row r="86" spans="1:15" ht="15">
      <c r="A86" s="173">
        <v>83</v>
      </c>
      <c r="B86" s="246" t="s">
        <v>51</v>
      </c>
      <c r="C86" s="36">
        <v>40158</v>
      </c>
      <c r="D86" s="222" t="s">
        <v>26</v>
      </c>
      <c r="E86" s="96">
        <v>141</v>
      </c>
      <c r="F86" s="96">
        <v>34</v>
      </c>
      <c r="G86" s="96">
        <v>5</v>
      </c>
      <c r="H86" s="51">
        <v>32443</v>
      </c>
      <c r="I86" s="63">
        <v>5335</v>
      </c>
      <c r="J86" s="116">
        <f>I86/F86</f>
        <v>156.91176470588235</v>
      </c>
      <c r="K86" s="221">
        <f t="shared" si="7"/>
        <v>6.08116213683224</v>
      </c>
      <c r="L86" s="118">
        <f>1607914+23244+32443</f>
        <v>1663601</v>
      </c>
      <c r="M86" s="119">
        <f>183968+3818+5335</f>
        <v>193121</v>
      </c>
      <c r="N86" s="244">
        <f>+L86/M86</f>
        <v>8.614293629382615</v>
      </c>
      <c r="O86" s="262"/>
    </row>
    <row r="87" spans="1:15" ht="15">
      <c r="A87" s="173">
        <v>84</v>
      </c>
      <c r="B87" s="85" t="s">
        <v>51</v>
      </c>
      <c r="C87" s="36">
        <v>40158</v>
      </c>
      <c r="D87" s="37" t="s">
        <v>26</v>
      </c>
      <c r="E87" s="96">
        <v>141</v>
      </c>
      <c r="F87" s="96">
        <v>27</v>
      </c>
      <c r="G87" s="96">
        <v>4</v>
      </c>
      <c r="H87" s="51">
        <v>23244</v>
      </c>
      <c r="I87" s="63">
        <v>3818</v>
      </c>
      <c r="J87" s="116">
        <f>I87/F87</f>
        <v>141.40740740740742</v>
      </c>
      <c r="K87" s="117">
        <f t="shared" si="7"/>
        <v>6.088004190675746</v>
      </c>
      <c r="L87" s="118">
        <f>1607914+23244</f>
        <v>1631158</v>
      </c>
      <c r="M87" s="119">
        <f>183968+3818</f>
        <v>187786</v>
      </c>
      <c r="N87" s="120">
        <f>+L87/M87</f>
        <v>8.686259891578713</v>
      </c>
      <c r="O87" s="263"/>
    </row>
    <row r="88" spans="1:15" ht="15">
      <c r="A88" s="173">
        <v>85</v>
      </c>
      <c r="B88" s="83" t="s">
        <v>57</v>
      </c>
      <c r="C88" s="34">
        <v>39926</v>
      </c>
      <c r="D88" s="40" t="s">
        <v>28</v>
      </c>
      <c r="E88" s="93">
        <v>40</v>
      </c>
      <c r="F88" s="93">
        <v>2</v>
      </c>
      <c r="G88" s="93">
        <v>30</v>
      </c>
      <c r="H88" s="51">
        <v>1280</v>
      </c>
      <c r="I88" s="63">
        <v>182</v>
      </c>
      <c r="J88" s="116">
        <f>(I88/F88)</f>
        <v>91</v>
      </c>
      <c r="K88" s="117">
        <f t="shared" si="7"/>
        <v>7.032967032967033</v>
      </c>
      <c r="L88" s="118">
        <f>35864.5+53058.5+35303.5+15734.5+12778.5+9687.5+8045+13953.5+10307+6140.75+1296+667+231+755+1970+2246+752.5+591.5+130+445+2051+750+1477+2060+1816+47+72+84+378+2301+1280</f>
        <v>222273.25</v>
      </c>
      <c r="M88" s="119">
        <f>3971+5771+3969+2398+2257+2131+1634+2509+1783+912+230+126+48+181+472+311+114+91+20+78+493+183+365+462+452+9+24+28+94+494+182</f>
        <v>31792</v>
      </c>
      <c r="N88" s="120">
        <f>L88/M88</f>
        <v>6.991483706592853</v>
      </c>
      <c r="O88" s="263"/>
    </row>
    <row r="89" spans="1:15" ht="15">
      <c r="A89" s="173">
        <v>86</v>
      </c>
      <c r="B89" s="243" t="s">
        <v>123</v>
      </c>
      <c r="C89" s="34">
        <v>39926</v>
      </c>
      <c r="D89" s="228" t="s">
        <v>28</v>
      </c>
      <c r="E89" s="93">
        <v>40</v>
      </c>
      <c r="F89" s="93">
        <v>2</v>
      </c>
      <c r="G89" s="93">
        <v>31</v>
      </c>
      <c r="H89" s="51">
        <v>700</v>
      </c>
      <c r="I89" s="63">
        <v>115</v>
      </c>
      <c r="J89" s="116">
        <f>(I89/F89)</f>
        <v>57.5</v>
      </c>
      <c r="K89" s="221">
        <f t="shared" si="7"/>
        <v>6.086956521739131</v>
      </c>
      <c r="L89" s="118">
        <f>35864.5+53058.5+35303.5+15734.5+12778.5+9687.5+8045+13953.5+10307+6140.75+1296+667+231+755+1970+2246+752.5+591.5+130+445+2051+750+1477+2060+1816+47+72+84+378+2301+1280+700</f>
        <v>222973.25</v>
      </c>
      <c r="M89" s="119">
        <f>3971+5771+3969+2398+2257+2131+1634+2509+1783+912+230+126+48+181+472+311+114+91+20+78+493+183+365+462+452+9+24+28+94+494+182+115</f>
        <v>31907</v>
      </c>
      <c r="N89" s="244">
        <f>L89/M89</f>
        <v>6.988223587300593</v>
      </c>
      <c r="O89" s="263"/>
    </row>
    <row r="90" spans="1:15" ht="15">
      <c r="A90" s="173">
        <v>87</v>
      </c>
      <c r="B90" s="85" t="s">
        <v>77</v>
      </c>
      <c r="C90" s="36">
        <v>40165</v>
      </c>
      <c r="D90" s="37" t="s">
        <v>26</v>
      </c>
      <c r="E90" s="96">
        <v>36</v>
      </c>
      <c r="F90" s="96">
        <v>1</v>
      </c>
      <c r="G90" s="96">
        <v>3</v>
      </c>
      <c r="H90" s="51">
        <v>852</v>
      </c>
      <c r="I90" s="63">
        <v>142</v>
      </c>
      <c r="J90" s="116">
        <f>I90/F90</f>
        <v>142</v>
      </c>
      <c r="K90" s="117">
        <f t="shared" si="7"/>
        <v>6</v>
      </c>
      <c r="L90" s="118">
        <v>119500</v>
      </c>
      <c r="M90" s="119">
        <v>13046</v>
      </c>
      <c r="N90" s="120">
        <f aca="true" t="shared" si="8" ref="N90:N96">+L90/M90</f>
        <v>9.159895753487659</v>
      </c>
      <c r="O90" s="263">
        <v>1</v>
      </c>
    </row>
    <row r="91" spans="1:15" ht="15">
      <c r="A91" s="173">
        <v>88</v>
      </c>
      <c r="B91" s="243" t="s">
        <v>41</v>
      </c>
      <c r="C91" s="34">
        <v>40046</v>
      </c>
      <c r="D91" s="218" t="s">
        <v>27</v>
      </c>
      <c r="E91" s="93">
        <v>55</v>
      </c>
      <c r="F91" s="93">
        <v>2</v>
      </c>
      <c r="G91" s="93">
        <v>12</v>
      </c>
      <c r="H91" s="52">
        <v>2059</v>
      </c>
      <c r="I91" s="64">
        <v>466</v>
      </c>
      <c r="J91" s="143">
        <f>I91/F91</f>
        <v>233</v>
      </c>
      <c r="K91" s="219">
        <f aca="true" t="shared" si="9" ref="K91:K96">+H91/I91</f>
        <v>4.418454935622318</v>
      </c>
      <c r="L91" s="144">
        <v>189359</v>
      </c>
      <c r="M91" s="143">
        <v>19405</v>
      </c>
      <c r="N91" s="245">
        <f t="shared" si="8"/>
        <v>9.758258180881215</v>
      </c>
      <c r="O91" s="262"/>
    </row>
    <row r="92" spans="1:15" ht="15">
      <c r="A92" s="173">
        <v>89</v>
      </c>
      <c r="B92" s="87" t="s">
        <v>41</v>
      </c>
      <c r="C92" s="32">
        <v>40046</v>
      </c>
      <c r="D92" s="33" t="s">
        <v>27</v>
      </c>
      <c r="E92" s="98">
        <v>55</v>
      </c>
      <c r="F92" s="98">
        <v>1</v>
      </c>
      <c r="G92" s="98">
        <v>11</v>
      </c>
      <c r="H92" s="54">
        <v>650</v>
      </c>
      <c r="I92" s="66">
        <v>100</v>
      </c>
      <c r="J92" s="133">
        <f>I92/F92</f>
        <v>100</v>
      </c>
      <c r="K92" s="134">
        <f t="shared" si="9"/>
        <v>6.5</v>
      </c>
      <c r="L92" s="135">
        <v>187300</v>
      </c>
      <c r="M92" s="133">
        <v>18939</v>
      </c>
      <c r="N92" s="136">
        <f t="shared" si="8"/>
        <v>9.889645704630656</v>
      </c>
      <c r="O92" s="263"/>
    </row>
    <row r="93" spans="1:15" ht="15">
      <c r="A93" s="173">
        <v>90</v>
      </c>
      <c r="B93" s="248" t="s">
        <v>45</v>
      </c>
      <c r="C93" s="36">
        <v>40130</v>
      </c>
      <c r="D93" s="228" t="s">
        <v>3</v>
      </c>
      <c r="E93" s="97">
        <v>17</v>
      </c>
      <c r="F93" s="97">
        <v>8</v>
      </c>
      <c r="G93" s="97">
        <v>8</v>
      </c>
      <c r="H93" s="55">
        <v>3794</v>
      </c>
      <c r="I93" s="67">
        <v>543</v>
      </c>
      <c r="J93" s="137">
        <f>+I93/F93</f>
        <v>67.875</v>
      </c>
      <c r="K93" s="226">
        <f t="shared" si="9"/>
        <v>6.987108655616943</v>
      </c>
      <c r="L93" s="139">
        <v>55202</v>
      </c>
      <c r="M93" s="140">
        <v>5006</v>
      </c>
      <c r="N93" s="247">
        <f t="shared" si="8"/>
        <v>11.027167399121055</v>
      </c>
      <c r="O93" s="262"/>
    </row>
    <row r="94" spans="1:15" ht="15">
      <c r="A94" s="173">
        <v>91</v>
      </c>
      <c r="B94" s="86" t="s">
        <v>45</v>
      </c>
      <c r="C94" s="36">
        <v>40130</v>
      </c>
      <c r="D94" s="40" t="s">
        <v>3</v>
      </c>
      <c r="E94" s="97">
        <v>17</v>
      </c>
      <c r="F94" s="97">
        <v>2</v>
      </c>
      <c r="G94" s="97">
        <v>7</v>
      </c>
      <c r="H94" s="55">
        <v>254</v>
      </c>
      <c r="I94" s="67">
        <v>41</v>
      </c>
      <c r="J94" s="137">
        <f>+I94/F94</f>
        <v>20.5</v>
      </c>
      <c r="K94" s="138">
        <f t="shared" si="9"/>
        <v>6.195121951219512</v>
      </c>
      <c r="L94" s="139">
        <v>51408</v>
      </c>
      <c r="M94" s="140">
        <v>4463</v>
      </c>
      <c r="N94" s="141">
        <f t="shared" si="8"/>
        <v>11.518709388303831</v>
      </c>
      <c r="O94" s="263"/>
    </row>
    <row r="95" spans="1:15" ht="15">
      <c r="A95" s="173">
        <v>92</v>
      </c>
      <c r="B95" s="243" t="s">
        <v>106</v>
      </c>
      <c r="C95" s="34">
        <v>40144</v>
      </c>
      <c r="D95" s="218" t="s">
        <v>27</v>
      </c>
      <c r="E95" s="93">
        <v>128</v>
      </c>
      <c r="F95" s="93">
        <v>5</v>
      </c>
      <c r="G95" s="93">
        <v>7</v>
      </c>
      <c r="H95" s="52">
        <v>2478</v>
      </c>
      <c r="I95" s="64">
        <v>419</v>
      </c>
      <c r="J95" s="143">
        <f>I95/F95</f>
        <v>83.8</v>
      </c>
      <c r="K95" s="219">
        <f t="shared" si="9"/>
        <v>5.914081145584726</v>
      </c>
      <c r="L95" s="144">
        <v>2572498</v>
      </c>
      <c r="M95" s="143">
        <v>307913</v>
      </c>
      <c r="N95" s="245">
        <f t="shared" si="8"/>
        <v>8.35462614439793</v>
      </c>
      <c r="O95" s="262">
        <v>1</v>
      </c>
    </row>
    <row r="96" spans="1:15" ht="15">
      <c r="A96" s="173">
        <v>93</v>
      </c>
      <c r="B96" s="87" t="s">
        <v>74</v>
      </c>
      <c r="C96" s="32">
        <v>40144</v>
      </c>
      <c r="D96" s="33" t="s">
        <v>27</v>
      </c>
      <c r="E96" s="98">
        <v>128</v>
      </c>
      <c r="F96" s="98">
        <v>7</v>
      </c>
      <c r="G96" s="98">
        <v>6</v>
      </c>
      <c r="H96" s="54">
        <v>1964</v>
      </c>
      <c r="I96" s="66">
        <v>269</v>
      </c>
      <c r="J96" s="133">
        <f>I96/F96</f>
        <v>38.42857142857143</v>
      </c>
      <c r="K96" s="134">
        <f t="shared" si="9"/>
        <v>7.301115241635688</v>
      </c>
      <c r="L96" s="135">
        <v>2570020</v>
      </c>
      <c r="M96" s="133">
        <v>307494</v>
      </c>
      <c r="N96" s="136">
        <f t="shared" si="8"/>
        <v>8.357951699870567</v>
      </c>
      <c r="O96" s="263">
        <v>1</v>
      </c>
    </row>
    <row r="97" spans="1:15" ht="15">
      <c r="A97" s="173">
        <v>94</v>
      </c>
      <c r="B97" s="83" t="s">
        <v>46</v>
      </c>
      <c r="C97" s="34">
        <v>40137</v>
      </c>
      <c r="D97" s="35" t="s">
        <v>28</v>
      </c>
      <c r="E97" s="93">
        <v>147</v>
      </c>
      <c r="F97" s="93">
        <v>57</v>
      </c>
      <c r="G97" s="93">
        <v>7</v>
      </c>
      <c r="H97" s="51">
        <v>87796</v>
      </c>
      <c r="I97" s="63">
        <v>15922</v>
      </c>
      <c r="J97" s="116">
        <f>(I97/F97)</f>
        <v>279.3333333333333</v>
      </c>
      <c r="K97" s="117">
        <f>H97/I97</f>
        <v>5.514131390528828</v>
      </c>
      <c r="L97" s="118">
        <f>4499732.5+3362984.5+1262292.25+664013.75+490740.5+244990+87796</f>
        <v>10612549.5</v>
      </c>
      <c r="M97" s="119">
        <f>493806+365411+142937+78728+74756+40294+15922</f>
        <v>1211854</v>
      </c>
      <c r="N97" s="120">
        <f>L97/M97</f>
        <v>8.757283880731507</v>
      </c>
      <c r="O97" s="263"/>
    </row>
    <row r="98" spans="1:15" ht="15">
      <c r="A98" s="173">
        <v>95</v>
      </c>
      <c r="B98" s="243" t="s">
        <v>46</v>
      </c>
      <c r="C98" s="34">
        <v>40137</v>
      </c>
      <c r="D98" s="220" t="s">
        <v>28</v>
      </c>
      <c r="E98" s="93">
        <v>147</v>
      </c>
      <c r="F98" s="93">
        <v>32</v>
      </c>
      <c r="G98" s="93">
        <v>8</v>
      </c>
      <c r="H98" s="51">
        <v>33908</v>
      </c>
      <c r="I98" s="63">
        <v>6247</v>
      </c>
      <c r="J98" s="116">
        <f>(I98/F98)</f>
        <v>195.21875</v>
      </c>
      <c r="K98" s="221">
        <f>H98/I98</f>
        <v>5.427885384984792</v>
      </c>
      <c r="L98" s="118">
        <f>4499732.5+3362984.5+1262292.25+664013.75+490740.5+244990+87796+33908</f>
        <v>10646457.5</v>
      </c>
      <c r="M98" s="119">
        <f>493806+365411+142937+78728+74756+40294+15922+6247</f>
        <v>1218101</v>
      </c>
      <c r="N98" s="244">
        <f>L98/M98</f>
        <v>8.740209145218664</v>
      </c>
      <c r="O98" s="263"/>
    </row>
    <row r="99" spans="1:15" ht="15">
      <c r="A99" s="173">
        <v>96</v>
      </c>
      <c r="B99" s="246" t="s">
        <v>121</v>
      </c>
      <c r="C99" s="36">
        <v>40081</v>
      </c>
      <c r="D99" s="222" t="s">
        <v>26</v>
      </c>
      <c r="E99" s="96">
        <v>70</v>
      </c>
      <c r="F99" s="96">
        <v>1</v>
      </c>
      <c r="G99" s="96">
        <v>12</v>
      </c>
      <c r="H99" s="51">
        <v>803</v>
      </c>
      <c r="I99" s="63">
        <v>132</v>
      </c>
      <c r="J99" s="116">
        <f aca="true" t="shared" si="10" ref="J99:J106">I99/F99</f>
        <v>132</v>
      </c>
      <c r="K99" s="221">
        <f>H99/I99</f>
        <v>6.083333333333333</v>
      </c>
      <c r="L99" s="118">
        <f>1392975+803</f>
        <v>1393778</v>
      </c>
      <c r="M99" s="119">
        <f>137156+132</f>
        <v>137288</v>
      </c>
      <c r="N99" s="244">
        <f>+L99/M99</f>
        <v>10.15222015034089</v>
      </c>
      <c r="O99" s="262"/>
    </row>
    <row r="100" spans="1:15" ht="15">
      <c r="A100" s="173">
        <v>97</v>
      </c>
      <c r="B100" s="87" t="s">
        <v>39</v>
      </c>
      <c r="C100" s="32">
        <v>40102</v>
      </c>
      <c r="D100" s="33" t="s">
        <v>27</v>
      </c>
      <c r="E100" s="98">
        <v>99</v>
      </c>
      <c r="F100" s="98">
        <v>15</v>
      </c>
      <c r="G100" s="98">
        <v>12</v>
      </c>
      <c r="H100" s="54">
        <v>2194</v>
      </c>
      <c r="I100" s="66">
        <v>315</v>
      </c>
      <c r="J100" s="133">
        <f t="shared" si="10"/>
        <v>21</v>
      </c>
      <c r="K100" s="134">
        <f>+H100/I100</f>
        <v>6.965079365079365</v>
      </c>
      <c r="L100" s="135">
        <v>2575565</v>
      </c>
      <c r="M100" s="133">
        <v>271966</v>
      </c>
      <c r="N100" s="136">
        <f>+L100/M100</f>
        <v>9.470172742181008</v>
      </c>
      <c r="O100" s="263"/>
    </row>
    <row r="101" spans="1:15" ht="15">
      <c r="A101" s="173">
        <v>98</v>
      </c>
      <c r="B101" s="243" t="s">
        <v>39</v>
      </c>
      <c r="C101" s="34">
        <v>40102</v>
      </c>
      <c r="D101" s="218" t="s">
        <v>27</v>
      </c>
      <c r="E101" s="93">
        <v>99</v>
      </c>
      <c r="F101" s="93">
        <v>5</v>
      </c>
      <c r="G101" s="93">
        <v>13</v>
      </c>
      <c r="H101" s="52">
        <v>1237</v>
      </c>
      <c r="I101" s="64">
        <v>218</v>
      </c>
      <c r="J101" s="143">
        <f t="shared" si="10"/>
        <v>43.6</v>
      </c>
      <c r="K101" s="219">
        <f>+H101/I101</f>
        <v>5.674311926605505</v>
      </c>
      <c r="L101" s="144">
        <v>2576802</v>
      </c>
      <c r="M101" s="143">
        <v>272184</v>
      </c>
      <c r="N101" s="245">
        <f>+L101/M101</f>
        <v>9.467132527995767</v>
      </c>
      <c r="O101" s="262"/>
    </row>
    <row r="102" spans="1:15" ht="15">
      <c r="A102" s="173">
        <v>99</v>
      </c>
      <c r="B102" s="87" t="s">
        <v>60</v>
      </c>
      <c r="C102" s="32">
        <v>40165</v>
      </c>
      <c r="D102" s="33" t="s">
        <v>27</v>
      </c>
      <c r="E102" s="98">
        <v>109</v>
      </c>
      <c r="F102" s="98">
        <v>70</v>
      </c>
      <c r="G102" s="98">
        <v>3</v>
      </c>
      <c r="H102" s="54">
        <v>175077</v>
      </c>
      <c r="I102" s="66">
        <v>16879</v>
      </c>
      <c r="J102" s="133">
        <f t="shared" si="10"/>
        <v>241.12857142857143</v>
      </c>
      <c r="K102" s="134">
        <f>+H102/I102</f>
        <v>10.372474672670181</v>
      </c>
      <c r="L102" s="135">
        <v>1207284</v>
      </c>
      <c r="M102" s="133">
        <v>120991</v>
      </c>
      <c r="N102" s="136">
        <f>+L102/M102</f>
        <v>9.97829590630708</v>
      </c>
      <c r="O102" s="263">
        <v>1</v>
      </c>
    </row>
    <row r="103" spans="1:15" ht="15">
      <c r="A103" s="173">
        <v>100</v>
      </c>
      <c r="B103" s="243" t="s">
        <v>90</v>
      </c>
      <c r="C103" s="34">
        <v>40165</v>
      </c>
      <c r="D103" s="218" t="s">
        <v>27</v>
      </c>
      <c r="E103" s="93">
        <v>109</v>
      </c>
      <c r="F103" s="93">
        <v>39</v>
      </c>
      <c r="G103" s="93">
        <v>4</v>
      </c>
      <c r="H103" s="52">
        <v>54378</v>
      </c>
      <c r="I103" s="64">
        <v>5850</v>
      </c>
      <c r="J103" s="143">
        <f t="shared" si="10"/>
        <v>150</v>
      </c>
      <c r="K103" s="219">
        <f>+H103/I103</f>
        <v>9.295384615384615</v>
      </c>
      <c r="L103" s="144">
        <v>1261662</v>
      </c>
      <c r="M103" s="143">
        <v>126841</v>
      </c>
      <c r="N103" s="245">
        <f>+L103/M103</f>
        <v>9.946799536427497</v>
      </c>
      <c r="O103" s="262">
        <v>1</v>
      </c>
    </row>
    <row r="104" spans="1:15" ht="15">
      <c r="A104" s="173">
        <v>101</v>
      </c>
      <c r="B104" s="243" t="s">
        <v>103</v>
      </c>
      <c r="C104" s="34">
        <v>40144</v>
      </c>
      <c r="D104" s="220" t="s">
        <v>104</v>
      </c>
      <c r="E104" s="93">
        <v>2</v>
      </c>
      <c r="F104" s="93">
        <v>1</v>
      </c>
      <c r="G104" s="93">
        <v>3</v>
      </c>
      <c r="H104" s="52">
        <v>6827</v>
      </c>
      <c r="I104" s="64">
        <v>1058</v>
      </c>
      <c r="J104" s="128">
        <f t="shared" si="10"/>
        <v>1058</v>
      </c>
      <c r="K104" s="230">
        <f>H104/I104</f>
        <v>6.452741020793951</v>
      </c>
      <c r="L104" s="144">
        <v>12004</v>
      </c>
      <c r="M104" s="143">
        <v>1817</v>
      </c>
      <c r="N104" s="247">
        <f>IF(L104&lt;&gt;0,L104/M104,"")</f>
        <v>6.606494221243809</v>
      </c>
      <c r="O104" s="262"/>
    </row>
    <row r="105" spans="1:15" ht="15">
      <c r="A105" s="173">
        <v>102</v>
      </c>
      <c r="B105" s="85" t="s">
        <v>55</v>
      </c>
      <c r="C105" s="36">
        <v>40172</v>
      </c>
      <c r="D105" s="37" t="s">
        <v>26</v>
      </c>
      <c r="E105" s="96">
        <v>40</v>
      </c>
      <c r="F105" s="96">
        <v>34</v>
      </c>
      <c r="G105" s="96">
        <v>2</v>
      </c>
      <c r="H105" s="51">
        <v>15275</v>
      </c>
      <c r="I105" s="63">
        <v>1524</v>
      </c>
      <c r="J105" s="116">
        <f t="shared" si="10"/>
        <v>44.8235294117647</v>
      </c>
      <c r="K105" s="117">
        <f>H105/I105</f>
        <v>10.022965879265092</v>
      </c>
      <c r="L105" s="118">
        <f>74576+15275</f>
        <v>89851</v>
      </c>
      <c r="M105" s="119">
        <f>7330+1524</f>
        <v>8854</v>
      </c>
      <c r="N105" s="120">
        <f>+L105/M105</f>
        <v>10.148068669527897</v>
      </c>
      <c r="O105" s="263"/>
    </row>
    <row r="106" spans="1:15" ht="15.75" thickBot="1">
      <c r="A106" s="173">
        <v>103</v>
      </c>
      <c r="B106" s="268" t="s">
        <v>55</v>
      </c>
      <c r="C106" s="192">
        <v>40172</v>
      </c>
      <c r="D106" s="269" t="s">
        <v>26</v>
      </c>
      <c r="E106" s="270">
        <v>40</v>
      </c>
      <c r="F106" s="270">
        <v>10</v>
      </c>
      <c r="G106" s="270">
        <v>3</v>
      </c>
      <c r="H106" s="57">
        <f>3431+38</f>
        <v>3469</v>
      </c>
      <c r="I106" s="69">
        <f>499+4</f>
        <v>503</v>
      </c>
      <c r="J106" s="149">
        <f t="shared" si="10"/>
        <v>50.3</v>
      </c>
      <c r="K106" s="253">
        <f>H106/I106</f>
        <v>6.89662027833002</v>
      </c>
      <c r="L106" s="150">
        <f>74576+15275+3431+38</f>
        <v>93320</v>
      </c>
      <c r="M106" s="151">
        <f>7330+1524+499+4</f>
        <v>9357</v>
      </c>
      <c r="N106" s="254">
        <f>+L106/M106</f>
        <v>9.973282034840226</v>
      </c>
      <c r="O106" s="262"/>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r:id="rId1"/>
  <ignoredErrors>
    <ignoredError sqref="P20:P52 J34:N45 L46:M64 L73:M103 P17:P18" formula="1" unlockedFormula="1"/>
    <ignoredError sqref="Q22:Q24 Q26:Q52 H20:I45 J20:N33 H106:K107 L105:M109 H4:N8 H10:N18 L19:M19" unlockedFormula="1"/>
    <ignoredError sqref="P7:P8 N46:N66 N67:N68 J46:K66 L65:M66 J70:K104 L70:M72 L104:M104 L67:M69 J67:K69 N70:N106" formula="1"/>
    <ignoredError sqref="E47:I59 E75:I10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2010-01-29T20:23:26Z</dcterms:modified>
  <cp:category/>
  <cp:version/>
  <cp:contentType/>
  <cp:contentStatus/>
</cp:coreProperties>
</file>