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2"/>
  </bookViews>
  <sheets>
    <sheet name="15-21 Jan' 10 (WK 03)" sheetId="1" r:id="rId1"/>
    <sheet name="01-21 Jan'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'01-21 Jan'' 10 (Annual)'!$A$5:$I$8</definedName>
    <definedName name="_xlnm.Print_Area" localSheetId="0">'15-21 Jan'' 10 (WK 03)'!$A$1:$N$100</definedName>
  </definedNames>
  <calcPr fullCalcOnLoad="1"/>
</workbook>
</file>

<file path=xl/sharedStrings.xml><?xml version="1.0" encoding="utf-8"?>
<sst xmlns="http://schemas.openxmlformats.org/spreadsheetml/2006/main" count="568" uniqueCount="175">
  <si>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</si>
  <si>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</si>
  <si>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</si>
  <si>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</si>
  <si>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</si>
  <si>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CINEFILM</t>
  </si>
  <si>
    <t>G.B.O. YTL</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</si>
  <si>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</si>
  <si>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</si>
  <si>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</si>
  <si>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</si>
  <si>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</si>
  <si>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</si>
  <si>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</si>
  <si>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</si>
  <si>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</si>
  <si>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</si>
  <si>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</si>
  <si>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</si>
  <si>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</si>
  <si>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</si>
  <si>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</si>
  <si>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</si>
  <si>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</si>
  <si>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</si>
  <si>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</si>
  <si>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WB</t>
  </si>
  <si>
    <t>UIP</t>
  </si>
  <si>
    <t>TIGLON</t>
  </si>
  <si>
    <t>*Sorted according to Week Total G.B.O. - Haftalık toplam hasılat sütununa göre sıralanmıştır.</t>
  </si>
  <si>
    <t>MEDYAVIZYON</t>
  </si>
  <si>
    <t>TOTAL</t>
  </si>
  <si>
    <t>LEMON TREE</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</si>
  <si>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</si>
  <si>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</si>
  <si>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</si>
  <si>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</si>
  <si>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</si>
  <si>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</si>
  <si>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</si>
  <si>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</si>
  <si>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</si>
  <si>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</si>
  <si>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</si>
  <si>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</si>
  <si>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</si>
  <si>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</si>
  <si>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</si>
  <si>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</si>
  <si>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</si>
  <si>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</si>
  <si>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</si>
  <si>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</si>
  <si>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</si>
  <si>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</si>
  <si>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</si>
  <si>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t>SUNSHINE BARRY AND THE DISCO WORMS</t>
  </si>
  <si>
    <r>
      <t xml:space="preserve">DABBE 2 </t>
    </r>
    <r>
      <rPr>
        <b/>
        <sz val="10"/>
        <color indexed="10"/>
        <rFont val="Arial Black"/>
        <family val="2"/>
      </rPr>
      <t>(LOCAL)</t>
    </r>
  </si>
  <si>
    <r>
      <t xml:space="preserve">NEŞELİ HAYAT </t>
    </r>
    <r>
      <rPr>
        <b/>
        <sz val="10"/>
        <color indexed="10"/>
        <rFont val="Arial Black"/>
        <family val="2"/>
      </rPr>
      <t>(LOCAL)</t>
    </r>
  </si>
  <si>
    <r>
      <t>VAVİEN</t>
    </r>
    <r>
      <rPr>
        <b/>
        <sz val="10"/>
        <color indexed="10"/>
        <rFont val="Arial Black"/>
        <family val="2"/>
      </rPr>
      <t xml:space="preserve"> (LOCAL)</t>
    </r>
  </si>
  <si>
    <r>
      <t xml:space="preserve">ACI AŞK </t>
    </r>
    <r>
      <rPr>
        <b/>
        <sz val="10"/>
        <color indexed="10"/>
        <rFont val="Arial Black"/>
        <family val="2"/>
      </rPr>
      <t>(LOCAL)</t>
    </r>
  </si>
  <si>
    <r>
      <t xml:space="preserve">GECENİN KANATLARI </t>
    </r>
    <r>
      <rPr>
        <b/>
        <sz val="10"/>
        <color indexed="10"/>
        <rFont val="Arial Black"/>
        <family val="2"/>
      </rPr>
      <t>(LOCAL)</t>
    </r>
  </si>
  <si>
    <r>
      <t xml:space="preserve">BAŞKA DİLDE AŞK </t>
    </r>
    <r>
      <rPr>
        <b/>
        <sz val="10"/>
        <color indexed="10"/>
        <rFont val="Arial Black"/>
        <family val="2"/>
      </rPr>
      <t>(LOCAL)</t>
    </r>
  </si>
  <si>
    <r>
      <t xml:space="preserve">KURTLAR VADİSİ GLADİO </t>
    </r>
    <r>
      <rPr>
        <b/>
        <sz val="10"/>
        <color indexed="10"/>
        <rFont val="Arial Black"/>
        <family val="2"/>
      </rPr>
      <t>(LOCAL)</t>
    </r>
  </si>
  <si>
    <r>
      <t xml:space="preserve">7 KOCALI HÜRMÜZ </t>
    </r>
    <r>
      <rPr>
        <b/>
        <sz val="10"/>
        <color indexed="10"/>
        <rFont val="Arial Black"/>
        <family val="2"/>
      </rPr>
      <t>(LOCAL)</t>
    </r>
  </si>
  <si>
    <r>
      <t xml:space="preserve">AŞK GELİYORUM DEMEZ </t>
    </r>
    <r>
      <rPr>
        <b/>
        <sz val="10"/>
        <color indexed="10"/>
        <rFont val="Arial Black"/>
        <family val="2"/>
      </rPr>
      <t>(LOCAL)</t>
    </r>
  </si>
  <si>
    <r>
      <t xml:space="preserve">ADINI SEN KOY </t>
    </r>
    <r>
      <rPr>
        <b/>
        <sz val="10"/>
        <color indexed="10"/>
        <rFont val="Arial Black"/>
        <family val="2"/>
      </rPr>
      <t>(LOCAL)</t>
    </r>
  </si>
  <si>
    <r>
      <t xml:space="preserve">ABİMM </t>
    </r>
    <r>
      <rPr>
        <b/>
        <sz val="10"/>
        <color indexed="10"/>
        <rFont val="Arial Black"/>
        <family val="2"/>
      </rPr>
      <t>(LOCAL)</t>
    </r>
  </si>
  <si>
    <r>
      <t xml:space="preserve">NEFES: VATAN SAĞOLSUN </t>
    </r>
    <r>
      <rPr>
        <b/>
        <sz val="10"/>
        <color indexed="10"/>
        <rFont val="Arial Black"/>
        <family val="2"/>
      </rPr>
      <t>(LOCAL)</t>
    </r>
  </si>
  <si>
    <r>
      <t xml:space="preserve">İKİ DİL BİR BAVUL </t>
    </r>
    <r>
      <rPr>
        <b/>
        <sz val="10"/>
        <color indexed="10"/>
        <rFont val="Arial Black"/>
        <family val="2"/>
      </rPr>
      <t>(LOCAL)</t>
    </r>
  </si>
  <si>
    <r>
      <t xml:space="preserve">KOLPAÇİNO </t>
    </r>
    <r>
      <rPr>
        <b/>
        <sz val="10"/>
        <color indexed="10"/>
        <rFont val="Arial Black"/>
        <family val="2"/>
      </rPr>
      <t>(LOCAL)</t>
    </r>
  </si>
  <si>
    <r>
      <t xml:space="preserve">ORADA </t>
    </r>
    <r>
      <rPr>
        <b/>
        <sz val="10"/>
        <color indexed="10"/>
        <rFont val="Arial Black"/>
        <family val="2"/>
      </rPr>
      <t>(LOCAL)</t>
    </r>
  </si>
  <si>
    <r>
      <t xml:space="preserve">KISKANMAK </t>
    </r>
    <r>
      <rPr>
        <b/>
        <sz val="10"/>
        <color indexed="10"/>
        <rFont val="Arial Black"/>
        <family val="2"/>
      </rPr>
      <t>(LOCAL)</t>
    </r>
  </si>
  <si>
    <r>
      <t xml:space="preserve">TÜRKLER ÇILDIRMIŞ OLMALI </t>
    </r>
    <r>
      <rPr>
        <b/>
        <sz val="10"/>
        <color indexed="10"/>
        <rFont val="Arial Black"/>
        <family val="2"/>
      </rPr>
      <t>(LOCAL)</t>
    </r>
  </si>
  <si>
    <r>
      <t xml:space="preserve">NOKTA </t>
    </r>
    <r>
      <rPr>
        <b/>
        <sz val="10"/>
        <color indexed="10"/>
        <rFont val="Arial Black"/>
        <family val="2"/>
      </rPr>
      <t>(LOCAL)</t>
    </r>
  </si>
  <si>
    <r>
      <t xml:space="preserve">BORNOVA BORNOVA </t>
    </r>
    <r>
      <rPr>
        <b/>
        <sz val="10"/>
        <color indexed="10"/>
        <rFont val="Arial Black"/>
        <family val="2"/>
      </rPr>
      <t>(LOCAL)</t>
    </r>
  </si>
  <si>
    <r>
      <t xml:space="preserve">SÜPÜRRR! </t>
    </r>
    <r>
      <rPr>
        <b/>
        <sz val="10"/>
        <color indexed="10"/>
        <rFont val="Arial Black"/>
        <family val="2"/>
      </rPr>
      <t>(LOCAL)</t>
    </r>
  </si>
  <si>
    <r>
      <t xml:space="preserve">KANAL-İ-ZASYON </t>
    </r>
    <r>
      <rPr>
        <b/>
        <sz val="10"/>
        <color indexed="10"/>
        <rFont val="Arial Black"/>
        <family val="2"/>
      </rPr>
      <t>(LOCAL)</t>
    </r>
  </si>
  <si>
    <r>
      <t>DABBE 2</t>
    </r>
    <r>
      <rPr>
        <sz val="10"/>
        <color indexed="10"/>
        <rFont val="Arial Black"/>
        <family val="2"/>
      </rPr>
      <t xml:space="preserve"> (LOCAL)</t>
    </r>
  </si>
  <si>
    <t>SOUL KITCHEN</t>
  </si>
  <si>
    <t>LAW ABIDING CITIZEN</t>
  </si>
  <si>
    <t>CHANTIER FILMS</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</si>
  <si>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</si>
  <si>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</si>
  <si>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</si>
  <si>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</si>
  <si>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r>
      <t xml:space="preserve">VAVİEN </t>
    </r>
    <r>
      <rPr>
        <sz val="10"/>
        <color indexed="10"/>
        <rFont val="Arial Black"/>
        <family val="2"/>
      </rPr>
      <t>(LOCAL)</t>
    </r>
  </si>
  <si>
    <t>CHERI</t>
  </si>
  <si>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</si>
  <si>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</si>
  <si>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</si>
  <si>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</si>
  <si>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</si>
  <si>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</si>
  <si>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</si>
  <si>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</si>
  <si>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</si>
  <si>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</si>
  <si>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</si>
  <si>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</si>
  <si>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</si>
  <si>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</si>
  <si>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</si>
  <si>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</si>
  <si>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</si>
  <si>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</si>
  <si>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</si>
  <si>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KOLPAÇİNO (LOCAL)</t>
  </si>
  <si>
    <t>DRAG ME TO HELL</t>
  </si>
  <si>
    <t>CAPITALISM: A LOVE STORY</t>
  </si>
  <si>
    <r>
      <t xml:space="preserve">KELEBEK </t>
    </r>
    <r>
      <rPr>
        <sz val="10"/>
        <color indexed="10"/>
        <rFont val="Arial Black"/>
        <family val="2"/>
      </rPr>
      <t>(LOCAL)</t>
    </r>
  </si>
  <si>
    <t>COCO CHANEL &amp; IGOR STRAVINSKY</t>
  </si>
  <si>
    <t>WHATEVER WORKS</t>
  </si>
  <si>
    <t>UGLY TRUTH</t>
  </si>
  <si>
    <r>
      <t>KONAK</t>
    </r>
    <r>
      <rPr>
        <sz val="10"/>
        <color indexed="10"/>
        <rFont val="Arial Black"/>
        <family val="2"/>
      </rPr>
      <t xml:space="preserve"> (LOCAL)</t>
    </r>
  </si>
  <si>
    <t>SUNSHINE BARRY AND THE DISCO WORMS (DISCO ORMENE)</t>
  </si>
  <si>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</si>
  <si>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</si>
  <si>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</si>
  <si>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r>
      <t xml:space="preserve">KURTLAR VADİSİ GLADİO </t>
    </r>
    <r>
      <rPr>
        <sz val="10"/>
        <color indexed="10"/>
        <rFont val="Arial Black"/>
        <family val="2"/>
      </rPr>
      <t>(LOCAL)</t>
    </r>
  </si>
  <si>
    <r>
      <t xml:space="preserve">7 KOCALI HÜRMÜZ </t>
    </r>
    <r>
      <rPr>
        <sz val="10"/>
        <color indexed="10"/>
        <rFont val="Arial Black"/>
        <family val="2"/>
      </rPr>
      <t>(LOCAL)</t>
    </r>
  </si>
  <si>
    <r>
      <t>YAHŞİ BATI</t>
    </r>
    <r>
      <rPr>
        <sz val="10"/>
        <color indexed="10"/>
        <rFont val="Arial Black"/>
        <family val="2"/>
      </rPr>
      <t xml:space="preserve"> (LOCAL)</t>
    </r>
  </si>
  <si>
    <r>
      <t>SHERLOCK HOLMES</t>
    </r>
    <r>
      <rPr>
        <sz val="10"/>
        <color indexed="12"/>
        <rFont val="Arial Black"/>
        <family val="2"/>
      </rPr>
      <t xml:space="preserve">  (NEW)</t>
    </r>
  </si>
  <si>
    <r>
      <t xml:space="preserve">PARANORMAL ACTIVITY </t>
    </r>
    <r>
      <rPr>
        <sz val="10"/>
        <color indexed="12"/>
        <rFont val="Arial Black"/>
        <family val="2"/>
      </rPr>
      <t>(NEW)</t>
    </r>
  </si>
  <si>
    <r>
      <t xml:space="preserve">UP IN THE AIR </t>
    </r>
    <r>
      <rPr>
        <sz val="10"/>
        <color indexed="12"/>
        <rFont val="Arial Black"/>
        <family val="2"/>
      </rPr>
      <t>(NEW)</t>
    </r>
  </si>
  <si>
    <r>
      <t xml:space="preserve">GELECEKTEN BİR GÜN </t>
    </r>
    <r>
      <rPr>
        <sz val="10"/>
        <color indexed="10"/>
        <rFont val="Arial Black"/>
        <family val="2"/>
      </rPr>
      <t xml:space="preserve">(LOCAL) </t>
    </r>
    <r>
      <rPr>
        <sz val="10"/>
        <color indexed="12"/>
        <rFont val="Arial Black"/>
        <family val="2"/>
      </rPr>
      <t>(NEW)</t>
    </r>
  </si>
  <si>
    <r>
      <t xml:space="preserve">DABBE 2 </t>
    </r>
    <r>
      <rPr>
        <sz val="10"/>
        <color indexed="10"/>
        <rFont val="Arial Black"/>
        <family val="2"/>
      </rPr>
      <t>(LOCAL)</t>
    </r>
  </si>
  <si>
    <r>
      <t xml:space="preserve">LITTLE NICHOLAS </t>
    </r>
    <r>
      <rPr>
        <sz val="10"/>
        <color indexed="12"/>
        <rFont val="Arial Black"/>
        <family val="2"/>
      </rPr>
      <t>(NEW)</t>
    </r>
  </si>
  <si>
    <r>
      <t xml:space="preserve">BAŞKA DİLDE AŞK </t>
    </r>
    <r>
      <rPr>
        <sz val="10"/>
        <color indexed="10"/>
        <rFont val="Arial Black"/>
        <family val="2"/>
      </rPr>
      <t>(LOCAL)</t>
    </r>
  </si>
  <si>
    <r>
      <t xml:space="preserve">WHATEVER WORKS </t>
    </r>
    <r>
      <rPr>
        <sz val="10"/>
        <color indexed="12"/>
        <rFont val="Arial Black"/>
        <family val="2"/>
      </rPr>
      <t>(NEW)</t>
    </r>
  </si>
  <si>
    <t>NINJA ASSASSIN</t>
  </si>
  <si>
    <r>
      <t xml:space="preserve">NEŞELİ HAYAT </t>
    </r>
    <r>
      <rPr>
        <sz val="10"/>
        <color indexed="10"/>
        <rFont val="Arial Black"/>
        <family val="2"/>
      </rPr>
      <t>(LOCAL)</t>
    </r>
  </si>
  <si>
    <r>
      <t xml:space="preserve">GECENİN KANATLARI </t>
    </r>
    <r>
      <rPr>
        <sz val="10"/>
        <color indexed="10"/>
        <rFont val="Arial Black"/>
        <family val="2"/>
      </rPr>
      <t>(LOCAL)</t>
    </r>
  </si>
  <si>
    <r>
      <t xml:space="preserve">KAPTAN FEZA </t>
    </r>
    <r>
      <rPr>
        <sz val="10"/>
        <color indexed="10"/>
        <rFont val="Arial Black"/>
        <family val="2"/>
      </rPr>
      <t xml:space="preserve">(LOCAL) </t>
    </r>
    <r>
      <rPr>
        <sz val="10"/>
        <color indexed="12"/>
        <rFont val="Arial Black"/>
        <family val="2"/>
      </rPr>
      <t>(NEW)</t>
    </r>
  </si>
  <si>
    <r>
      <t>ABİMM</t>
    </r>
    <r>
      <rPr>
        <sz val="10"/>
        <color indexed="10"/>
        <rFont val="Arial Black"/>
        <family val="2"/>
      </rPr>
      <t xml:space="preserve"> (LOCAL)</t>
    </r>
  </si>
  <si>
    <t>6</t>
  </si>
  <si>
    <t>ADINI SEN KOY (LOCAL)</t>
  </si>
  <si>
    <r>
      <t>SÜPÜRRR!</t>
    </r>
    <r>
      <rPr>
        <sz val="10"/>
        <color indexed="10"/>
        <rFont val="Arial Black"/>
        <family val="2"/>
      </rPr>
      <t xml:space="preserve"> (LOCAL)</t>
    </r>
  </si>
  <si>
    <t>LET THE RIGHT ONE IN</t>
  </si>
  <si>
    <t>AMELIA</t>
  </si>
  <si>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</si>
  <si>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</si>
  <si>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</si>
  <si>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t>NORTH FACE</t>
  </si>
  <si>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</si>
  <si>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</si>
  <si>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</si>
  <si>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</si>
  <si>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r>
      <t xml:space="preserve">UZAK IHTIMAL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</si>
  <si>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</si>
  <si>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</si>
  <si>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</si>
  <si>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</si>
  <si>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</si>
  <si>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</si>
  <si>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</si>
  <si>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</si>
  <si>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</si>
  <si>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DISCO ORMENE</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</si>
  <si>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</si>
  <si>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</si>
  <si>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</si>
  <si>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</si>
  <si>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r>
      <t xml:space="preserve">SİZİ SEVİYORUM </t>
    </r>
    <r>
      <rPr>
        <sz val="10"/>
        <color indexed="10"/>
        <rFont val="Arial Black"/>
        <family val="2"/>
      </rPr>
      <t>(LOCAL)</t>
    </r>
  </si>
  <si>
    <t>LOS ABRAZOS ROTOS</t>
  </si>
  <si>
    <t>YAHŞİ BATI</t>
  </si>
  <si>
    <t>7 KOCALI HÜRMÜZ</t>
  </si>
  <si>
    <t>SHERLOCK HOLMES</t>
  </si>
  <si>
    <t>PARANORMAL ACTIVITY</t>
  </si>
  <si>
    <t>UP IN THE AIR</t>
  </si>
  <si>
    <r>
      <t>GELECEKTEN BİR GÜN</t>
    </r>
  </si>
  <si>
    <t>LITTLE NICHOLAS</t>
  </si>
  <si>
    <r>
      <t>KAPTAN FEZA</t>
    </r>
  </si>
  <si>
    <r>
      <t xml:space="preserve">2010 Türkiye Annual Box Office Report  </t>
    </r>
    <r>
      <rPr>
        <b/>
        <sz val="16"/>
        <rFont val="Garamond"/>
        <family val="1"/>
      </rPr>
      <t>01-21 January 2010</t>
    </r>
  </si>
  <si>
    <r>
      <t>2010 Türkiye Ex Years Releases Annual Box Office Report</t>
    </r>
    <r>
      <rPr>
        <sz val="26"/>
        <rFont val="Garamond"/>
        <family val="1"/>
      </rPr>
      <t xml:space="preserve">  </t>
    </r>
    <r>
      <rPr>
        <b/>
        <sz val="16"/>
        <rFont val="Garamond"/>
        <family val="1"/>
      </rPr>
      <t>01-21 January 2010</t>
    </r>
  </si>
</sst>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87">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8"/>
      <name val="Arial"/>
      <family val="2"/>
    </font>
    <font>
      <b/>
      <sz val="11"/>
      <name val="Century Gothic"/>
      <family val="2"/>
    </font>
    <font>
      <sz val="9"/>
      <name val="Trebuchet MS"/>
      <family val="2"/>
    </font>
    <font>
      <sz val="10"/>
      <color indexed="9"/>
      <name val="Arial"/>
      <family val="0"/>
    </font>
    <font>
      <b/>
      <sz val="8"/>
      <color indexed="9"/>
      <name val="Trebuchet MS"/>
      <family val="0"/>
    </font>
    <font>
      <sz val="8"/>
      <color indexed="9"/>
      <name val="Arial"/>
      <family val="2"/>
    </font>
    <font>
      <sz val="20"/>
      <color indexed="47"/>
      <name val="GoudyLight"/>
      <family val="0"/>
    </font>
    <font>
      <sz val="10"/>
      <color indexed="47"/>
      <name val="Arial"/>
      <family val="0"/>
    </font>
    <font>
      <sz val="9"/>
      <name val="Arial"/>
      <family val="0"/>
    </font>
    <font>
      <b/>
      <sz val="10"/>
      <name val="Garamond"/>
      <family val="1"/>
    </font>
    <font>
      <sz val="8"/>
      <name val="Garamond"/>
      <family val="1"/>
    </font>
    <font>
      <sz val="10"/>
      <name val="Garamond"/>
      <family val="1"/>
    </font>
    <font>
      <b/>
      <sz val="10"/>
      <name val="Verdana"/>
      <family val="2"/>
    </font>
    <font>
      <sz val="10"/>
      <name val="Verdana"/>
      <family val="2"/>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7"/>
      <color indexed="9"/>
      <name val="Verdana"/>
      <family val="2"/>
    </font>
    <font>
      <sz val="10"/>
      <color indexed="9"/>
      <name val="Garamond"/>
      <family val="1"/>
    </font>
    <font>
      <sz val="14"/>
      <name val="Arial Black"/>
      <family val="2"/>
    </font>
    <font>
      <sz val="10"/>
      <name val="Arial Black"/>
      <family val="2"/>
    </font>
    <font>
      <b/>
      <sz val="10"/>
      <name val="Arial Black"/>
      <family val="2"/>
    </font>
    <font>
      <b/>
      <sz val="10"/>
      <color indexed="10"/>
      <name val="Arial Black"/>
      <family val="2"/>
    </font>
    <font>
      <sz val="8"/>
      <name val="Arial Black"/>
      <family val="2"/>
    </font>
    <font>
      <sz val="8"/>
      <color indexed="9"/>
      <name val="Verdana"/>
      <family val="2"/>
    </font>
    <font>
      <b/>
      <sz val="10"/>
      <color indexed="9"/>
      <name val="Garamond"/>
      <family val="1"/>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sz val="26"/>
      <name val="Garamond"/>
      <family val="1"/>
    </font>
    <font>
      <sz val="16"/>
      <name val="Garamond"/>
      <family val="1"/>
    </font>
    <font>
      <b/>
      <sz val="16"/>
      <name val="Garamond"/>
      <family val="1"/>
    </font>
    <font>
      <sz val="10"/>
      <color indexed="10"/>
      <name val="Arial Black"/>
      <family val="2"/>
    </font>
    <font>
      <sz val="10"/>
      <color indexed="12"/>
      <name val="Arial Black"/>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40"/>
      <color indexed="8"/>
      <name val="Garamond"/>
      <family val="0"/>
    </font>
    <font>
      <sz val="26"/>
      <color indexed="8"/>
      <name val="Garamond"/>
      <family val="0"/>
    </font>
    <font>
      <sz val="12"/>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65"/>
        <bgColor indexed="64"/>
      </patternFill>
    </fill>
    <fill>
      <patternFill patternType="solid">
        <fgColor indexed="47"/>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hair"/>
      <right style="hair"/>
      <top style="hair"/>
      <bottom style="medium"/>
    </border>
    <border>
      <left style="hair"/>
      <right>
        <color indexed="63"/>
      </right>
      <top style="hair"/>
      <bottom style="hair"/>
    </border>
    <border>
      <left style="hair"/>
      <right>
        <color indexed="63"/>
      </right>
      <top style="hair"/>
      <bottom>
        <color indexed="63"/>
      </bottom>
    </border>
    <border>
      <left style="thin"/>
      <right>
        <color indexed="63"/>
      </right>
      <top style="thin"/>
      <bottom style="medium"/>
    </border>
    <border>
      <left style="hair"/>
      <right>
        <color indexed="63"/>
      </right>
      <top>
        <color indexed="63"/>
      </top>
      <bottom style="hair"/>
    </border>
    <border>
      <left style="medium"/>
      <right style="hair"/>
      <top style="hair"/>
      <bottom style="hair"/>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medium"/>
      <top style="hair"/>
      <bottom style="hair"/>
    </border>
    <border>
      <left style="hair"/>
      <right style="medium"/>
      <top>
        <color indexed="63"/>
      </top>
      <bottom style="hair"/>
    </border>
    <border>
      <left style="hair"/>
      <right style="hair"/>
      <top style="medium"/>
      <bottom style="hair"/>
    </border>
    <border>
      <left style="medium"/>
      <right>
        <color indexed="63"/>
      </right>
      <top>
        <color indexed="63"/>
      </top>
      <bottom style="hair"/>
    </border>
    <border>
      <left style="hair"/>
      <right style="medium"/>
      <top style="medium"/>
      <bottom style="hair"/>
    </border>
    <border>
      <left>
        <color indexed="63"/>
      </left>
      <right>
        <color indexed="63"/>
      </right>
      <top>
        <color indexed="63"/>
      </top>
      <bottom style="medium"/>
    </border>
    <border>
      <left style="medium"/>
      <right style="hair"/>
      <top style="medium"/>
      <bottom style="hair"/>
    </border>
    <border>
      <left style="medium"/>
      <right style="hair"/>
      <top style="hair"/>
      <bottom style="medium"/>
    </border>
    <border>
      <left>
        <color indexed="63"/>
      </left>
      <right style="hair"/>
      <top style="hair"/>
      <bottom style="hair"/>
    </border>
    <border>
      <left style="medium"/>
      <right style="hair"/>
      <top>
        <color indexed="63"/>
      </top>
      <bottom style="hair"/>
    </border>
    <border>
      <left style="hair"/>
      <right style="medium"/>
      <top style="hair"/>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171" fontId="0" fillId="0" borderId="0" applyFont="0" applyFill="0" applyBorder="0" applyAlignment="0" applyProtection="0"/>
    <xf numFmtId="0" fontId="73" fillId="27" borderId="1" applyNumberFormat="0" applyAlignment="0" applyProtection="0"/>
    <xf numFmtId="0" fontId="7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1"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2"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341">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6" fillId="0" borderId="0" xfId="0" applyNumberFormat="1" applyFont="1" applyFill="1" applyBorder="1" applyAlignment="1" applyProtection="1">
      <alignment horizontal="center" vertical="center"/>
      <protection locked="0"/>
    </xf>
    <xf numFmtId="184" fontId="5"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11" fillId="0" borderId="0" xfId="0" applyFont="1" applyFill="1" applyBorder="1" applyAlignment="1">
      <alignment horizontal="center" vertical="center"/>
    </xf>
    <xf numFmtId="0" fontId="0" fillId="0" borderId="0" xfId="0" applyBorder="1" applyAlignment="1">
      <alignment vertical="center"/>
    </xf>
    <xf numFmtId="184" fontId="9" fillId="33" borderId="10" xfId="0" applyNumberFormat="1" applyFont="1" applyFill="1" applyBorder="1" applyAlignment="1">
      <alignment horizontal="center" vertical="center"/>
    </xf>
    <xf numFmtId="0" fontId="14" fillId="0" borderId="0" xfId="0" applyFont="1" applyFill="1" applyBorder="1" applyAlignment="1" applyProtection="1">
      <alignment vertical="center"/>
      <protection locked="0"/>
    </xf>
    <xf numFmtId="184" fontId="0" fillId="0" borderId="0" xfId="0" applyNumberFormat="1" applyAlignment="1">
      <alignment horizontal="center" vertical="center"/>
    </xf>
    <xf numFmtId="3" fontId="0" fillId="0" borderId="0" xfId="0" applyNumberFormat="1" applyBorder="1" applyAlignment="1">
      <alignment vertical="center"/>
    </xf>
    <xf numFmtId="4" fontId="0" fillId="0" borderId="0" xfId="0" applyNumberFormat="1" applyBorder="1" applyAlignment="1">
      <alignment vertical="center"/>
    </xf>
    <xf numFmtId="184" fontId="0" fillId="0" borderId="0" xfId="0" applyNumberFormat="1" applyAlignment="1">
      <alignment horizontal="center"/>
    </xf>
    <xf numFmtId="3" fontId="12" fillId="0" borderId="0"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0" fontId="9" fillId="33" borderId="10"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3" fillId="0" borderId="0" xfId="0" applyFont="1" applyFill="1" applyAlignment="1">
      <alignment/>
    </xf>
    <xf numFmtId="3" fontId="10" fillId="0" borderId="0" xfId="0" applyNumberFormat="1" applyFont="1" applyFill="1" applyBorder="1" applyAlignment="1">
      <alignment vertical="center"/>
    </xf>
    <xf numFmtId="4" fontId="10" fillId="0" borderId="0" xfId="0" applyNumberFormat="1" applyFont="1" applyFill="1" applyBorder="1" applyAlignment="1">
      <alignment vertical="center"/>
    </xf>
    <xf numFmtId="0" fontId="10" fillId="0" borderId="0" xfId="0" applyFont="1" applyBorder="1" applyAlignment="1">
      <alignment vertical="center"/>
    </xf>
    <xf numFmtId="4" fontId="15" fillId="0" borderId="0" xfId="0" applyNumberFormat="1" applyFont="1" applyFill="1" applyBorder="1" applyAlignment="1">
      <alignment horizontal="right" vertical="center"/>
    </xf>
    <xf numFmtId="4" fontId="13" fillId="0" borderId="0" xfId="0" applyNumberFormat="1" applyFont="1" applyFill="1" applyBorder="1" applyAlignment="1">
      <alignment horizontal="right" vertical="center"/>
    </xf>
    <xf numFmtId="184" fontId="20" fillId="34" borderId="11" xfId="0" applyNumberFormat="1" applyFont="1" applyFill="1" applyBorder="1" applyAlignment="1">
      <alignment horizontal="center" vertical="center"/>
    </xf>
    <xf numFmtId="14" fontId="20" fillId="34" borderId="11" xfId="0" applyNumberFormat="1" applyFont="1" applyFill="1" applyBorder="1" applyAlignment="1">
      <alignment vertical="center"/>
    </xf>
    <xf numFmtId="184" fontId="20" fillId="0" borderId="11" xfId="0" applyNumberFormat="1" applyFont="1" applyFill="1" applyBorder="1" applyAlignment="1">
      <alignment horizontal="center" vertical="center"/>
    </xf>
    <xf numFmtId="0" fontId="20" fillId="0" borderId="11" xfId="0" applyFont="1" applyFill="1" applyBorder="1" applyAlignment="1">
      <alignment vertical="center"/>
    </xf>
    <xf numFmtId="184" fontId="20" fillId="0" borderId="11" xfId="0" applyNumberFormat="1" applyFont="1" applyFill="1" applyBorder="1" applyAlignment="1" applyProtection="1">
      <alignment horizontal="center" vertical="center"/>
      <protection locked="0"/>
    </xf>
    <xf numFmtId="184" fontId="20" fillId="0" borderId="11" xfId="0" applyNumberFormat="1" applyFont="1" applyFill="1" applyBorder="1" applyAlignment="1" applyProtection="1">
      <alignment vertical="center"/>
      <protection locked="0"/>
    </xf>
    <xf numFmtId="0" fontId="20" fillId="0" borderId="11" xfId="0" applyFont="1" applyFill="1" applyBorder="1" applyAlignment="1" applyProtection="1">
      <alignment vertical="center"/>
      <protection locked="0"/>
    </xf>
    <xf numFmtId="0" fontId="20" fillId="0" borderId="11" xfId="0" applyNumberFormat="1" applyFont="1" applyFill="1" applyBorder="1" applyAlignment="1" applyProtection="1">
      <alignment vertical="center"/>
      <protection locked="0"/>
    </xf>
    <xf numFmtId="49" fontId="20" fillId="0" borderId="11" xfId="0" applyNumberFormat="1" applyFont="1" applyFill="1" applyBorder="1" applyAlignment="1" applyProtection="1">
      <alignment vertical="center"/>
      <protection locked="0"/>
    </xf>
    <xf numFmtId="184" fontId="20" fillId="0" borderId="12" xfId="0" applyNumberFormat="1" applyFont="1" applyFill="1" applyBorder="1" applyAlignment="1">
      <alignment horizontal="center" vertical="center"/>
    </xf>
    <xf numFmtId="1" fontId="22" fillId="0" borderId="0" xfId="0" applyNumberFormat="1" applyFont="1" applyFill="1" applyBorder="1" applyAlignment="1" applyProtection="1">
      <alignment horizontal="right" vertical="center"/>
      <protection/>
    </xf>
    <xf numFmtId="0" fontId="22" fillId="0" borderId="13" xfId="0" applyFont="1" applyBorder="1" applyAlignment="1" applyProtection="1">
      <alignment vertical="center"/>
      <protection locked="0"/>
    </xf>
    <xf numFmtId="0" fontId="22" fillId="0" borderId="14"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16" xfId="0" applyFont="1" applyBorder="1" applyAlignment="1" applyProtection="1">
      <alignment vertical="center"/>
      <protection locked="0"/>
    </xf>
    <xf numFmtId="1" fontId="22" fillId="0" borderId="0" xfId="0" applyNumberFormat="1" applyFont="1" applyFill="1" applyBorder="1" applyAlignment="1" applyProtection="1">
      <alignment horizontal="right" vertical="center"/>
      <protection locked="0"/>
    </xf>
    <xf numFmtId="0" fontId="24" fillId="0" borderId="0" xfId="0" applyNumberFormat="1" applyFont="1" applyFill="1" applyBorder="1" applyAlignment="1" applyProtection="1">
      <alignment horizontal="center" vertical="center"/>
      <protection locked="0"/>
    </xf>
    <xf numFmtId="187" fontId="25" fillId="0" borderId="0" xfId="0" applyNumberFormat="1" applyFont="1" applyFill="1" applyBorder="1" applyAlignment="1" applyProtection="1">
      <alignment horizontal="center" vertical="center"/>
      <protection locked="0"/>
    </xf>
    <xf numFmtId="200" fontId="26" fillId="0" borderId="0" xfId="0" applyNumberFormat="1" applyFont="1" applyFill="1" applyBorder="1" applyAlignment="1" applyProtection="1">
      <alignment horizontal="right" vertical="center"/>
      <protection/>
    </xf>
    <xf numFmtId="4" fontId="22" fillId="0" borderId="11" xfId="40" applyNumberFormat="1" applyFont="1" applyFill="1" applyBorder="1" applyAlignment="1" applyProtection="1">
      <alignment horizontal="right" vertical="center"/>
      <protection locked="0"/>
    </xf>
    <xf numFmtId="4" fontId="22" fillId="0" borderId="11" xfId="0" applyNumberFormat="1" applyFont="1" applyFill="1" applyBorder="1" applyAlignment="1">
      <alignment horizontal="right" vertical="center"/>
    </xf>
    <xf numFmtId="4" fontId="22" fillId="0" borderId="11" xfId="45" applyNumberFormat="1" applyFont="1" applyFill="1" applyBorder="1" applyAlignment="1" applyProtection="1">
      <alignment horizontal="right" vertical="center"/>
      <protection locked="0"/>
    </xf>
    <xf numFmtId="4" fontId="22" fillId="34" borderId="11" xfId="0" applyNumberFormat="1" applyFont="1" applyFill="1" applyBorder="1" applyAlignment="1">
      <alignment horizontal="right" vertical="center"/>
    </xf>
    <xf numFmtId="4" fontId="22" fillId="0" borderId="11" xfId="43" applyNumberFormat="1" applyFont="1" applyFill="1" applyBorder="1" applyAlignment="1" applyProtection="1">
      <alignment horizontal="right" vertical="center"/>
      <protection locked="0"/>
    </xf>
    <xf numFmtId="4" fontId="22" fillId="0" borderId="11" xfId="43" applyNumberFormat="1" applyFont="1" applyFill="1" applyBorder="1" applyAlignment="1" applyProtection="1">
      <alignment horizontal="right" vertical="center"/>
      <protection/>
    </xf>
    <xf numFmtId="4" fontId="22" fillId="0" borderId="12" xfId="40" applyNumberFormat="1" applyFont="1" applyFill="1" applyBorder="1" applyAlignment="1" applyProtection="1">
      <alignment horizontal="right" vertical="center"/>
      <protection locked="0"/>
    </xf>
    <xf numFmtId="200" fontId="27" fillId="33" borderId="10" xfId="0" applyNumberFormat="1" applyFont="1" applyFill="1" applyBorder="1" applyAlignment="1">
      <alignment horizontal="right" vertical="center"/>
    </xf>
    <xf numFmtId="200" fontId="28" fillId="0" borderId="0" xfId="0" applyNumberFormat="1" applyFont="1" applyFill="1" applyBorder="1" applyAlignment="1" applyProtection="1">
      <alignment horizontal="right" vertical="center"/>
      <protection locked="0"/>
    </xf>
    <xf numFmtId="200" fontId="22" fillId="0" borderId="0" xfId="0" applyNumberFormat="1" applyFont="1" applyAlignment="1">
      <alignment horizontal="right" vertical="center"/>
    </xf>
    <xf numFmtId="200" fontId="26" fillId="0" borderId="0" xfId="0" applyNumberFormat="1" applyFont="1" applyFill="1" applyBorder="1" applyAlignment="1" applyProtection="1">
      <alignment horizontal="right" vertical="center"/>
      <protection locked="0"/>
    </xf>
    <xf numFmtId="193" fontId="29" fillId="0" borderId="0" xfId="0" applyNumberFormat="1" applyFont="1" applyFill="1" applyBorder="1" applyAlignment="1" applyProtection="1">
      <alignment horizontal="right" vertical="center"/>
      <protection/>
    </xf>
    <xf numFmtId="3" fontId="22" fillId="0" borderId="11" xfId="40" applyNumberFormat="1" applyFont="1" applyFill="1" applyBorder="1" applyAlignment="1" applyProtection="1">
      <alignment horizontal="right" vertical="center"/>
      <protection locked="0"/>
    </xf>
    <xf numFmtId="3" fontId="22" fillId="0" borderId="11" xfId="0" applyNumberFormat="1" applyFont="1" applyFill="1" applyBorder="1" applyAlignment="1">
      <alignment horizontal="right" vertical="center"/>
    </xf>
    <xf numFmtId="3" fontId="22" fillId="0" borderId="11" xfId="45" applyNumberFormat="1" applyFont="1" applyFill="1" applyBorder="1" applyAlignment="1" applyProtection="1">
      <alignment horizontal="right" vertical="center"/>
      <protection locked="0"/>
    </xf>
    <xf numFmtId="3" fontId="22" fillId="34" borderId="11" xfId="0" applyNumberFormat="1" applyFont="1" applyFill="1" applyBorder="1" applyAlignment="1">
      <alignment horizontal="right" vertical="center"/>
    </xf>
    <xf numFmtId="3" fontId="22" fillId="0" borderId="11" xfId="43" applyNumberFormat="1" applyFont="1" applyFill="1" applyBorder="1" applyAlignment="1" applyProtection="1">
      <alignment horizontal="right" vertical="center"/>
      <protection locked="0"/>
    </xf>
    <xf numFmtId="3" fontId="22" fillId="0" borderId="11" xfId="43" applyNumberFormat="1" applyFont="1" applyFill="1" applyBorder="1" applyAlignment="1" applyProtection="1">
      <alignment horizontal="right" vertical="center"/>
      <protection/>
    </xf>
    <xf numFmtId="193" fontId="27" fillId="33" borderId="10" xfId="0" applyNumberFormat="1" applyFont="1" applyFill="1" applyBorder="1" applyAlignment="1">
      <alignment horizontal="right" vertical="center"/>
    </xf>
    <xf numFmtId="193" fontId="25" fillId="0" borderId="0" xfId="0" applyNumberFormat="1" applyFont="1" applyFill="1" applyBorder="1" applyAlignment="1" applyProtection="1">
      <alignment horizontal="right" vertical="center"/>
      <protection locked="0"/>
    </xf>
    <xf numFmtId="193" fontId="22" fillId="0" borderId="0" xfId="0" applyNumberFormat="1" applyFont="1" applyAlignment="1">
      <alignment horizontal="right" vertical="center"/>
    </xf>
    <xf numFmtId="193" fontId="29"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vertical="center"/>
      <protection locked="0"/>
    </xf>
    <xf numFmtId="0" fontId="19" fillId="0" borderId="0" xfId="0" applyFont="1" applyFill="1" applyBorder="1" applyAlignment="1" applyProtection="1">
      <alignment horizontal="center" vertical="center" wrapText="1"/>
      <protection locked="0"/>
    </xf>
    <xf numFmtId="4" fontId="22" fillId="0" borderId="10" xfId="40" applyNumberFormat="1" applyFont="1" applyFill="1" applyBorder="1" applyAlignment="1" applyProtection="1">
      <alignment horizontal="right" vertical="center"/>
      <protection locked="0"/>
    </xf>
    <xf numFmtId="4" fontId="22" fillId="0" borderId="12" xfId="0" applyNumberFormat="1" applyFont="1" applyFill="1" applyBorder="1" applyAlignment="1">
      <alignment horizontal="right" vertical="center"/>
    </xf>
    <xf numFmtId="0" fontId="21" fillId="0" borderId="0" xfId="0" applyFont="1" applyAlignment="1">
      <alignment/>
    </xf>
    <xf numFmtId="171" fontId="32" fillId="0" borderId="0" xfId="43" applyFont="1" applyFill="1" applyBorder="1" applyAlignment="1" applyProtection="1">
      <alignment vertical="center"/>
      <protection/>
    </xf>
    <xf numFmtId="0" fontId="34" fillId="0" borderId="17" xfId="0" applyFont="1" applyFill="1" applyBorder="1" applyAlignment="1">
      <alignment horizontal="left" vertical="center"/>
    </xf>
    <xf numFmtId="0" fontId="34" fillId="0" borderId="17" xfId="0" applyFont="1" applyFill="1" applyBorder="1" applyAlignment="1" applyProtection="1">
      <alignment horizontal="left" vertical="center"/>
      <protection locked="0"/>
    </xf>
    <xf numFmtId="0" fontId="34" fillId="0" borderId="17" xfId="0" applyNumberFormat="1" applyFont="1" applyFill="1" applyBorder="1" applyAlignment="1" applyProtection="1">
      <alignment horizontal="left" vertical="center"/>
      <protection locked="0"/>
    </xf>
    <xf numFmtId="0" fontId="34" fillId="34" borderId="17" xfId="0" applyFont="1" applyFill="1" applyBorder="1" applyAlignment="1">
      <alignment horizontal="left" vertical="center"/>
    </xf>
    <xf numFmtId="0" fontId="36" fillId="0" borderId="0" xfId="0" applyFont="1" applyFill="1" applyBorder="1" applyAlignment="1" applyProtection="1">
      <alignment vertical="center"/>
      <protection locked="0"/>
    </xf>
    <xf numFmtId="0" fontId="33" fillId="0" borderId="0" xfId="0" applyFont="1" applyAlignment="1">
      <alignment/>
    </xf>
    <xf numFmtId="0" fontId="33" fillId="0" borderId="0" xfId="0" applyFont="1" applyAlignment="1">
      <alignment vertical="center" readingOrder="1"/>
    </xf>
    <xf numFmtId="0" fontId="32" fillId="0" borderId="0" xfId="0" applyFont="1" applyFill="1" applyBorder="1" applyAlignment="1" applyProtection="1">
      <alignment vertical="center"/>
      <protection locked="0"/>
    </xf>
    <xf numFmtId="0" fontId="24" fillId="0" borderId="0" xfId="0" applyNumberFormat="1" applyFont="1" applyFill="1" applyBorder="1" applyAlignment="1" applyProtection="1">
      <alignment horizontal="center" vertical="center"/>
      <protection/>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1" xfId="0" applyFont="1" applyFill="1" applyBorder="1" applyAlignment="1" applyProtection="1">
      <alignment horizontal="center" vertical="center"/>
      <protection locked="0"/>
    </xf>
    <xf numFmtId="0" fontId="24" fillId="0" borderId="11" xfId="0" applyNumberFormat="1" applyFont="1" applyFill="1" applyBorder="1" applyAlignment="1" applyProtection="1">
      <alignment horizontal="center" vertical="center"/>
      <protection locked="0"/>
    </xf>
    <xf numFmtId="0" fontId="24" fillId="34" borderId="11" xfId="0" applyFont="1" applyFill="1" applyBorder="1" applyAlignment="1">
      <alignment horizontal="center" vertical="center"/>
    </xf>
    <xf numFmtId="0" fontId="37" fillId="33" borderId="10" xfId="0" applyFont="1" applyFill="1" applyBorder="1" applyAlignment="1">
      <alignment horizontal="center" vertical="center"/>
    </xf>
    <xf numFmtId="3" fontId="37" fillId="33" borderId="10" xfId="0" applyNumberFormat="1" applyFont="1" applyFill="1" applyBorder="1" applyAlignment="1">
      <alignment horizontal="center" vertical="center"/>
    </xf>
    <xf numFmtId="0" fontId="24" fillId="0" borderId="0" xfId="0" applyFont="1" applyAlignment="1">
      <alignment horizontal="center"/>
    </xf>
    <xf numFmtId="0" fontId="25" fillId="0" borderId="0" xfId="0" applyFont="1" applyBorder="1" applyAlignment="1">
      <alignment horizontal="center" vertical="center"/>
    </xf>
    <xf numFmtId="0" fontId="24" fillId="0" borderId="0" xfId="0" applyFont="1" applyBorder="1" applyAlignment="1">
      <alignment horizontal="center"/>
    </xf>
    <xf numFmtId="0" fontId="24" fillId="0" borderId="0" xfId="0" applyFont="1" applyAlignment="1">
      <alignment horizontal="center" vertical="center"/>
    </xf>
    <xf numFmtId="1" fontId="19" fillId="0" borderId="18" xfId="0" applyNumberFormat="1"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locked="0"/>
    </xf>
    <xf numFmtId="1" fontId="38" fillId="0" borderId="19" xfId="0" applyNumberFormat="1" applyFont="1" applyFill="1" applyBorder="1" applyAlignment="1" applyProtection="1">
      <alignment horizontal="center" vertical="center" wrapText="1"/>
      <protection/>
    </xf>
    <xf numFmtId="200" fontId="19" fillId="0" borderId="20" xfId="0" applyNumberFormat="1" applyFont="1" applyFill="1" applyBorder="1" applyAlignment="1" applyProtection="1">
      <alignment horizontal="center" wrapText="1"/>
      <protection/>
    </xf>
    <xf numFmtId="193" fontId="19" fillId="0" borderId="20" xfId="0" applyNumberFormat="1" applyFont="1" applyFill="1" applyBorder="1" applyAlignment="1" applyProtection="1">
      <alignment horizontal="center" wrapText="1"/>
      <protection/>
    </xf>
    <xf numFmtId="192" fontId="19" fillId="0" borderId="20" xfId="0" applyNumberFormat="1" applyFont="1" applyFill="1" applyBorder="1" applyAlignment="1" applyProtection="1">
      <alignment horizontal="center" wrapText="1"/>
      <protection/>
    </xf>
    <xf numFmtId="192" fontId="19" fillId="0" borderId="21" xfId="0" applyNumberFormat="1" applyFont="1" applyFill="1" applyBorder="1" applyAlignment="1" applyProtection="1">
      <alignment horizontal="center" wrapText="1"/>
      <protection/>
    </xf>
    <xf numFmtId="193" fontId="39" fillId="0" borderId="0" xfId="0" applyNumberFormat="1" applyFont="1" applyFill="1" applyBorder="1" applyAlignment="1" applyProtection="1">
      <alignment horizontal="right" vertical="center"/>
      <protection/>
    </xf>
    <xf numFmtId="192" fontId="40" fillId="0" borderId="0" xfId="0" applyNumberFormat="1" applyFont="1" applyFill="1" applyBorder="1" applyAlignment="1" applyProtection="1">
      <alignment horizontal="right" vertical="center"/>
      <protection/>
    </xf>
    <xf numFmtId="200" fontId="40" fillId="0" borderId="0" xfId="0" applyNumberFormat="1" applyFont="1" applyFill="1" applyBorder="1" applyAlignment="1" applyProtection="1">
      <alignment horizontal="right" vertical="center"/>
      <protection/>
    </xf>
    <xf numFmtId="193" fontId="40" fillId="0" borderId="0" xfId="0" applyNumberFormat="1" applyFont="1" applyFill="1" applyBorder="1" applyAlignment="1" applyProtection="1">
      <alignment horizontal="right" vertical="center"/>
      <protection/>
    </xf>
    <xf numFmtId="3" fontId="40" fillId="0" borderId="11" xfId="40" applyNumberFormat="1" applyFont="1" applyFill="1" applyBorder="1" applyAlignment="1" applyProtection="1">
      <alignment horizontal="right" vertical="center"/>
      <protection/>
    </xf>
    <xf numFmtId="2" fontId="40" fillId="0" borderId="11" xfId="40" applyNumberFormat="1" applyFont="1" applyFill="1" applyBorder="1" applyAlignment="1" applyProtection="1">
      <alignment vertical="center"/>
      <protection/>
    </xf>
    <xf numFmtId="4" fontId="40" fillId="0" borderId="11" xfId="40" applyNumberFormat="1" applyFont="1" applyFill="1" applyBorder="1" applyAlignment="1" applyProtection="1">
      <alignment horizontal="right" vertical="center"/>
      <protection locked="0"/>
    </xf>
    <xf numFmtId="3" fontId="40" fillId="0" borderId="11" xfId="40" applyNumberFormat="1" applyFont="1" applyFill="1" applyBorder="1" applyAlignment="1" applyProtection="1">
      <alignment horizontal="right" vertical="center"/>
      <protection locked="0"/>
    </xf>
    <xf numFmtId="2" fontId="40" fillId="0" borderId="22" xfId="40" applyNumberFormat="1" applyFont="1" applyFill="1" applyBorder="1" applyAlignment="1" applyProtection="1">
      <alignment vertical="center"/>
      <protection/>
    </xf>
    <xf numFmtId="4" fontId="40" fillId="0" borderId="12" xfId="0" applyNumberFormat="1" applyFont="1" applyFill="1" applyBorder="1" applyAlignment="1">
      <alignment horizontal="right" vertical="center"/>
    </xf>
    <xf numFmtId="2" fontId="40" fillId="0" borderId="23" xfId="40" applyNumberFormat="1" applyFont="1" applyFill="1" applyBorder="1" applyAlignment="1" applyProtection="1">
      <alignment vertical="center"/>
      <protection/>
    </xf>
    <xf numFmtId="3" fontId="40" fillId="0" borderId="11" xfId="45" applyNumberFormat="1" applyFont="1" applyFill="1" applyBorder="1" applyAlignment="1" applyProtection="1">
      <alignment horizontal="right" vertical="center"/>
      <protection/>
    </xf>
    <xf numFmtId="2" fontId="40" fillId="0" borderId="11" xfId="45" applyNumberFormat="1" applyFont="1" applyFill="1" applyBorder="1" applyAlignment="1" applyProtection="1">
      <alignment vertical="center"/>
      <protection/>
    </xf>
    <xf numFmtId="4" fontId="40" fillId="0" borderId="11" xfId="45" applyNumberFormat="1" applyFont="1" applyFill="1" applyBorder="1" applyAlignment="1" applyProtection="1">
      <alignment horizontal="right" vertical="center"/>
      <protection locked="0"/>
    </xf>
    <xf numFmtId="3" fontId="40" fillId="0" borderId="11" xfId="45" applyNumberFormat="1" applyFont="1" applyFill="1" applyBorder="1" applyAlignment="1" applyProtection="1">
      <alignment horizontal="right" vertical="center"/>
      <protection locked="0"/>
    </xf>
    <xf numFmtId="2" fontId="40" fillId="0" borderId="22" xfId="45" applyNumberFormat="1" applyFont="1" applyFill="1" applyBorder="1" applyAlignment="1" applyProtection="1">
      <alignment vertical="center"/>
      <protection/>
    </xf>
    <xf numFmtId="3" fontId="40" fillId="34" borderId="11" xfId="0" applyNumberFormat="1" applyFont="1" applyFill="1" applyBorder="1" applyAlignment="1">
      <alignment horizontal="right" vertical="center"/>
    </xf>
    <xf numFmtId="2" fontId="40" fillId="34" borderId="11" xfId="0" applyNumberFormat="1" applyFont="1" applyFill="1" applyBorder="1" applyAlignment="1">
      <alignment vertical="center"/>
    </xf>
    <xf numFmtId="4" fontId="40" fillId="34" borderId="11" xfId="0" applyNumberFormat="1" applyFont="1" applyFill="1" applyBorder="1" applyAlignment="1">
      <alignment horizontal="right" vertical="center"/>
    </xf>
    <xf numFmtId="2" fontId="40" fillId="34" borderId="22" xfId="0" applyNumberFormat="1" applyFont="1" applyFill="1" applyBorder="1" applyAlignment="1">
      <alignment vertical="center"/>
    </xf>
    <xf numFmtId="3" fontId="40" fillId="0" borderId="11" xfId="61" applyNumberFormat="1" applyFont="1" applyFill="1" applyBorder="1" applyAlignment="1" applyProtection="1">
      <alignment horizontal="right" vertical="center"/>
      <protection/>
    </xf>
    <xf numFmtId="2" fontId="40" fillId="0" borderId="11" xfId="61" applyNumberFormat="1" applyFont="1" applyFill="1" applyBorder="1" applyAlignment="1" applyProtection="1">
      <alignment vertical="center"/>
      <protection/>
    </xf>
    <xf numFmtId="4" fontId="40" fillId="0" borderId="11" xfId="43" applyNumberFormat="1" applyFont="1" applyFill="1" applyBorder="1" applyAlignment="1" applyProtection="1">
      <alignment horizontal="right" vertical="center"/>
      <protection locked="0"/>
    </xf>
    <xf numFmtId="3" fontId="40" fillId="0" borderId="11" xfId="43" applyNumberFormat="1" applyFont="1" applyFill="1" applyBorder="1" applyAlignment="1" applyProtection="1">
      <alignment horizontal="right" vertical="center"/>
      <protection locked="0"/>
    </xf>
    <xf numFmtId="2" fontId="40" fillId="0" borderId="22" xfId="61" applyNumberFormat="1" applyFont="1" applyFill="1" applyBorder="1" applyAlignment="1" applyProtection="1">
      <alignment vertical="center"/>
      <protection/>
    </xf>
    <xf numFmtId="4" fontId="40" fillId="0" borderId="11" xfId="43" applyNumberFormat="1" applyFont="1" applyFill="1" applyBorder="1" applyAlignment="1" applyProtection="1">
      <alignment horizontal="right" vertical="center"/>
      <protection/>
    </xf>
    <xf numFmtId="3" fontId="40" fillId="0" borderId="11" xfId="0" applyNumberFormat="1" applyFont="1" applyFill="1" applyBorder="1" applyAlignment="1">
      <alignment horizontal="right" vertical="center"/>
    </xf>
    <xf numFmtId="4" fontId="40" fillId="0" borderId="11" xfId="0" applyNumberFormat="1" applyFont="1" applyFill="1" applyBorder="1" applyAlignment="1">
      <alignment horizontal="right" vertical="center"/>
    </xf>
    <xf numFmtId="2" fontId="40" fillId="0" borderId="11" xfId="0" applyNumberFormat="1" applyFont="1" applyFill="1" applyBorder="1" applyAlignment="1">
      <alignment vertical="center"/>
    </xf>
    <xf numFmtId="2" fontId="40" fillId="0" borderId="22" xfId="0" applyNumberFormat="1" applyFont="1" applyFill="1" applyBorder="1" applyAlignment="1">
      <alignment vertical="center"/>
    </xf>
    <xf numFmtId="3" fontId="40" fillId="0" borderId="11" xfId="43" applyNumberFormat="1" applyFont="1" applyFill="1" applyBorder="1" applyAlignment="1" applyProtection="1">
      <alignment horizontal="right" vertical="center"/>
      <protection/>
    </xf>
    <xf numFmtId="2" fontId="40" fillId="0" borderId="22" xfId="43" applyNumberFormat="1" applyFont="1" applyFill="1" applyBorder="1" applyAlignment="1" applyProtection="1">
      <alignment vertical="center"/>
      <protection/>
    </xf>
    <xf numFmtId="4" fontId="40" fillId="0" borderId="12" xfId="40" applyNumberFormat="1" applyFont="1" applyFill="1" applyBorder="1" applyAlignment="1" applyProtection="1">
      <alignment horizontal="right" vertical="center"/>
      <protection locked="0"/>
    </xf>
    <xf numFmtId="193" fontId="41" fillId="33" borderId="10" xfId="0" applyNumberFormat="1" applyFont="1" applyFill="1" applyBorder="1" applyAlignment="1">
      <alignment horizontal="right" vertical="center"/>
    </xf>
    <xf numFmtId="192" fontId="42" fillId="33" borderId="10" xfId="0" applyNumberFormat="1" applyFont="1" applyFill="1" applyBorder="1" applyAlignment="1">
      <alignment horizontal="right" vertical="center"/>
    </xf>
    <xf numFmtId="200" fontId="42" fillId="33" borderId="10" xfId="0" applyNumberFormat="1" applyFont="1" applyFill="1" applyBorder="1" applyAlignment="1">
      <alignment horizontal="right" vertical="center"/>
    </xf>
    <xf numFmtId="193" fontId="42" fillId="33" borderId="10" xfId="0" applyNumberFormat="1" applyFont="1" applyFill="1" applyBorder="1" applyAlignment="1">
      <alignment horizontal="right" vertical="center"/>
    </xf>
    <xf numFmtId="192" fontId="42" fillId="33" borderId="23" xfId="0" applyNumberFormat="1" applyFont="1" applyFill="1" applyBorder="1" applyAlignment="1">
      <alignment horizontal="right" vertical="center"/>
    </xf>
    <xf numFmtId="193" fontId="39" fillId="0" borderId="0" xfId="0" applyNumberFormat="1" applyFont="1" applyFill="1" applyBorder="1" applyAlignment="1" applyProtection="1">
      <alignment horizontal="right" vertical="center"/>
      <protection locked="0"/>
    </xf>
    <xf numFmtId="192" fontId="40" fillId="0" borderId="0" xfId="0" applyNumberFormat="1" applyFont="1" applyFill="1" applyBorder="1" applyAlignment="1" applyProtection="1">
      <alignment horizontal="right" vertical="center"/>
      <protection locked="0"/>
    </xf>
    <xf numFmtId="200" fontId="40" fillId="0" borderId="0" xfId="43" applyNumberFormat="1" applyFont="1" applyFill="1" applyBorder="1" applyAlignment="1" applyProtection="1">
      <alignment horizontal="right" vertical="center"/>
      <protection/>
    </xf>
    <xf numFmtId="193" fontId="40" fillId="0" borderId="0" xfId="0" applyNumberFormat="1" applyFont="1" applyFill="1" applyBorder="1" applyAlignment="1" applyProtection="1">
      <alignment horizontal="right" vertical="center"/>
      <protection locked="0"/>
    </xf>
    <xf numFmtId="193" fontId="39" fillId="0" borderId="0" xfId="0" applyNumberFormat="1" applyFont="1" applyAlignment="1">
      <alignment horizontal="right" vertical="center"/>
    </xf>
    <xf numFmtId="192" fontId="40" fillId="0" borderId="0" xfId="0" applyNumberFormat="1" applyFont="1" applyAlignment="1">
      <alignment horizontal="right" vertical="center"/>
    </xf>
    <xf numFmtId="200" fontId="40" fillId="0" borderId="0" xfId="0" applyNumberFormat="1" applyFont="1" applyAlignment="1">
      <alignment horizontal="right" vertical="center"/>
    </xf>
    <xf numFmtId="193" fontId="40" fillId="0" borderId="0" xfId="0" applyNumberFormat="1" applyFont="1" applyAlignment="1">
      <alignment horizontal="right" vertical="center"/>
    </xf>
    <xf numFmtId="200" fontId="40" fillId="0" borderId="0" xfId="0" applyNumberFormat="1" applyFont="1" applyFill="1" applyBorder="1" applyAlignment="1" applyProtection="1">
      <alignment horizontal="right" vertical="center"/>
      <protection locked="0"/>
    </xf>
    <xf numFmtId="2" fontId="19" fillId="0" borderId="21" xfId="0" applyNumberFormat="1" applyFont="1" applyFill="1" applyBorder="1" applyAlignment="1" applyProtection="1">
      <alignment horizontal="center" wrapText="1"/>
      <protection/>
    </xf>
    <xf numFmtId="184" fontId="20" fillId="0" borderId="24" xfId="0" applyNumberFormat="1" applyFont="1" applyFill="1" applyBorder="1" applyAlignment="1">
      <alignment horizontal="center" vertical="center"/>
    </xf>
    <xf numFmtId="0" fontId="21" fillId="0" borderId="0" xfId="0" applyFont="1" applyAlignment="1">
      <alignment horizontal="center"/>
    </xf>
    <xf numFmtId="4" fontId="22" fillId="0" borderId="24" xfId="40" applyNumberFormat="1" applyFont="1" applyFill="1" applyBorder="1" applyAlignment="1" applyProtection="1">
      <alignment horizontal="right" vertical="center"/>
      <protection locked="0"/>
    </xf>
    <xf numFmtId="3" fontId="22" fillId="0" borderId="24" xfId="40" applyNumberFormat="1" applyFont="1" applyFill="1" applyBorder="1" applyAlignment="1" applyProtection="1">
      <alignment horizontal="right" vertical="center"/>
      <protection locked="0"/>
    </xf>
    <xf numFmtId="4" fontId="23" fillId="0" borderId="0" xfId="0" applyNumberFormat="1" applyFont="1" applyAlignment="1">
      <alignment horizontal="right"/>
    </xf>
    <xf numFmtId="3" fontId="23" fillId="0" borderId="0" xfId="0" applyNumberFormat="1" applyFont="1" applyAlignment="1">
      <alignment horizontal="right"/>
    </xf>
    <xf numFmtId="0" fontId="22" fillId="0" borderId="25" xfId="0" applyFont="1" applyFill="1" applyBorder="1" applyAlignment="1" applyProtection="1">
      <alignment horizontal="right" vertical="center"/>
      <protection/>
    </xf>
    <xf numFmtId="0" fontId="23" fillId="0" borderId="0" xfId="0" applyFont="1" applyAlignment="1">
      <alignment/>
    </xf>
    <xf numFmtId="4" fontId="19" fillId="0" borderId="20" xfId="0" applyNumberFormat="1" applyFont="1" applyFill="1" applyBorder="1" applyAlignment="1" applyProtection="1">
      <alignment horizontal="center" wrapText="1"/>
      <protection/>
    </xf>
    <xf numFmtId="3" fontId="19" fillId="0" borderId="20" xfId="0" applyNumberFormat="1" applyFont="1" applyFill="1" applyBorder="1" applyAlignment="1" applyProtection="1">
      <alignment horizontal="center" wrapText="1"/>
      <protection/>
    </xf>
    <xf numFmtId="2" fontId="19" fillId="0" borderId="20" xfId="0" applyNumberFormat="1" applyFont="1" applyFill="1" applyBorder="1" applyAlignment="1" applyProtection="1">
      <alignment horizontal="center" wrapText="1"/>
      <protection/>
    </xf>
    <xf numFmtId="0" fontId="24" fillId="0" borderId="24" xfId="0" applyFont="1" applyFill="1" applyBorder="1" applyAlignment="1">
      <alignment horizontal="center" vertical="center"/>
    </xf>
    <xf numFmtId="200" fontId="25" fillId="0" borderId="0" xfId="0" applyNumberFormat="1" applyFont="1" applyAlignment="1">
      <alignment horizontal="center"/>
    </xf>
    <xf numFmtId="193" fontId="25" fillId="0" borderId="0" xfId="0" applyNumberFormat="1" applyFont="1" applyAlignment="1">
      <alignment horizontal="center"/>
    </xf>
    <xf numFmtId="3" fontId="40" fillId="0" borderId="24" xfId="40" applyNumberFormat="1" applyFont="1" applyFill="1" applyBorder="1" applyAlignment="1" applyProtection="1">
      <alignment horizontal="right" vertical="center"/>
      <protection/>
    </xf>
    <xf numFmtId="2" fontId="40" fillId="0" borderId="24" xfId="40" applyNumberFormat="1" applyFont="1" applyFill="1" applyBorder="1" applyAlignment="1" applyProtection="1">
      <alignment vertical="center"/>
      <protection/>
    </xf>
    <xf numFmtId="4" fontId="40" fillId="0" borderId="24" xfId="40" applyNumberFormat="1" applyFont="1" applyFill="1" applyBorder="1" applyAlignment="1" applyProtection="1">
      <alignment horizontal="right" vertical="center"/>
      <protection locked="0"/>
    </xf>
    <xf numFmtId="3" fontId="40" fillId="0" borderId="24" xfId="40" applyNumberFormat="1" applyFont="1" applyFill="1" applyBorder="1" applyAlignment="1" applyProtection="1">
      <alignment horizontal="right" vertical="center"/>
      <protection locked="0"/>
    </xf>
    <xf numFmtId="2" fontId="40" fillId="0" borderId="26" xfId="40" applyNumberFormat="1" applyFont="1" applyFill="1" applyBorder="1" applyAlignment="1" applyProtection="1">
      <alignment vertical="center"/>
      <protection/>
    </xf>
    <xf numFmtId="2" fontId="40" fillId="0" borderId="11" xfId="43" applyNumberFormat="1" applyFont="1" applyFill="1" applyBorder="1" applyAlignment="1" applyProtection="1">
      <alignment vertical="center"/>
      <protection/>
    </xf>
    <xf numFmtId="3" fontId="40" fillId="0" borderId="0" xfId="0" applyNumberFormat="1" applyFont="1" applyAlignment="1">
      <alignment horizontal="right"/>
    </xf>
    <xf numFmtId="2" fontId="40" fillId="0" borderId="0" xfId="0" applyNumberFormat="1" applyFont="1" applyAlignment="1">
      <alignment/>
    </xf>
    <xf numFmtId="4" fontId="40" fillId="0" borderId="0" xfId="0" applyNumberFormat="1" applyFont="1" applyAlignment="1">
      <alignment horizontal="right"/>
    </xf>
    <xf numFmtId="184" fontId="20" fillId="0" borderId="10" xfId="0" applyNumberFormat="1" applyFont="1" applyFill="1" applyBorder="1" applyAlignment="1" applyProtection="1">
      <alignment horizontal="center" vertical="center"/>
      <protection locked="0"/>
    </xf>
    <xf numFmtId="184" fontId="20" fillId="0" borderId="12" xfId="0" applyNumberFormat="1" applyFont="1" applyFill="1" applyBorder="1" applyAlignment="1" applyProtection="1">
      <alignment horizontal="center" vertical="center"/>
      <protection locked="0"/>
    </xf>
    <xf numFmtId="0" fontId="22" fillId="0" borderId="0" xfId="0" applyFont="1" applyBorder="1" applyAlignment="1">
      <alignment horizontal="right" vertical="center"/>
    </xf>
    <xf numFmtId="0" fontId="22" fillId="0" borderId="0" xfId="0" applyFont="1" applyFill="1" applyBorder="1" applyAlignment="1">
      <alignment horizontal="right" vertical="center"/>
    </xf>
    <xf numFmtId="0" fontId="22" fillId="0" borderId="27" xfId="0" applyFont="1" applyFill="1" applyBorder="1" applyAlignment="1">
      <alignment horizontal="right" vertical="center"/>
    </xf>
    <xf numFmtId="200" fontId="22" fillId="0" borderId="0" xfId="0" applyNumberFormat="1" applyFont="1" applyBorder="1" applyAlignment="1">
      <alignment horizontal="right" vertical="center"/>
    </xf>
    <xf numFmtId="193" fontId="22" fillId="0" borderId="0" xfId="0" applyNumberFormat="1" applyFont="1" applyBorder="1" applyAlignment="1">
      <alignment horizontal="right" vertical="center" indent="1"/>
    </xf>
    <xf numFmtId="192" fontId="23" fillId="0" borderId="0" xfId="0" applyNumberFormat="1" applyFont="1" applyBorder="1" applyAlignment="1">
      <alignment horizontal="right" vertical="center" indent="1"/>
    </xf>
    <xf numFmtId="0" fontId="10" fillId="0" borderId="0" xfId="0" applyFont="1" applyBorder="1" applyAlignment="1">
      <alignment horizontal="center" vertical="center"/>
    </xf>
    <xf numFmtId="0" fontId="24" fillId="0" borderId="0" xfId="0" applyFont="1" applyBorder="1" applyAlignment="1">
      <alignment horizontal="center" vertical="center"/>
    </xf>
    <xf numFmtId="0" fontId="19" fillId="0" borderId="0" xfId="0" applyFont="1" applyBorder="1" applyAlignment="1">
      <alignment horizontal="right" vertical="center"/>
    </xf>
    <xf numFmtId="0" fontId="21" fillId="0" borderId="0" xfId="0" applyFont="1" applyBorder="1" applyAlignment="1">
      <alignment vertical="center"/>
    </xf>
    <xf numFmtId="200" fontId="19" fillId="0" borderId="0" xfId="0" applyNumberFormat="1" applyFont="1" applyBorder="1" applyAlignment="1">
      <alignment horizontal="right" vertical="center"/>
    </xf>
    <xf numFmtId="193" fontId="19" fillId="0" borderId="0" xfId="0" applyNumberFormat="1" applyFont="1" applyBorder="1" applyAlignment="1">
      <alignment horizontal="right" vertical="center" indent="1"/>
    </xf>
    <xf numFmtId="192" fontId="21" fillId="0" borderId="0" xfId="0" applyNumberFormat="1" applyFont="1" applyBorder="1" applyAlignment="1">
      <alignment horizontal="right" vertical="center" indent="1"/>
    </xf>
    <xf numFmtId="4" fontId="31" fillId="0" borderId="0" xfId="0" applyNumberFormat="1" applyFont="1" applyFill="1" applyBorder="1" applyAlignment="1">
      <alignment horizontal="righ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0" fontId="19" fillId="0" borderId="18" xfId="0" applyFont="1" applyFill="1" applyBorder="1" applyAlignment="1">
      <alignment horizontal="center" vertical="center"/>
    </xf>
    <xf numFmtId="0" fontId="38" fillId="0" borderId="19" xfId="0" applyFont="1" applyFill="1" applyBorder="1" applyAlignment="1">
      <alignment horizontal="center" vertical="center"/>
    </xf>
    <xf numFmtId="0" fontId="21" fillId="0" borderId="0" xfId="0" applyFont="1" applyBorder="1" applyAlignment="1">
      <alignment horizontal="center" vertical="center"/>
    </xf>
    <xf numFmtId="4" fontId="38" fillId="0" borderId="0" xfId="0" applyNumberFormat="1" applyFont="1" applyFill="1" applyBorder="1" applyAlignment="1">
      <alignment horizontal="right" vertical="center"/>
    </xf>
    <xf numFmtId="3" fontId="19" fillId="0" borderId="0" xfId="0" applyNumberFormat="1" applyFont="1" applyFill="1" applyBorder="1" applyAlignment="1">
      <alignment horizontal="center" vertical="center"/>
    </xf>
    <xf numFmtId="4"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200" fontId="19" fillId="0" borderId="20" xfId="0" applyNumberFormat="1" applyFont="1" applyFill="1" applyBorder="1" applyAlignment="1" applyProtection="1">
      <alignment horizontal="center" vertical="center" wrapText="1"/>
      <protection/>
    </xf>
    <xf numFmtId="193" fontId="19" fillId="0" borderId="20" xfId="0" applyNumberFormat="1" applyFont="1" applyFill="1" applyBorder="1" applyAlignment="1" applyProtection="1">
      <alignment horizontal="center" vertical="center" wrapText="1"/>
      <protection/>
    </xf>
    <xf numFmtId="14" fontId="20" fillId="0" borderId="11" xfId="0" applyNumberFormat="1" applyFont="1" applyFill="1" applyBorder="1" applyAlignment="1">
      <alignment horizontal="left" vertical="center"/>
    </xf>
    <xf numFmtId="2" fontId="40" fillId="0" borderId="11" xfId="0" applyNumberFormat="1" applyFont="1" applyFill="1" applyBorder="1" applyAlignment="1">
      <alignment horizontal="right" vertical="center"/>
    </xf>
    <xf numFmtId="0" fontId="20" fillId="0" borderId="11" xfId="0" applyFont="1" applyFill="1" applyBorder="1" applyAlignment="1">
      <alignment horizontal="left" vertical="center"/>
    </xf>
    <xf numFmtId="2" fontId="40" fillId="0" borderId="11" xfId="40" applyNumberFormat="1" applyFont="1" applyFill="1" applyBorder="1" applyAlignment="1" applyProtection="1">
      <alignment horizontal="right" vertical="center"/>
      <protection/>
    </xf>
    <xf numFmtId="0" fontId="20" fillId="0" borderId="11" xfId="0" applyFont="1" applyFill="1" applyBorder="1" applyAlignment="1" applyProtection="1">
      <alignment horizontal="left" vertical="center"/>
      <protection locked="0"/>
    </xf>
    <xf numFmtId="4" fontId="22" fillId="0" borderId="11" xfId="0" applyNumberFormat="1" applyFont="1" applyFill="1" applyBorder="1" applyAlignment="1" applyProtection="1">
      <alignment horizontal="right" vertical="center"/>
      <protection/>
    </xf>
    <xf numFmtId="2" fontId="40" fillId="0" borderId="11" xfId="61" applyNumberFormat="1" applyFont="1" applyFill="1" applyBorder="1" applyAlignment="1" applyProtection="1">
      <alignment horizontal="right" vertical="center"/>
      <protection/>
    </xf>
    <xf numFmtId="49" fontId="20" fillId="0" borderId="11" xfId="0" applyNumberFormat="1" applyFont="1" applyFill="1" applyBorder="1" applyAlignment="1" applyProtection="1">
      <alignment horizontal="left" vertical="center"/>
      <protection locked="0"/>
    </xf>
    <xf numFmtId="0" fontId="20" fillId="0" borderId="11" xfId="0" applyNumberFormat="1" applyFont="1" applyFill="1" applyBorder="1" applyAlignment="1" applyProtection="1">
      <alignment horizontal="left" vertical="center"/>
      <protection locked="0"/>
    </xf>
    <xf numFmtId="2" fontId="40" fillId="0" borderId="11" xfId="45" applyNumberFormat="1" applyFont="1" applyFill="1" applyBorder="1" applyAlignment="1" applyProtection="1">
      <alignment horizontal="right" vertical="center"/>
      <protection/>
    </xf>
    <xf numFmtId="49" fontId="24" fillId="0" borderId="11" xfId="0" applyNumberFormat="1" applyFont="1" applyFill="1" applyBorder="1" applyAlignment="1" applyProtection="1">
      <alignment horizontal="center" vertical="center"/>
      <protection locked="0"/>
    </xf>
    <xf numFmtId="2" fontId="40" fillId="0" borderId="11" xfId="43" applyNumberFormat="1" applyFont="1" applyFill="1" applyBorder="1" applyAlignment="1" applyProtection="1">
      <alignment horizontal="right" vertical="center"/>
      <protection/>
    </xf>
    <xf numFmtId="0" fontId="33" fillId="0" borderId="28" xfId="0" applyFont="1" applyFill="1" applyBorder="1" applyAlignment="1">
      <alignment horizontal="left" vertical="center"/>
    </xf>
    <xf numFmtId="14" fontId="20" fillId="0" borderId="24" xfId="0" applyNumberFormat="1" applyFont="1" applyFill="1" applyBorder="1" applyAlignment="1">
      <alignment horizontal="left" vertical="center"/>
    </xf>
    <xf numFmtId="4" fontId="22" fillId="0" borderId="24" xfId="0" applyNumberFormat="1" applyFont="1" applyFill="1" applyBorder="1" applyAlignment="1">
      <alignment horizontal="right" vertical="center"/>
    </xf>
    <xf numFmtId="0" fontId="33" fillId="0" borderId="17" xfId="0" applyFont="1" applyFill="1" applyBorder="1" applyAlignment="1">
      <alignment horizontal="left" vertical="center"/>
    </xf>
    <xf numFmtId="2" fontId="40" fillId="0" borderId="22" xfId="40" applyNumberFormat="1" applyFont="1" applyFill="1" applyBorder="1" applyAlignment="1" applyProtection="1">
      <alignment horizontal="right" vertical="center"/>
      <protection/>
    </xf>
    <xf numFmtId="2" fontId="40" fillId="0" borderId="22" xfId="0" applyNumberFormat="1" applyFont="1" applyFill="1" applyBorder="1" applyAlignment="1">
      <alignment horizontal="right" vertical="center"/>
    </xf>
    <xf numFmtId="0" fontId="33" fillId="0" borderId="17" xfId="0" applyFont="1" applyFill="1" applyBorder="1" applyAlignment="1" applyProtection="1">
      <alignment horizontal="left" vertical="center"/>
      <protection locked="0"/>
    </xf>
    <xf numFmtId="2" fontId="40" fillId="0" borderId="22" xfId="61" applyNumberFormat="1" applyFont="1" applyFill="1" applyBorder="1" applyAlignment="1" applyProtection="1">
      <alignment horizontal="right" vertical="center"/>
      <protection/>
    </xf>
    <xf numFmtId="0" fontId="33" fillId="0" borderId="17" xfId="0" applyNumberFormat="1" applyFont="1" applyFill="1" applyBorder="1" applyAlignment="1" applyProtection="1">
      <alignment horizontal="left" vertical="center"/>
      <protection locked="0"/>
    </xf>
    <xf numFmtId="49" fontId="33" fillId="0" borderId="17" xfId="0" applyNumberFormat="1" applyFont="1" applyFill="1" applyBorder="1" applyAlignment="1" applyProtection="1">
      <alignment horizontal="left" vertical="center"/>
      <protection locked="0"/>
    </xf>
    <xf numFmtId="2" fontId="40" fillId="0" borderId="22" xfId="43" applyNumberFormat="1" applyFont="1" applyFill="1" applyBorder="1" applyAlignment="1" applyProtection="1">
      <alignment horizontal="right" vertical="center"/>
      <protection/>
    </xf>
    <xf numFmtId="0" fontId="33" fillId="0" borderId="29" xfId="0" applyFont="1" applyFill="1" applyBorder="1" applyAlignment="1">
      <alignment horizontal="left" vertical="center"/>
    </xf>
    <xf numFmtId="0" fontId="20" fillId="0" borderId="12" xfId="0" applyFont="1" applyFill="1" applyBorder="1" applyAlignment="1">
      <alignment horizontal="left" vertical="center"/>
    </xf>
    <xf numFmtId="0" fontId="42" fillId="0" borderId="30" xfId="0" applyFont="1" applyFill="1" applyBorder="1" applyAlignment="1">
      <alignment horizontal="right" vertical="center"/>
    </xf>
    <xf numFmtId="0" fontId="42" fillId="0" borderId="30" xfId="0" applyFont="1" applyFill="1" applyBorder="1" applyAlignment="1" applyProtection="1">
      <alignment horizontal="right" vertical="center"/>
      <protection locked="0"/>
    </xf>
    <xf numFmtId="0" fontId="34" fillId="0" borderId="28" xfId="0" applyFont="1" applyFill="1" applyBorder="1" applyAlignment="1" applyProtection="1">
      <alignment horizontal="left" vertical="center"/>
      <protection locked="0"/>
    </xf>
    <xf numFmtId="184" fontId="20" fillId="0" borderId="24" xfId="0" applyNumberFormat="1" applyFont="1" applyFill="1" applyBorder="1" applyAlignment="1" applyProtection="1">
      <alignment horizontal="center" vertical="center"/>
      <protection locked="0"/>
    </xf>
    <xf numFmtId="184" fontId="20" fillId="0" borderId="24" xfId="0" applyNumberFormat="1" applyFont="1" applyFill="1" applyBorder="1" applyAlignment="1" applyProtection="1">
      <alignment vertical="center"/>
      <protection locked="0"/>
    </xf>
    <xf numFmtId="0" fontId="24" fillId="0" borderId="24" xfId="0" applyFont="1" applyFill="1" applyBorder="1" applyAlignment="1" applyProtection="1">
      <alignment horizontal="center" vertical="center"/>
      <protection locked="0"/>
    </xf>
    <xf numFmtId="0" fontId="33" fillId="0" borderId="29" xfId="0" applyFont="1" applyFill="1" applyBorder="1" applyAlignment="1" applyProtection="1">
      <alignment horizontal="left" vertical="center"/>
      <protection locked="0"/>
    </xf>
    <xf numFmtId="0" fontId="24" fillId="0" borderId="12" xfId="0" applyFont="1" applyFill="1" applyBorder="1" applyAlignment="1" applyProtection="1">
      <alignment horizontal="center" vertical="center"/>
      <protection locked="0"/>
    </xf>
    <xf numFmtId="0" fontId="42" fillId="0" borderId="0" xfId="0" applyFont="1" applyFill="1" applyBorder="1" applyAlignment="1">
      <alignment horizontal="right"/>
    </xf>
    <xf numFmtId="3" fontId="22" fillId="0" borderId="11" xfId="0" applyNumberFormat="1" applyFont="1" applyFill="1" applyBorder="1" applyAlignment="1" applyProtection="1">
      <alignment horizontal="right" vertical="center"/>
      <protection/>
    </xf>
    <xf numFmtId="0" fontId="33" fillId="0" borderId="31" xfId="0" applyFont="1" applyFill="1" applyBorder="1" applyAlignment="1" applyProtection="1">
      <alignment horizontal="left" vertical="center"/>
      <protection locked="0"/>
    </xf>
    <xf numFmtId="0" fontId="20" fillId="0" borderId="10" xfId="0" applyFont="1" applyFill="1" applyBorder="1" applyAlignment="1" applyProtection="1">
      <alignment horizontal="left" vertical="center"/>
      <protection locked="0"/>
    </xf>
    <xf numFmtId="0" fontId="24" fillId="0" borderId="10" xfId="0" applyFont="1" applyFill="1" applyBorder="1" applyAlignment="1" applyProtection="1">
      <alignment horizontal="center" vertical="center"/>
      <protection locked="0"/>
    </xf>
    <xf numFmtId="184" fontId="20" fillId="35" borderId="11" xfId="0" applyNumberFormat="1" applyFont="1" applyFill="1" applyBorder="1" applyAlignment="1">
      <alignment horizontal="center" vertical="center"/>
    </xf>
    <xf numFmtId="0" fontId="20" fillId="35" borderId="11" xfId="0" applyFont="1" applyFill="1" applyBorder="1" applyAlignment="1">
      <alignment horizontal="left" vertical="center"/>
    </xf>
    <xf numFmtId="0" fontId="24" fillId="35" borderId="11" xfId="0" applyFont="1" applyFill="1" applyBorder="1" applyAlignment="1">
      <alignment horizontal="center" vertical="center"/>
    </xf>
    <xf numFmtId="3" fontId="22" fillId="0" borderId="11" xfId="40" applyNumberFormat="1" applyFont="1" applyFill="1" applyBorder="1" applyAlignment="1" applyProtection="1">
      <alignment vertical="center"/>
      <protection locked="0"/>
    </xf>
    <xf numFmtId="3" fontId="40" fillId="0" borderId="11" xfId="40" applyNumberFormat="1" applyFont="1" applyFill="1" applyBorder="1" applyAlignment="1" applyProtection="1">
      <alignment vertical="center"/>
      <protection/>
    </xf>
    <xf numFmtId="3" fontId="40" fillId="0" borderId="11" xfId="40" applyNumberFormat="1" applyFont="1" applyFill="1" applyBorder="1" applyAlignment="1" applyProtection="1">
      <alignment vertical="center"/>
      <protection locked="0"/>
    </xf>
    <xf numFmtId="3" fontId="22" fillId="0" borderId="11" xfId="0" applyNumberFormat="1" applyFont="1" applyFill="1" applyBorder="1" applyAlignment="1">
      <alignment vertical="center"/>
    </xf>
    <xf numFmtId="3" fontId="40" fillId="0" borderId="11" xfId="0" applyNumberFormat="1" applyFont="1" applyFill="1" applyBorder="1" applyAlignment="1">
      <alignment vertical="center"/>
    </xf>
    <xf numFmtId="184" fontId="20" fillId="0" borderId="11" xfId="0" applyNumberFormat="1" applyFont="1" applyFill="1" applyBorder="1" applyAlignment="1" applyProtection="1">
      <alignment horizontal="left" vertical="center"/>
      <protection locked="0"/>
    </xf>
    <xf numFmtId="3" fontId="22" fillId="0" borderId="11" xfId="43" applyNumberFormat="1" applyFont="1" applyFill="1" applyBorder="1" applyAlignment="1" applyProtection="1">
      <alignment vertical="center"/>
      <protection/>
    </xf>
    <xf numFmtId="3" fontId="40" fillId="0" borderId="11" xfId="61" applyNumberFormat="1" applyFont="1" applyFill="1" applyBorder="1" applyAlignment="1" applyProtection="1">
      <alignment vertical="center"/>
      <protection/>
    </xf>
    <xf numFmtId="3" fontId="22" fillId="0" borderId="11" xfId="45" applyNumberFormat="1" applyFont="1" applyFill="1" applyBorder="1" applyAlignment="1" applyProtection="1">
      <alignment vertical="center"/>
      <protection locked="0"/>
    </xf>
    <xf numFmtId="3" fontId="40" fillId="0" borderId="11" xfId="45" applyNumberFormat="1" applyFont="1" applyFill="1" applyBorder="1" applyAlignment="1" applyProtection="1">
      <alignment vertical="center"/>
      <protection/>
    </xf>
    <xf numFmtId="3" fontId="40" fillId="0" borderId="11" xfId="45" applyNumberFormat="1" applyFont="1" applyFill="1" applyBorder="1" applyAlignment="1" applyProtection="1">
      <alignment vertical="center"/>
      <protection locked="0"/>
    </xf>
    <xf numFmtId="3" fontId="22" fillId="0" borderId="11" xfId="43" applyNumberFormat="1" applyFont="1" applyFill="1" applyBorder="1" applyAlignment="1" applyProtection="1">
      <alignment vertical="center"/>
      <protection locked="0"/>
    </xf>
    <xf numFmtId="3" fontId="40" fillId="0" borderId="11" xfId="43" applyNumberFormat="1" applyFont="1" applyFill="1" applyBorder="1" applyAlignment="1" applyProtection="1">
      <alignment vertical="center"/>
      <protection locked="0"/>
    </xf>
    <xf numFmtId="3" fontId="40" fillId="0" borderId="11" xfId="43" applyNumberFormat="1" applyFont="1" applyFill="1" applyBorder="1" applyAlignment="1" applyProtection="1">
      <alignment vertical="center"/>
      <protection/>
    </xf>
    <xf numFmtId="0" fontId="33" fillId="35" borderId="28" xfId="0" applyFont="1" applyFill="1" applyBorder="1" applyAlignment="1">
      <alignment horizontal="left" vertical="center"/>
    </xf>
    <xf numFmtId="184" fontId="20" fillId="35" borderId="24" xfId="0" applyNumberFormat="1" applyFont="1" applyFill="1" applyBorder="1" applyAlignment="1">
      <alignment horizontal="center" vertical="center"/>
    </xf>
    <xf numFmtId="0" fontId="20" fillId="35" borderId="24" xfId="0" applyFont="1" applyFill="1" applyBorder="1" applyAlignment="1">
      <alignment horizontal="left" vertical="center"/>
    </xf>
    <xf numFmtId="0" fontId="24" fillId="35" borderId="24" xfId="0" applyFont="1" applyFill="1" applyBorder="1" applyAlignment="1">
      <alignment horizontal="center" vertical="center"/>
    </xf>
    <xf numFmtId="3" fontId="22" fillId="0" borderId="24" xfId="40" applyNumberFormat="1" applyFont="1" applyFill="1" applyBorder="1" applyAlignment="1" applyProtection="1">
      <alignment vertical="center"/>
      <protection locked="0"/>
    </xf>
    <xf numFmtId="3" fontId="40" fillId="0" borderId="24" xfId="40" applyNumberFormat="1" applyFont="1" applyFill="1" applyBorder="1" applyAlignment="1" applyProtection="1">
      <alignment vertical="center"/>
      <protection/>
    </xf>
    <xf numFmtId="3" fontId="40" fillId="0" borderId="24" xfId="40" applyNumberFormat="1" applyFont="1" applyFill="1" applyBorder="1" applyAlignment="1" applyProtection="1">
      <alignment vertical="center"/>
      <protection locked="0"/>
    </xf>
    <xf numFmtId="0" fontId="33" fillId="35" borderId="17" xfId="0" applyFont="1" applyFill="1" applyBorder="1" applyAlignment="1">
      <alignment horizontal="left" vertical="center"/>
    </xf>
    <xf numFmtId="3" fontId="22" fillId="0" borderId="12" xfId="0" applyNumberFormat="1" applyFont="1" applyFill="1" applyBorder="1" applyAlignment="1">
      <alignment vertical="center"/>
    </xf>
    <xf numFmtId="3" fontId="40" fillId="0" borderId="12" xfId="61" applyNumberFormat="1" applyFont="1" applyFill="1" applyBorder="1" applyAlignment="1" applyProtection="1">
      <alignment vertical="center"/>
      <protection/>
    </xf>
    <xf numFmtId="2" fontId="40" fillId="0" borderId="12" xfId="61" applyNumberFormat="1" applyFont="1" applyFill="1" applyBorder="1" applyAlignment="1" applyProtection="1">
      <alignment vertical="center"/>
      <protection/>
    </xf>
    <xf numFmtId="3" fontId="40" fillId="0" borderId="12" xfId="0" applyNumberFormat="1" applyFont="1" applyFill="1" applyBorder="1" applyAlignment="1">
      <alignment vertical="center"/>
    </xf>
    <xf numFmtId="2" fontId="40" fillId="0" borderId="32" xfId="61" applyNumberFormat="1" applyFont="1" applyFill="1" applyBorder="1" applyAlignment="1" applyProtection="1">
      <alignment vertical="center"/>
      <protection/>
    </xf>
    <xf numFmtId="0" fontId="42" fillId="0" borderId="30" xfId="0" applyFont="1" applyFill="1" applyBorder="1" applyAlignment="1" applyProtection="1">
      <alignment vertical="center"/>
      <protection locked="0"/>
    </xf>
    <xf numFmtId="4" fontId="22" fillId="0" borderId="10" xfId="43" applyNumberFormat="1" applyFont="1" applyFill="1" applyBorder="1" applyAlignment="1" applyProtection="1">
      <alignment horizontal="right" vertical="center"/>
      <protection/>
    </xf>
    <xf numFmtId="3" fontId="22" fillId="0" borderId="10" xfId="43" applyNumberFormat="1" applyFont="1" applyFill="1" applyBorder="1" applyAlignment="1" applyProtection="1">
      <alignment vertical="center"/>
      <protection/>
    </xf>
    <xf numFmtId="3" fontId="40" fillId="0" borderId="10" xfId="61" applyNumberFormat="1" applyFont="1" applyFill="1" applyBorder="1" applyAlignment="1" applyProtection="1">
      <alignment vertical="center"/>
      <protection/>
    </xf>
    <xf numFmtId="2" fontId="40" fillId="0" borderId="10" xfId="61" applyNumberFormat="1" applyFont="1" applyFill="1" applyBorder="1" applyAlignment="1" applyProtection="1">
      <alignment vertical="center"/>
      <protection/>
    </xf>
    <xf numFmtId="4" fontId="40" fillId="0" borderId="10" xfId="43" applyNumberFormat="1" applyFont="1" applyFill="1" applyBorder="1" applyAlignment="1" applyProtection="1">
      <alignment horizontal="right" vertical="center"/>
      <protection/>
    </xf>
    <xf numFmtId="3" fontId="40" fillId="0" borderId="10" xfId="0" applyNumberFormat="1" applyFont="1" applyFill="1" applyBorder="1" applyAlignment="1">
      <alignment vertical="center"/>
    </xf>
    <xf numFmtId="2" fontId="40" fillId="0" borderId="23" xfId="61" applyNumberFormat="1" applyFont="1" applyFill="1" applyBorder="1" applyAlignment="1" applyProtection="1">
      <alignment vertical="center"/>
      <protection/>
    </xf>
    <xf numFmtId="184" fontId="20" fillId="0" borderId="12" xfId="0" applyNumberFormat="1" applyFont="1" applyFill="1" applyBorder="1" applyAlignment="1" applyProtection="1">
      <alignment horizontal="left" vertical="center"/>
      <protection locked="0"/>
    </xf>
    <xf numFmtId="3" fontId="22" fillId="0" borderId="12" xfId="40" applyNumberFormat="1" applyFont="1" applyFill="1" applyBorder="1" applyAlignment="1" applyProtection="1">
      <alignment vertical="center"/>
      <protection locked="0"/>
    </xf>
    <xf numFmtId="3" fontId="40" fillId="0" borderId="12" xfId="40" applyNumberFormat="1" applyFont="1" applyFill="1" applyBorder="1" applyAlignment="1" applyProtection="1">
      <alignment vertical="center"/>
      <protection/>
    </xf>
    <xf numFmtId="2" fontId="40" fillId="0" borderId="12" xfId="40" applyNumberFormat="1" applyFont="1" applyFill="1" applyBorder="1" applyAlignment="1" applyProtection="1">
      <alignment vertical="center"/>
      <protection/>
    </xf>
    <xf numFmtId="3" fontId="40" fillId="0" borderId="12" xfId="40" applyNumberFormat="1" applyFont="1" applyFill="1" applyBorder="1" applyAlignment="1" applyProtection="1">
      <alignment vertical="center"/>
      <protection locked="0"/>
    </xf>
    <xf numFmtId="2" fontId="40" fillId="0" borderId="32" xfId="40" applyNumberFormat="1" applyFont="1" applyFill="1" applyBorder="1" applyAlignment="1" applyProtection="1">
      <alignment vertical="center"/>
      <protection/>
    </xf>
    <xf numFmtId="0" fontId="41" fillId="0" borderId="0" xfId="0" applyFont="1" applyFill="1" applyBorder="1" applyAlignment="1" applyProtection="1">
      <alignment horizontal="right" vertical="center" wrapText="1"/>
      <protection locked="0"/>
    </xf>
    <xf numFmtId="0" fontId="22" fillId="0" borderId="19" xfId="0" applyFont="1" applyFill="1" applyBorder="1" applyAlignment="1" applyProtection="1">
      <alignment horizontal="right" vertical="center"/>
      <protection/>
    </xf>
    <xf numFmtId="0" fontId="22" fillId="0" borderId="0" xfId="0" applyFont="1" applyFill="1" applyBorder="1" applyAlignment="1" applyProtection="1">
      <alignment horizontal="right" vertical="center"/>
      <protection/>
    </xf>
    <xf numFmtId="3" fontId="22" fillId="0" borderId="24" xfId="0" applyNumberFormat="1" applyFont="1" applyFill="1" applyBorder="1" applyAlignment="1">
      <alignment vertical="center"/>
    </xf>
    <xf numFmtId="2" fontId="40" fillId="0" borderId="26" xfId="0" applyNumberFormat="1" applyFont="1" applyFill="1" applyBorder="1" applyAlignment="1">
      <alignment vertical="center"/>
    </xf>
    <xf numFmtId="0" fontId="33" fillId="35" borderId="29" xfId="0" applyFont="1" applyFill="1" applyBorder="1" applyAlignment="1">
      <alignment horizontal="left" vertical="center"/>
    </xf>
    <xf numFmtId="184" fontId="20" fillId="35" borderId="12" xfId="0" applyNumberFormat="1" applyFont="1" applyFill="1" applyBorder="1" applyAlignment="1">
      <alignment horizontal="center" vertical="center"/>
    </xf>
    <xf numFmtId="0" fontId="20" fillId="35" borderId="12" xfId="0" applyFont="1" applyFill="1" applyBorder="1" applyAlignment="1">
      <alignment horizontal="left" vertical="center"/>
    </xf>
    <xf numFmtId="0" fontId="24" fillId="35" borderId="12" xfId="0" applyFont="1" applyFill="1" applyBorder="1" applyAlignment="1">
      <alignment horizontal="center" vertical="center"/>
    </xf>
    <xf numFmtId="184" fontId="20" fillId="0" borderId="10" xfId="0" applyNumberFormat="1" applyFont="1" applyFill="1" applyBorder="1" applyAlignment="1" applyProtection="1">
      <alignment horizontal="left" vertical="center"/>
      <protection locked="0"/>
    </xf>
    <xf numFmtId="3" fontId="22" fillId="0" borderId="10" xfId="40" applyNumberFormat="1" applyFont="1" applyFill="1" applyBorder="1" applyAlignment="1" applyProtection="1">
      <alignment vertical="center"/>
      <protection locked="0"/>
    </xf>
    <xf numFmtId="0" fontId="16" fillId="33" borderId="27" xfId="0" applyFont="1" applyFill="1" applyBorder="1" applyAlignment="1" applyProtection="1">
      <alignment horizontal="center" vertical="center"/>
      <protection/>
    </xf>
    <xf numFmtId="0" fontId="17" fillId="0" borderId="27" xfId="0" applyFont="1" applyBorder="1" applyAlignment="1">
      <alignment/>
    </xf>
    <xf numFmtId="181" fontId="19" fillId="0" borderId="33" xfId="0" applyNumberFormat="1" applyFont="1" applyFill="1" applyBorder="1" applyAlignment="1" applyProtection="1">
      <alignment horizontal="center" vertical="center" wrapText="1"/>
      <protection/>
    </xf>
    <xf numFmtId="0" fontId="21" fillId="0" borderId="34" xfId="0" applyFont="1" applyBorder="1" applyAlignment="1">
      <alignment/>
    </xf>
    <xf numFmtId="0" fontId="21" fillId="0" borderId="35" xfId="0" applyFont="1" applyBorder="1" applyAlignment="1">
      <alignment/>
    </xf>
    <xf numFmtId="0" fontId="19" fillId="0" borderId="36" xfId="0" applyNumberFormat="1" applyFont="1" applyFill="1" applyBorder="1" applyAlignment="1" applyProtection="1">
      <alignment horizontal="center" vertical="center" wrapText="1"/>
      <protection/>
    </xf>
    <xf numFmtId="0" fontId="21" fillId="0" borderId="37" xfId="0" applyFont="1" applyBorder="1" applyAlignment="1">
      <alignment/>
    </xf>
    <xf numFmtId="171" fontId="19" fillId="0" borderId="36" xfId="43" applyFont="1" applyFill="1" applyBorder="1" applyAlignment="1" applyProtection="1">
      <alignment horizontal="center" vertical="center" wrapText="1"/>
      <protection/>
    </xf>
    <xf numFmtId="0" fontId="19" fillId="0" borderId="36" xfId="0" applyFont="1" applyFill="1" applyBorder="1" applyAlignment="1" applyProtection="1">
      <alignment horizontal="center" vertical="center" wrapText="1"/>
      <protection/>
    </xf>
    <xf numFmtId="4" fontId="19" fillId="0" borderId="33" xfId="0" applyNumberFormat="1" applyFont="1" applyFill="1" applyBorder="1" applyAlignment="1" applyProtection="1">
      <alignment horizontal="center" vertical="center" wrapText="1"/>
      <protection/>
    </xf>
    <xf numFmtId="4" fontId="19" fillId="0" borderId="34" xfId="0" applyNumberFormat="1" applyFont="1" applyFill="1" applyBorder="1" applyAlignment="1" applyProtection="1">
      <alignment horizontal="center" vertical="center" wrapText="1"/>
      <protection/>
    </xf>
    <xf numFmtId="4" fontId="19" fillId="0" borderId="38" xfId="0" applyNumberFormat="1" applyFont="1" applyFill="1" applyBorder="1" applyAlignment="1" applyProtection="1">
      <alignment horizontal="center" vertical="center" wrapText="1"/>
      <protection/>
    </xf>
    <xf numFmtId="184" fontId="19" fillId="0" borderId="36"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right" vertical="center" wrapText="1"/>
      <protection locked="0"/>
    </xf>
    <xf numFmtId="0" fontId="0" fillId="0" borderId="0" xfId="0" applyAlignment="1">
      <alignment/>
    </xf>
    <xf numFmtId="0" fontId="6" fillId="0" borderId="0" xfId="0" applyFont="1" applyAlignment="1">
      <alignment horizontal="right" vertical="center" wrapText="1"/>
    </xf>
    <xf numFmtId="0" fontId="31" fillId="33" borderId="39" xfId="0" applyFont="1" applyFill="1" applyBorder="1" applyAlignment="1">
      <alignment horizontal="right" vertical="center"/>
    </xf>
    <xf numFmtId="0" fontId="21" fillId="0" borderId="40" xfId="0" applyFont="1" applyBorder="1" applyAlignment="1">
      <alignment/>
    </xf>
    <xf numFmtId="0" fontId="43" fillId="0" borderId="0" xfId="0" applyFont="1" applyBorder="1" applyAlignment="1" applyProtection="1">
      <alignment horizontal="right" vertical="center" wrapText="1"/>
      <protection locked="0"/>
    </xf>
    <xf numFmtId="0" fontId="18" fillId="0" borderId="0" xfId="0" applyFont="1" applyAlignment="1">
      <alignment/>
    </xf>
    <xf numFmtId="0" fontId="44" fillId="0" borderId="0" xfId="0" applyFont="1" applyBorder="1" applyAlignment="1" applyProtection="1">
      <alignment horizontal="right" vertical="center" wrapText="1"/>
      <protection locked="0"/>
    </xf>
    <xf numFmtId="0" fontId="45" fillId="36" borderId="27" xfId="0" applyFont="1" applyFill="1" applyBorder="1" applyAlignment="1">
      <alignment horizontal="center" vertical="center" wrapText="1"/>
    </xf>
    <xf numFmtId="0" fontId="19" fillId="0" borderId="41" xfId="0" applyNumberFormat="1" applyFont="1" applyFill="1" applyBorder="1" applyAlignment="1">
      <alignment horizontal="center" vertical="center" wrapText="1"/>
    </xf>
    <xf numFmtId="0" fontId="19" fillId="0" borderId="42" xfId="0" applyNumberFormat="1" applyFont="1" applyFill="1" applyBorder="1" applyAlignment="1">
      <alignment horizontal="center" vertical="center" wrapText="1"/>
    </xf>
    <xf numFmtId="0" fontId="19" fillId="0" borderId="36" xfId="0" applyNumberFormat="1" applyFont="1" applyFill="1" applyBorder="1" applyAlignment="1">
      <alignment horizontal="center" vertical="center" wrapText="1"/>
    </xf>
    <xf numFmtId="0" fontId="19" fillId="0" borderId="37" xfId="0" applyNumberFormat="1" applyFont="1" applyFill="1" applyBorder="1" applyAlignment="1">
      <alignment horizontal="center" vertical="center" wrapText="1"/>
    </xf>
    <xf numFmtId="0" fontId="19" fillId="0" borderId="37" xfId="0" applyNumberFormat="1" applyFont="1" applyFill="1" applyBorder="1" applyAlignment="1" applyProtection="1">
      <alignment horizontal="center" vertical="center" wrapText="1"/>
      <protection/>
    </xf>
    <xf numFmtId="0" fontId="19" fillId="0" borderId="33" xfId="0" applyNumberFormat="1" applyFont="1" applyFill="1" applyBorder="1" applyAlignment="1" applyProtection="1">
      <alignment horizontal="center" vertical="center" wrapText="1"/>
      <protection/>
    </xf>
    <xf numFmtId="0" fontId="19" fillId="0" borderId="38" xfId="0" applyNumberFormat="1" applyFont="1" applyFill="1" applyBorder="1" applyAlignment="1" applyProtection="1">
      <alignment horizontal="center" vertical="center" wrapText="1"/>
      <protection/>
    </xf>
    <xf numFmtId="192" fontId="19" fillId="0" borderId="43" xfId="0" applyNumberFormat="1" applyFont="1" applyFill="1" applyBorder="1" applyAlignment="1" applyProtection="1">
      <alignment horizontal="center" vertical="center" wrapText="1"/>
      <protection/>
    </xf>
    <xf numFmtId="192" fontId="19" fillId="0" borderId="44" xfId="0" applyNumberFormat="1" applyFont="1" applyFill="1" applyBorder="1" applyAlignment="1" applyProtection="1">
      <alignment horizontal="center" vertical="center" wrapText="1"/>
      <protection/>
    </xf>
    <xf numFmtId="0" fontId="19" fillId="0" borderId="45" xfId="0" applyNumberFormat="1" applyFont="1" applyFill="1" applyBorder="1" applyAlignment="1" applyProtection="1">
      <alignment horizontal="center" vertical="center" wrapText="1"/>
      <protection/>
    </xf>
    <xf numFmtId="0" fontId="19" fillId="0" borderId="20" xfId="0" applyFont="1" applyBorder="1" applyAlignment="1">
      <alignment horizontal="center" vertical="center"/>
    </xf>
    <xf numFmtId="2" fontId="46" fillId="36" borderId="27" xfId="0" applyNumberFormat="1" applyFont="1" applyFill="1" applyBorder="1" applyAlignment="1">
      <alignment horizontal="center" vertical="center" wrapText="1"/>
    </xf>
    <xf numFmtId="2" fontId="45" fillId="36" borderId="27" xfId="0" applyNumberFormat="1" applyFont="1" applyFill="1" applyBorder="1" applyAlignment="1">
      <alignment vertical="center" wrapText="1"/>
    </xf>
    <xf numFmtId="2" fontId="21" fillId="36" borderId="27" xfId="0" applyNumberFormat="1" applyFont="1" applyFill="1" applyBorder="1" applyAlignment="1">
      <alignment wrapText="1"/>
    </xf>
    <xf numFmtId="171" fontId="19" fillId="0" borderId="46" xfId="43" applyFont="1" applyFill="1" applyBorder="1" applyAlignment="1" applyProtection="1">
      <alignment horizontal="center" vertical="center" wrapText="1"/>
      <protection/>
    </xf>
    <xf numFmtId="0" fontId="19" fillId="0" borderId="47" xfId="0" applyFont="1" applyBorder="1" applyAlignment="1">
      <alignment horizontal="center" vertical="center"/>
    </xf>
    <xf numFmtId="184" fontId="19" fillId="0" borderId="45" xfId="0" applyNumberFormat="1" applyFont="1" applyFill="1" applyBorder="1" applyAlignment="1" applyProtection="1">
      <alignment horizontal="center" vertical="center" wrapText="1"/>
      <protection/>
    </xf>
    <xf numFmtId="184" fontId="19" fillId="0" borderId="20" xfId="0" applyNumberFormat="1" applyFont="1" applyBorder="1" applyAlignment="1">
      <alignment horizontal="center" vertical="center"/>
    </xf>
    <xf numFmtId="0" fontId="19" fillId="0" borderId="45" xfId="0" applyFont="1" applyFill="1" applyBorder="1" applyAlignment="1" applyProtection="1">
      <alignment horizontal="center" vertical="center" wrapText="1"/>
      <protection/>
    </xf>
    <xf numFmtId="0" fontId="19" fillId="0" borderId="37" xfId="0" applyFont="1" applyBorder="1" applyAlignment="1">
      <alignment horizontal="center" vertical="center" wrapText="1"/>
    </xf>
    <xf numFmtId="2" fontId="19" fillId="0" borderId="45" xfId="0" applyNumberFormat="1" applyFont="1" applyFill="1" applyBorder="1" applyAlignment="1" applyProtection="1">
      <alignment horizontal="center" vertical="center" wrapText="1"/>
      <protection/>
    </xf>
    <xf numFmtId="2" fontId="19" fillId="0" borderId="48"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13</xdr:col>
      <xdr:colOff>476250</xdr:colOff>
      <xdr:row>0</xdr:row>
      <xdr:rowOff>1066800</xdr:rowOff>
    </xdr:to>
    <xdr:sp>
      <xdr:nvSpPr>
        <xdr:cNvPr id="1" name="Text Box 1"/>
        <xdr:cNvSpPr txBox="1">
          <a:spLocks noChangeArrowheads="1"/>
        </xdr:cNvSpPr>
      </xdr:nvSpPr>
      <xdr:spPr>
        <a:xfrm>
          <a:off x="0" y="9525"/>
          <a:ext cx="12287250" cy="1057275"/>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WEEKLY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WEEKLY BOX OFFICE &amp; ADMISSION REPORT</a:t>
          </a:r>
        </a:p>
      </xdr:txBody>
    </xdr:sp>
    <xdr:clientData/>
  </xdr:twoCellAnchor>
  <xdr:twoCellAnchor>
    <xdr:from>
      <xdr:col>11</xdr:col>
      <xdr:colOff>666750</xdr:colOff>
      <xdr:row>0</xdr:row>
      <xdr:rowOff>600075</xdr:rowOff>
    </xdr:from>
    <xdr:to>
      <xdr:col>13</xdr:col>
      <xdr:colOff>400050</xdr:colOff>
      <xdr:row>0</xdr:row>
      <xdr:rowOff>1066800</xdr:rowOff>
    </xdr:to>
    <xdr:sp fLocksText="0">
      <xdr:nvSpPr>
        <xdr:cNvPr id="2" name="Text Box 2"/>
        <xdr:cNvSpPr txBox="1">
          <a:spLocks noChangeArrowheads="1"/>
        </xdr:cNvSpPr>
      </xdr:nvSpPr>
      <xdr:spPr>
        <a:xfrm>
          <a:off x="10458450" y="600075"/>
          <a:ext cx="1752600" cy="466725"/>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Bookman Old Style"/>
              <a:ea typeface="Bookman Old Style"/>
              <a:cs typeface="Bookman Old Style"/>
            </a:rPr>
            <a:t>WEEK: 03
</a:t>
          </a:r>
          <a:r>
            <a:rPr lang="en-US" cap="none" sz="1200" b="0" i="0" u="none" baseline="0">
              <a:solidFill>
                <a:srgbClr val="000000"/>
              </a:solidFill>
              <a:latin typeface="Bookman Old Style"/>
              <a:ea typeface="Bookman Old Style"/>
              <a:cs typeface="Bookman Old Style"/>
            </a:rPr>
            <a:t>15-21 JANUARY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16"/>
  <sheetViews>
    <sheetView showGridLines="0"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A21" sqref="A21:IV21"/>
    </sheetView>
  </sheetViews>
  <sheetFormatPr defaultColWidth="9.140625" defaultRowHeight="12.75"/>
  <cols>
    <col min="1" max="1" width="4.28125" style="47" bestFit="1" customWidth="1"/>
    <col min="2" max="2" width="50.8515625" style="86" bestFit="1" customWidth="1"/>
    <col min="3" max="3" width="8.28125" style="8" bestFit="1" customWidth="1"/>
    <col min="4" max="4" width="13.7109375" style="11" bestFit="1" customWidth="1"/>
    <col min="5" max="5" width="6.421875" style="48" bestFit="1" customWidth="1"/>
    <col min="6" max="6" width="7.28125" style="48" bestFit="1" customWidth="1"/>
    <col min="7" max="7" width="6.57421875" style="48" customWidth="1"/>
    <col min="8" max="8" width="17.28125" style="61" bestFit="1" customWidth="1"/>
    <col min="9" max="9" width="12.421875" style="72" bestFit="1" customWidth="1"/>
    <col min="10" max="10" width="12.00390625" style="144" bestFit="1" customWidth="1"/>
    <col min="11" max="11" width="7.7109375" style="145" bestFit="1" customWidth="1"/>
    <col min="12" max="12" width="17.7109375" style="152" bestFit="1" customWidth="1"/>
    <col min="13" max="13" width="12.57421875" style="147" bestFit="1" customWidth="1"/>
    <col min="14" max="14" width="7.7109375" style="145" bestFit="1" customWidth="1"/>
    <col min="15" max="15" width="2.8515625" style="73" bestFit="1" customWidth="1"/>
    <col min="16" max="16384" width="9.140625" style="3" customWidth="1"/>
  </cols>
  <sheetData>
    <row r="1" spans="1:15" s="1" customFormat="1" ht="90.75" customHeight="1">
      <c r="A1" s="42"/>
      <c r="B1" s="78"/>
      <c r="C1" s="6"/>
      <c r="D1" s="9"/>
      <c r="E1" s="87"/>
      <c r="F1" s="87"/>
      <c r="G1" s="87"/>
      <c r="H1" s="50"/>
      <c r="I1" s="62"/>
      <c r="J1" s="106"/>
      <c r="K1" s="107"/>
      <c r="L1" s="108"/>
      <c r="M1" s="109"/>
      <c r="N1" s="107"/>
      <c r="O1" s="73"/>
    </row>
    <row r="2" spans="1:15" s="5" customFormat="1" ht="27.75" thickBot="1">
      <c r="A2" s="297" t="s">
        <v>24</v>
      </c>
      <c r="B2" s="298"/>
      <c r="C2" s="298"/>
      <c r="D2" s="298"/>
      <c r="E2" s="298"/>
      <c r="F2" s="298"/>
      <c r="G2" s="298"/>
      <c r="H2" s="298"/>
      <c r="I2" s="298"/>
      <c r="J2" s="298"/>
      <c r="K2" s="298"/>
      <c r="L2" s="298"/>
      <c r="M2" s="298"/>
      <c r="N2" s="298"/>
      <c r="O2" s="73"/>
    </row>
    <row r="3" spans="1:15" s="74" customFormat="1" ht="12.75">
      <c r="A3" s="99"/>
      <c r="B3" s="304" t="s">
        <v>2</v>
      </c>
      <c r="C3" s="309" t="s">
        <v>14</v>
      </c>
      <c r="D3" s="305" t="s">
        <v>25</v>
      </c>
      <c r="E3" s="302" t="s">
        <v>15</v>
      </c>
      <c r="F3" s="302" t="s">
        <v>22</v>
      </c>
      <c r="G3" s="302" t="s">
        <v>23</v>
      </c>
      <c r="H3" s="306" t="s">
        <v>16</v>
      </c>
      <c r="I3" s="307"/>
      <c r="J3" s="307"/>
      <c r="K3" s="308"/>
      <c r="L3" s="299" t="s">
        <v>17</v>
      </c>
      <c r="M3" s="300"/>
      <c r="N3" s="301"/>
      <c r="O3" s="100"/>
    </row>
    <row r="4" spans="1:15" s="74" customFormat="1" ht="48" customHeight="1" thickBot="1">
      <c r="A4" s="101"/>
      <c r="B4" s="303"/>
      <c r="C4" s="303"/>
      <c r="D4" s="303"/>
      <c r="E4" s="303"/>
      <c r="F4" s="303"/>
      <c r="G4" s="303"/>
      <c r="H4" s="102" t="s">
        <v>18</v>
      </c>
      <c r="I4" s="103" t="s">
        <v>19</v>
      </c>
      <c r="J4" s="103" t="s">
        <v>8</v>
      </c>
      <c r="K4" s="104" t="s">
        <v>20</v>
      </c>
      <c r="L4" s="102" t="s">
        <v>18</v>
      </c>
      <c r="M4" s="103" t="s">
        <v>19</v>
      </c>
      <c r="N4" s="105" t="s">
        <v>21</v>
      </c>
      <c r="O4" s="100"/>
    </row>
    <row r="5" spans="1:15" s="2" customFormat="1" ht="15">
      <c r="A5" s="43">
        <v>1</v>
      </c>
      <c r="B5" s="259" t="s">
        <v>52</v>
      </c>
      <c r="C5" s="260">
        <v>40165</v>
      </c>
      <c r="D5" s="261" t="s">
        <v>28</v>
      </c>
      <c r="E5" s="262">
        <v>125</v>
      </c>
      <c r="F5" s="262">
        <v>156</v>
      </c>
      <c r="G5" s="262">
        <v>5</v>
      </c>
      <c r="H5" s="156">
        <v>3107541.5</v>
      </c>
      <c r="I5" s="263">
        <v>290779</v>
      </c>
      <c r="J5" s="264">
        <f>(I5/F5)</f>
        <v>1863.9679487179487</v>
      </c>
      <c r="K5" s="169">
        <f>H5/I5</f>
        <v>10.686952978034865</v>
      </c>
      <c r="L5" s="170">
        <f>4033069.5+3582182.5+3469556.5+3099545+3107541.5</f>
        <v>17291895</v>
      </c>
      <c r="M5" s="265">
        <f>383242+338340+309119+280170+290779</f>
        <v>1601650</v>
      </c>
      <c r="N5" s="172">
        <f>L5/M5</f>
        <v>10.796300689913526</v>
      </c>
      <c r="O5" s="272"/>
    </row>
    <row r="6" spans="1:15" s="2" customFormat="1" ht="15">
      <c r="A6" s="44">
        <v>2</v>
      </c>
      <c r="B6" s="219" t="s">
        <v>121</v>
      </c>
      <c r="C6" s="34">
        <v>40179</v>
      </c>
      <c r="D6" s="204" t="s">
        <v>27</v>
      </c>
      <c r="E6" s="88">
        <v>370</v>
      </c>
      <c r="F6" s="88">
        <v>455</v>
      </c>
      <c r="G6" s="88">
        <v>3</v>
      </c>
      <c r="H6" s="52">
        <v>2529635</v>
      </c>
      <c r="I6" s="248">
        <v>289537</v>
      </c>
      <c r="J6" s="249">
        <f>I6/F6</f>
        <v>636.3450549450549</v>
      </c>
      <c r="K6" s="134">
        <f>+H6/I6</f>
        <v>8.73682810832467</v>
      </c>
      <c r="L6" s="133">
        <v>18196630</v>
      </c>
      <c r="M6" s="249">
        <v>2003637</v>
      </c>
      <c r="N6" s="135">
        <f>+L6/M6</f>
        <v>9.08179974715979</v>
      </c>
      <c r="O6" s="272">
        <v>1</v>
      </c>
    </row>
    <row r="7" spans="1:15" s="2" customFormat="1" ht="15.75" thickBot="1">
      <c r="A7" s="45">
        <v>3</v>
      </c>
      <c r="B7" s="235" t="s">
        <v>122</v>
      </c>
      <c r="C7" s="178">
        <v>40193</v>
      </c>
      <c r="D7" s="280" t="s">
        <v>26</v>
      </c>
      <c r="E7" s="236">
        <v>83</v>
      </c>
      <c r="F7" s="236">
        <v>133</v>
      </c>
      <c r="G7" s="236">
        <v>1</v>
      </c>
      <c r="H7" s="57">
        <v>1293506</v>
      </c>
      <c r="I7" s="281">
        <v>119281</v>
      </c>
      <c r="J7" s="282">
        <f>I7/F7</f>
        <v>896.8496240601504</v>
      </c>
      <c r="K7" s="283">
        <f>H7/I7</f>
        <v>10.84419144708713</v>
      </c>
      <c r="L7" s="138">
        <v>1293506</v>
      </c>
      <c r="M7" s="284">
        <v>119281</v>
      </c>
      <c r="N7" s="285">
        <f>+L7/M7</f>
        <v>10.84419144708713</v>
      </c>
      <c r="O7" s="272"/>
    </row>
    <row r="8" spans="1:15" s="2" customFormat="1" ht="15">
      <c r="A8" s="46">
        <v>4</v>
      </c>
      <c r="B8" s="239" t="s">
        <v>123</v>
      </c>
      <c r="C8" s="177">
        <v>40193</v>
      </c>
      <c r="D8" s="240" t="s">
        <v>30</v>
      </c>
      <c r="E8" s="241">
        <v>86</v>
      </c>
      <c r="F8" s="241">
        <v>86</v>
      </c>
      <c r="G8" s="241">
        <v>1</v>
      </c>
      <c r="H8" s="273">
        <v>889314</v>
      </c>
      <c r="I8" s="274">
        <v>93548</v>
      </c>
      <c r="J8" s="275">
        <f>IF(H8&lt;&gt;0,I8/F8,"")</f>
        <v>1087.7674418604652</v>
      </c>
      <c r="K8" s="276">
        <f>IF(H8&lt;&gt;0,H8/I8,"")</f>
        <v>9.506499337238637</v>
      </c>
      <c r="L8" s="277">
        <v>889314</v>
      </c>
      <c r="M8" s="278">
        <v>93548</v>
      </c>
      <c r="N8" s="279">
        <f>IF(L8&lt;&gt;0,L8/M8,"")</f>
        <v>9.506499337238637</v>
      </c>
      <c r="O8" s="272"/>
    </row>
    <row r="9" spans="1:15" s="4" customFormat="1" ht="15">
      <c r="A9" s="43">
        <v>5</v>
      </c>
      <c r="B9" s="219" t="s">
        <v>124</v>
      </c>
      <c r="C9" s="34">
        <v>40193</v>
      </c>
      <c r="D9" s="204" t="s">
        <v>27</v>
      </c>
      <c r="E9" s="88">
        <v>40</v>
      </c>
      <c r="F9" s="88">
        <v>40</v>
      </c>
      <c r="G9" s="88">
        <v>1</v>
      </c>
      <c r="H9" s="52">
        <v>318837</v>
      </c>
      <c r="I9" s="248">
        <v>27035</v>
      </c>
      <c r="J9" s="249">
        <f>I9/F9</f>
        <v>675.875</v>
      </c>
      <c r="K9" s="134">
        <f>+H9/I9</f>
        <v>11.79348992047346</v>
      </c>
      <c r="L9" s="133">
        <v>338912</v>
      </c>
      <c r="M9" s="249">
        <v>28635</v>
      </c>
      <c r="N9" s="135">
        <f>+L9/M9</f>
        <v>11.835585821547058</v>
      </c>
      <c r="O9" s="272"/>
    </row>
    <row r="10" spans="1:15" s="4" customFormat="1" ht="15">
      <c r="A10" s="43">
        <v>6</v>
      </c>
      <c r="B10" s="222" t="s">
        <v>125</v>
      </c>
      <c r="C10" s="36">
        <v>40193</v>
      </c>
      <c r="D10" s="208" t="s">
        <v>30</v>
      </c>
      <c r="E10" s="90">
        <v>124</v>
      </c>
      <c r="F10" s="90">
        <v>124</v>
      </c>
      <c r="G10" s="90">
        <v>1</v>
      </c>
      <c r="H10" s="56">
        <v>317135.25</v>
      </c>
      <c r="I10" s="251">
        <v>37263</v>
      </c>
      <c r="J10" s="252">
        <f>IF(H10&lt;&gt;0,I10/F10,"")</f>
        <v>300.508064516129</v>
      </c>
      <c r="K10" s="127">
        <f>IF(H10&lt;&gt;0,H10/I10,"")</f>
        <v>8.510727799694067</v>
      </c>
      <c r="L10" s="131">
        <v>317135.25</v>
      </c>
      <c r="M10" s="249">
        <v>37263</v>
      </c>
      <c r="N10" s="130">
        <f>IF(L10&lt;&gt;0,L10/M10,"")</f>
        <v>8.510727799694067</v>
      </c>
      <c r="O10" s="272">
        <v>1</v>
      </c>
    </row>
    <row r="11" spans="1:15" s="4" customFormat="1" ht="15">
      <c r="A11" s="43">
        <v>7</v>
      </c>
      <c r="B11" s="219" t="s">
        <v>126</v>
      </c>
      <c r="C11" s="34">
        <v>40172</v>
      </c>
      <c r="D11" s="206" t="s">
        <v>41</v>
      </c>
      <c r="E11" s="88">
        <v>196</v>
      </c>
      <c r="F11" s="88">
        <v>148</v>
      </c>
      <c r="G11" s="88">
        <v>4</v>
      </c>
      <c r="H11" s="52">
        <v>218412</v>
      </c>
      <c r="I11" s="248">
        <v>31918</v>
      </c>
      <c r="J11" s="252">
        <f>+I11/F11</f>
        <v>215.66216216216216</v>
      </c>
      <c r="K11" s="127">
        <f>+H11/I11</f>
        <v>6.842909956764208</v>
      </c>
      <c r="L11" s="133">
        <f>821982.75+546264.5+300546.5+218412</f>
        <v>1887205.75</v>
      </c>
      <c r="M11" s="249">
        <f>109740+66898+39464+31918</f>
        <v>248020</v>
      </c>
      <c r="N11" s="135">
        <f>+L11/M11</f>
        <v>7.609086968792839</v>
      </c>
      <c r="O11" s="272">
        <v>1</v>
      </c>
    </row>
    <row r="12" spans="1:15" s="4" customFormat="1" ht="15">
      <c r="A12" s="43">
        <v>8</v>
      </c>
      <c r="B12" s="266" t="s">
        <v>55</v>
      </c>
      <c r="C12" s="242">
        <v>40537</v>
      </c>
      <c r="D12" s="243" t="s">
        <v>28</v>
      </c>
      <c r="E12" s="244">
        <v>60</v>
      </c>
      <c r="F12" s="244">
        <v>60</v>
      </c>
      <c r="G12" s="244">
        <v>4</v>
      </c>
      <c r="H12" s="51">
        <v>215248.5</v>
      </c>
      <c r="I12" s="245">
        <v>27356</v>
      </c>
      <c r="J12" s="246">
        <f>(I12/F12)</f>
        <v>455.93333333333334</v>
      </c>
      <c r="K12" s="111">
        <f>H12/I12</f>
        <v>7.868420090656529</v>
      </c>
      <c r="L12" s="112">
        <f>421775.5+397095.5+287050+215248.5</f>
        <v>1321169.5</v>
      </c>
      <c r="M12" s="247">
        <f>43739+40732+31780+27356</f>
        <v>143607</v>
      </c>
      <c r="N12" s="114">
        <f>L12/M12</f>
        <v>9.199896244612031</v>
      </c>
      <c r="O12" s="272"/>
    </row>
    <row r="13" spans="1:15" s="4" customFormat="1" ht="15">
      <c r="A13" s="43">
        <v>9</v>
      </c>
      <c r="B13" s="266" t="s">
        <v>127</v>
      </c>
      <c r="C13" s="242">
        <v>40193</v>
      </c>
      <c r="D13" s="243" t="s">
        <v>28</v>
      </c>
      <c r="E13" s="244">
        <v>55</v>
      </c>
      <c r="F13" s="244">
        <v>55</v>
      </c>
      <c r="G13" s="244">
        <v>1</v>
      </c>
      <c r="H13" s="51">
        <v>197266</v>
      </c>
      <c r="I13" s="245">
        <v>19567</v>
      </c>
      <c r="J13" s="246">
        <f>(I13/F13)</f>
        <v>355.76363636363635</v>
      </c>
      <c r="K13" s="111">
        <f>H13/I13</f>
        <v>10.081565901773393</v>
      </c>
      <c r="L13" s="112">
        <f>197266</f>
        <v>197266</v>
      </c>
      <c r="M13" s="247">
        <f>19567</f>
        <v>19567</v>
      </c>
      <c r="N13" s="114">
        <f>L13/M13</f>
        <v>10.081565901773393</v>
      </c>
      <c r="O13" s="272"/>
    </row>
    <row r="14" spans="1:15" s="4" customFormat="1" ht="15">
      <c r="A14" s="43">
        <v>10</v>
      </c>
      <c r="B14" s="266" t="s">
        <v>79</v>
      </c>
      <c r="C14" s="242">
        <v>40179</v>
      </c>
      <c r="D14" s="243" t="s">
        <v>28</v>
      </c>
      <c r="E14" s="244">
        <v>42</v>
      </c>
      <c r="F14" s="244">
        <v>40</v>
      </c>
      <c r="G14" s="244">
        <v>3</v>
      </c>
      <c r="H14" s="51">
        <v>119153</v>
      </c>
      <c r="I14" s="245">
        <v>11328</v>
      </c>
      <c r="J14" s="246">
        <f>(I14/F14)</f>
        <v>283.2</v>
      </c>
      <c r="K14" s="111">
        <f>H14/I14</f>
        <v>10.518449858757062</v>
      </c>
      <c r="L14" s="112">
        <f>310442.5+275157.5+119153</f>
        <v>704753</v>
      </c>
      <c r="M14" s="247">
        <f>26771+24068+11328</f>
        <v>62167</v>
      </c>
      <c r="N14" s="114">
        <f>L14/M14</f>
        <v>11.336448598130842</v>
      </c>
      <c r="O14" s="272"/>
    </row>
    <row r="15" spans="1:15" s="4" customFormat="1" ht="15">
      <c r="A15" s="43">
        <v>11</v>
      </c>
      <c r="B15" s="222" t="s">
        <v>128</v>
      </c>
      <c r="C15" s="36">
        <v>40165</v>
      </c>
      <c r="D15" s="208" t="s">
        <v>30</v>
      </c>
      <c r="E15" s="90">
        <v>38</v>
      </c>
      <c r="F15" s="90">
        <v>39</v>
      </c>
      <c r="G15" s="90">
        <v>5</v>
      </c>
      <c r="H15" s="56">
        <v>117691</v>
      </c>
      <c r="I15" s="251">
        <v>16123</v>
      </c>
      <c r="J15" s="252">
        <f>IF(H15&lt;&gt;0,I15/F15,"")</f>
        <v>413.4102564102564</v>
      </c>
      <c r="K15" s="127">
        <f>IF(H15&lt;&gt;0,H15/I15,"")</f>
        <v>7.299572039942938</v>
      </c>
      <c r="L15" s="131">
        <v>854584.5</v>
      </c>
      <c r="M15" s="249">
        <v>97330</v>
      </c>
      <c r="N15" s="130">
        <f>IF(L15&lt;&gt;0,L15/M15,"")</f>
        <v>8.780278434192951</v>
      </c>
      <c r="O15" s="272">
        <v>1</v>
      </c>
    </row>
    <row r="16" spans="1:15" s="4" customFormat="1" ht="15">
      <c r="A16" s="43">
        <v>12</v>
      </c>
      <c r="B16" s="266" t="s">
        <v>129</v>
      </c>
      <c r="C16" s="242">
        <v>40193</v>
      </c>
      <c r="D16" s="243" t="s">
        <v>28</v>
      </c>
      <c r="E16" s="244">
        <v>17</v>
      </c>
      <c r="F16" s="244">
        <v>17</v>
      </c>
      <c r="G16" s="244">
        <v>1</v>
      </c>
      <c r="H16" s="51">
        <v>95415</v>
      </c>
      <c r="I16" s="245">
        <v>7515</v>
      </c>
      <c r="J16" s="246">
        <f>(I16/F16)</f>
        <v>442.05882352941177</v>
      </c>
      <c r="K16" s="111">
        <f>H16/I16</f>
        <v>12.696606786427147</v>
      </c>
      <c r="L16" s="112">
        <f>1080+95415</f>
        <v>96495</v>
      </c>
      <c r="M16" s="247">
        <f>108+7515</f>
        <v>7623</v>
      </c>
      <c r="N16" s="114">
        <f>L16/M16</f>
        <v>12.658402203856749</v>
      </c>
      <c r="O16" s="272"/>
    </row>
    <row r="17" spans="1:15" s="4" customFormat="1" ht="15">
      <c r="A17" s="43">
        <v>13</v>
      </c>
      <c r="B17" s="222" t="s">
        <v>130</v>
      </c>
      <c r="C17" s="36">
        <v>40186</v>
      </c>
      <c r="D17" s="250" t="s">
        <v>26</v>
      </c>
      <c r="E17" s="90">
        <v>59</v>
      </c>
      <c r="F17" s="90">
        <v>59</v>
      </c>
      <c r="G17" s="90">
        <v>2</v>
      </c>
      <c r="H17" s="51">
        <v>75427</v>
      </c>
      <c r="I17" s="245">
        <v>7505</v>
      </c>
      <c r="J17" s="246">
        <f>I17/F17</f>
        <v>127.20338983050847</v>
      </c>
      <c r="K17" s="111">
        <f>H17/I17</f>
        <v>10.050233177881413</v>
      </c>
      <c r="L17" s="112">
        <f>177508+75427</f>
        <v>252935</v>
      </c>
      <c r="M17" s="247">
        <f>17102+7505</f>
        <v>24607</v>
      </c>
      <c r="N17" s="114">
        <f>+L17/M17</f>
        <v>10.27898565448856</v>
      </c>
      <c r="O17" s="272"/>
    </row>
    <row r="18" spans="1:15" s="4" customFormat="1" ht="15">
      <c r="A18" s="43">
        <v>14</v>
      </c>
      <c r="B18" s="266" t="s">
        <v>83</v>
      </c>
      <c r="C18" s="242">
        <v>40165</v>
      </c>
      <c r="D18" s="243" t="s">
        <v>28</v>
      </c>
      <c r="E18" s="244">
        <v>74</v>
      </c>
      <c r="F18" s="244">
        <v>53</v>
      </c>
      <c r="G18" s="244">
        <v>5</v>
      </c>
      <c r="H18" s="51">
        <v>70944</v>
      </c>
      <c r="I18" s="245">
        <v>11010</v>
      </c>
      <c r="J18" s="246">
        <f>(I18/F18)</f>
        <v>207.73584905660377</v>
      </c>
      <c r="K18" s="111">
        <f>H18/I18</f>
        <v>6.443596730245232</v>
      </c>
      <c r="L18" s="112">
        <f>507128.25+345268.5+124291.75+100787+70944</f>
        <v>1148419.5</v>
      </c>
      <c r="M18" s="247">
        <f>53408+37346+14864+15043+11010</f>
        <v>131671</v>
      </c>
      <c r="N18" s="114">
        <f>L18/M18</f>
        <v>8.72188636829674</v>
      </c>
      <c r="O18" s="272">
        <v>1</v>
      </c>
    </row>
    <row r="19" spans="1:15" s="4" customFormat="1" ht="15">
      <c r="A19" s="43">
        <v>15</v>
      </c>
      <c r="B19" s="224" t="s">
        <v>131</v>
      </c>
      <c r="C19" s="36">
        <v>40144</v>
      </c>
      <c r="D19" s="212" t="s">
        <v>5</v>
      </c>
      <c r="E19" s="91">
        <v>258</v>
      </c>
      <c r="F19" s="91">
        <v>27</v>
      </c>
      <c r="G19" s="91">
        <v>8</v>
      </c>
      <c r="H19" s="53">
        <v>33984.5</v>
      </c>
      <c r="I19" s="253">
        <v>5492</v>
      </c>
      <c r="J19" s="254">
        <f>I19/F19</f>
        <v>203.40740740740742</v>
      </c>
      <c r="K19" s="118">
        <f>H19/I19</f>
        <v>6.18800072833212</v>
      </c>
      <c r="L19" s="119">
        <v>9644185.75</v>
      </c>
      <c r="M19" s="255">
        <v>1122134</v>
      </c>
      <c r="N19" s="130">
        <f>IF(L19&lt;&gt;0,L19/M19,"")</f>
        <v>8.59450453332668</v>
      </c>
      <c r="O19" s="272">
        <v>1</v>
      </c>
    </row>
    <row r="20" spans="1:15" s="4" customFormat="1" ht="15">
      <c r="A20" s="43">
        <v>16</v>
      </c>
      <c r="B20" s="222" t="s">
        <v>80</v>
      </c>
      <c r="C20" s="36">
        <v>40179</v>
      </c>
      <c r="D20" s="250" t="s">
        <v>26</v>
      </c>
      <c r="E20" s="90">
        <v>60</v>
      </c>
      <c r="F20" s="90">
        <v>29</v>
      </c>
      <c r="G20" s="90">
        <v>3</v>
      </c>
      <c r="H20" s="51">
        <v>31917</v>
      </c>
      <c r="I20" s="245">
        <v>4295</v>
      </c>
      <c r="J20" s="246">
        <f>I20/F20</f>
        <v>148.10344827586206</v>
      </c>
      <c r="K20" s="111">
        <f>H20/I20</f>
        <v>7.431199068684517</v>
      </c>
      <c r="L20" s="112">
        <f>242167+187163+154+31917</f>
        <v>461401</v>
      </c>
      <c r="M20" s="247">
        <f>21845+17511+18+4295</f>
        <v>43669</v>
      </c>
      <c r="N20" s="114">
        <f>+L20/M20</f>
        <v>10.565870526002428</v>
      </c>
      <c r="O20" s="272"/>
    </row>
    <row r="21" spans="1:15" s="4" customFormat="1" ht="15">
      <c r="A21" s="43">
        <v>17</v>
      </c>
      <c r="B21" s="224" t="s">
        <v>132</v>
      </c>
      <c r="C21" s="36">
        <v>40158</v>
      </c>
      <c r="D21" s="211" t="s">
        <v>3</v>
      </c>
      <c r="E21" s="91">
        <v>148</v>
      </c>
      <c r="F21" s="91">
        <v>39</v>
      </c>
      <c r="G21" s="91">
        <v>6</v>
      </c>
      <c r="H21" s="55">
        <v>28359</v>
      </c>
      <c r="I21" s="256">
        <v>4830</v>
      </c>
      <c r="J21" s="252">
        <f>+I21/F21</f>
        <v>123.84615384615384</v>
      </c>
      <c r="K21" s="127">
        <f>+H21/I21</f>
        <v>5.871428571428571</v>
      </c>
      <c r="L21" s="128">
        <v>2847763</v>
      </c>
      <c r="M21" s="257">
        <v>338034</v>
      </c>
      <c r="N21" s="130">
        <f>+L21/M21</f>
        <v>8.42448688593455</v>
      </c>
      <c r="O21" s="272">
        <v>1</v>
      </c>
    </row>
    <row r="22" spans="1:15" s="4" customFormat="1" ht="15">
      <c r="A22" s="43">
        <v>18</v>
      </c>
      <c r="B22" s="222" t="s">
        <v>50</v>
      </c>
      <c r="C22" s="36">
        <v>40158</v>
      </c>
      <c r="D22" s="250" t="s">
        <v>26</v>
      </c>
      <c r="E22" s="90">
        <v>141</v>
      </c>
      <c r="F22" s="90">
        <v>21</v>
      </c>
      <c r="G22" s="90">
        <v>6</v>
      </c>
      <c r="H22" s="51">
        <v>25994</v>
      </c>
      <c r="I22" s="245">
        <v>4998</v>
      </c>
      <c r="J22" s="246">
        <f>I22/F22</f>
        <v>238</v>
      </c>
      <c r="K22" s="111">
        <f>H22/I22</f>
        <v>5.200880352140857</v>
      </c>
      <c r="L22" s="112">
        <f>1607914+23244+32443+25994</f>
        <v>1689595</v>
      </c>
      <c r="M22" s="247">
        <f>183968+3818+5335+4998</f>
        <v>198119</v>
      </c>
      <c r="N22" s="114">
        <f>+L22/M22</f>
        <v>8.528182556948098</v>
      </c>
      <c r="O22" s="272"/>
    </row>
    <row r="23" spans="1:15" s="4" customFormat="1" ht="15">
      <c r="A23" s="43">
        <v>19</v>
      </c>
      <c r="B23" s="222">
        <v>2012</v>
      </c>
      <c r="C23" s="36">
        <v>40130</v>
      </c>
      <c r="D23" s="250" t="s">
        <v>26</v>
      </c>
      <c r="E23" s="90">
        <v>178</v>
      </c>
      <c r="F23" s="90">
        <v>18</v>
      </c>
      <c r="G23" s="90">
        <v>10</v>
      </c>
      <c r="H23" s="51">
        <v>25563</v>
      </c>
      <c r="I23" s="245">
        <v>4175</v>
      </c>
      <c r="J23" s="246">
        <f>I23/F23</f>
        <v>231.94444444444446</v>
      </c>
      <c r="K23" s="111">
        <f>H23/I23</f>
        <v>6.122874251497006</v>
      </c>
      <c r="L23" s="112">
        <f>13107603+48622+283+29270+25563</f>
        <v>13211341</v>
      </c>
      <c r="M23" s="247">
        <f>1468855+7403+116+4996+4175</f>
        <v>1485545</v>
      </c>
      <c r="N23" s="114">
        <f>+L23/M23</f>
        <v>8.893262068803033</v>
      </c>
      <c r="O23" s="272"/>
    </row>
    <row r="24" spans="1:15" s="4" customFormat="1" ht="15">
      <c r="A24" s="43">
        <v>20</v>
      </c>
      <c r="B24" s="266" t="s">
        <v>45</v>
      </c>
      <c r="C24" s="242">
        <v>40137</v>
      </c>
      <c r="D24" s="243" t="s">
        <v>28</v>
      </c>
      <c r="E24" s="244">
        <v>147</v>
      </c>
      <c r="F24" s="244">
        <v>18</v>
      </c>
      <c r="G24" s="244">
        <v>9</v>
      </c>
      <c r="H24" s="51">
        <v>25213</v>
      </c>
      <c r="I24" s="245">
        <v>4692</v>
      </c>
      <c r="J24" s="246">
        <f>(I24/F24)</f>
        <v>260.6666666666667</v>
      </c>
      <c r="K24" s="111">
        <f>H24/I24</f>
        <v>5.373614663256607</v>
      </c>
      <c r="L24" s="112">
        <f>4499732.5+3362984.5+1262292.25+664013.75+490740.5+244990+87796+33908+25213</f>
        <v>10671670.5</v>
      </c>
      <c r="M24" s="247">
        <f>493806+365411+142937+78728+74756+40294+15922+6247+4692</f>
        <v>1222793</v>
      </c>
      <c r="N24" s="114">
        <f>L24/M24</f>
        <v>8.727291127770604</v>
      </c>
      <c r="O24" s="272"/>
    </row>
    <row r="25" spans="1:15" s="4" customFormat="1" ht="15">
      <c r="A25" s="43">
        <v>21</v>
      </c>
      <c r="B25" s="219" t="s">
        <v>133</v>
      </c>
      <c r="C25" s="34">
        <v>40193</v>
      </c>
      <c r="D25" s="204" t="s">
        <v>27</v>
      </c>
      <c r="E25" s="88">
        <v>35</v>
      </c>
      <c r="F25" s="88">
        <v>33</v>
      </c>
      <c r="G25" s="88">
        <v>1</v>
      </c>
      <c r="H25" s="52">
        <v>19613</v>
      </c>
      <c r="I25" s="248">
        <v>2013</v>
      </c>
      <c r="J25" s="249">
        <f>I25/F25</f>
        <v>61</v>
      </c>
      <c r="K25" s="134">
        <f>+H25/I25</f>
        <v>9.743169398907105</v>
      </c>
      <c r="L25" s="133">
        <v>19613</v>
      </c>
      <c r="M25" s="249">
        <v>2013</v>
      </c>
      <c r="N25" s="135">
        <f>+L25/M25</f>
        <v>9.743169398907105</v>
      </c>
      <c r="O25" s="272">
        <v>1</v>
      </c>
    </row>
    <row r="26" spans="1:15" s="4" customFormat="1" ht="15">
      <c r="A26" s="43">
        <v>22</v>
      </c>
      <c r="B26" s="219" t="s">
        <v>86</v>
      </c>
      <c r="C26" s="34">
        <v>40165</v>
      </c>
      <c r="D26" s="204" t="s">
        <v>27</v>
      </c>
      <c r="E26" s="88">
        <v>109</v>
      </c>
      <c r="F26" s="88">
        <v>19</v>
      </c>
      <c r="G26" s="88">
        <v>5</v>
      </c>
      <c r="H26" s="52">
        <v>16797</v>
      </c>
      <c r="I26" s="248">
        <v>3103</v>
      </c>
      <c r="J26" s="249">
        <f>I26/F26</f>
        <v>163.31578947368422</v>
      </c>
      <c r="K26" s="134">
        <f>+H26/I26</f>
        <v>5.413148565903964</v>
      </c>
      <c r="L26" s="133">
        <v>1278459</v>
      </c>
      <c r="M26" s="249">
        <v>129944</v>
      </c>
      <c r="N26" s="135">
        <f>+L26/M26</f>
        <v>9.838538139506248</v>
      </c>
      <c r="O26" s="272">
        <v>1</v>
      </c>
    </row>
    <row r="27" spans="1:15" s="4" customFormat="1" ht="15">
      <c r="A27" s="43">
        <v>23</v>
      </c>
      <c r="B27" s="222" t="s">
        <v>134</v>
      </c>
      <c r="C27" s="36">
        <v>40151</v>
      </c>
      <c r="D27" s="208" t="s">
        <v>30</v>
      </c>
      <c r="E27" s="90">
        <v>140</v>
      </c>
      <c r="F27" s="90">
        <v>19</v>
      </c>
      <c r="G27" s="90">
        <v>7</v>
      </c>
      <c r="H27" s="56">
        <v>16570</v>
      </c>
      <c r="I27" s="251">
        <v>2937</v>
      </c>
      <c r="J27" s="252">
        <f>IF(H27&lt;&gt;0,I27/F27,"")</f>
        <v>154.57894736842104</v>
      </c>
      <c r="K27" s="127">
        <f>IF(H27&lt;&gt;0,H27/I27,"")</f>
        <v>5.64181137214845</v>
      </c>
      <c r="L27" s="131">
        <v>1036414</v>
      </c>
      <c r="M27" s="249">
        <v>132115</v>
      </c>
      <c r="N27" s="130">
        <f>IF(L27&lt;&gt;0,L27/M27,"")</f>
        <v>7.844786738826023</v>
      </c>
      <c r="O27" s="272">
        <v>1</v>
      </c>
    </row>
    <row r="28" spans="1:15" s="4" customFormat="1" ht="15">
      <c r="A28" s="43">
        <v>24</v>
      </c>
      <c r="B28" s="222" t="s">
        <v>47</v>
      </c>
      <c r="C28" s="36">
        <v>40137</v>
      </c>
      <c r="D28" s="250" t="s">
        <v>26</v>
      </c>
      <c r="E28" s="90">
        <v>20</v>
      </c>
      <c r="F28" s="90">
        <v>2</v>
      </c>
      <c r="G28" s="90">
        <v>9</v>
      </c>
      <c r="H28" s="51">
        <v>10063</v>
      </c>
      <c r="I28" s="245">
        <v>1265</v>
      </c>
      <c r="J28" s="246">
        <f>I28/F28</f>
        <v>632.5</v>
      </c>
      <c r="K28" s="111">
        <f>H28/I28</f>
        <v>7.95494071146245</v>
      </c>
      <c r="L28" s="112">
        <f>997860+4193+617+10063</f>
        <v>1012733</v>
      </c>
      <c r="M28" s="247">
        <f>81544+595+106+1265</f>
        <v>83510</v>
      </c>
      <c r="N28" s="114">
        <f>+L28/M28</f>
        <v>12.12708657645791</v>
      </c>
      <c r="O28" s="272"/>
    </row>
    <row r="29" spans="1:15" s="4" customFormat="1" ht="15">
      <c r="A29" s="43">
        <v>25</v>
      </c>
      <c r="B29" s="266" t="s">
        <v>88</v>
      </c>
      <c r="C29" s="242">
        <v>40109</v>
      </c>
      <c r="D29" s="243" t="s">
        <v>28</v>
      </c>
      <c r="E29" s="244">
        <v>25</v>
      </c>
      <c r="F29" s="244">
        <v>7</v>
      </c>
      <c r="G29" s="244">
        <v>13</v>
      </c>
      <c r="H29" s="51">
        <v>9467.5</v>
      </c>
      <c r="I29" s="245">
        <v>1694</v>
      </c>
      <c r="J29" s="246">
        <f>(I29/F29)</f>
        <v>242</v>
      </c>
      <c r="K29" s="111">
        <f>H29/I29</f>
        <v>5.588842975206612</v>
      </c>
      <c r="L29" s="112">
        <f>198009+121514.5+95148.5+66495+23091+12092+17648.5+7279+6352.5+7838.5+3895+13931+9467.5</f>
        <v>582762</v>
      </c>
      <c r="M29" s="247">
        <f>27092+16078+14204+10980+3903+1664+3329+1236+1212+1399+730+2457+1694</f>
        <v>85978</v>
      </c>
      <c r="N29" s="114">
        <f>L29/M29</f>
        <v>6.778036241829305</v>
      </c>
      <c r="O29" s="272">
        <v>1</v>
      </c>
    </row>
    <row r="30" spans="1:15" s="4" customFormat="1" ht="15">
      <c r="A30" s="43">
        <v>26</v>
      </c>
      <c r="B30" s="225" t="s">
        <v>91</v>
      </c>
      <c r="C30" s="36">
        <v>40158</v>
      </c>
      <c r="D30" s="211" t="s">
        <v>92</v>
      </c>
      <c r="E30" s="214" t="s">
        <v>93</v>
      </c>
      <c r="F30" s="214" t="s">
        <v>93</v>
      </c>
      <c r="G30" s="214" t="s">
        <v>135</v>
      </c>
      <c r="H30" s="55">
        <v>9421</v>
      </c>
      <c r="I30" s="256">
        <v>1421</v>
      </c>
      <c r="J30" s="258">
        <f>+I30/F30</f>
        <v>142.1</v>
      </c>
      <c r="K30" s="173"/>
      <c r="L30" s="128">
        <v>114200</v>
      </c>
      <c r="M30" s="257">
        <v>11003</v>
      </c>
      <c r="N30" s="130">
        <f>IF(L30&lt;&gt;0,L30/M30,"")</f>
        <v>10.378987548850313</v>
      </c>
      <c r="O30" s="272"/>
    </row>
    <row r="31" spans="1:15" s="4" customFormat="1" ht="15">
      <c r="A31" s="43">
        <v>27</v>
      </c>
      <c r="B31" s="224" t="s">
        <v>136</v>
      </c>
      <c r="C31" s="36">
        <v>40151</v>
      </c>
      <c r="D31" s="212" t="s">
        <v>5</v>
      </c>
      <c r="E31" s="91">
        <v>128</v>
      </c>
      <c r="F31" s="91">
        <v>7</v>
      </c>
      <c r="G31" s="91">
        <v>7</v>
      </c>
      <c r="H31" s="53">
        <v>8704</v>
      </c>
      <c r="I31" s="253">
        <v>1365</v>
      </c>
      <c r="J31" s="254">
        <f>I31/F31</f>
        <v>195</v>
      </c>
      <c r="K31" s="118">
        <f>H31/I31</f>
        <v>6.376556776556777</v>
      </c>
      <c r="L31" s="119">
        <v>1622035.5</v>
      </c>
      <c r="M31" s="255">
        <v>188785</v>
      </c>
      <c r="N31" s="130">
        <f>IF(L31&lt;&gt;0,L31/M31,"")</f>
        <v>8.591972349498107</v>
      </c>
      <c r="O31" s="272">
        <v>1</v>
      </c>
    </row>
    <row r="32" spans="1:15" s="4" customFormat="1" ht="15">
      <c r="A32" s="43">
        <v>28</v>
      </c>
      <c r="B32" s="219" t="s">
        <v>119</v>
      </c>
      <c r="C32" s="34">
        <v>40137</v>
      </c>
      <c r="D32" s="206" t="s">
        <v>41</v>
      </c>
      <c r="E32" s="88">
        <v>311</v>
      </c>
      <c r="F32" s="88">
        <v>2</v>
      </c>
      <c r="G32" s="88">
        <v>9</v>
      </c>
      <c r="H32" s="52">
        <v>8500.5</v>
      </c>
      <c r="I32" s="248">
        <v>1409</v>
      </c>
      <c r="J32" s="252">
        <f>+I32/F32</f>
        <v>704.5</v>
      </c>
      <c r="K32" s="127">
        <f>+H32/I32</f>
        <v>6.033002129169624</v>
      </c>
      <c r="L32" s="133">
        <f>3304754.25+2499078+631694+23+231806.5+262+75092+83827.5+39718+180+150+8500+0.5</f>
        <v>6875085.75</v>
      </c>
      <c r="M32" s="249">
        <f>413699+312050+80320+31253+42+12537-15+13061+6551+45+15+1409</f>
        <v>870967</v>
      </c>
      <c r="N32" s="135">
        <f>+L32/M32</f>
        <v>7.893623696420186</v>
      </c>
      <c r="O32" s="272">
        <v>1</v>
      </c>
    </row>
    <row r="33" spans="1:15" s="4" customFormat="1" ht="15">
      <c r="A33" s="43">
        <v>29</v>
      </c>
      <c r="B33" s="219" t="s">
        <v>53</v>
      </c>
      <c r="C33" s="34">
        <v>40172</v>
      </c>
      <c r="D33" s="204" t="s">
        <v>27</v>
      </c>
      <c r="E33" s="88">
        <v>51</v>
      </c>
      <c r="F33" s="88">
        <v>12</v>
      </c>
      <c r="G33" s="88">
        <v>4</v>
      </c>
      <c r="H33" s="52">
        <v>8478</v>
      </c>
      <c r="I33" s="248">
        <v>1260</v>
      </c>
      <c r="J33" s="249">
        <f>I33/F33</f>
        <v>105</v>
      </c>
      <c r="K33" s="134">
        <f>+H33/I33</f>
        <v>6.728571428571429</v>
      </c>
      <c r="L33" s="133">
        <v>527024</v>
      </c>
      <c r="M33" s="249">
        <v>47006</v>
      </c>
      <c r="N33" s="135">
        <f>+L33/M33</f>
        <v>11.211845296345148</v>
      </c>
      <c r="O33" s="272"/>
    </row>
    <row r="34" spans="1:15" s="4" customFormat="1" ht="15">
      <c r="A34" s="43">
        <v>30</v>
      </c>
      <c r="B34" s="222" t="s">
        <v>34</v>
      </c>
      <c r="C34" s="36">
        <v>40067</v>
      </c>
      <c r="D34" s="208" t="s">
        <v>30</v>
      </c>
      <c r="E34" s="90">
        <v>105</v>
      </c>
      <c r="F34" s="90">
        <v>10</v>
      </c>
      <c r="G34" s="90">
        <v>19</v>
      </c>
      <c r="H34" s="56">
        <v>7181.5</v>
      </c>
      <c r="I34" s="251">
        <v>1825</v>
      </c>
      <c r="J34" s="252">
        <f>IF(H34&lt;&gt;0,I34/F34,"")</f>
        <v>182.5</v>
      </c>
      <c r="K34" s="127">
        <f>IF(H34&lt;&gt;0,H34/I34,"")</f>
        <v>3.935068493150685</v>
      </c>
      <c r="L34" s="131">
        <v>621501</v>
      </c>
      <c r="M34" s="249">
        <v>73921</v>
      </c>
      <c r="N34" s="130">
        <f>IF(L34&lt;&gt;0,L34/M34,"")</f>
        <v>8.407637883686638</v>
      </c>
      <c r="O34" s="272"/>
    </row>
    <row r="35" spans="1:15" s="4" customFormat="1" ht="15">
      <c r="A35" s="43">
        <v>31</v>
      </c>
      <c r="B35" s="222" t="s">
        <v>137</v>
      </c>
      <c r="C35" s="36">
        <v>40165</v>
      </c>
      <c r="D35" s="250" t="s">
        <v>26</v>
      </c>
      <c r="E35" s="90">
        <v>36</v>
      </c>
      <c r="F35" s="90">
        <v>8</v>
      </c>
      <c r="G35" s="90">
        <v>4</v>
      </c>
      <c r="H35" s="51">
        <v>7119</v>
      </c>
      <c r="I35" s="245">
        <v>1206</v>
      </c>
      <c r="J35" s="246">
        <f>I35/F35</f>
        <v>150.75</v>
      </c>
      <c r="K35" s="111">
        <f>H35/I35</f>
        <v>5.902985074626866</v>
      </c>
      <c r="L35" s="112">
        <f>119500+7119</f>
        <v>126619</v>
      </c>
      <c r="M35" s="247">
        <f>13046+1206</f>
        <v>14252</v>
      </c>
      <c r="N35" s="114">
        <f>+L35/M35</f>
        <v>8.884296940780242</v>
      </c>
      <c r="O35" s="272">
        <v>1</v>
      </c>
    </row>
    <row r="36" spans="1:15" s="4" customFormat="1" ht="15">
      <c r="A36" s="43">
        <v>32</v>
      </c>
      <c r="B36" s="266" t="s">
        <v>138</v>
      </c>
      <c r="C36" s="242">
        <v>40186</v>
      </c>
      <c r="D36" s="243" t="s">
        <v>28</v>
      </c>
      <c r="E36" s="244">
        <v>4</v>
      </c>
      <c r="F36" s="244">
        <v>4</v>
      </c>
      <c r="G36" s="244">
        <v>2</v>
      </c>
      <c r="H36" s="51">
        <v>6138.5</v>
      </c>
      <c r="I36" s="245">
        <v>845</v>
      </c>
      <c r="J36" s="246">
        <f>(I36/F36)</f>
        <v>211.25</v>
      </c>
      <c r="K36" s="111">
        <f>H36/I36</f>
        <v>7.264497041420118</v>
      </c>
      <c r="L36" s="112">
        <f>19677.25+6138.5</f>
        <v>25815.75</v>
      </c>
      <c r="M36" s="247">
        <f>1627+845</f>
        <v>2472</v>
      </c>
      <c r="N36" s="114">
        <f>L36/M36</f>
        <v>10.443264563106796</v>
      </c>
      <c r="O36" s="272"/>
    </row>
    <row r="37" spans="1:15" s="4" customFormat="1" ht="15">
      <c r="A37" s="43">
        <v>33</v>
      </c>
      <c r="B37" s="266" t="s">
        <v>33</v>
      </c>
      <c r="C37" s="242">
        <v>39995</v>
      </c>
      <c r="D37" s="243" t="s">
        <v>28</v>
      </c>
      <c r="E37" s="244">
        <v>209</v>
      </c>
      <c r="F37" s="244">
        <v>4</v>
      </c>
      <c r="G37" s="244">
        <v>29</v>
      </c>
      <c r="H37" s="51">
        <v>5898</v>
      </c>
      <c r="I37" s="245">
        <v>1381</v>
      </c>
      <c r="J37" s="246">
        <f>(I37/F37)</f>
        <v>345.25</v>
      </c>
      <c r="K37" s="111">
        <f>H37/I37</f>
        <v>4.270818247646633</v>
      </c>
      <c r="L37" s="112">
        <f>872160.5+3062686.25+2016658.5+1330226.25+943221.5+742732+516667.5+450351.5+331944.75+238834+191406+133484.5+252388.75+88483.5+54821.5+50455.5+10393.5+13219.5+4551+15537+5404+869+4082+1834+3805+1635+750+1385+2821+5898</f>
        <v>11348706.5</v>
      </c>
      <c r="M37" s="247">
        <f>115039+364710+241056+162109+115810+90639+66180+59650+44695+33272+25508+18324+32600+11489+6695+7353+1723+3013+920+3530+1123+138+968+454+919+396+210+249+551+1381</f>
        <v>1410704</v>
      </c>
      <c r="N37" s="114">
        <f>L37/M37</f>
        <v>8.044711363971464</v>
      </c>
      <c r="O37" s="272"/>
    </row>
    <row r="38" spans="1:15" s="4" customFormat="1" ht="15">
      <c r="A38" s="43">
        <v>34</v>
      </c>
      <c r="B38" s="224" t="s">
        <v>44</v>
      </c>
      <c r="C38" s="36">
        <v>40130</v>
      </c>
      <c r="D38" s="211" t="s">
        <v>3</v>
      </c>
      <c r="E38" s="91">
        <v>17</v>
      </c>
      <c r="F38" s="91">
        <v>10</v>
      </c>
      <c r="G38" s="91">
        <v>9</v>
      </c>
      <c r="H38" s="55">
        <v>5776</v>
      </c>
      <c r="I38" s="256">
        <v>991</v>
      </c>
      <c r="J38" s="252">
        <f>+I38/F38</f>
        <v>99.1</v>
      </c>
      <c r="K38" s="127">
        <f>+H38/I38</f>
        <v>5.8284561049445</v>
      </c>
      <c r="L38" s="128">
        <v>60978</v>
      </c>
      <c r="M38" s="257">
        <v>5997</v>
      </c>
      <c r="N38" s="135">
        <f>+L38/M38</f>
        <v>10.168084042021011</v>
      </c>
      <c r="O38" s="272"/>
    </row>
    <row r="39" spans="1:15" s="4" customFormat="1" ht="15">
      <c r="A39" s="43">
        <v>35</v>
      </c>
      <c r="B39" s="266" t="s">
        <v>139</v>
      </c>
      <c r="C39" s="242">
        <v>40186</v>
      </c>
      <c r="D39" s="243" t="s">
        <v>28</v>
      </c>
      <c r="E39" s="244">
        <v>1</v>
      </c>
      <c r="F39" s="244">
        <v>1</v>
      </c>
      <c r="G39" s="244">
        <v>2</v>
      </c>
      <c r="H39" s="51">
        <v>5543</v>
      </c>
      <c r="I39" s="245">
        <v>439</v>
      </c>
      <c r="J39" s="246">
        <f>(I39/F39)</f>
        <v>439</v>
      </c>
      <c r="K39" s="111">
        <f>H39/I39</f>
        <v>12.626423690205012</v>
      </c>
      <c r="L39" s="112">
        <f>9061+11823.5+5543</f>
        <v>26427.5</v>
      </c>
      <c r="M39" s="247">
        <f>906+798+439</f>
        <v>2143</v>
      </c>
      <c r="N39" s="114">
        <f>L39/M39</f>
        <v>12.332011199253383</v>
      </c>
      <c r="O39" s="272"/>
    </row>
    <row r="40" spans="1:15" s="4" customFormat="1" ht="15">
      <c r="A40" s="43">
        <v>36</v>
      </c>
      <c r="B40" s="266" t="s">
        <v>89</v>
      </c>
      <c r="C40" s="242">
        <v>40123</v>
      </c>
      <c r="D40" s="243" t="s">
        <v>28</v>
      </c>
      <c r="E40" s="244">
        <v>144</v>
      </c>
      <c r="F40" s="244">
        <v>2</v>
      </c>
      <c r="G40" s="244">
        <v>11</v>
      </c>
      <c r="H40" s="51">
        <v>5350</v>
      </c>
      <c r="I40" s="245">
        <v>1177</v>
      </c>
      <c r="J40" s="246">
        <f>(I40/F40)</f>
        <v>588.5</v>
      </c>
      <c r="K40" s="111">
        <f>H40/I40</f>
        <v>4.545454545454546</v>
      </c>
      <c r="L40" s="112">
        <f>909778+593215.5+203934.5+91391+32233.5+29451.5+14597.5+12123.5+12906+13616+5350</f>
        <v>1918597</v>
      </c>
      <c r="M40" s="247">
        <f>103944+67300+25860+13426+5611+5689+2739+1975+2803+2381+1177</f>
        <v>232905</v>
      </c>
      <c r="N40" s="114">
        <f>L40/M40</f>
        <v>8.237680599386016</v>
      </c>
      <c r="O40" s="272">
        <v>1</v>
      </c>
    </row>
    <row r="41" spans="1:15" s="4" customFormat="1" ht="15">
      <c r="A41" s="43">
        <v>37</v>
      </c>
      <c r="B41" s="222" t="s">
        <v>54</v>
      </c>
      <c r="C41" s="36">
        <v>40172</v>
      </c>
      <c r="D41" s="250" t="s">
        <v>26</v>
      </c>
      <c r="E41" s="90">
        <v>40</v>
      </c>
      <c r="F41" s="90">
        <v>8</v>
      </c>
      <c r="G41" s="90">
        <v>4</v>
      </c>
      <c r="H41" s="51">
        <v>5335</v>
      </c>
      <c r="I41" s="245">
        <v>870</v>
      </c>
      <c r="J41" s="246">
        <f>I41/F41</f>
        <v>108.75</v>
      </c>
      <c r="K41" s="111">
        <f>H41/I41</f>
        <v>6.132183908045977</v>
      </c>
      <c r="L41" s="112">
        <f>74576+15275+3431+38+5335</f>
        <v>98655</v>
      </c>
      <c r="M41" s="247">
        <f>7330+1524+499+4+870</f>
        <v>10227</v>
      </c>
      <c r="N41" s="114">
        <f>+L41/M41</f>
        <v>9.646523907304195</v>
      </c>
      <c r="O41" s="272"/>
    </row>
    <row r="42" spans="1:15" s="4" customFormat="1" ht="15">
      <c r="A42" s="43">
        <v>38</v>
      </c>
      <c r="B42" s="219" t="s">
        <v>99</v>
      </c>
      <c r="C42" s="34">
        <v>40144</v>
      </c>
      <c r="D42" s="204" t="s">
        <v>27</v>
      </c>
      <c r="E42" s="88">
        <v>128</v>
      </c>
      <c r="F42" s="88">
        <v>6</v>
      </c>
      <c r="G42" s="88">
        <v>8</v>
      </c>
      <c r="H42" s="52">
        <v>4834</v>
      </c>
      <c r="I42" s="248">
        <v>783</v>
      </c>
      <c r="J42" s="249">
        <f>I42/F42</f>
        <v>130.5</v>
      </c>
      <c r="K42" s="134">
        <f>+H42/I42</f>
        <v>6.173690932311622</v>
      </c>
      <c r="L42" s="133">
        <v>2577332</v>
      </c>
      <c r="M42" s="249">
        <v>308696</v>
      </c>
      <c r="N42" s="135">
        <f>+L42/M42</f>
        <v>8.349094254541685</v>
      </c>
      <c r="O42" s="272">
        <v>1</v>
      </c>
    </row>
    <row r="43" spans="1:15" s="4" customFormat="1" ht="15">
      <c r="A43" s="43">
        <v>39</v>
      </c>
      <c r="B43" s="266" t="s">
        <v>48</v>
      </c>
      <c r="C43" s="242">
        <v>40151</v>
      </c>
      <c r="D43" s="243" t="s">
        <v>28</v>
      </c>
      <c r="E43" s="244">
        <v>8</v>
      </c>
      <c r="F43" s="244">
        <v>6</v>
      </c>
      <c r="G43" s="244">
        <v>7</v>
      </c>
      <c r="H43" s="51">
        <v>4691.5</v>
      </c>
      <c r="I43" s="245">
        <v>949</v>
      </c>
      <c r="J43" s="246">
        <f>(I43/F43)</f>
        <v>158.16666666666666</v>
      </c>
      <c r="K43" s="111">
        <f>H43/I43</f>
        <v>4.943624868282402</v>
      </c>
      <c r="L43" s="112">
        <f>69195.5+29540+2797+8009+1473.5+4958.5+4691.5</f>
        <v>120665</v>
      </c>
      <c r="M43" s="247">
        <f>5170+2208+292+904+296+693+949</f>
        <v>10512</v>
      </c>
      <c r="N43" s="114">
        <f>L43/M43</f>
        <v>11.478786149162861</v>
      </c>
      <c r="O43" s="272"/>
    </row>
    <row r="44" spans="1:15" s="4" customFormat="1" ht="15">
      <c r="A44" s="43">
        <v>40</v>
      </c>
      <c r="B44" s="266" t="s">
        <v>87</v>
      </c>
      <c r="C44" s="242">
        <v>40179</v>
      </c>
      <c r="D44" s="243" t="s">
        <v>28</v>
      </c>
      <c r="E44" s="244">
        <v>8</v>
      </c>
      <c r="F44" s="244">
        <v>4</v>
      </c>
      <c r="G44" s="244">
        <v>3</v>
      </c>
      <c r="H44" s="51">
        <v>4475</v>
      </c>
      <c r="I44" s="245">
        <v>518</v>
      </c>
      <c r="J44" s="246">
        <f>(I44/F44)</f>
        <v>129.5</v>
      </c>
      <c r="K44" s="111">
        <f>H44/I44</f>
        <v>8.63899613899614</v>
      </c>
      <c r="L44" s="112">
        <f>61026+19560+4475</f>
        <v>85061</v>
      </c>
      <c r="M44" s="247">
        <f>4540+1674+518</f>
        <v>6732</v>
      </c>
      <c r="N44" s="114">
        <f>L44/M44</f>
        <v>12.635323826500297</v>
      </c>
      <c r="O44" s="272"/>
    </row>
    <row r="45" spans="1:15" s="4" customFormat="1" ht="15">
      <c r="A45" s="43">
        <v>41</v>
      </c>
      <c r="B45" s="222" t="s">
        <v>140</v>
      </c>
      <c r="C45" s="36">
        <v>40102</v>
      </c>
      <c r="D45" s="208" t="s">
        <v>30</v>
      </c>
      <c r="E45" s="90">
        <v>319</v>
      </c>
      <c r="F45" s="90">
        <v>6</v>
      </c>
      <c r="G45" s="90">
        <v>14</v>
      </c>
      <c r="H45" s="56">
        <v>3814</v>
      </c>
      <c r="I45" s="251">
        <v>755</v>
      </c>
      <c r="J45" s="252">
        <f>IF(H45&lt;&gt;0,I45/F45,"")</f>
        <v>125.83333333333333</v>
      </c>
      <c r="K45" s="127">
        <f>IF(H45&lt;&gt;0,H45/I45,"")</f>
        <v>5.051655629139073</v>
      </c>
      <c r="L45" s="131">
        <v>19732753.25</v>
      </c>
      <c r="M45" s="249">
        <v>2421145</v>
      </c>
      <c r="N45" s="130">
        <f>IF(L45&lt;&gt;0,L45/M45,"")</f>
        <v>8.15017409118413</v>
      </c>
      <c r="O45" s="272">
        <v>1</v>
      </c>
    </row>
    <row r="46" spans="1:15" s="4" customFormat="1" ht="15">
      <c r="A46" s="43">
        <v>42</v>
      </c>
      <c r="B46" s="219" t="s">
        <v>108</v>
      </c>
      <c r="C46" s="34">
        <v>40102</v>
      </c>
      <c r="D46" s="204" t="s">
        <v>27</v>
      </c>
      <c r="E46" s="88">
        <v>62</v>
      </c>
      <c r="F46" s="88">
        <v>2</v>
      </c>
      <c r="G46" s="88">
        <v>13</v>
      </c>
      <c r="H46" s="52">
        <v>3422</v>
      </c>
      <c r="I46" s="248">
        <v>491</v>
      </c>
      <c r="J46" s="249">
        <f>I46/F46</f>
        <v>245.5</v>
      </c>
      <c r="K46" s="134">
        <f>+H46/I46</f>
        <v>6.969450101832994</v>
      </c>
      <c r="L46" s="133">
        <v>493437</v>
      </c>
      <c r="M46" s="249">
        <v>56198</v>
      </c>
      <c r="N46" s="135">
        <f>+L46/M46</f>
        <v>8.780330260863376</v>
      </c>
      <c r="O46" s="272"/>
    </row>
    <row r="47" spans="1:15" s="4" customFormat="1" ht="15">
      <c r="A47" s="43">
        <v>43</v>
      </c>
      <c r="B47" s="219" t="s">
        <v>38</v>
      </c>
      <c r="C47" s="34">
        <v>40102</v>
      </c>
      <c r="D47" s="204" t="s">
        <v>27</v>
      </c>
      <c r="E47" s="88">
        <v>99</v>
      </c>
      <c r="F47" s="88">
        <v>9</v>
      </c>
      <c r="G47" s="88">
        <v>14</v>
      </c>
      <c r="H47" s="52">
        <v>3375</v>
      </c>
      <c r="I47" s="248">
        <v>911</v>
      </c>
      <c r="J47" s="249">
        <f>I47/F47</f>
        <v>101.22222222222223</v>
      </c>
      <c r="K47" s="134">
        <f>+H47/I47</f>
        <v>3.7047200878155873</v>
      </c>
      <c r="L47" s="133">
        <v>2580177</v>
      </c>
      <c r="M47" s="249">
        <v>273095</v>
      </c>
      <c r="N47" s="135">
        <f>+L47/M47</f>
        <v>9.447910067925081</v>
      </c>
      <c r="O47" s="272"/>
    </row>
    <row r="48" spans="1:15" s="4" customFormat="1" ht="15">
      <c r="A48" s="43">
        <v>44</v>
      </c>
      <c r="B48" s="219" t="s">
        <v>120</v>
      </c>
      <c r="C48" s="34">
        <v>40502</v>
      </c>
      <c r="D48" s="206" t="s">
        <v>51</v>
      </c>
      <c r="E48" s="88">
        <v>149</v>
      </c>
      <c r="F48" s="88">
        <v>3</v>
      </c>
      <c r="G48" s="88">
        <v>9</v>
      </c>
      <c r="H48" s="52">
        <v>2772</v>
      </c>
      <c r="I48" s="248">
        <v>405</v>
      </c>
      <c r="J48" s="249">
        <f>I48/F48</f>
        <v>135</v>
      </c>
      <c r="K48" s="134">
        <f>H48/I48</f>
        <v>6.844444444444444</v>
      </c>
      <c r="L48" s="133">
        <v>3116069.5</v>
      </c>
      <c r="M48" s="249">
        <v>363427</v>
      </c>
      <c r="N48" s="135">
        <f>L48/M48</f>
        <v>8.574127679011191</v>
      </c>
      <c r="O48" s="272">
        <v>1</v>
      </c>
    </row>
    <row r="49" spans="1:15" s="4" customFormat="1" ht="15">
      <c r="A49" s="43">
        <v>45</v>
      </c>
      <c r="B49" s="224" t="s">
        <v>141</v>
      </c>
      <c r="C49" s="36">
        <v>39920</v>
      </c>
      <c r="D49" s="211" t="s">
        <v>3</v>
      </c>
      <c r="E49" s="91">
        <v>132</v>
      </c>
      <c r="F49" s="91">
        <v>3</v>
      </c>
      <c r="G49" s="91">
        <v>19</v>
      </c>
      <c r="H49" s="55">
        <v>2655</v>
      </c>
      <c r="I49" s="256">
        <v>531</v>
      </c>
      <c r="J49" s="252">
        <f>+I49/F49</f>
        <v>177</v>
      </c>
      <c r="K49" s="127">
        <f>+H49/I49</f>
        <v>5</v>
      </c>
      <c r="L49" s="128">
        <v>914710</v>
      </c>
      <c r="M49" s="257">
        <v>117082</v>
      </c>
      <c r="N49" s="130">
        <f>+L49/M49</f>
        <v>7.812558719529902</v>
      </c>
      <c r="O49" s="272">
        <v>1</v>
      </c>
    </row>
    <row r="50" spans="1:15" s="4" customFormat="1" ht="15">
      <c r="A50" s="43">
        <v>46</v>
      </c>
      <c r="B50" s="219" t="s">
        <v>142</v>
      </c>
      <c r="C50" s="34">
        <v>40172</v>
      </c>
      <c r="D50" s="206" t="s">
        <v>41</v>
      </c>
      <c r="E50" s="88">
        <v>10</v>
      </c>
      <c r="F50" s="88">
        <v>5</v>
      </c>
      <c r="G50" s="88">
        <v>4</v>
      </c>
      <c r="H50" s="52">
        <v>2355</v>
      </c>
      <c r="I50" s="248">
        <v>415</v>
      </c>
      <c r="J50" s="252">
        <f>+I50/F50</f>
        <v>83</v>
      </c>
      <c r="K50" s="127">
        <f>+H50/I50</f>
        <v>5.674698795180723</v>
      </c>
      <c r="L50" s="133">
        <f>9917+0.75+3107+3129+0.5+2355</f>
        <v>18509.25</v>
      </c>
      <c r="M50" s="249">
        <f>987+335+431+415</f>
        <v>2168</v>
      </c>
      <c r="N50" s="130">
        <f>+L50/M50</f>
        <v>8.537476937269373</v>
      </c>
      <c r="O50" s="272">
        <v>1</v>
      </c>
    </row>
    <row r="51" spans="1:15" s="4" customFormat="1" ht="15">
      <c r="A51" s="43">
        <v>47</v>
      </c>
      <c r="B51" s="266" t="s">
        <v>143</v>
      </c>
      <c r="C51" s="242">
        <v>40186</v>
      </c>
      <c r="D51" s="243" t="s">
        <v>28</v>
      </c>
      <c r="E51" s="244">
        <v>4</v>
      </c>
      <c r="F51" s="244">
        <v>3</v>
      </c>
      <c r="G51" s="244">
        <v>2</v>
      </c>
      <c r="H51" s="51">
        <v>2026</v>
      </c>
      <c r="I51" s="245">
        <v>257</v>
      </c>
      <c r="J51" s="246">
        <f>(I51/F51)</f>
        <v>85.66666666666667</v>
      </c>
      <c r="K51" s="111">
        <f>H51/I51</f>
        <v>7.883268482490273</v>
      </c>
      <c r="L51" s="112">
        <f>16093+2026</f>
        <v>18119</v>
      </c>
      <c r="M51" s="247">
        <f>1351+257</f>
        <v>1608</v>
      </c>
      <c r="N51" s="114">
        <f>L51/M51</f>
        <v>11.268034825870647</v>
      </c>
      <c r="O51" s="272"/>
    </row>
    <row r="52" spans="1:15" s="4" customFormat="1" ht="15">
      <c r="A52" s="43">
        <v>48</v>
      </c>
      <c r="B52" s="222" t="s">
        <v>144</v>
      </c>
      <c r="C52" s="36">
        <v>40123</v>
      </c>
      <c r="D52" s="208" t="s">
        <v>30</v>
      </c>
      <c r="E52" s="90">
        <v>40</v>
      </c>
      <c r="F52" s="90">
        <v>5</v>
      </c>
      <c r="G52" s="90">
        <v>10</v>
      </c>
      <c r="H52" s="56">
        <v>1905</v>
      </c>
      <c r="I52" s="251">
        <v>315</v>
      </c>
      <c r="J52" s="252">
        <f>IF(H52&lt;&gt;0,I52/F52,"")</f>
        <v>63</v>
      </c>
      <c r="K52" s="127">
        <f>IF(H52&lt;&gt;0,H52/I52,"")</f>
        <v>6.0476190476190474</v>
      </c>
      <c r="L52" s="131">
        <v>263941.25</v>
      </c>
      <c r="M52" s="249">
        <v>26959</v>
      </c>
      <c r="N52" s="130">
        <f>IF(L52&lt;&gt;0,L52/M52,"")</f>
        <v>9.790468860120924</v>
      </c>
      <c r="O52" s="272">
        <v>1</v>
      </c>
    </row>
    <row r="53" spans="1:15" s="4" customFormat="1" ht="15">
      <c r="A53" s="43">
        <v>49</v>
      </c>
      <c r="B53" s="222" t="s">
        <v>113</v>
      </c>
      <c r="C53" s="36">
        <v>40081</v>
      </c>
      <c r="D53" s="250" t="s">
        <v>26</v>
      </c>
      <c r="E53" s="90">
        <v>70</v>
      </c>
      <c r="F53" s="90">
        <v>1</v>
      </c>
      <c r="G53" s="90">
        <v>13</v>
      </c>
      <c r="H53" s="51">
        <v>1671</v>
      </c>
      <c r="I53" s="245">
        <v>278</v>
      </c>
      <c r="J53" s="246">
        <f>I53/F53</f>
        <v>278</v>
      </c>
      <c r="K53" s="111">
        <f>H53/I53</f>
        <v>6.010791366906475</v>
      </c>
      <c r="L53" s="112">
        <f>1392975+803+1671</f>
        <v>1395449</v>
      </c>
      <c r="M53" s="247">
        <f>137156+132+278</f>
        <v>137566</v>
      </c>
      <c r="N53" s="114">
        <f>+L53/M53</f>
        <v>10.143850951543259</v>
      </c>
      <c r="O53" s="272"/>
    </row>
    <row r="54" spans="1:15" s="4" customFormat="1" ht="15">
      <c r="A54" s="43">
        <v>50</v>
      </c>
      <c r="B54" s="219" t="s">
        <v>35</v>
      </c>
      <c r="C54" s="34">
        <v>40067</v>
      </c>
      <c r="D54" s="206" t="s">
        <v>28</v>
      </c>
      <c r="E54" s="88">
        <v>51</v>
      </c>
      <c r="F54" s="88">
        <v>1</v>
      </c>
      <c r="G54" s="88">
        <v>18</v>
      </c>
      <c r="H54" s="51">
        <v>1663</v>
      </c>
      <c r="I54" s="245">
        <v>244</v>
      </c>
      <c r="J54" s="246">
        <f>(I54/F54)</f>
        <v>244</v>
      </c>
      <c r="K54" s="111">
        <f>H54/I54</f>
        <v>6.815573770491803</v>
      </c>
      <c r="L54" s="112">
        <f>182949+180053+29827+20114+26140.5+10395.5+4671+3342+2340+5520+249.5+165+3602+91+952+1264+44+1663</f>
        <v>473382.5</v>
      </c>
      <c r="M54" s="247">
        <f>18625+17802+3355+2859+3903+1800+782+594+465+1366+90+60+905+15+238+316+11+244</f>
        <v>53430</v>
      </c>
      <c r="N54" s="114">
        <f>L54/M54</f>
        <v>8.859863372637095</v>
      </c>
      <c r="O54" s="272"/>
    </row>
    <row r="55" spans="1:15" s="4" customFormat="1" ht="15">
      <c r="A55" s="43">
        <v>51</v>
      </c>
      <c r="B55" s="266" t="s">
        <v>145</v>
      </c>
      <c r="C55" s="242">
        <v>40109</v>
      </c>
      <c r="D55" s="243" t="s">
        <v>28</v>
      </c>
      <c r="E55" s="244">
        <v>179</v>
      </c>
      <c r="F55" s="244">
        <v>1</v>
      </c>
      <c r="G55" s="244">
        <v>12</v>
      </c>
      <c r="H55" s="51">
        <v>1563</v>
      </c>
      <c r="I55" s="245">
        <v>274</v>
      </c>
      <c r="J55" s="246">
        <f>(I55/F55)</f>
        <v>274</v>
      </c>
      <c r="K55" s="111">
        <f>H55/I55</f>
        <v>5.704379562043796</v>
      </c>
      <c r="L55" s="112">
        <f>1128559+561773+266735+93447+7005+1818+273+24520+599+3199+564+1563</f>
        <v>2090055</v>
      </c>
      <c r="M55" s="247">
        <f>129422+68620+41591+19064+1291+300+35+6130+81+717+91+274</f>
        <v>267616</v>
      </c>
      <c r="N55" s="114">
        <f>L55/M55</f>
        <v>7.809902995336602</v>
      </c>
      <c r="O55" s="272">
        <v>1</v>
      </c>
    </row>
    <row r="56" spans="1:15" s="4" customFormat="1" ht="15">
      <c r="A56" s="43">
        <v>52</v>
      </c>
      <c r="B56" s="219" t="s">
        <v>36</v>
      </c>
      <c r="C56" s="34">
        <v>40074</v>
      </c>
      <c r="D56" s="204" t="s">
        <v>27</v>
      </c>
      <c r="E56" s="88">
        <v>61</v>
      </c>
      <c r="F56" s="88">
        <v>2</v>
      </c>
      <c r="G56" s="88">
        <v>17</v>
      </c>
      <c r="H56" s="52">
        <v>1503</v>
      </c>
      <c r="I56" s="248">
        <v>241</v>
      </c>
      <c r="J56" s="249">
        <f>I56/F56</f>
        <v>120.5</v>
      </c>
      <c r="K56" s="134">
        <f>+H56/I56</f>
        <v>6.236514522821577</v>
      </c>
      <c r="L56" s="133">
        <v>1028993</v>
      </c>
      <c r="M56" s="249">
        <v>103644</v>
      </c>
      <c r="N56" s="135">
        <f>+L56/M56</f>
        <v>9.92814827679364</v>
      </c>
      <c r="O56" s="272"/>
    </row>
    <row r="57" spans="1:15" s="4" customFormat="1" ht="15">
      <c r="A57" s="43">
        <v>53</v>
      </c>
      <c r="B57" s="219" t="s">
        <v>146</v>
      </c>
      <c r="C57" s="34">
        <v>40116</v>
      </c>
      <c r="D57" s="206" t="s">
        <v>41</v>
      </c>
      <c r="E57" s="88">
        <v>252</v>
      </c>
      <c r="F57" s="88">
        <v>3</v>
      </c>
      <c r="G57" s="88">
        <v>12</v>
      </c>
      <c r="H57" s="52">
        <v>1470</v>
      </c>
      <c r="I57" s="248">
        <v>234</v>
      </c>
      <c r="J57" s="252">
        <f>+I57/F57</f>
        <v>78</v>
      </c>
      <c r="K57" s="127">
        <f>+H57/I57</f>
        <v>6.282051282051282</v>
      </c>
      <c r="L57" s="133">
        <f>1669127.75+948082.25+584112.75-1430.5+253635+167357+9936+0.5+7987+1963+4065+3546+1275+1470</f>
        <v>3651126.75</v>
      </c>
      <c r="M57" s="249">
        <f>200044+117374+72700-112+36636+25117+1706+1163+472+1036+675+224+234</f>
        <v>457269</v>
      </c>
      <c r="N57" s="135">
        <f>+L57/M57</f>
        <v>7.984636504989404</v>
      </c>
      <c r="O57" s="272">
        <v>1</v>
      </c>
    </row>
    <row r="58" spans="1:15" s="4" customFormat="1" ht="15">
      <c r="A58" s="43">
        <v>54</v>
      </c>
      <c r="B58" s="266" t="s">
        <v>102</v>
      </c>
      <c r="C58" s="242">
        <v>40130</v>
      </c>
      <c r="D58" s="243" t="s">
        <v>28</v>
      </c>
      <c r="E58" s="244">
        <v>13</v>
      </c>
      <c r="F58" s="244">
        <v>2</v>
      </c>
      <c r="G58" s="244">
        <v>10</v>
      </c>
      <c r="H58" s="51">
        <v>1457</v>
      </c>
      <c r="I58" s="245">
        <v>339</v>
      </c>
      <c r="J58" s="246">
        <f>(I58/F58)</f>
        <v>169.5</v>
      </c>
      <c r="K58" s="111">
        <f>H58/I58</f>
        <v>4.297935103244837</v>
      </c>
      <c r="L58" s="112">
        <f>61012+24426+6122+10040+4081+228+2698+1216+1678.5+1457</f>
        <v>112958.5</v>
      </c>
      <c r="M58" s="247">
        <f>5982+2401+678+1620+879+42+433+305+334+339</f>
        <v>13013</v>
      </c>
      <c r="N58" s="114">
        <f>L58/M58</f>
        <v>8.680434949665718</v>
      </c>
      <c r="O58" s="272">
        <v>1</v>
      </c>
    </row>
    <row r="59" spans="1:15" s="4" customFormat="1" ht="15">
      <c r="A59" s="43">
        <v>55</v>
      </c>
      <c r="B59" s="266" t="s">
        <v>39</v>
      </c>
      <c r="C59" s="242">
        <v>40109</v>
      </c>
      <c r="D59" s="243" t="s">
        <v>28</v>
      </c>
      <c r="E59" s="244">
        <v>35</v>
      </c>
      <c r="F59" s="244">
        <v>2</v>
      </c>
      <c r="G59" s="244">
        <v>11</v>
      </c>
      <c r="H59" s="51">
        <v>1314</v>
      </c>
      <c r="I59" s="245">
        <v>212</v>
      </c>
      <c r="J59" s="246">
        <f>(I59/F59)</f>
        <v>106</v>
      </c>
      <c r="K59" s="111">
        <f>H59/I59</f>
        <v>6.19811320754717</v>
      </c>
      <c r="L59" s="112">
        <f>138311.75+79345.25+13093+10041+3739+971+1340+254+1082+2698+1314</f>
        <v>252189</v>
      </c>
      <c r="M59" s="247">
        <f>12918+7558+2061+1540+644+195+252+48+177+403+212</f>
        <v>26008</v>
      </c>
      <c r="N59" s="114">
        <f>L59/M59</f>
        <v>9.696593355890496</v>
      </c>
      <c r="O59" s="272"/>
    </row>
    <row r="60" spans="1:15" s="4" customFormat="1" ht="15">
      <c r="A60" s="43">
        <v>56</v>
      </c>
      <c r="B60" s="219" t="s">
        <v>96</v>
      </c>
      <c r="C60" s="34">
        <v>40144</v>
      </c>
      <c r="D60" s="206" t="s">
        <v>97</v>
      </c>
      <c r="E60" s="88">
        <v>2</v>
      </c>
      <c r="F60" s="88">
        <v>1</v>
      </c>
      <c r="G60" s="88">
        <v>4</v>
      </c>
      <c r="H60" s="52">
        <v>1199</v>
      </c>
      <c r="I60" s="64">
        <v>221</v>
      </c>
      <c r="J60" s="117">
        <f>I60/F60</f>
        <v>221</v>
      </c>
      <c r="K60" s="213">
        <f>H60/I60</f>
        <v>5.425339366515837</v>
      </c>
      <c r="L60" s="133">
        <v>13203</v>
      </c>
      <c r="M60" s="132">
        <v>2038</v>
      </c>
      <c r="N60" s="223">
        <f>IF(L60&lt;&gt;0,L60/M60,"")</f>
        <v>6.478410206084397</v>
      </c>
      <c r="O60" s="272"/>
    </row>
    <row r="61" spans="1:15" s="4" customFormat="1" ht="15">
      <c r="A61" s="43">
        <v>57</v>
      </c>
      <c r="B61" s="219" t="s">
        <v>147</v>
      </c>
      <c r="C61" s="34">
        <v>39920</v>
      </c>
      <c r="D61" s="206" t="s">
        <v>28</v>
      </c>
      <c r="E61" s="88">
        <v>43</v>
      </c>
      <c r="F61" s="88">
        <v>1</v>
      </c>
      <c r="G61" s="88">
        <v>26</v>
      </c>
      <c r="H61" s="51">
        <v>1188</v>
      </c>
      <c r="I61" s="245">
        <v>297</v>
      </c>
      <c r="J61" s="246">
        <f>(I61/F61)</f>
        <v>297</v>
      </c>
      <c r="K61" s="111">
        <f>H61/I61</f>
        <v>4</v>
      </c>
      <c r="L61" s="112">
        <f>71921.5+55489+28896+23842.5+13474.5+19552.5+14027+10409+7091.5+1088.5+1046+1608+982+3368+433+2156+3870+2362+588+3564+2376+1424+1780+1424+1512+1188</f>
        <v>275473</v>
      </c>
      <c r="M61" s="247">
        <f>9131+7791+4520+4728+2735+3857+3026+2110+1463+203+226+324+239+809+81+469+941+537+95+891+594+356+445+356+378+297</f>
        <v>46602</v>
      </c>
      <c r="N61" s="114">
        <f>L61/M61</f>
        <v>5.911184069353246</v>
      </c>
      <c r="O61" s="272">
        <v>1</v>
      </c>
    </row>
    <row r="62" spans="1:15" s="4" customFormat="1" ht="15">
      <c r="A62" s="43">
        <v>58</v>
      </c>
      <c r="B62" s="219" t="s">
        <v>148</v>
      </c>
      <c r="C62" s="34">
        <v>40095</v>
      </c>
      <c r="D62" s="206" t="s">
        <v>28</v>
      </c>
      <c r="E62" s="88">
        <v>52</v>
      </c>
      <c r="F62" s="88">
        <v>1</v>
      </c>
      <c r="G62" s="88">
        <v>7</v>
      </c>
      <c r="H62" s="51">
        <v>1188</v>
      </c>
      <c r="I62" s="245">
        <v>297</v>
      </c>
      <c r="J62" s="246">
        <f>(I62/F62)</f>
        <v>297</v>
      </c>
      <c r="K62" s="111">
        <f>H62/I62</f>
        <v>4</v>
      </c>
      <c r="L62" s="112">
        <f>108013.25+68864+27976+10214+2402+2209+1188</f>
        <v>220866.25</v>
      </c>
      <c r="M62" s="247">
        <f>12202+8144+4339+1841+481+460+297</f>
        <v>27764</v>
      </c>
      <c r="N62" s="114">
        <f>L62/M62</f>
        <v>7.955130744849446</v>
      </c>
      <c r="O62" s="272">
        <v>1</v>
      </c>
    </row>
    <row r="63" spans="1:15" s="4" customFormat="1" ht="15">
      <c r="A63" s="43">
        <v>59</v>
      </c>
      <c r="B63" s="222" t="s">
        <v>43</v>
      </c>
      <c r="C63" s="36">
        <v>40123</v>
      </c>
      <c r="D63" s="208" t="s">
        <v>30</v>
      </c>
      <c r="E63" s="90">
        <v>58</v>
      </c>
      <c r="F63" s="90">
        <v>4</v>
      </c>
      <c r="G63" s="90">
        <v>10</v>
      </c>
      <c r="H63" s="56">
        <v>1180</v>
      </c>
      <c r="I63" s="251">
        <v>202</v>
      </c>
      <c r="J63" s="252">
        <f>IF(H63&lt;&gt;0,I63/F63,"")</f>
        <v>50.5</v>
      </c>
      <c r="K63" s="127">
        <f>IF(H63&lt;&gt;0,H63/I63,"")</f>
        <v>5.841584158415841</v>
      </c>
      <c r="L63" s="131">
        <v>472536.75</v>
      </c>
      <c r="M63" s="249">
        <v>45358</v>
      </c>
      <c r="N63" s="130">
        <f>IF(L63&lt;&gt;0,L63/M63,"")</f>
        <v>10.417936196481326</v>
      </c>
      <c r="O63" s="272"/>
    </row>
    <row r="64" spans="1:15" s="4" customFormat="1" ht="15">
      <c r="A64" s="43">
        <v>60</v>
      </c>
      <c r="B64" s="225" t="s">
        <v>149</v>
      </c>
      <c r="C64" s="36">
        <v>40074</v>
      </c>
      <c r="D64" s="211" t="s">
        <v>92</v>
      </c>
      <c r="E64" s="214" t="s">
        <v>104</v>
      </c>
      <c r="F64" s="214" t="s">
        <v>105</v>
      </c>
      <c r="G64" s="214" t="s">
        <v>150</v>
      </c>
      <c r="H64" s="55">
        <v>1145</v>
      </c>
      <c r="I64" s="256">
        <v>203</v>
      </c>
      <c r="J64" s="258">
        <f>+I64/F64</f>
        <v>203</v>
      </c>
      <c r="K64" s="173"/>
      <c r="L64" s="128">
        <v>177543</v>
      </c>
      <c r="M64" s="257">
        <v>22052</v>
      </c>
      <c r="N64" s="130">
        <f>IF(L64&lt;&gt;0,L64/M64,"")</f>
        <v>8.05110647560312</v>
      </c>
      <c r="O64" s="272"/>
    </row>
    <row r="65" spans="1:15" s="4" customFormat="1" ht="15">
      <c r="A65" s="43">
        <v>61</v>
      </c>
      <c r="B65" s="266" t="s">
        <v>151</v>
      </c>
      <c r="C65" s="242">
        <v>40151</v>
      </c>
      <c r="D65" s="243" t="s">
        <v>28</v>
      </c>
      <c r="E65" s="244">
        <v>2</v>
      </c>
      <c r="F65" s="244">
        <v>2</v>
      </c>
      <c r="G65" s="244">
        <v>7</v>
      </c>
      <c r="H65" s="51">
        <v>1006</v>
      </c>
      <c r="I65" s="245">
        <v>130</v>
      </c>
      <c r="J65" s="246">
        <f>(I65/F65)</f>
        <v>65</v>
      </c>
      <c r="K65" s="111">
        <f>H65/I65</f>
        <v>7.7384615384615385</v>
      </c>
      <c r="L65" s="112">
        <f>14952+6112+2196+2975+2853+674+1006</f>
        <v>30768</v>
      </c>
      <c r="M65" s="247">
        <f>1468+666+254+478+502+81+130</f>
        <v>3579</v>
      </c>
      <c r="N65" s="114">
        <f>L65/M65</f>
        <v>8.596814752724224</v>
      </c>
      <c r="O65" s="272"/>
    </row>
    <row r="66" spans="1:15" s="4" customFormat="1" ht="15">
      <c r="A66" s="43">
        <v>62</v>
      </c>
      <c r="B66" s="219" t="s">
        <v>46</v>
      </c>
      <c r="C66" s="34">
        <v>40137</v>
      </c>
      <c r="D66" s="204" t="s">
        <v>27</v>
      </c>
      <c r="E66" s="88">
        <v>61</v>
      </c>
      <c r="F66" s="88">
        <v>1</v>
      </c>
      <c r="G66" s="88">
        <v>9</v>
      </c>
      <c r="H66" s="52">
        <v>989</v>
      </c>
      <c r="I66" s="248">
        <v>157</v>
      </c>
      <c r="J66" s="249">
        <f>I66/F66</f>
        <v>157</v>
      </c>
      <c r="K66" s="134">
        <f>+H66/I66</f>
        <v>6.2993630573248405</v>
      </c>
      <c r="L66" s="133">
        <v>459390</v>
      </c>
      <c r="M66" s="249">
        <v>42590</v>
      </c>
      <c r="N66" s="135">
        <f>+L66/M66</f>
        <v>10.786334820380372</v>
      </c>
      <c r="O66" s="272"/>
    </row>
    <row r="67" spans="1:15" s="4" customFormat="1" ht="15">
      <c r="A67" s="43">
        <v>63</v>
      </c>
      <c r="B67" s="266" t="s">
        <v>111</v>
      </c>
      <c r="C67" s="242">
        <v>40102</v>
      </c>
      <c r="D67" s="243" t="s">
        <v>28</v>
      </c>
      <c r="E67" s="244">
        <v>22</v>
      </c>
      <c r="F67" s="244">
        <v>2</v>
      </c>
      <c r="G67" s="244">
        <v>7</v>
      </c>
      <c r="H67" s="51">
        <v>738.5</v>
      </c>
      <c r="I67" s="245">
        <v>262</v>
      </c>
      <c r="J67" s="246">
        <f>(I67/F67)</f>
        <v>131</v>
      </c>
      <c r="K67" s="111">
        <f>H67/I67</f>
        <v>2.818702290076336</v>
      </c>
      <c r="L67" s="112">
        <f>129717.5+110957+18478+6527+6853.5+1081.5+738.5</f>
        <v>274353</v>
      </c>
      <c r="M67" s="247">
        <f>10402+8975+1885+691+1109+369+262</f>
        <v>23693</v>
      </c>
      <c r="N67" s="114">
        <f>L67/M67</f>
        <v>11.579496053686743</v>
      </c>
      <c r="O67" s="272"/>
    </row>
    <row r="68" spans="1:15" s="4" customFormat="1" ht="15">
      <c r="A68" s="43">
        <v>64</v>
      </c>
      <c r="B68" s="224" t="s">
        <v>152</v>
      </c>
      <c r="C68" s="36">
        <v>40060</v>
      </c>
      <c r="D68" s="211" t="s">
        <v>3</v>
      </c>
      <c r="E68" s="91">
        <v>60</v>
      </c>
      <c r="F68" s="91">
        <v>1</v>
      </c>
      <c r="G68" s="91">
        <v>9</v>
      </c>
      <c r="H68" s="55">
        <v>722</v>
      </c>
      <c r="I68" s="256">
        <v>98</v>
      </c>
      <c r="J68" s="252">
        <f>+I68/F68</f>
        <v>98</v>
      </c>
      <c r="K68" s="127">
        <f>+H68/I68</f>
        <v>7.36734693877551</v>
      </c>
      <c r="L68" s="128">
        <v>31093</v>
      </c>
      <c r="M68" s="257">
        <v>4346</v>
      </c>
      <c r="N68" s="135">
        <f>+L68/M68</f>
        <v>7.154394845835251</v>
      </c>
      <c r="O68" s="272">
        <v>1</v>
      </c>
    </row>
    <row r="69" spans="1:15" s="4" customFormat="1" ht="15">
      <c r="A69" s="43">
        <v>65</v>
      </c>
      <c r="B69" s="219" t="s">
        <v>153</v>
      </c>
      <c r="C69" s="34">
        <v>39934</v>
      </c>
      <c r="D69" s="206" t="s">
        <v>41</v>
      </c>
      <c r="E69" s="88">
        <v>125</v>
      </c>
      <c r="F69" s="88">
        <v>1</v>
      </c>
      <c r="G69" s="88">
        <v>12</v>
      </c>
      <c r="H69" s="52">
        <v>700</v>
      </c>
      <c r="I69" s="248">
        <v>140</v>
      </c>
      <c r="J69" s="252">
        <f>+I69/F69</f>
        <v>140</v>
      </c>
      <c r="K69" s="127">
        <f>+H69/I69</f>
        <v>5</v>
      </c>
      <c r="L69" s="133">
        <f>114460.75+42138+22420+8194+3259+329+823+25444.5+546+3853+1085+700</f>
        <v>223252.25</v>
      </c>
      <c r="M69" s="249">
        <f>15343+6534+4108+1491+680+62+130+4241+100+770+217+140</f>
        <v>33816</v>
      </c>
      <c r="N69" s="135">
        <f>+L69/M69</f>
        <v>6.601970960492075</v>
      </c>
      <c r="O69" s="272">
        <v>1</v>
      </c>
    </row>
    <row r="70" spans="1:15" s="4" customFormat="1" ht="15">
      <c r="A70" s="43">
        <v>66</v>
      </c>
      <c r="B70" s="222" t="s">
        <v>154</v>
      </c>
      <c r="C70" s="36">
        <v>40116</v>
      </c>
      <c r="D70" s="208" t="s">
        <v>30</v>
      </c>
      <c r="E70" s="90">
        <v>88</v>
      </c>
      <c r="F70" s="90">
        <v>1</v>
      </c>
      <c r="G70" s="90">
        <v>11</v>
      </c>
      <c r="H70" s="56">
        <v>693</v>
      </c>
      <c r="I70" s="251">
        <v>127</v>
      </c>
      <c r="J70" s="252">
        <f>IF(H70&lt;&gt;0,I70/F70,"")</f>
        <v>127</v>
      </c>
      <c r="K70" s="127">
        <f>IF(H70&lt;&gt;0,H70/I70,"")</f>
        <v>5.456692913385827</v>
      </c>
      <c r="L70" s="131">
        <v>278485</v>
      </c>
      <c r="M70" s="249">
        <v>37370</v>
      </c>
      <c r="N70" s="130">
        <f>IF(L70&lt;&gt;0,L70/M70,"")</f>
        <v>7.452100615466952</v>
      </c>
      <c r="O70" s="272">
        <v>1</v>
      </c>
    </row>
    <row r="71" spans="1:15" s="4" customFormat="1" ht="15">
      <c r="A71" s="43">
        <v>67</v>
      </c>
      <c r="B71" s="222" t="s">
        <v>155</v>
      </c>
      <c r="C71" s="36">
        <v>40088</v>
      </c>
      <c r="D71" s="208" t="s">
        <v>30</v>
      </c>
      <c r="E71" s="90">
        <v>55</v>
      </c>
      <c r="F71" s="90">
        <v>1</v>
      </c>
      <c r="G71" s="90">
        <v>11</v>
      </c>
      <c r="H71" s="56">
        <v>653</v>
      </c>
      <c r="I71" s="251">
        <v>131</v>
      </c>
      <c r="J71" s="252">
        <f>IF(H71&lt;&gt;0,I71/F71,"")</f>
        <v>131</v>
      </c>
      <c r="K71" s="127">
        <f>IF(H71&lt;&gt;0,H71/I71,"")</f>
        <v>4.984732824427481</v>
      </c>
      <c r="L71" s="131">
        <v>148114</v>
      </c>
      <c r="M71" s="249">
        <v>18332</v>
      </c>
      <c r="N71" s="130">
        <f>IF(L71&lt;&gt;0,L71/M71,"")</f>
        <v>8.079533056949597</v>
      </c>
      <c r="O71" s="272">
        <v>1</v>
      </c>
    </row>
    <row r="72" spans="1:15" s="4" customFormat="1" ht="15">
      <c r="A72" s="43">
        <v>68</v>
      </c>
      <c r="B72" s="266" t="s">
        <v>156</v>
      </c>
      <c r="C72" s="242">
        <v>40046</v>
      </c>
      <c r="D72" s="243" t="s">
        <v>28</v>
      </c>
      <c r="E72" s="244">
        <v>5</v>
      </c>
      <c r="F72" s="244">
        <v>1</v>
      </c>
      <c r="G72" s="244">
        <v>18</v>
      </c>
      <c r="H72" s="51">
        <v>555</v>
      </c>
      <c r="I72" s="245">
        <v>90</v>
      </c>
      <c r="J72" s="246">
        <f>(I72/F72)</f>
        <v>90</v>
      </c>
      <c r="K72" s="111">
        <f>H72/I72</f>
        <v>6.166666666666667</v>
      </c>
      <c r="L72" s="112">
        <f>29266.75+13116.25+9279.25+8463+18147.5+3121+4110+6763+926+5173.5+9461.5+192+486+2002+382+72+487.5+555</f>
        <v>112004.25</v>
      </c>
      <c r="M72" s="247">
        <f>2425+1257+1223+1013+2360+455+662+1253+138+745+1554+44+79+353+69+18+78+90</f>
        <v>13816</v>
      </c>
      <c r="N72" s="114">
        <f>L72/M72</f>
        <v>8.106850752750434</v>
      </c>
      <c r="O72" s="272"/>
    </row>
    <row r="73" spans="1:15" s="4" customFormat="1" ht="15">
      <c r="A73" s="43">
        <v>69</v>
      </c>
      <c r="B73" s="222" t="s">
        <v>157</v>
      </c>
      <c r="C73" s="36">
        <v>40074</v>
      </c>
      <c r="D73" s="208" t="s">
        <v>30</v>
      </c>
      <c r="E73" s="90">
        <v>65</v>
      </c>
      <c r="F73" s="90">
        <v>2</v>
      </c>
      <c r="G73" s="90">
        <v>11</v>
      </c>
      <c r="H73" s="56">
        <v>448</v>
      </c>
      <c r="I73" s="251">
        <v>83</v>
      </c>
      <c r="J73" s="252">
        <f>IF(H73&lt;&gt;0,I73/F73,"")</f>
        <v>41.5</v>
      </c>
      <c r="K73" s="127">
        <f>IF(H73&lt;&gt;0,H73/I73,"")</f>
        <v>5.397590361445783</v>
      </c>
      <c r="L73" s="131">
        <v>558893</v>
      </c>
      <c r="M73" s="249">
        <v>62285</v>
      </c>
      <c r="N73" s="130">
        <f>IF(L73&lt;&gt;0,L73/M73,"")</f>
        <v>8.973155655454764</v>
      </c>
      <c r="O73" s="272"/>
    </row>
    <row r="74" spans="1:15" s="4" customFormat="1" ht="15">
      <c r="A74" s="43">
        <v>70</v>
      </c>
      <c r="B74" s="222" t="s">
        <v>109</v>
      </c>
      <c r="C74" s="36">
        <v>40158</v>
      </c>
      <c r="D74" s="208" t="s">
        <v>30</v>
      </c>
      <c r="E74" s="90">
        <v>6</v>
      </c>
      <c r="F74" s="90">
        <v>4</v>
      </c>
      <c r="G74" s="90">
        <v>5</v>
      </c>
      <c r="H74" s="56">
        <v>442</v>
      </c>
      <c r="I74" s="251">
        <v>69</v>
      </c>
      <c r="J74" s="252">
        <f>IF(H74&lt;&gt;0,I74/F74,"")</f>
        <v>17.25</v>
      </c>
      <c r="K74" s="127">
        <f>IF(H74&lt;&gt;0,H74/I74,"")</f>
        <v>6.405797101449275</v>
      </c>
      <c r="L74" s="131">
        <v>49415</v>
      </c>
      <c r="M74" s="249">
        <v>4399</v>
      </c>
      <c r="N74" s="130">
        <f>IF(L74&lt;&gt;0,L74/M74,"")</f>
        <v>11.23323482609684</v>
      </c>
      <c r="O74" s="272"/>
    </row>
    <row r="75" spans="1:15" s="4" customFormat="1" ht="15">
      <c r="A75" s="43">
        <v>71</v>
      </c>
      <c r="B75" s="219" t="s">
        <v>158</v>
      </c>
      <c r="C75" s="34">
        <v>39926</v>
      </c>
      <c r="D75" s="211" t="s">
        <v>28</v>
      </c>
      <c r="E75" s="88">
        <v>40</v>
      </c>
      <c r="F75" s="88">
        <v>1</v>
      </c>
      <c r="G75" s="88">
        <v>32</v>
      </c>
      <c r="H75" s="51">
        <v>256</v>
      </c>
      <c r="I75" s="245">
        <v>64</v>
      </c>
      <c r="J75" s="246">
        <f>(I75/F75)</f>
        <v>64</v>
      </c>
      <c r="K75" s="111">
        <f>H75/I75</f>
        <v>4</v>
      </c>
      <c r="L75" s="112">
        <f>35864.5+53058.5+35303.5+15734.5+12778.5+9687.5+8045+13953.5+10307+6140.75+1296+667+231+755+1970+2246+752.5+591.5+130+445+2051+750+1477+2060+1816+47+72+84+378+2301+1280+700+256</f>
        <v>223229.25</v>
      </c>
      <c r="M75" s="247">
        <f>3971+5771+3969+2398+2257+2131+1634+2509+1783+912+230+126+48+181+472+311+114+91+20+78+493+183+365+462+452+9+24+28+94+494+182+115+64</f>
        <v>31971</v>
      </c>
      <c r="N75" s="114">
        <f>L75/M75</f>
        <v>6.982241719057896</v>
      </c>
      <c r="O75" s="272"/>
    </row>
    <row r="76" spans="1:15" s="4" customFormat="1" ht="15">
      <c r="A76" s="43">
        <v>72</v>
      </c>
      <c r="B76" s="222" t="s">
        <v>163</v>
      </c>
      <c r="C76" s="36">
        <v>40074</v>
      </c>
      <c r="D76" s="208" t="s">
        <v>30</v>
      </c>
      <c r="E76" s="90">
        <v>142</v>
      </c>
      <c r="F76" s="90">
        <v>1</v>
      </c>
      <c r="G76" s="90">
        <v>11</v>
      </c>
      <c r="H76" s="56">
        <v>203</v>
      </c>
      <c r="I76" s="251">
        <v>35</v>
      </c>
      <c r="J76" s="252">
        <f>IF(H76&lt;&gt;0,I76/F76,"")</f>
        <v>35</v>
      </c>
      <c r="K76" s="127">
        <f>IF(H76&lt;&gt;0,H76/I76,"")</f>
        <v>5.8</v>
      </c>
      <c r="L76" s="131">
        <v>810656.5</v>
      </c>
      <c r="M76" s="249">
        <v>102391</v>
      </c>
      <c r="N76" s="130">
        <f>IF(L76&lt;&gt;0,L76/M76,"")</f>
        <v>7.917263236026604</v>
      </c>
      <c r="O76" s="272">
        <v>1</v>
      </c>
    </row>
    <row r="77" spans="1:15" s="4" customFormat="1" ht="15">
      <c r="A77" s="43">
        <v>73</v>
      </c>
      <c r="B77" s="219" t="s">
        <v>40</v>
      </c>
      <c r="C77" s="34">
        <v>40046</v>
      </c>
      <c r="D77" s="204" t="s">
        <v>27</v>
      </c>
      <c r="E77" s="88">
        <v>55</v>
      </c>
      <c r="F77" s="88">
        <v>1</v>
      </c>
      <c r="G77" s="88">
        <v>13</v>
      </c>
      <c r="H77" s="52">
        <v>146</v>
      </c>
      <c r="I77" s="248">
        <v>19</v>
      </c>
      <c r="J77" s="249">
        <f>I77/F77</f>
        <v>19</v>
      </c>
      <c r="K77" s="134">
        <f>+H77/I77</f>
        <v>7.684210526315789</v>
      </c>
      <c r="L77" s="133">
        <v>189505</v>
      </c>
      <c r="M77" s="249">
        <v>19424</v>
      </c>
      <c r="N77" s="135">
        <f>+L77/M77</f>
        <v>9.756229406919275</v>
      </c>
      <c r="O77" s="272"/>
    </row>
    <row r="78" spans="1:15" s="4" customFormat="1" ht="15">
      <c r="A78" s="43">
        <v>74</v>
      </c>
      <c r="B78" s="219" t="s">
        <v>159</v>
      </c>
      <c r="C78" s="34">
        <v>39962</v>
      </c>
      <c r="D78" s="206" t="s">
        <v>28</v>
      </c>
      <c r="E78" s="88">
        <v>1</v>
      </c>
      <c r="F78" s="88">
        <v>1</v>
      </c>
      <c r="G78" s="88">
        <v>16</v>
      </c>
      <c r="H78" s="51">
        <v>84</v>
      </c>
      <c r="I78" s="245">
        <v>20</v>
      </c>
      <c r="J78" s="246">
        <f>(I78/F78)</f>
        <v>20</v>
      </c>
      <c r="K78" s="111">
        <f>H78/I78</f>
        <v>4.2</v>
      </c>
      <c r="L78" s="112">
        <f>2055+1340+750+709+604+925+1270+1220+776+981+343+858+383+597+2376+84</f>
        <v>15271</v>
      </c>
      <c r="M78" s="247">
        <f>411+268+150+85+70+118+161+152+99+144+47+143+48+95+594+20</f>
        <v>2605</v>
      </c>
      <c r="N78" s="114">
        <f>L78/M78</f>
        <v>5.862188099808061</v>
      </c>
      <c r="O78" s="272"/>
    </row>
    <row r="79" spans="1:15" s="4" customFormat="1" ht="15.75" thickBot="1">
      <c r="A79" s="43">
        <v>75</v>
      </c>
      <c r="B79" s="227" t="s">
        <v>160</v>
      </c>
      <c r="C79" s="41">
        <v>40074</v>
      </c>
      <c r="D79" s="228" t="s">
        <v>41</v>
      </c>
      <c r="E79" s="89">
        <v>20</v>
      </c>
      <c r="F79" s="89">
        <v>1</v>
      </c>
      <c r="G79" s="89">
        <v>9</v>
      </c>
      <c r="H79" s="76">
        <v>52</v>
      </c>
      <c r="I79" s="267">
        <v>12</v>
      </c>
      <c r="J79" s="268">
        <f>+I79/F79</f>
        <v>12</v>
      </c>
      <c r="K79" s="269">
        <f>+H79/I79</f>
        <v>4.333333333333333</v>
      </c>
      <c r="L79" s="115">
        <f>29605.75+13687.5+1715.5+10167+0.5+1482+874+865+622+52</f>
        <v>59071.25</v>
      </c>
      <c r="M79" s="270">
        <f>2984+1583+274+1724+229+164+167+104+12</f>
        <v>7241</v>
      </c>
      <c r="N79" s="271">
        <f>+L79/M79</f>
        <v>8.157885651153155</v>
      </c>
      <c r="O79" s="272">
        <v>1</v>
      </c>
    </row>
    <row r="80" spans="1:15" s="16" customFormat="1" ht="15">
      <c r="A80" s="313" t="s">
        <v>31</v>
      </c>
      <c r="B80" s="314"/>
      <c r="C80" s="15"/>
      <c r="D80" s="23"/>
      <c r="E80" s="93"/>
      <c r="F80" s="94"/>
      <c r="G80" s="93"/>
      <c r="H80" s="58">
        <f>SUM(H5:H79)</f>
        <v>9953063.75</v>
      </c>
      <c r="I80" s="69">
        <f>SUM(I5:I79)</f>
        <v>1054257</v>
      </c>
      <c r="J80" s="139"/>
      <c r="K80" s="140"/>
      <c r="L80" s="141"/>
      <c r="M80" s="142"/>
      <c r="N80" s="143"/>
      <c r="O80" s="73"/>
    </row>
    <row r="81" spans="1:15" s="4" customFormat="1" ht="13.5">
      <c r="A81" s="47"/>
      <c r="B81" s="83"/>
      <c r="C81" s="7"/>
      <c r="D81" s="10"/>
      <c r="E81" s="48"/>
      <c r="F81" s="48"/>
      <c r="G81" s="48"/>
      <c r="H81" s="59"/>
      <c r="I81" s="70"/>
      <c r="J81" s="144"/>
      <c r="K81" s="145"/>
      <c r="L81" s="146"/>
      <c r="M81" s="147"/>
      <c r="N81" s="145"/>
      <c r="O81" s="73"/>
    </row>
    <row r="82" spans="1:15" s="4" customFormat="1" ht="15">
      <c r="A82" s="47"/>
      <c r="B82" s="84"/>
      <c r="C82" s="20"/>
      <c r="D82" s="24"/>
      <c r="E82" s="95"/>
      <c r="F82" s="96"/>
      <c r="G82" s="48"/>
      <c r="H82" s="59"/>
      <c r="I82" s="70"/>
      <c r="J82" s="315" t="s">
        <v>29</v>
      </c>
      <c r="K82" s="316"/>
      <c r="L82" s="316"/>
      <c r="M82" s="316"/>
      <c r="N82" s="316"/>
      <c r="O82" s="73"/>
    </row>
    <row r="83" spans="1:15" s="4" customFormat="1" ht="15">
      <c r="A83" s="47"/>
      <c r="B83" s="84"/>
      <c r="C83" s="20"/>
      <c r="D83" s="24"/>
      <c r="E83" s="95"/>
      <c r="F83" s="48"/>
      <c r="G83" s="49"/>
      <c r="H83" s="59"/>
      <c r="I83" s="70"/>
      <c r="J83" s="316"/>
      <c r="K83" s="316"/>
      <c r="L83" s="316"/>
      <c r="M83" s="316"/>
      <c r="N83" s="316"/>
      <c r="O83" s="73"/>
    </row>
    <row r="84" spans="1:15" s="4" customFormat="1" ht="15">
      <c r="A84" s="47"/>
      <c r="B84" s="84"/>
      <c r="C84" s="20"/>
      <c r="D84" s="24"/>
      <c r="E84" s="95"/>
      <c r="F84" s="48"/>
      <c r="G84" s="49"/>
      <c r="H84" s="59"/>
      <c r="I84" s="70"/>
      <c r="J84" s="316"/>
      <c r="K84" s="316"/>
      <c r="L84" s="316"/>
      <c r="M84" s="316"/>
      <c r="N84" s="316"/>
      <c r="O84" s="73"/>
    </row>
    <row r="85" spans="1:15" s="4" customFormat="1" ht="15">
      <c r="A85" s="47"/>
      <c r="B85" s="84"/>
      <c r="C85" s="20"/>
      <c r="D85" s="24"/>
      <c r="E85" s="95"/>
      <c r="F85" s="48"/>
      <c r="G85" s="49"/>
      <c r="H85" s="59"/>
      <c r="I85" s="70"/>
      <c r="J85" s="317"/>
      <c r="K85" s="317"/>
      <c r="L85" s="317"/>
      <c r="M85" s="317"/>
      <c r="N85" s="317"/>
      <c r="O85" s="73"/>
    </row>
    <row r="86" spans="1:15" s="4" customFormat="1" ht="15">
      <c r="A86" s="47"/>
      <c r="B86" s="84"/>
      <c r="C86" s="20"/>
      <c r="D86" s="24"/>
      <c r="E86" s="95"/>
      <c r="F86" s="48"/>
      <c r="G86" s="310" t="s">
        <v>7</v>
      </c>
      <c r="H86" s="311"/>
      <c r="I86" s="311"/>
      <c r="J86" s="311"/>
      <c r="K86" s="311"/>
      <c r="L86" s="311"/>
      <c r="M86" s="311"/>
      <c r="N86" s="311"/>
      <c r="O86" s="73"/>
    </row>
    <row r="87" spans="1:15" s="12" customFormat="1" ht="15">
      <c r="A87" s="47"/>
      <c r="B87" s="84"/>
      <c r="C87" s="20"/>
      <c r="D87" s="24"/>
      <c r="E87" s="95"/>
      <c r="F87" s="97"/>
      <c r="G87" s="311"/>
      <c r="H87" s="311"/>
      <c r="I87" s="311"/>
      <c r="J87" s="311"/>
      <c r="K87" s="311"/>
      <c r="L87" s="311"/>
      <c r="M87" s="311"/>
      <c r="N87" s="311"/>
      <c r="O87" s="73"/>
    </row>
    <row r="88" spans="1:15" s="12" customFormat="1" ht="15">
      <c r="A88" s="47"/>
      <c r="B88" s="84"/>
      <c r="C88" s="20"/>
      <c r="D88" s="24"/>
      <c r="E88" s="95"/>
      <c r="F88" s="48"/>
      <c r="G88" s="311"/>
      <c r="H88" s="311"/>
      <c r="I88" s="311"/>
      <c r="J88" s="311"/>
      <c r="K88" s="311"/>
      <c r="L88" s="311"/>
      <c r="M88" s="311"/>
      <c r="N88" s="311"/>
      <c r="O88" s="73"/>
    </row>
    <row r="89" spans="1:15" s="12" customFormat="1" ht="15">
      <c r="A89" s="47"/>
      <c r="B89" s="84"/>
      <c r="C89" s="20"/>
      <c r="D89" s="24"/>
      <c r="E89" s="95"/>
      <c r="F89" s="48"/>
      <c r="G89" s="311"/>
      <c r="H89" s="311"/>
      <c r="I89" s="311"/>
      <c r="J89" s="311"/>
      <c r="K89" s="311"/>
      <c r="L89" s="311"/>
      <c r="M89" s="311"/>
      <c r="N89" s="311"/>
      <c r="O89" s="73"/>
    </row>
    <row r="90" spans="1:15" s="12" customFormat="1" ht="15">
      <c r="A90" s="47"/>
      <c r="B90" s="84"/>
      <c r="C90" s="20"/>
      <c r="D90" s="24"/>
      <c r="E90" s="95"/>
      <c r="F90" s="48"/>
      <c r="G90" s="311"/>
      <c r="H90" s="311"/>
      <c r="I90" s="311"/>
      <c r="J90" s="311"/>
      <c r="K90" s="311"/>
      <c r="L90" s="311"/>
      <c r="M90" s="311"/>
      <c r="N90" s="311"/>
      <c r="O90" s="73"/>
    </row>
    <row r="91" spans="1:15" s="12" customFormat="1" ht="15">
      <c r="A91" s="47"/>
      <c r="B91" s="84"/>
      <c r="C91" s="20"/>
      <c r="D91" s="24"/>
      <c r="E91" s="95"/>
      <c r="F91" s="48"/>
      <c r="G91" s="311"/>
      <c r="H91" s="311"/>
      <c r="I91" s="311"/>
      <c r="J91" s="311"/>
      <c r="K91" s="311"/>
      <c r="L91" s="311"/>
      <c r="M91" s="311"/>
      <c r="N91" s="311"/>
      <c r="O91" s="73"/>
    </row>
    <row r="92" spans="1:15" s="12" customFormat="1" ht="15">
      <c r="A92" s="47"/>
      <c r="B92" s="84"/>
      <c r="C92" s="20"/>
      <c r="D92" s="24"/>
      <c r="E92" s="95"/>
      <c r="F92" s="48"/>
      <c r="G92" s="312" t="s">
        <v>0</v>
      </c>
      <c r="H92" s="311"/>
      <c r="I92" s="311"/>
      <c r="J92" s="311"/>
      <c r="K92" s="311"/>
      <c r="L92" s="311"/>
      <c r="M92" s="311"/>
      <c r="N92" s="311"/>
      <c r="O92" s="73"/>
    </row>
    <row r="93" spans="1:15" s="12" customFormat="1" ht="15">
      <c r="A93" s="47"/>
      <c r="B93" s="84"/>
      <c r="C93" s="20"/>
      <c r="D93" s="24"/>
      <c r="E93" s="95"/>
      <c r="F93" s="48"/>
      <c r="G93" s="311"/>
      <c r="H93" s="311"/>
      <c r="I93" s="311"/>
      <c r="J93" s="311"/>
      <c r="K93" s="311"/>
      <c r="L93" s="311"/>
      <c r="M93" s="311"/>
      <c r="N93" s="311"/>
      <c r="O93" s="73"/>
    </row>
    <row r="94" spans="1:15" s="12" customFormat="1" ht="15">
      <c r="A94" s="47"/>
      <c r="B94" s="84"/>
      <c r="C94" s="20"/>
      <c r="D94" s="24"/>
      <c r="E94" s="95"/>
      <c r="F94" s="48"/>
      <c r="G94" s="311"/>
      <c r="H94" s="311"/>
      <c r="I94" s="311"/>
      <c r="J94" s="311"/>
      <c r="K94" s="311"/>
      <c r="L94" s="311"/>
      <c r="M94" s="311"/>
      <c r="N94" s="311"/>
      <c r="O94" s="73"/>
    </row>
    <row r="95" spans="1:15" s="12" customFormat="1" ht="15">
      <c r="A95" s="47"/>
      <c r="B95" s="84"/>
      <c r="C95" s="20"/>
      <c r="D95" s="24"/>
      <c r="E95" s="95"/>
      <c r="F95" s="48"/>
      <c r="G95" s="311"/>
      <c r="H95" s="311"/>
      <c r="I95" s="311"/>
      <c r="J95" s="311"/>
      <c r="K95" s="311"/>
      <c r="L95" s="311"/>
      <c r="M95" s="311"/>
      <c r="N95" s="311"/>
      <c r="O95" s="73"/>
    </row>
    <row r="96" spans="1:15" s="12" customFormat="1" ht="15">
      <c r="A96" s="47"/>
      <c r="B96" s="84"/>
      <c r="C96" s="20"/>
      <c r="D96" s="24"/>
      <c r="E96" s="95"/>
      <c r="F96" s="48"/>
      <c r="G96" s="311"/>
      <c r="H96" s="311"/>
      <c r="I96" s="311"/>
      <c r="J96" s="311"/>
      <c r="K96" s="311"/>
      <c r="L96" s="311"/>
      <c r="M96" s="311"/>
      <c r="N96" s="311"/>
      <c r="O96" s="73"/>
    </row>
    <row r="97" spans="1:15" s="12" customFormat="1" ht="15">
      <c r="A97" s="47"/>
      <c r="B97" s="85"/>
      <c r="C97" s="17"/>
      <c r="D97" s="25"/>
      <c r="E97" s="98"/>
      <c r="F97" s="48"/>
      <c r="G97" s="311"/>
      <c r="H97" s="311"/>
      <c r="I97" s="311"/>
      <c r="J97" s="311"/>
      <c r="K97" s="311"/>
      <c r="L97" s="311"/>
      <c r="M97" s="311"/>
      <c r="N97" s="311"/>
      <c r="O97" s="73"/>
    </row>
    <row r="98" spans="1:15" s="12" customFormat="1" ht="15">
      <c r="A98" s="47"/>
      <c r="B98" s="85"/>
      <c r="C98" s="17"/>
      <c r="D98" s="25"/>
      <c r="E98" s="98"/>
      <c r="F98" s="48"/>
      <c r="G98" s="311"/>
      <c r="H98" s="311"/>
      <c r="I98" s="311"/>
      <c r="J98" s="311"/>
      <c r="K98" s="311"/>
      <c r="L98" s="311"/>
      <c r="M98" s="311"/>
      <c r="N98" s="311"/>
      <c r="O98" s="73"/>
    </row>
    <row r="99" spans="1:15" s="12" customFormat="1" ht="15">
      <c r="A99" s="47"/>
      <c r="B99" s="85"/>
      <c r="C99" s="17"/>
      <c r="D99" s="25"/>
      <c r="E99" s="98"/>
      <c r="F99" s="48"/>
      <c r="G99" s="98"/>
      <c r="H99" s="60"/>
      <c r="I99" s="71"/>
      <c r="J99" s="148"/>
      <c r="K99" s="149"/>
      <c r="L99" s="150"/>
      <c r="M99" s="151"/>
      <c r="N99" s="149"/>
      <c r="O99" s="73"/>
    </row>
    <row r="100" spans="1:15" s="12" customFormat="1" ht="15">
      <c r="A100" s="47"/>
      <c r="B100" s="85"/>
      <c r="C100" s="17"/>
      <c r="D100" s="25"/>
      <c r="E100" s="98"/>
      <c r="F100" s="48"/>
      <c r="G100" s="98"/>
      <c r="H100" s="60"/>
      <c r="I100" s="71"/>
      <c r="J100" s="148"/>
      <c r="K100" s="149"/>
      <c r="L100" s="150"/>
      <c r="M100" s="151"/>
      <c r="N100" s="149"/>
      <c r="O100" s="73"/>
    </row>
    <row r="101" spans="2:5" ht="18">
      <c r="B101" s="85"/>
      <c r="C101" s="17"/>
      <c r="D101" s="25"/>
      <c r="E101" s="98"/>
    </row>
    <row r="102" spans="2:5" ht="18">
      <c r="B102" s="85"/>
      <c r="C102" s="17"/>
      <c r="D102" s="25"/>
      <c r="E102" s="98"/>
    </row>
    <row r="103" spans="2:14" ht="18">
      <c r="B103" s="85"/>
      <c r="C103" s="17"/>
      <c r="D103" s="25"/>
      <c r="E103" s="98"/>
      <c r="F103" s="98"/>
      <c r="G103" s="98"/>
      <c r="H103" s="60"/>
      <c r="I103" s="71"/>
      <c r="J103" s="148"/>
      <c r="K103" s="149"/>
      <c r="L103" s="150"/>
      <c r="M103" s="151"/>
      <c r="N103" s="149"/>
    </row>
    <row r="104" spans="2:14" ht="18">
      <c r="B104" s="85"/>
      <c r="C104" s="17"/>
      <c r="D104" s="25"/>
      <c r="E104" s="98"/>
      <c r="F104" s="98"/>
      <c r="G104" s="98"/>
      <c r="H104" s="60"/>
      <c r="I104" s="71"/>
      <c r="J104" s="148"/>
      <c r="K104" s="149"/>
      <c r="L104" s="150"/>
      <c r="M104" s="151"/>
      <c r="N104" s="149"/>
    </row>
    <row r="105" spans="2:14" ht="18">
      <c r="B105" s="85"/>
      <c r="C105" s="17"/>
      <c r="D105" s="25"/>
      <c r="E105" s="98"/>
      <c r="F105" s="98"/>
      <c r="G105" s="98"/>
      <c r="H105" s="60"/>
      <c r="I105" s="71"/>
      <c r="J105" s="148"/>
      <c r="K105" s="149"/>
      <c r="L105" s="150"/>
      <c r="M105" s="151"/>
      <c r="N105" s="149"/>
    </row>
    <row r="106" spans="2:14" ht="18">
      <c r="B106" s="85"/>
      <c r="C106" s="17"/>
      <c r="D106" s="25"/>
      <c r="E106" s="98"/>
      <c r="F106" s="98"/>
      <c r="G106" s="98"/>
      <c r="H106" s="60"/>
      <c r="I106" s="71"/>
      <c r="J106" s="148"/>
      <c r="K106" s="149"/>
      <c r="L106" s="150"/>
      <c r="M106" s="151"/>
      <c r="N106" s="149"/>
    </row>
    <row r="107" spans="2:14" ht="18">
      <c r="B107" s="85"/>
      <c r="C107" s="17"/>
      <c r="D107" s="25"/>
      <c r="E107" s="98"/>
      <c r="F107" s="98"/>
      <c r="G107" s="98"/>
      <c r="H107" s="60"/>
      <c r="I107" s="71"/>
      <c r="J107" s="148"/>
      <c r="K107" s="149"/>
      <c r="L107" s="150"/>
      <c r="M107" s="151"/>
      <c r="N107" s="149"/>
    </row>
    <row r="108" spans="2:14" ht="18">
      <c r="B108" s="85"/>
      <c r="C108" s="17"/>
      <c r="D108" s="25"/>
      <c r="E108" s="98"/>
      <c r="F108" s="98"/>
      <c r="G108" s="98"/>
      <c r="H108" s="60"/>
      <c r="I108" s="71"/>
      <c r="J108" s="148"/>
      <c r="K108" s="149"/>
      <c r="L108" s="150"/>
      <c r="M108" s="151"/>
      <c r="N108" s="149"/>
    </row>
    <row r="109" spans="2:14" ht="18">
      <c r="B109" s="85"/>
      <c r="C109" s="17"/>
      <c r="D109" s="25"/>
      <c r="E109" s="98"/>
      <c r="F109" s="98"/>
      <c r="G109" s="98"/>
      <c r="H109" s="60"/>
      <c r="I109" s="71"/>
      <c r="J109" s="148"/>
      <c r="K109" s="149"/>
      <c r="L109" s="150"/>
      <c r="M109" s="151"/>
      <c r="N109" s="149"/>
    </row>
    <row r="110" spans="2:14" ht="18">
      <c r="B110" s="85"/>
      <c r="C110" s="17"/>
      <c r="D110" s="25"/>
      <c r="E110" s="98"/>
      <c r="F110" s="98"/>
      <c r="G110" s="98"/>
      <c r="H110" s="60"/>
      <c r="I110" s="71"/>
      <c r="J110" s="148"/>
      <c r="K110" s="149"/>
      <c r="L110" s="150"/>
      <c r="M110" s="151"/>
      <c r="N110" s="149"/>
    </row>
    <row r="111" spans="6:14" ht="22.5">
      <c r="F111" s="98"/>
      <c r="G111" s="98"/>
      <c r="H111" s="60"/>
      <c r="I111" s="71"/>
      <c r="J111" s="148"/>
      <c r="K111" s="149"/>
      <c r="L111" s="150"/>
      <c r="M111" s="151"/>
      <c r="N111" s="149"/>
    </row>
    <row r="112" spans="6:14" ht="22.5">
      <c r="F112" s="98"/>
      <c r="G112" s="98"/>
      <c r="H112" s="60"/>
      <c r="I112" s="71"/>
      <c r="J112" s="148"/>
      <c r="K112" s="149"/>
      <c r="L112" s="150"/>
      <c r="M112" s="151"/>
      <c r="N112" s="149"/>
    </row>
    <row r="113" spans="6:14" ht="22.5">
      <c r="F113" s="98"/>
      <c r="G113" s="98"/>
      <c r="H113" s="60"/>
      <c r="I113" s="71"/>
      <c r="J113" s="148"/>
      <c r="K113" s="149"/>
      <c r="L113" s="150"/>
      <c r="M113" s="151"/>
      <c r="N113" s="149"/>
    </row>
    <row r="114" spans="6:14" ht="22.5">
      <c r="F114" s="98"/>
      <c r="G114" s="98"/>
      <c r="H114" s="60"/>
      <c r="I114" s="71"/>
      <c r="J114" s="148"/>
      <c r="K114" s="149"/>
      <c r="L114" s="150"/>
      <c r="M114" s="151"/>
      <c r="N114" s="149"/>
    </row>
    <row r="115" spans="6:14" ht="22.5">
      <c r="F115" s="98"/>
      <c r="G115" s="98"/>
      <c r="H115" s="60"/>
      <c r="I115" s="71"/>
      <c r="J115" s="148"/>
      <c r="K115" s="149"/>
      <c r="L115" s="150"/>
      <c r="M115" s="151"/>
      <c r="N115" s="149"/>
    </row>
    <row r="116" spans="6:14" ht="22.5">
      <c r="F116" s="98"/>
      <c r="G116" s="98"/>
      <c r="H116" s="60"/>
      <c r="I116" s="71"/>
      <c r="J116" s="148"/>
      <c r="K116" s="149"/>
      <c r="L116" s="150"/>
      <c r="M116" s="151"/>
      <c r="N116" s="149"/>
    </row>
  </sheetData>
  <sheetProtection insertRows="0" deleteRows="0" sort="0"/>
  <mergeCells count="14">
    <mergeCell ref="G86:N91"/>
    <mergeCell ref="G92:N98"/>
    <mergeCell ref="A80:B80"/>
    <mergeCell ref="J82:N84"/>
    <mergeCell ref="J85:N85"/>
    <mergeCell ref="A2:N2"/>
    <mergeCell ref="L3:N3"/>
    <mergeCell ref="F3:F4"/>
    <mergeCell ref="E3:E4"/>
    <mergeCell ref="B3:B4"/>
    <mergeCell ref="D3:D4"/>
    <mergeCell ref="G3:G4"/>
    <mergeCell ref="H3:K3"/>
    <mergeCell ref="C3:C4"/>
  </mergeCells>
  <printOptions horizontalCentered="1" verticalCentered="1"/>
  <pageMargins left="0.53" right="0.19" top="0.5905511811023623" bottom="0.5" header="0.5118110236220472" footer="0.45"/>
  <pageSetup orientation="portrait" paperSize="9" scale="45" r:id="rId2"/>
  <ignoredErrors>
    <ignoredError sqref="G80:G91 H81:I91 J80:N91 P8:P30 K6:K7 P6:P7 J8:J29 K8:K29 N68:N76 K45:K59 K60:K66 N77 J60:J76 K67:K76 L68:L71 M68:M71 N78:N79 K78:K79" formula="1"/>
    <ignoredError sqref="L5:L7 M5:M29 L77 M45:M59 N43:N47 M77 N5:N7" unlockedFormula="1"/>
    <ignoredError sqref="L10:L29 L8:L9 N9:N40 N41:N42 N67 L45:L47 L48:L59 N60:N66 N48:N59 M60:M66 L67 M67 L60:L66 L72:L76 M72:M76 M78:M79 L78:L79 N8 L39:L40 M30:M40 M41:M44 L41 L30:L38 L42:L44 J30:J38 K30:K38 K42:K44" formula="1" unlockedFormula="1"/>
    <ignoredError sqref="L39:L40 M30:M40 M41:M44 L41" numberStoredAsText="1" unlockedFormula="1"/>
    <ignoredError sqref="E30:I44 J39:J44 K39:K41 E64:H74" numberStoredAsText="1"/>
    <ignoredError sqref="L30:L38 L42:L44" numberStoredAsText="1" formula="1" unlockedFormula="1"/>
    <ignoredError sqref="J30:J38 K30:K38 K42:K44" numberStoredAsText="1" formula="1"/>
  </ignoredErrors>
  <drawing r:id="rId1"/>
</worksheet>
</file>

<file path=xl/worksheets/sheet2.xml><?xml version="1.0" encoding="utf-8"?>
<worksheet xmlns="http://schemas.openxmlformats.org/spreadsheetml/2006/main" xmlns:r="http://schemas.openxmlformats.org/officeDocument/2006/relationships">
  <dimension ref="A1:O22"/>
  <sheetViews>
    <sheetView zoomScale="120" zoomScaleNormal="120" zoomScalePageLayoutView="0" workbookViewId="0" topLeftCell="A1">
      <selection activeCell="A1" sqref="A1:I1"/>
    </sheetView>
  </sheetViews>
  <sheetFormatPr defaultColWidth="17.421875" defaultRowHeight="12.75"/>
  <cols>
    <col min="1" max="1" width="4.140625" style="179" bestFit="1" customWidth="1"/>
    <col min="2" max="2" width="50.8515625" style="14" bestFit="1" customWidth="1"/>
    <col min="3" max="3" width="8.8515625" style="185" customWidth="1"/>
    <col min="4" max="4" width="17.00390625" style="185" bestFit="1" customWidth="1"/>
    <col min="5" max="5" width="6.28125" style="186" bestFit="1" customWidth="1"/>
    <col min="6" max="6" width="10.00390625" style="186" customWidth="1"/>
    <col min="7" max="7" width="17.8515625" style="182" bestFit="1" customWidth="1"/>
    <col min="8" max="8" width="12.7109375" style="183" bestFit="1" customWidth="1"/>
    <col min="9" max="9" width="11.00390625" style="184" customWidth="1"/>
    <col min="10" max="10" width="2.421875" style="31" bestFit="1" customWidth="1"/>
    <col min="11" max="11" width="17.421875" style="18" customWidth="1"/>
    <col min="12" max="12" width="17.421875" style="19" customWidth="1"/>
    <col min="13" max="13" width="17.421875" style="18" customWidth="1"/>
    <col min="14" max="15" width="17.421875" style="0" customWidth="1"/>
    <col min="16" max="16384" width="17.421875" style="14" customWidth="1"/>
  </cols>
  <sheetData>
    <row r="1" spans="1:13" s="29" customFormat="1" ht="36.75" customHeight="1" thickBot="1">
      <c r="A1" s="318" t="s">
        <v>173</v>
      </c>
      <c r="B1" s="318"/>
      <c r="C1" s="318"/>
      <c r="D1" s="318"/>
      <c r="E1" s="318"/>
      <c r="F1" s="318"/>
      <c r="G1" s="318"/>
      <c r="H1" s="318"/>
      <c r="I1" s="318"/>
      <c r="J1" s="30"/>
      <c r="K1" s="27"/>
      <c r="L1" s="28"/>
      <c r="M1" s="27"/>
    </row>
    <row r="2" spans="1:15" s="188" customFormat="1" ht="13.5" thickBot="1">
      <c r="A2" s="187"/>
      <c r="C2" s="197"/>
      <c r="D2" s="197"/>
      <c r="E2" s="197"/>
      <c r="F2" s="197"/>
      <c r="G2" s="189"/>
      <c r="H2" s="190"/>
      <c r="I2" s="191"/>
      <c r="J2" s="192"/>
      <c r="K2" s="193"/>
      <c r="L2" s="194"/>
      <c r="M2" s="193"/>
      <c r="N2" s="77"/>
      <c r="O2" s="77"/>
    </row>
    <row r="3" spans="1:13" s="201" customFormat="1" ht="12.75">
      <c r="A3" s="195"/>
      <c r="B3" s="319" t="s">
        <v>2</v>
      </c>
      <c r="C3" s="321" t="s">
        <v>9</v>
      </c>
      <c r="D3" s="321" t="s">
        <v>13</v>
      </c>
      <c r="E3" s="302" t="s">
        <v>15</v>
      </c>
      <c r="F3" s="302" t="s">
        <v>10</v>
      </c>
      <c r="G3" s="324" t="s">
        <v>17</v>
      </c>
      <c r="H3" s="325"/>
      <c r="I3" s="326" t="s">
        <v>11</v>
      </c>
      <c r="J3" s="198"/>
      <c r="K3" s="199"/>
      <c r="L3" s="200"/>
      <c r="M3" s="199"/>
    </row>
    <row r="4" spans="1:13" s="201" customFormat="1" ht="13.5" thickBot="1">
      <c r="A4" s="196"/>
      <c r="B4" s="320"/>
      <c r="C4" s="322"/>
      <c r="D4" s="322"/>
      <c r="E4" s="323"/>
      <c r="F4" s="323"/>
      <c r="G4" s="202" t="s">
        <v>6</v>
      </c>
      <c r="H4" s="203" t="s">
        <v>1</v>
      </c>
      <c r="I4" s="327"/>
      <c r="J4" s="198"/>
      <c r="K4" s="199"/>
      <c r="L4" s="200"/>
      <c r="M4" s="199"/>
    </row>
    <row r="5" spans="1:13" s="13" customFormat="1" ht="15">
      <c r="A5" s="180">
        <v>1</v>
      </c>
      <c r="B5" s="216" t="s">
        <v>165</v>
      </c>
      <c r="C5" s="154">
        <v>40179</v>
      </c>
      <c r="D5" s="217" t="s">
        <v>27</v>
      </c>
      <c r="E5" s="165">
        <v>370</v>
      </c>
      <c r="F5" s="165">
        <v>3</v>
      </c>
      <c r="G5" s="218">
        <v>18196630</v>
      </c>
      <c r="H5" s="289">
        <v>2003637</v>
      </c>
      <c r="I5" s="290">
        <f>+G5/H5</f>
        <v>9.08179974715979</v>
      </c>
      <c r="J5" s="272">
        <v>1</v>
      </c>
      <c r="K5" s="21"/>
      <c r="L5" s="22"/>
      <c r="M5" s="21"/>
    </row>
    <row r="6" spans="1:13" s="13" customFormat="1" ht="15">
      <c r="A6" s="180">
        <v>2</v>
      </c>
      <c r="B6" s="219" t="s">
        <v>166</v>
      </c>
      <c r="C6" s="34">
        <v>40502</v>
      </c>
      <c r="D6" s="206" t="s">
        <v>51</v>
      </c>
      <c r="E6" s="88">
        <v>149</v>
      </c>
      <c r="F6" s="88">
        <v>9</v>
      </c>
      <c r="G6" s="52">
        <v>3116069.5</v>
      </c>
      <c r="H6" s="248">
        <v>363427</v>
      </c>
      <c r="I6" s="135">
        <f>G6/H6</f>
        <v>8.574127679011191</v>
      </c>
      <c r="J6" s="272">
        <v>1</v>
      </c>
      <c r="K6" s="21"/>
      <c r="L6" s="22"/>
      <c r="M6" s="21"/>
    </row>
    <row r="7" spans="1:13" s="13" customFormat="1" ht="15.75" thickBot="1">
      <c r="A7" s="181">
        <v>3</v>
      </c>
      <c r="B7" s="291" t="s">
        <v>55</v>
      </c>
      <c r="C7" s="292">
        <v>40537</v>
      </c>
      <c r="D7" s="293" t="s">
        <v>28</v>
      </c>
      <c r="E7" s="294">
        <v>60</v>
      </c>
      <c r="F7" s="294">
        <v>4</v>
      </c>
      <c r="G7" s="57">
        <f>421775.5+397095.5+287050+215248.5</f>
        <v>1321169.5</v>
      </c>
      <c r="H7" s="281">
        <f>43739+40732+31780+27356</f>
        <v>143607</v>
      </c>
      <c r="I7" s="285">
        <f>G7/H7</f>
        <v>9.199896244612031</v>
      </c>
      <c r="J7" s="272"/>
      <c r="K7" s="21"/>
      <c r="L7" s="22"/>
      <c r="M7" s="21"/>
    </row>
    <row r="8" spans="1:13" s="13" customFormat="1" ht="15">
      <c r="A8" s="180">
        <v>4</v>
      </c>
      <c r="B8" s="239" t="s">
        <v>167</v>
      </c>
      <c r="C8" s="177">
        <v>40193</v>
      </c>
      <c r="D8" s="295" t="s">
        <v>26</v>
      </c>
      <c r="E8" s="241">
        <v>83</v>
      </c>
      <c r="F8" s="241">
        <v>1</v>
      </c>
      <c r="G8" s="75">
        <v>1293506</v>
      </c>
      <c r="H8" s="296">
        <v>119281</v>
      </c>
      <c r="I8" s="116">
        <f>+G8/H8</f>
        <v>10.84419144708713</v>
      </c>
      <c r="J8" s="272"/>
      <c r="K8" s="21"/>
      <c r="L8" s="22"/>
      <c r="M8" s="21"/>
    </row>
    <row r="9" spans="1:10" ht="15">
      <c r="A9" s="179">
        <v>5</v>
      </c>
      <c r="B9" s="222" t="s">
        <v>168</v>
      </c>
      <c r="C9" s="36">
        <v>40193</v>
      </c>
      <c r="D9" s="208" t="s">
        <v>30</v>
      </c>
      <c r="E9" s="90">
        <v>86</v>
      </c>
      <c r="F9" s="90">
        <v>1</v>
      </c>
      <c r="G9" s="56">
        <v>889314</v>
      </c>
      <c r="H9" s="248">
        <v>93548</v>
      </c>
      <c r="I9" s="130">
        <f>IF(G9&lt;&gt;0,G9/H9,"")</f>
        <v>9.506499337238637</v>
      </c>
      <c r="J9" s="272"/>
    </row>
    <row r="10" spans="1:10" ht="15">
      <c r="A10" s="179">
        <v>6</v>
      </c>
      <c r="B10" s="266" t="s">
        <v>79</v>
      </c>
      <c r="C10" s="242">
        <v>40179</v>
      </c>
      <c r="D10" s="243" t="s">
        <v>28</v>
      </c>
      <c r="E10" s="244">
        <v>42</v>
      </c>
      <c r="F10" s="244">
        <v>3</v>
      </c>
      <c r="G10" s="51">
        <f>310442.5+275157.5+119153</f>
        <v>704753</v>
      </c>
      <c r="H10" s="245">
        <f>26771+24068+11328</f>
        <v>62167</v>
      </c>
      <c r="I10" s="114">
        <f>G10/H10</f>
        <v>11.336448598130842</v>
      </c>
      <c r="J10" s="272"/>
    </row>
    <row r="11" spans="1:10" ht="15">
      <c r="A11" s="179">
        <v>7</v>
      </c>
      <c r="B11" s="222" t="s">
        <v>80</v>
      </c>
      <c r="C11" s="36">
        <v>40179</v>
      </c>
      <c r="D11" s="250" t="s">
        <v>26</v>
      </c>
      <c r="E11" s="90">
        <v>60</v>
      </c>
      <c r="F11" s="90">
        <v>3</v>
      </c>
      <c r="G11" s="51">
        <f>242167+187163+154+31917</f>
        <v>461401</v>
      </c>
      <c r="H11" s="245">
        <f>21845+17511+18+4295</f>
        <v>43669</v>
      </c>
      <c r="I11" s="114">
        <f>+G11/H11</f>
        <v>10.565870526002428</v>
      </c>
      <c r="J11" s="272"/>
    </row>
    <row r="12" spans="1:10" ht="15">
      <c r="A12" s="179">
        <v>8</v>
      </c>
      <c r="B12" s="219" t="s">
        <v>169</v>
      </c>
      <c r="C12" s="34">
        <v>40193</v>
      </c>
      <c r="D12" s="204" t="s">
        <v>27</v>
      </c>
      <c r="E12" s="88">
        <v>40</v>
      </c>
      <c r="F12" s="88">
        <v>1</v>
      </c>
      <c r="G12" s="52">
        <v>338912</v>
      </c>
      <c r="H12" s="248">
        <v>28635</v>
      </c>
      <c r="I12" s="135">
        <f>+G12/H12</f>
        <v>11.835585821547058</v>
      </c>
      <c r="J12" s="272"/>
    </row>
    <row r="13" spans="1:10" ht="15">
      <c r="A13" s="179">
        <v>9</v>
      </c>
      <c r="B13" s="222" t="s">
        <v>170</v>
      </c>
      <c r="C13" s="36">
        <v>40193</v>
      </c>
      <c r="D13" s="208" t="s">
        <v>30</v>
      </c>
      <c r="E13" s="90">
        <v>124</v>
      </c>
      <c r="F13" s="90">
        <v>1</v>
      </c>
      <c r="G13" s="56">
        <v>317135.25</v>
      </c>
      <c r="H13" s="248">
        <v>37263</v>
      </c>
      <c r="I13" s="130">
        <f>IF(G13&lt;&gt;0,G13/H13,"")</f>
        <v>8.510727799694067</v>
      </c>
      <c r="J13" s="272">
        <v>1</v>
      </c>
    </row>
    <row r="14" spans="1:10" ht="15">
      <c r="A14" s="179">
        <v>10</v>
      </c>
      <c r="B14" s="222" t="s">
        <v>130</v>
      </c>
      <c r="C14" s="36">
        <v>40186</v>
      </c>
      <c r="D14" s="250" t="s">
        <v>26</v>
      </c>
      <c r="E14" s="90">
        <v>59</v>
      </c>
      <c r="F14" s="90">
        <v>2</v>
      </c>
      <c r="G14" s="51">
        <f>177508+75427</f>
        <v>252935</v>
      </c>
      <c r="H14" s="245">
        <f>17102+7505</f>
        <v>24607</v>
      </c>
      <c r="I14" s="114">
        <f>+G14/H14</f>
        <v>10.27898565448856</v>
      </c>
      <c r="J14" s="272"/>
    </row>
    <row r="15" spans="1:10" ht="15">
      <c r="A15" s="179">
        <v>11</v>
      </c>
      <c r="B15" s="266" t="s">
        <v>171</v>
      </c>
      <c r="C15" s="242">
        <v>40193</v>
      </c>
      <c r="D15" s="243" t="s">
        <v>28</v>
      </c>
      <c r="E15" s="244">
        <v>55</v>
      </c>
      <c r="F15" s="244">
        <v>1</v>
      </c>
      <c r="G15" s="51">
        <f>197266</f>
        <v>197266</v>
      </c>
      <c r="H15" s="245">
        <f>19567</f>
        <v>19567</v>
      </c>
      <c r="I15" s="114">
        <f>G15/H15</f>
        <v>10.081565901773393</v>
      </c>
      <c r="J15" s="272"/>
    </row>
    <row r="16" spans="1:10" ht="15">
      <c r="A16" s="179">
        <v>12</v>
      </c>
      <c r="B16" s="219" t="s">
        <v>164</v>
      </c>
      <c r="C16" s="34">
        <v>40186</v>
      </c>
      <c r="D16" s="206" t="s">
        <v>81</v>
      </c>
      <c r="E16" s="88">
        <v>19</v>
      </c>
      <c r="F16" s="88">
        <v>1</v>
      </c>
      <c r="G16" s="209">
        <v>146099</v>
      </c>
      <c r="H16" s="238">
        <v>11468</v>
      </c>
      <c r="I16" s="223">
        <f>IF(G16&lt;&gt;0,G16/H16,"")</f>
        <v>12.739710498779212</v>
      </c>
      <c r="J16" s="229"/>
    </row>
    <row r="17" spans="1:10" ht="15">
      <c r="A17" s="179">
        <v>13</v>
      </c>
      <c r="B17" s="266" t="s">
        <v>112</v>
      </c>
      <c r="C17" s="242">
        <v>40193</v>
      </c>
      <c r="D17" s="243" t="s">
        <v>28</v>
      </c>
      <c r="E17" s="244">
        <v>17</v>
      </c>
      <c r="F17" s="244">
        <v>1</v>
      </c>
      <c r="G17" s="51">
        <f>1080+95415</f>
        <v>96495</v>
      </c>
      <c r="H17" s="245">
        <f>108+7515</f>
        <v>7623</v>
      </c>
      <c r="I17" s="114">
        <f>G17/H17</f>
        <v>12.658402203856749</v>
      </c>
      <c r="J17" s="272"/>
    </row>
    <row r="18" spans="1:10" ht="15">
      <c r="A18" s="179">
        <v>14</v>
      </c>
      <c r="B18" s="266" t="s">
        <v>87</v>
      </c>
      <c r="C18" s="242">
        <v>40179</v>
      </c>
      <c r="D18" s="243" t="s">
        <v>28</v>
      </c>
      <c r="E18" s="244">
        <v>8</v>
      </c>
      <c r="F18" s="244">
        <v>3</v>
      </c>
      <c r="G18" s="51">
        <f>61026+19560+4475</f>
        <v>85061</v>
      </c>
      <c r="H18" s="245">
        <f>4540+1674+518</f>
        <v>6732</v>
      </c>
      <c r="I18" s="114">
        <f>G18/H18</f>
        <v>12.635323826500297</v>
      </c>
      <c r="J18" s="272"/>
    </row>
    <row r="19" spans="1:10" ht="15">
      <c r="A19" s="179">
        <v>15</v>
      </c>
      <c r="B19" s="266" t="s">
        <v>139</v>
      </c>
      <c r="C19" s="242">
        <v>40186</v>
      </c>
      <c r="D19" s="243" t="s">
        <v>28</v>
      </c>
      <c r="E19" s="244">
        <v>1</v>
      </c>
      <c r="F19" s="244">
        <v>2</v>
      </c>
      <c r="G19" s="51">
        <f>9061+11823.5+5543</f>
        <v>26427.5</v>
      </c>
      <c r="H19" s="245">
        <f>906+798+439</f>
        <v>2143</v>
      </c>
      <c r="I19" s="114">
        <f>G19/H19</f>
        <v>12.332011199253383</v>
      </c>
      <c r="J19" s="272"/>
    </row>
    <row r="20" spans="1:10" ht="15">
      <c r="A20" s="179">
        <v>16</v>
      </c>
      <c r="B20" s="266" t="s">
        <v>138</v>
      </c>
      <c r="C20" s="242">
        <v>40186</v>
      </c>
      <c r="D20" s="243" t="s">
        <v>28</v>
      </c>
      <c r="E20" s="244">
        <v>4</v>
      </c>
      <c r="F20" s="244">
        <v>2</v>
      </c>
      <c r="G20" s="51">
        <f>19677.25+6138.5</f>
        <v>25815.75</v>
      </c>
      <c r="H20" s="245">
        <f>1627+845</f>
        <v>2472</v>
      </c>
      <c r="I20" s="114">
        <f>G20/H20</f>
        <v>10.443264563106796</v>
      </c>
      <c r="J20" s="272"/>
    </row>
    <row r="21" spans="1:10" ht="15">
      <c r="A21" s="179">
        <v>17</v>
      </c>
      <c r="B21" s="219" t="s">
        <v>172</v>
      </c>
      <c r="C21" s="34">
        <v>40193</v>
      </c>
      <c r="D21" s="204" t="s">
        <v>27</v>
      </c>
      <c r="E21" s="88">
        <v>35</v>
      </c>
      <c r="F21" s="88">
        <v>1</v>
      </c>
      <c r="G21" s="52">
        <v>19613</v>
      </c>
      <c r="H21" s="248">
        <v>2013</v>
      </c>
      <c r="I21" s="135">
        <f>+G21/H21</f>
        <v>9.743169398907105</v>
      </c>
      <c r="J21" s="272">
        <v>1</v>
      </c>
    </row>
    <row r="22" spans="1:10" ht="15.75" thickBot="1">
      <c r="A22" s="179">
        <v>18</v>
      </c>
      <c r="B22" s="291" t="s">
        <v>143</v>
      </c>
      <c r="C22" s="292">
        <v>40186</v>
      </c>
      <c r="D22" s="293" t="s">
        <v>28</v>
      </c>
      <c r="E22" s="294">
        <v>4</v>
      </c>
      <c r="F22" s="294">
        <v>2</v>
      </c>
      <c r="G22" s="57">
        <f>16093+2026</f>
        <v>18119</v>
      </c>
      <c r="H22" s="281">
        <f>1351+257</f>
        <v>1608</v>
      </c>
      <c r="I22" s="285">
        <f>G22/H22</f>
        <v>11.268034825870647</v>
      </c>
      <c r="J22" s="272"/>
    </row>
  </sheetData>
  <sheetProtection/>
  <mergeCells count="8">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r:id="rId1"/>
  <ignoredErrors>
    <ignoredError sqref="K8 G7:H22" unlockedFormula="1"/>
    <ignoredError sqref="I13:I21" formula="1"/>
  </ignoredErrors>
</worksheet>
</file>

<file path=xl/worksheets/sheet3.xml><?xml version="1.0" encoding="utf-8"?>
<worksheet xmlns="http://schemas.openxmlformats.org/spreadsheetml/2006/main" xmlns:r="http://schemas.openxmlformats.org/officeDocument/2006/relationships">
  <dimension ref="A1:P164"/>
  <sheetViews>
    <sheetView tabSelected="1" zoomScalePageLayoutView="0" workbookViewId="0" topLeftCell="A1">
      <selection activeCell="H3" sqref="H3"/>
    </sheetView>
  </sheetViews>
  <sheetFormatPr defaultColWidth="4.00390625" defaultRowHeight="12.75"/>
  <cols>
    <col min="1" max="1" width="5.140625" style="161" bestFit="1" customWidth="1"/>
    <col min="2" max="2" width="50.8515625" style="84" bestFit="1" customWidth="1"/>
    <col min="3" max="3" width="7.00390625" style="155" bestFit="1" customWidth="1"/>
    <col min="4" max="4" width="13.7109375" style="77" bestFit="1" customWidth="1"/>
    <col min="5" max="5" width="5.7109375" style="166" bestFit="1" customWidth="1"/>
    <col min="6" max="6" width="6.28125" style="167" bestFit="1" customWidth="1"/>
    <col min="7" max="7" width="7.421875" style="95" customWidth="1"/>
    <col min="8" max="8" width="15.28125" style="158" bestFit="1" customWidth="1"/>
    <col min="9" max="9" width="9.7109375" style="159" customWidth="1"/>
    <col min="10" max="10" width="10.00390625" style="174" bestFit="1" customWidth="1"/>
    <col min="11" max="11" width="6.140625" style="175" bestFit="1" customWidth="1"/>
    <col min="12" max="12" width="14.421875" style="176" bestFit="1" customWidth="1"/>
    <col min="13" max="13" width="10.28125" style="174" bestFit="1" customWidth="1"/>
    <col min="14" max="14" width="6.140625" style="175" bestFit="1" customWidth="1"/>
    <col min="15" max="15" width="2.8515625" style="237" bestFit="1" customWidth="1"/>
    <col min="16" max="16" width="4.00390625" style="26" customWidth="1"/>
  </cols>
  <sheetData>
    <row r="1" spans="1:14" ht="34.5" thickBot="1">
      <c r="A1" s="330" t="s">
        <v>174</v>
      </c>
      <c r="B1" s="331"/>
      <c r="C1" s="331"/>
      <c r="D1" s="331"/>
      <c r="E1" s="331"/>
      <c r="F1" s="331"/>
      <c r="G1" s="332"/>
      <c r="H1" s="332"/>
      <c r="I1" s="332"/>
      <c r="J1" s="332"/>
      <c r="K1" s="332"/>
      <c r="L1" s="332"/>
      <c r="M1" s="332"/>
      <c r="N1" s="332"/>
    </row>
    <row r="2" spans="1:16" s="74" customFormat="1" ht="12.75">
      <c r="A2" s="99"/>
      <c r="B2" s="333" t="s">
        <v>2</v>
      </c>
      <c r="C2" s="335" t="s">
        <v>14</v>
      </c>
      <c r="D2" s="337" t="s">
        <v>25</v>
      </c>
      <c r="E2" s="328" t="s">
        <v>15</v>
      </c>
      <c r="F2" s="328" t="s">
        <v>22</v>
      </c>
      <c r="G2" s="302" t="s">
        <v>23</v>
      </c>
      <c r="H2" s="339" t="s">
        <v>16</v>
      </c>
      <c r="I2" s="339"/>
      <c r="J2" s="339"/>
      <c r="K2" s="339"/>
      <c r="L2" s="339" t="s">
        <v>17</v>
      </c>
      <c r="M2" s="339"/>
      <c r="N2" s="340"/>
      <c r="O2" s="286"/>
      <c r="P2" s="100"/>
    </row>
    <row r="3" spans="1:16" s="74" customFormat="1" ht="48" customHeight="1" thickBot="1">
      <c r="A3" s="101"/>
      <c r="B3" s="334"/>
      <c r="C3" s="336"/>
      <c r="D3" s="329"/>
      <c r="E3" s="329"/>
      <c r="F3" s="329"/>
      <c r="G3" s="338"/>
      <c r="H3" s="162" t="s">
        <v>18</v>
      </c>
      <c r="I3" s="163" t="s">
        <v>19</v>
      </c>
      <c r="J3" s="163" t="s">
        <v>8</v>
      </c>
      <c r="K3" s="164" t="s">
        <v>20</v>
      </c>
      <c r="L3" s="162" t="s">
        <v>18</v>
      </c>
      <c r="M3" s="163" t="s">
        <v>19</v>
      </c>
      <c r="N3" s="153" t="s">
        <v>21</v>
      </c>
      <c r="O3" s="286"/>
      <c r="P3" s="100"/>
    </row>
    <row r="4" spans="1:15" ht="15">
      <c r="A4" s="160">
        <v>1</v>
      </c>
      <c r="B4" s="231">
        <v>2012</v>
      </c>
      <c r="C4" s="232">
        <v>40130</v>
      </c>
      <c r="D4" s="233" t="s">
        <v>26</v>
      </c>
      <c r="E4" s="234">
        <v>178</v>
      </c>
      <c r="F4" s="234">
        <v>37</v>
      </c>
      <c r="G4" s="234">
        <v>8</v>
      </c>
      <c r="H4" s="156">
        <f>48622+283</f>
        <v>48905</v>
      </c>
      <c r="I4" s="157">
        <f>7403+116</f>
        <v>7519</v>
      </c>
      <c r="J4" s="168">
        <f>I4/F4</f>
        <v>203.21621621621622</v>
      </c>
      <c r="K4" s="169">
        <f aca="true" t="shared" si="0" ref="K4:K10">H4/I4</f>
        <v>6.504189386886554</v>
      </c>
      <c r="L4" s="170">
        <f>13107603+48622+283</f>
        <v>13156508</v>
      </c>
      <c r="M4" s="171">
        <f>1468855+7403+116</f>
        <v>1476374</v>
      </c>
      <c r="N4" s="172">
        <f>+L4/M4</f>
        <v>8.91136527736197</v>
      </c>
      <c r="O4" s="230"/>
    </row>
    <row r="5" spans="1:15" ht="15">
      <c r="A5" s="287">
        <v>2</v>
      </c>
      <c r="B5" s="222">
        <v>2012</v>
      </c>
      <c r="C5" s="36">
        <v>40130</v>
      </c>
      <c r="D5" s="208" t="s">
        <v>26</v>
      </c>
      <c r="E5" s="90">
        <v>178</v>
      </c>
      <c r="F5" s="90">
        <v>25</v>
      </c>
      <c r="G5" s="90">
        <v>9</v>
      </c>
      <c r="H5" s="51">
        <v>29270</v>
      </c>
      <c r="I5" s="63">
        <v>4996</v>
      </c>
      <c r="J5" s="110">
        <f>I5/F5</f>
        <v>199.84</v>
      </c>
      <c r="K5" s="207">
        <f t="shared" si="0"/>
        <v>5.858686949559647</v>
      </c>
      <c r="L5" s="112">
        <f>13107603+48622+283+29270</f>
        <v>13185778</v>
      </c>
      <c r="M5" s="113">
        <f>1468855+7403+116+4996</f>
        <v>1481370</v>
      </c>
      <c r="N5" s="220">
        <f>+L5/M5</f>
        <v>8.901069955514153</v>
      </c>
      <c r="O5" s="229"/>
    </row>
    <row r="6" spans="1:15" ht="15">
      <c r="A6" s="288">
        <v>3</v>
      </c>
      <c r="B6" s="222">
        <v>2012</v>
      </c>
      <c r="C6" s="36">
        <v>40130</v>
      </c>
      <c r="D6" s="250" t="s">
        <v>26</v>
      </c>
      <c r="E6" s="90">
        <v>178</v>
      </c>
      <c r="F6" s="90">
        <v>18</v>
      </c>
      <c r="G6" s="90">
        <v>10</v>
      </c>
      <c r="H6" s="51">
        <v>25563</v>
      </c>
      <c r="I6" s="245">
        <v>4175</v>
      </c>
      <c r="J6" s="246">
        <f>I6/F6</f>
        <v>231.94444444444446</v>
      </c>
      <c r="K6" s="111">
        <f t="shared" si="0"/>
        <v>6.122874251497006</v>
      </c>
      <c r="L6" s="112">
        <f>13107603+48622+283+29270+25563</f>
        <v>13211341</v>
      </c>
      <c r="M6" s="247">
        <f>1468855+7403+116+4996+4175</f>
        <v>1485545</v>
      </c>
      <c r="N6" s="114">
        <f>+L6/M6</f>
        <v>8.893262068803033</v>
      </c>
      <c r="O6" s="272"/>
    </row>
    <row r="7" spans="1:15" ht="15">
      <c r="A7" s="160">
        <v>4</v>
      </c>
      <c r="B7" s="219" t="s">
        <v>37</v>
      </c>
      <c r="C7" s="34">
        <v>40095</v>
      </c>
      <c r="D7" s="206" t="s">
        <v>28</v>
      </c>
      <c r="E7" s="88">
        <v>22</v>
      </c>
      <c r="F7" s="88">
        <v>3</v>
      </c>
      <c r="G7" s="88">
        <v>10</v>
      </c>
      <c r="H7" s="51">
        <v>3158</v>
      </c>
      <c r="I7" s="63">
        <v>596</v>
      </c>
      <c r="J7" s="110">
        <f>(I7/F7)</f>
        <v>198.66666666666666</v>
      </c>
      <c r="K7" s="207">
        <f t="shared" si="0"/>
        <v>5.298657718120805</v>
      </c>
      <c r="L7" s="112">
        <f>158809.5+140713.25+103696.25+38523+19360+17458+1188+196+2484+3158</f>
        <v>485586</v>
      </c>
      <c r="M7" s="113">
        <f>14214+13110+10683+4685+3074+2645+297+16+571+596</f>
        <v>49891</v>
      </c>
      <c r="N7" s="220">
        <f>L7/M7</f>
        <v>9.732937804413622</v>
      </c>
      <c r="O7" s="230"/>
    </row>
    <row r="8" spans="1:15" ht="15">
      <c r="A8" s="160">
        <v>5</v>
      </c>
      <c r="B8" s="79" t="s">
        <v>37</v>
      </c>
      <c r="C8" s="34">
        <v>40095</v>
      </c>
      <c r="D8" s="35" t="s">
        <v>28</v>
      </c>
      <c r="E8" s="88">
        <v>22</v>
      </c>
      <c r="F8" s="88">
        <v>2</v>
      </c>
      <c r="G8" s="88">
        <v>9</v>
      </c>
      <c r="H8" s="51">
        <v>2484</v>
      </c>
      <c r="I8" s="63">
        <v>571</v>
      </c>
      <c r="J8" s="110">
        <f>(I8/F8)</f>
        <v>285.5</v>
      </c>
      <c r="K8" s="111">
        <f t="shared" si="0"/>
        <v>4.350262697022767</v>
      </c>
      <c r="L8" s="112">
        <f>158809.5+140713.25+103696.25+38523+19360+17458+1188+196+2484</f>
        <v>482428</v>
      </c>
      <c r="M8" s="113">
        <f>14214+13110+10683+4685+3074+2645+297+16+571</f>
        <v>49295</v>
      </c>
      <c r="N8" s="114">
        <f>L8/M8</f>
        <v>9.786550360077086</v>
      </c>
      <c r="O8" s="230"/>
    </row>
    <row r="9" spans="1:15" ht="15">
      <c r="A9" s="160">
        <v>6</v>
      </c>
      <c r="B9" s="79" t="s">
        <v>64</v>
      </c>
      <c r="C9" s="34">
        <v>40137</v>
      </c>
      <c r="D9" s="35" t="s">
        <v>51</v>
      </c>
      <c r="E9" s="88">
        <v>149</v>
      </c>
      <c r="F9" s="88">
        <v>9</v>
      </c>
      <c r="G9" s="88">
        <v>7</v>
      </c>
      <c r="H9" s="52">
        <v>27101.5</v>
      </c>
      <c r="I9" s="64">
        <v>4448</v>
      </c>
      <c r="J9" s="132">
        <f>I9/F9</f>
        <v>494.22222222222223</v>
      </c>
      <c r="K9" s="134">
        <f t="shared" si="0"/>
        <v>6.092963129496403</v>
      </c>
      <c r="L9" s="133">
        <v>3103393</v>
      </c>
      <c r="M9" s="132">
        <v>360904</v>
      </c>
      <c r="N9" s="135">
        <f>L9/M9</f>
        <v>8.598943209274488</v>
      </c>
      <c r="O9" s="230">
        <v>1</v>
      </c>
    </row>
    <row r="10" spans="1:15" ht="15">
      <c r="A10" s="160">
        <v>7</v>
      </c>
      <c r="B10" s="79" t="s">
        <v>64</v>
      </c>
      <c r="C10" s="34">
        <v>40137</v>
      </c>
      <c r="D10" s="35" t="s">
        <v>51</v>
      </c>
      <c r="E10" s="88">
        <v>149</v>
      </c>
      <c r="F10" s="88">
        <v>9</v>
      </c>
      <c r="G10" s="88">
        <v>8</v>
      </c>
      <c r="H10" s="52">
        <v>9904.5</v>
      </c>
      <c r="I10" s="64">
        <v>2118</v>
      </c>
      <c r="J10" s="132">
        <f>I10/F10</f>
        <v>235.33333333333334</v>
      </c>
      <c r="K10" s="205">
        <f t="shared" si="0"/>
        <v>4.676345609065156</v>
      </c>
      <c r="L10" s="133">
        <v>3113297.5</v>
      </c>
      <c r="M10" s="132">
        <v>363022</v>
      </c>
      <c r="N10" s="221">
        <f>L10/M10</f>
        <v>8.57605737393326</v>
      </c>
      <c r="O10" s="230">
        <v>1</v>
      </c>
    </row>
    <row r="11" spans="1:15" ht="15">
      <c r="A11" s="160">
        <v>8</v>
      </c>
      <c r="B11" s="222" t="s">
        <v>95</v>
      </c>
      <c r="C11" s="36">
        <v>40151</v>
      </c>
      <c r="D11" s="208" t="s">
        <v>30</v>
      </c>
      <c r="E11" s="90">
        <v>140</v>
      </c>
      <c r="F11" s="90">
        <v>18</v>
      </c>
      <c r="G11" s="90">
        <v>6</v>
      </c>
      <c r="H11" s="56">
        <v>9901</v>
      </c>
      <c r="I11" s="68">
        <v>1541</v>
      </c>
      <c r="J11" s="126">
        <f>IF(H11&lt;&gt;0,I11/F11,"")</f>
        <v>85.61111111111111</v>
      </c>
      <c r="K11" s="210">
        <f>IF(H11&lt;&gt;0,H11/I11,"")</f>
        <v>6.425048669695003</v>
      </c>
      <c r="L11" s="131">
        <v>1019844</v>
      </c>
      <c r="M11" s="132">
        <v>129178</v>
      </c>
      <c r="N11" s="223">
        <f>IF(L11&lt;&gt;0,L11/M11,"")</f>
        <v>7.894873740110545</v>
      </c>
      <c r="O11" s="229">
        <v>1</v>
      </c>
    </row>
    <row r="12" spans="1:15" ht="15">
      <c r="A12" s="160">
        <v>9</v>
      </c>
      <c r="B12" s="80" t="s">
        <v>67</v>
      </c>
      <c r="C12" s="36">
        <v>40151</v>
      </c>
      <c r="D12" s="38" t="s">
        <v>30</v>
      </c>
      <c r="E12" s="90">
        <v>140</v>
      </c>
      <c r="F12" s="90">
        <v>15</v>
      </c>
      <c r="G12" s="90">
        <v>5</v>
      </c>
      <c r="H12" s="56">
        <v>6903</v>
      </c>
      <c r="I12" s="68">
        <v>1187</v>
      </c>
      <c r="J12" s="126">
        <f>IF(H12&lt;&gt;0,I12/F12,"")</f>
        <v>79.13333333333334</v>
      </c>
      <c r="K12" s="127">
        <f>IF(H12&lt;&gt;0,H12/I12,"")</f>
        <v>5.815501263689975</v>
      </c>
      <c r="L12" s="131">
        <v>1009943</v>
      </c>
      <c r="M12" s="132">
        <v>127637</v>
      </c>
      <c r="N12" s="130">
        <f>IF(L12&lt;&gt;0,L12/M12,"")</f>
        <v>7.9126193815273</v>
      </c>
      <c r="O12" s="230">
        <v>1</v>
      </c>
    </row>
    <row r="13" spans="1:15" ht="15">
      <c r="A13" s="160">
        <v>10</v>
      </c>
      <c r="B13" s="222" t="s">
        <v>134</v>
      </c>
      <c r="C13" s="36">
        <v>40151</v>
      </c>
      <c r="D13" s="208" t="s">
        <v>30</v>
      </c>
      <c r="E13" s="90">
        <v>140</v>
      </c>
      <c r="F13" s="90">
        <v>19</v>
      </c>
      <c r="G13" s="90">
        <v>7</v>
      </c>
      <c r="H13" s="56">
        <v>16570</v>
      </c>
      <c r="I13" s="251">
        <v>2937</v>
      </c>
      <c r="J13" s="252">
        <f>IF(H13&lt;&gt;0,I13/F13,"")</f>
        <v>154.57894736842104</v>
      </c>
      <c r="K13" s="127">
        <f>IF(H13&lt;&gt;0,H13/I13,"")</f>
        <v>5.64181137214845</v>
      </c>
      <c r="L13" s="131">
        <v>1036414</v>
      </c>
      <c r="M13" s="249">
        <v>132115</v>
      </c>
      <c r="N13" s="130">
        <f>IF(L13&lt;&gt;0,L13/M13,"")</f>
        <v>7.844786738826023</v>
      </c>
      <c r="O13" s="272">
        <v>1</v>
      </c>
    </row>
    <row r="14" spans="1:15" ht="15">
      <c r="A14" s="160">
        <v>11</v>
      </c>
      <c r="B14" s="79" t="s">
        <v>60</v>
      </c>
      <c r="C14" s="34">
        <v>40165</v>
      </c>
      <c r="D14" s="35" t="s">
        <v>28</v>
      </c>
      <c r="E14" s="88">
        <v>74</v>
      </c>
      <c r="F14" s="88">
        <v>63</v>
      </c>
      <c r="G14" s="88">
        <v>3</v>
      </c>
      <c r="H14" s="51">
        <v>124291.75</v>
      </c>
      <c r="I14" s="63">
        <v>14864</v>
      </c>
      <c r="J14" s="110">
        <f>(I14/F14)</f>
        <v>235.93650793650792</v>
      </c>
      <c r="K14" s="111">
        <f aca="true" t="shared" si="1" ref="K14:K30">H14/I14</f>
        <v>8.361931512378902</v>
      </c>
      <c r="L14" s="112">
        <f>507128.25+345268.5+124291.75</f>
        <v>976688.5</v>
      </c>
      <c r="M14" s="113">
        <f>53408+37346+14864</f>
        <v>105618</v>
      </c>
      <c r="N14" s="114">
        <f>L14/M14</f>
        <v>9.247367872900453</v>
      </c>
      <c r="O14" s="230">
        <v>1</v>
      </c>
    </row>
    <row r="15" spans="1:15" ht="15">
      <c r="A15" s="160">
        <v>12</v>
      </c>
      <c r="B15" s="219" t="s">
        <v>83</v>
      </c>
      <c r="C15" s="34">
        <v>40165</v>
      </c>
      <c r="D15" s="206" t="s">
        <v>28</v>
      </c>
      <c r="E15" s="88">
        <v>74</v>
      </c>
      <c r="F15" s="88">
        <v>74</v>
      </c>
      <c r="G15" s="88">
        <v>4</v>
      </c>
      <c r="H15" s="51">
        <v>100787</v>
      </c>
      <c r="I15" s="63">
        <v>15043</v>
      </c>
      <c r="J15" s="110">
        <f>(I15/F15)</f>
        <v>203.28378378378378</v>
      </c>
      <c r="K15" s="207">
        <f t="shared" si="1"/>
        <v>6.699926876287974</v>
      </c>
      <c r="L15" s="112">
        <f>507128.25+345268.5+124291.75+100787</f>
        <v>1077475.5</v>
      </c>
      <c r="M15" s="113">
        <f>53408+37346+14864+15043</f>
        <v>120661</v>
      </c>
      <c r="N15" s="220">
        <f>L15/M15</f>
        <v>8.929774326418643</v>
      </c>
      <c r="O15" s="230">
        <v>1</v>
      </c>
    </row>
    <row r="16" spans="1:15" ht="15">
      <c r="A16" s="160">
        <v>13</v>
      </c>
      <c r="B16" s="266" t="s">
        <v>83</v>
      </c>
      <c r="C16" s="242">
        <v>40165</v>
      </c>
      <c r="D16" s="243" t="s">
        <v>28</v>
      </c>
      <c r="E16" s="244">
        <v>74</v>
      </c>
      <c r="F16" s="244">
        <v>53</v>
      </c>
      <c r="G16" s="244">
        <v>5</v>
      </c>
      <c r="H16" s="51">
        <v>70944</v>
      </c>
      <c r="I16" s="245">
        <v>11010</v>
      </c>
      <c r="J16" s="246">
        <f>(I16/F16)</f>
        <v>207.73584905660377</v>
      </c>
      <c r="K16" s="111">
        <f t="shared" si="1"/>
        <v>6.443596730245232</v>
      </c>
      <c r="L16" s="112">
        <f>507128.25+345268.5+124291.75+100787+70944</f>
        <v>1148419.5</v>
      </c>
      <c r="M16" s="247">
        <f>53408+37346+14864+15043+11010</f>
        <v>131671</v>
      </c>
      <c r="N16" s="114">
        <f>L16/M16</f>
        <v>8.72188636829674</v>
      </c>
      <c r="O16" s="272">
        <v>1</v>
      </c>
    </row>
    <row r="17" spans="1:15" ht="15">
      <c r="A17" s="160">
        <v>14</v>
      </c>
      <c r="B17" s="81" t="s">
        <v>66</v>
      </c>
      <c r="C17" s="36">
        <v>40151</v>
      </c>
      <c r="D17" s="39" t="s">
        <v>5</v>
      </c>
      <c r="E17" s="91">
        <v>128</v>
      </c>
      <c r="F17" s="91">
        <v>14</v>
      </c>
      <c r="G17" s="91">
        <v>5</v>
      </c>
      <c r="H17" s="53">
        <v>10820.5</v>
      </c>
      <c r="I17" s="65">
        <v>2203</v>
      </c>
      <c r="J17" s="117">
        <f>I17/F17</f>
        <v>157.35714285714286</v>
      </c>
      <c r="K17" s="118">
        <f t="shared" si="1"/>
        <v>4.911711302768952</v>
      </c>
      <c r="L17" s="119">
        <v>1602521</v>
      </c>
      <c r="M17" s="120">
        <v>185512</v>
      </c>
      <c r="N17" s="121">
        <f>+L17/M17</f>
        <v>8.638368407434559</v>
      </c>
      <c r="O17" s="230">
        <v>1</v>
      </c>
    </row>
    <row r="18" spans="1:15" ht="15">
      <c r="A18" s="160">
        <v>15</v>
      </c>
      <c r="B18" s="224" t="s">
        <v>90</v>
      </c>
      <c r="C18" s="36">
        <v>40151</v>
      </c>
      <c r="D18" s="212" t="s">
        <v>5</v>
      </c>
      <c r="E18" s="91">
        <v>128</v>
      </c>
      <c r="F18" s="91">
        <v>13</v>
      </c>
      <c r="G18" s="91">
        <v>6</v>
      </c>
      <c r="H18" s="53">
        <v>10811</v>
      </c>
      <c r="I18" s="65">
        <v>1908</v>
      </c>
      <c r="J18" s="117">
        <f>I18/F18</f>
        <v>146.76923076923077</v>
      </c>
      <c r="K18" s="213">
        <f t="shared" si="1"/>
        <v>5.666142557651992</v>
      </c>
      <c r="L18" s="119">
        <v>1613332</v>
      </c>
      <c r="M18" s="120">
        <v>187420</v>
      </c>
      <c r="N18" s="223">
        <f>IF(L18&lt;&gt;0,L18/M18,"")</f>
        <v>8.608110126987516</v>
      </c>
      <c r="O18" s="229">
        <v>1</v>
      </c>
    </row>
    <row r="19" spans="1:15" ht="15">
      <c r="A19" s="160">
        <v>16</v>
      </c>
      <c r="B19" s="224" t="s">
        <v>136</v>
      </c>
      <c r="C19" s="36">
        <v>40151</v>
      </c>
      <c r="D19" s="212" t="s">
        <v>5</v>
      </c>
      <c r="E19" s="91">
        <v>128</v>
      </c>
      <c r="F19" s="91">
        <v>7</v>
      </c>
      <c r="G19" s="91">
        <v>7</v>
      </c>
      <c r="H19" s="53">
        <v>8704</v>
      </c>
      <c r="I19" s="253">
        <v>1365</v>
      </c>
      <c r="J19" s="254">
        <f>I19/F19</f>
        <v>195</v>
      </c>
      <c r="K19" s="118">
        <f t="shared" si="1"/>
        <v>6.376556776556777</v>
      </c>
      <c r="L19" s="119">
        <v>1622035.5</v>
      </c>
      <c r="M19" s="255">
        <v>188785</v>
      </c>
      <c r="N19" s="130">
        <f>IF(L19&lt;&gt;0,L19/M19,"")</f>
        <v>8.591972349498107</v>
      </c>
      <c r="O19" s="272">
        <v>1</v>
      </c>
    </row>
    <row r="20" spans="1:15" ht="15">
      <c r="A20" s="160">
        <v>17</v>
      </c>
      <c r="B20" s="79" t="s">
        <v>35</v>
      </c>
      <c r="C20" s="34">
        <v>40067</v>
      </c>
      <c r="D20" s="35" t="s">
        <v>28</v>
      </c>
      <c r="E20" s="88">
        <v>51</v>
      </c>
      <c r="F20" s="88">
        <v>2</v>
      </c>
      <c r="G20" s="88">
        <v>16</v>
      </c>
      <c r="H20" s="51">
        <v>1264</v>
      </c>
      <c r="I20" s="63">
        <v>316</v>
      </c>
      <c r="J20" s="110">
        <f aca="true" t="shared" si="2" ref="J20:J30">(I20/F20)</f>
        <v>158</v>
      </c>
      <c r="K20" s="111">
        <f t="shared" si="1"/>
        <v>4</v>
      </c>
      <c r="L20" s="112">
        <f>182949+180053+29827+20114+26140.5+10395.5+4671+3342+2340+5520+249.5+165+3602+91+952+1264</f>
        <v>471675.5</v>
      </c>
      <c r="M20" s="113">
        <f>18625+17802+3355+2859+3903+1800+782+594+465+1366+90+60+905+15+238+316</f>
        <v>53175</v>
      </c>
      <c r="N20" s="114">
        <f aca="true" t="shared" si="3" ref="N20:N30">L20/M20</f>
        <v>8.870249177244945</v>
      </c>
      <c r="O20" s="230"/>
    </row>
    <row r="21" spans="1:15" ht="15">
      <c r="A21" s="160">
        <v>18</v>
      </c>
      <c r="B21" s="219" t="s">
        <v>35</v>
      </c>
      <c r="C21" s="34">
        <v>40067</v>
      </c>
      <c r="D21" s="206" t="s">
        <v>28</v>
      </c>
      <c r="E21" s="88">
        <v>51</v>
      </c>
      <c r="F21" s="88">
        <v>1</v>
      </c>
      <c r="G21" s="88">
        <v>17</v>
      </c>
      <c r="H21" s="51">
        <v>44</v>
      </c>
      <c r="I21" s="63">
        <v>11</v>
      </c>
      <c r="J21" s="110">
        <f t="shared" si="2"/>
        <v>11</v>
      </c>
      <c r="K21" s="207">
        <f t="shared" si="1"/>
        <v>4</v>
      </c>
      <c r="L21" s="112">
        <f>182949+180053+29827+20114+26140.5+10395.5+4671+3342+2340+5520+249.5+165+3602+91+952+1264+44</f>
        <v>471719.5</v>
      </c>
      <c r="M21" s="113">
        <f>18625+17802+3355+2859+3903+1800+782+594+465+1366+90+60+905+15+238+316+11</f>
        <v>53186</v>
      </c>
      <c r="N21" s="220">
        <f t="shared" si="3"/>
        <v>8.869241905764675</v>
      </c>
      <c r="O21" s="230"/>
    </row>
    <row r="22" spans="1:15" ht="15">
      <c r="A22" s="160">
        <v>19</v>
      </c>
      <c r="B22" s="219" t="s">
        <v>35</v>
      </c>
      <c r="C22" s="34">
        <v>40067</v>
      </c>
      <c r="D22" s="206" t="s">
        <v>28</v>
      </c>
      <c r="E22" s="88">
        <v>51</v>
      </c>
      <c r="F22" s="88">
        <v>1</v>
      </c>
      <c r="G22" s="88">
        <v>18</v>
      </c>
      <c r="H22" s="51">
        <v>1663</v>
      </c>
      <c r="I22" s="245">
        <v>244</v>
      </c>
      <c r="J22" s="246">
        <f t="shared" si="2"/>
        <v>244</v>
      </c>
      <c r="K22" s="111">
        <f t="shared" si="1"/>
        <v>6.815573770491803</v>
      </c>
      <c r="L22" s="112">
        <f>182949+180053+29827+20114+26140.5+10395.5+4671+3342+2340+5520+249.5+165+3602+91+952+1264+44+1663</f>
        <v>473382.5</v>
      </c>
      <c r="M22" s="247">
        <f>18625+17802+3355+2859+3903+1800+782+594+465+1366+90+60+905+15+238+316+11+244</f>
        <v>53430</v>
      </c>
      <c r="N22" s="114">
        <f t="shared" si="3"/>
        <v>8.859863372637095</v>
      </c>
      <c r="O22" s="272"/>
    </row>
    <row r="23" spans="1:15" ht="15">
      <c r="A23" s="160">
        <v>20</v>
      </c>
      <c r="B23" s="79" t="s">
        <v>55</v>
      </c>
      <c r="C23" s="34">
        <v>40172</v>
      </c>
      <c r="D23" s="35" t="s">
        <v>28</v>
      </c>
      <c r="E23" s="88">
        <v>60</v>
      </c>
      <c r="F23" s="88">
        <v>60</v>
      </c>
      <c r="G23" s="88">
        <v>2</v>
      </c>
      <c r="H23" s="51">
        <v>397159.5</v>
      </c>
      <c r="I23" s="63">
        <v>40733</v>
      </c>
      <c r="J23" s="110">
        <f t="shared" si="2"/>
        <v>678.8833333333333</v>
      </c>
      <c r="K23" s="111">
        <f t="shared" si="1"/>
        <v>9.750313014018118</v>
      </c>
      <c r="L23" s="112">
        <f>421775.5+397159.5</f>
        <v>818935</v>
      </c>
      <c r="M23" s="113">
        <f>43739+40733</f>
        <v>84472</v>
      </c>
      <c r="N23" s="114">
        <f t="shared" si="3"/>
        <v>9.694750923382896</v>
      </c>
      <c r="O23" s="230"/>
    </row>
    <row r="24" spans="1:15" ht="15">
      <c r="A24" s="160">
        <v>21</v>
      </c>
      <c r="B24" s="79" t="s">
        <v>55</v>
      </c>
      <c r="C24" s="34">
        <v>40172</v>
      </c>
      <c r="D24" s="35" t="s">
        <v>28</v>
      </c>
      <c r="E24" s="88">
        <v>60</v>
      </c>
      <c r="F24" s="88">
        <v>60</v>
      </c>
      <c r="G24" s="88">
        <v>3</v>
      </c>
      <c r="H24" s="51">
        <v>287050</v>
      </c>
      <c r="I24" s="63">
        <v>31780</v>
      </c>
      <c r="J24" s="110">
        <f t="shared" si="2"/>
        <v>529.6666666666666</v>
      </c>
      <c r="K24" s="207">
        <f t="shared" si="1"/>
        <v>9.032410320956576</v>
      </c>
      <c r="L24" s="112">
        <f>421775.5+397095.5+287050</f>
        <v>1105921</v>
      </c>
      <c r="M24" s="113">
        <f>43739+40732+31780</f>
        <v>116251</v>
      </c>
      <c r="N24" s="220">
        <f t="shared" si="3"/>
        <v>9.513217090605671</v>
      </c>
      <c r="O24" s="230"/>
    </row>
    <row r="25" spans="1:15" ht="15">
      <c r="A25" s="160">
        <v>22</v>
      </c>
      <c r="B25" s="219" t="s">
        <v>89</v>
      </c>
      <c r="C25" s="34">
        <v>40123</v>
      </c>
      <c r="D25" s="206" t="s">
        <v>28</v>
      </c>
      <c r="E25" s="88">
        <v>144</v>
      </c>
      <c r="F25" s="88">
        <v>8</v>
      </c>
      <c r="G25" s="88">
        <v>10</v>
      </c>
      <c r="H25" s="51">
        <v>13616</v>
      </c>
      <c r="I25" s="63">
        <v>2381</v>
      </c>
      <c r="J25" s="110">
        <f t="shared" si="2"/>
        <v>297.625</v>
      </c>
      <c r="K25" s="207">
        <f t="shared" si="1"/>
        <v>5.718605627887443</v>
      </c>
      <c r="L25" s="112">
        <f>909778+593215.5+203934.5+91391+32233.5+29451.5+14597.5+12123.5+12906+13616</f>
        <v>1913247</v>
      </c>
      <c r="M25" s="113">
        <f>103944+67300+25860+13426+5611+5689+2739+1975+2803+2381</f>
        <v>231728</v>
      </c>
      <c r="N25" s="220">
        <f t="shared" si="3"/>
        <v>8.256434267762204</v>
      </c>
      <c r="O25" s="230">
        <v>1</v>
      </c>
    </row>
    <row r="26" spans="1:15" ht="15">
      <c r="A26" s="160">
        <v>23</v>
      </c>
      <c r="B26" s="79" t="s">
        <v>65</v>
      </c>
      <c r="C26" s="34">
        <v>40123</v>
      </c>
      <c r="D26" s="35" t="s">
        <v>28</v>
      </c>
      <c r="E26" s="88">
        <v>144</v>
      </c>
      <c r="F26" s="88">
        <v>12</v>
      </c>
      <c r="G26" s="88">
        <v>9</v>
      </c>
      <c r="H26" s="51">
        <v>12906</v>
      </c>
      <c r="I26" s="63">
        <v>2803</v>
      </c>
      <c r="J26" s="110">
        <f t="shared" si="2"/>
        <v>233.58333333333334</v>
      </c>
      <c r="K26" s="111">
        <f t="shared" si="1"/>
        <v>4.6043524794862645</v>
      </c>
      <c r="L26" s="112">
        <f>909778+593215.5+203934.5+91391+32233.5+29451.5+14597.5+12123.5+12906</f>
        <v>1899631</v>
      </c>
      <c r="M26" s="113">
        <f>103944+67300+25860+13426+5611+5689+2739+1975+2803</f>
        <v>229347</v>
      </c>
      <c r="N26" s="114">
        <f t="shared" si="3"/>
        <v>8.282781113334815</v>
      </c>
      <c r="O26" s="230">
        <v>1</v>
      </c>
    </row>
    <row r="27" spans="1:15" ht="15">
      <c r="A27" s="160">
        <v>24</v>
      </c>
      <c r="B27" s="266" t="s">
        <v>89</v>
      </c>
      <c r="C27" s="242">
        <v>40123</v>
      </c>
      <c r="D27" s="243" t="s">
        <v>28</v>
      </c>
      <c r="E27" s="244">
        <v>144</v>
      </c>
      <c r="F27" s="244">
        <v>2</v>
      </c>
      <c r="G27" s="244">
        <v>11</v>
      </c>
      <c r="H27" s="51">
        <v>5350</v>
      </c>
      <c r="I27" s="245">
        <v>1177</v>
      </c>
      <c r="J27" s="246">
        <f t="shared" si="2"/>
        <v>588.5</v>
      </c>
      <c r="K27" s="111">
        <f t="shared" si="1"/>
        <v>4.545454545454546</v>
      </c>
      <c r="L27" s="112">
        <f>909778+593215.5+203934.5+91391+32233.5+29451.5+14597.5+12123.5+12906+13616+5350</f>
        <v>1918597</v>
      </c>
      <c r="M27" s="247">
        <f>103944+67300+25860+13426+5611+5689+2739+1975+2803+2381+1177</f>
        <v>232905</v>
      </c>
      <c r="N27" s="114">
        <f t="shared" si="3"/>
        <v>8.237680599386016</v>
      </c>
      <c r="O27" s="272">
        <v>1</v>
      </c>
    </row>
    <row r="28" spans="1:15" ht="15">
      <c r="A28" s="160">
        <v>25</v>
      </c>
      <c r="B28" s="79" t="s">
        <v>52</v>
      </c>
      <c r="C28" s="34">
        <v>40165</v>
      </c>
      <c r="D28" s="35" t="s">
        <v>28</v>
      </c>
      <c r="E28" s="88">
        <v>125</v>
      </c>
      <c r="F28" s="88">
        <v>156</v>
      </c>
      <c r="G28" s="88">
        <v>3</v>
      </c>
      <c r="H28" s="51">
        <v>3469556.5</v>
      </c>
      <c r="I28" s="63">
        <v>309119</v>
      </c>
      <c r="J28" s="110">
        <f t="shared" si="2"/>
        <v>1981.5320512820513</v>
      </c>
      <c r="K28" s="111">
        <f t="shared" si="1"/>
        <v>11.224015670340549</v>
      </c>
      <c r="L28" s="112">
        <f>4033069.5+3582182.5+3469556.5</f>
        <v>11084808.5</v>
      </c>
      <c r="M28" s="113">
        <f>383242+338340+309119</f>
        <v>1030701</v>
      </c>
      <c r="N28" s="114">
        <f t="shared" si="3"/>
        <v>10.754630586367918</v>
      </c>
      <c r="O28" s="230"/>
    </row>
    <row r="29" spans="1:15" ht="15">
      <c r="A29" s="160">
        <v>26</v>
      </c>
      <c r="B29" s="219" t="s">
        <v>52</v>
      </c>
      <c r="C29" s="34">
        <v>40165</v>
      </c>
      <c r="D29" s="206" t="s">
        <v>28</v>
      </c>
      <c r="E29" s="88">
        <v>125</v>
      </c>
      <c r="F29" s="88">
        <v>158</v>
      </c>
      <c r="G29" s="88">
        <v>4</v>
      </c>
      <c r="H29" s="51">
        <v>3099545</v>
      </c>
      <c r="I29" s="63">
        <v>280170</v>
      </c>
      <c r="J29" s="110">
        <f t="shared" si="2"/>
        <v>1773.2278481012659</v>
      </c>
      <c r="K29" s="207">
        <f t="shared" si="1"/>
        <v>11.063086697362316</v>
      </c>
      <c r="L29" s="112">
        <f>4033069.5+3582182.5+3469556.5+3099545</f>
        <v>14184353.5</v>
      </c>
      <c r="M29" s="113">
        <f>383242+338340+309119+280170</f>
        <v>1310871</v>
      </c>
      <c r="N29" s="220">
        <f t="shared" si="3"/>
        <v>10.820556332392737</v>
      </c>
      <c r="O29" s="230"/>
    </row>
    <row r="30" spans="1:15" ht="15">
      <c r="A30" s="160">
        <v>27</v>
      </c>
      <c r="B30" s="266" t="s">
        <v>52</v>
      </c>
      <c r="C30" s="242">
        <v>40165</v>
      </c>
      <c r="D30" s="243" t="s">
        <v>28</v>
      </c>
      <c r="E30" s="244">
        <v>125</v>
      </c>
      <c r="F30" s="244">
        <v>156</v>
      </c>
      <c r="G30" s="244">
        <v>5</v>
      </c>
      <c r="H30" s="51">
        <v>3107541.5</v>
      </c>
      <c r="I30" s="245">
        <v>290779</v>
      </c>
      <c r="J30" s="246">
        <f t="shared" si="2"/>
        <v>1863.9679487179487</v>
      </c>
      <c r="K30" s="111">
        <f t="shared" si="1"/>
        <v>10.686952978034865</v>
      </c>
      <c r="L30" s="112">
        <f>4033069.5+3582182.5+3469556.5+3099545+3107541.5</f>
        <v>17291895</v>
      </c>
      <c r="M30" s="247">
        <f>383242+338340+309119+280170+290779</f>
        <v>1601650</v>
      </c>
      <c r="N30" s="114">
        <f t="shared" si="3"/>
        <v>10.796300689913526</v>
      </c>
      <c r="O30" s="272"/>
    </row>
    <row r="31" spans="1:15" ht="15">
      <c r="A31" s="160">
        <v>28</v>
      </c>
      <c r="B31" s="222" t="s">
        <v>82</v>
      </c>
      <c r="C31" s="36">
        <v>40165</v>
      </c>
      <c r="D31" s="208" t="s">
        <v>30</v>
      </c>
      <c r="E31" s="90">
        <v>38</v>
      </c>
      <c r="F31" s="90">
        <v>40</v>
      </c>
      <c r="G31" s="90">
        <v>4</v>
      </c>
      <c r="H31" s="56">
        <v>118129</v>
      </c>
      <c r="I31" s="68">
        <v>14601</v>
      </c>
      <c r="J31" s="126">
        <f>IF(H31&lt;&gt;0,I31/F31,"")</f>
        <v>365.025</v>
      </c>
      <c r="K31" s="210">
        <f>IF(H31&lt;&gt;0,H31/I31,"")</f>
        <v>8.090473255256489</v>
      </c>
      <c r="L31" s="131">
        <v>736893.5</v>
      </c>
      <c r="M31" s="132">
        <v>81207</v>
      </c>
      <c r="N31" s="223">
        <f>IF(L31&lt;&gt;0,L31/M31,"")</f>
        <v>9.074260839582795</v>
      </c>
      <c r="O31" s="229">
        <v>1</v>
      </c>
    </row>
    <row r="32" spans="1:15" ht="15">
      <c r="A32" s="160">
        <v>29</v>
      </c>
      <c r="B32" s="80" t="s">
        <v>62</v>
      </c>
      <c r="C32" s="36">
        <v>40165</v>
      </c>
      <c r="D32" s="38" t="s">
        <v>30</v>
      </c>
      <c r="E32" s="90">
        <v>38</v>
      </c>
      <c r="F32" s="90">
        <v>29</v>
      </c>
      <c r="G32" s="90">
        <v>3</v>
      </c>
      <c r="H32" s="56">
        <v>96495.25</v>
      </c>
      <c r="I32" s="68">
        <v>11131</v>
      </c>
      <c r="J32" s="126">
        <f>IF(H32&lt;&gt;0,I32/F32,"")</f>
        <v>383.82758620689657</v>
      </c>
      <c r="K32" s="127">
        <f>IF(H32&lt;&gt;0,H32/I32,"")</f>
        <v>8.669054891743778</v>
      </c>
      <c r="L32" s="131">
        <v>618764.5</v>
      </c>
      <c r="M32" s="132">
        <v>66606</v>
      </c>
      <c r="N32" s="130">
        <f>IF(L32&lt;&gt;0,L32/M32,"")</f>
        <v>9.289921328408852</v>
      </c>
      <c r="O32" s="230">
        <v>1</v>
      </c>
    </row>
    <row r="33" spans="1:15" ht="15">
      <c r="A33" s="160">
        <v>30</v>
      </c>
      <c r="B33" s="222" t="s">
        <v>128</v>
      </c>
      <c r="C33" s="36">
        <v>40165</v>
      </c>
      <c r="D33" s="208" t="s">
        <v>30</v>
      </c>
      <c r="E33" s="90">
        <v>38</v>
      </c>
      <c r="F33" s="90">
        <v>39</v>
      </c>
      <c r="G33" s="90">
        <v>5</v>
      </c>
      <c r="H33" s="56">
        <v>117691</v>
      </c>
      <c r="I33" s="251">
        <v>16123</v>
      </c>
      <c r="J33" s="252">
        <f>IF(H33&lt;&gt;0,I33/F33,"")</f>
        <v>413.4102564102564</v>
      </c>
      <c r="K33" s="127">
        <f>IF(H33&lt;&gt;0,H33/I33,"")</f>
        <v>7.299572039942938</v>
      </c>
      <c r="L33" s="131">
        <v>854584.5</v>
      </c>
      <c r="M33" s="249">
        <v>97330</v>
      </c>
      <c r="N33" s="130">
        <f>IF(L33&lt;&gt;0,L33/M33,"")</f>
        <v>8.780278434192951</v>
      </c>
      <c r="O33" s="272">
        <v>1</v>
      </c>
    </row>
    <row r="34" spans="1:15" ht="15">
      <c r="A34" s="160">
        <v>31</v>
      </c>
      <c r="B34" s="219" t="s">
        <v>162</v>
      </c>
      <c r="C34" s="34">
        <v>39850</v>
      </c>
      <c r="D34" s="204" t="s">
        <v>27</v>
      </c>
      <c r="E34" s="88">
        <v>78</v>
      </c>
      <c r="F34" s="88">
        <v>1</v>
      </c>
      <c r="G34" s="88">
        <v>48</v>
      </c>
      <c r="H34" s="52">
        <v>609</v>
      </c>
      <c r="I34" s="64">
        <v>280</v>
      </c>
      <c r="J34" s="132">
        <f>I34/F34</f>
        <v>280</v>
      </c>
      <c r="K34" s="205">
        <f>+H34/I34</f>
        <v>2.175</v>
      </c>
      <c r="L34" s="133">
        <v>905076</v>
      </c>
      <c r="M34" s="132">
        <v>98834</v>
      </c>
      <c r="N34" s="221">
        <f>+L34/M34</f>
        <v>9.157536880021045</v>
      </c>
      <c r="O34" s="229"/>
    </row>
    <row r="35" spans="1:15" ht="15">
      <c r="A35" s="160">
        <v>32</v>
      </c>
      <c r="B35" s="219" t="s">
        <v>102</v>
      </c>
      <c r="C35" s="34">
        <v>40130</v>
      </c>
      <c r="D35" s="206" t="s">
        <v>28</v>
      </c>
      <c r="E35" s="88">
        <v>13</v>
      </c>
      <c r="F35" s="88">
        <v>4</v>
      </c>
      <c r="G35" s="88">
        <v>9</v>
      </c>
      <c r="H35" s="51">
        <v>1678.5</v>
      </c>
      <c r="I35" s="63">
        <v>334</v>
      </c>
      <c r="J35" s="110">
        <f>(I35/F35)</f>
        <v>83.5</v>
      </c>
      <c r="K35" s="207">
        <f>H35/I35</f>
        <v>5.025449101796407</v>
      </c>
      <c r="L35" s="112">
        <f>61012+24426+6122+10040+4081+228+2698+1216+1678.5</f>
        <v>111501.5</v>
      </c>
      <c r="M35" s="113">
        <f>5982+2401+678+1620+879+42+433+305+334</f>
        <v>12674</v>
      </c>
      <c r="N35" s="220">
        <f>L35/M35</f>
        <v>8.797656619851665</v>
      </c>
      <c r="O35" s="230">
        <v>1</v>
      </c>
    </row>
    <row r="36" spans="1:15" ht="15">
      <c r="A36" s="160">
        <v>33</v>
      </c>
      <c r="B36" s="79" t="s">
        <v>75</v>
      </c>
      <c r="C36" s="34">
        <v>40130</v>
      </c>
      <c r="D36" s="35" t="s">
        <v>28</v>
      </c>
      <c r="E36" s="88">
        <v>13</v>
      </c>
      <c r="F36" s="88">
        <v>2</v>
      </c>
      <c r="G36" s="88">
        <v>8</v>
      </c>
      <c r="H36" s="51">
        <v>1216</v>
      </c>
      <c r="I36" s="63">
        <v>305</v>
      </c>
      <c r="J36" s="110">
        <f>(I36/F36)</f>
        <v>152.5</v>
      </c>
      <c r="K36" s="111">
        <f>H36/I36</f>
        <v>3.9868852459016395</v>
      </c>
      <c r="L36" s="112">
        <f>61012+24426+6122+10040+4081+228+2698+1216</f>
        <v>109823</v>
      </c>
      <c r="M36" s="113">
        <f>5982+2401+678+1620+879+42+433+305</f>
        <v>12340</v>
      </c>
      <c r="N36" s="114">
        <f>L36/M36</f>
        <v>8.899756888168557</v>
      </c>
      <c r="O36" s="230">
        <v>1</v>
      </c>
    </row>
    <row r="37" spans="1:15" ht="15">
      <c r="A37" s="160">
        <v>34</v>
      </c>
      <c r="B37" s="266" t="s">
        <v>102</v>
      </c>
      <c r="C37" s="242">
        <v>40130</v>
      </c>
      <c r="D37" s="243" t="s">
        <v>28</v>
      </c>
      <c r="E37" s="244">
        <v>13</v>
      </c>
      <c r="F37" s="244">
        <v>2</v>
      </c>
      <c r="G37" s="244">
        <v>10</v>
      </c>
      <c r="H37" s="51">
        <v>1457</v>
      </c>
      <c r="I37" s="245">
        <v>339</v>
      </c>
      <c r="J37" s="246">
        <f>(I37/F37)</f>
        <v>169.5</v>
      </c>
      <c r="K37" s="111">
        <f>H37/I37</f>
        <v>4.297935103244837</v>
      </c>
      <c r="L37" s="112">
        <f>61012+24426+6122+10040+4081+228+2698+1216+1678.5+1457</f>
        <v>112958.5</v>
      </c>
      <c r="M37" s="247">
        <f>5982+2401+678+1620+879+42+433+305+334+339</f>
        <v>13013</v>
      </c>
      <c r="N37" s="114">
        <f>L37/M37</f>
        <v>8.680434949665718</v>
      </c>
      <c r="O37" s="272">
        <v>1</v>
      </c>
    </row>
    <row r="38" spans="1:15" ht="15">
      <c r="A38" s="160">
        <v>35</v>
      </c>
      <c r="B38" s="222" t="s">
        <v>109</v>
      </c>
      <c r="C38" s="36">
        <v>40158</v>
      </c>
      <c r="D38" s="208" t="s">
        <v>30</v>
      </c>
      <c r="E38" s="90">
        <v>6</v>
      </c>
      <c r="F38" s="90">
        <v>3</v>
      </c>
      <c r="G38" s="90">
        <v>4</v>
      </c>
      <c r="H38" s="56">
        <v>1098</v>
      </c>
      <c r="I38" s="68">
        <v>177</v>
      </c>
      <c r="J38" s="126">
        <f>IF(H38&lt;&gt;0,I38/F38,"")</f>
        <v>59</v>
      </c>
      <c r="K38" s="210">
        <f>IF(H38&lt;&gt;0,H38/I38,"")</f>
        <v>6.203389830508475</v>
      </c>
      <c r="L38" s="131">
        <v>48973</v>
      </c>
      <c r="M38" s="132">
        <v>4330</v>
      </c>
      <c r="N38" s="223">
        <f>IF(L38&lt;&gt;0,L38/M38,"")</f>
        <v>11.310161662817553</v>
      </c>
      <c r="O38" s="229"/>
    </row>
    <row r="39" spans="1:15" ht="15">
      <c r="A39" s="160">
        <v>36</v>
      </c>
      <c r="B39" s="222" t="s">
        <v>109</v>
      </c>
      <c r="C39" s="36">
        <v>40158</v>
      </c>
      <c r="D39" s="208" t="s">
        <v>30</v>
      </c>
      <c r="E39" s="90">
        <v>6</v>
      </c>
      <c r="F39" s="90">
        <v>4</v>
      </c>
      <c r="G39" s="90">
        <v>5</v>
      </c>
      <c r="H39" s="56">
        <v>442</v>
      </c>
      <c r="I39" s="251">
        <v>69</v>
      </c>
      <c r="J39" s="252">
        <f>IF(H39&lt;&gt;0,I39/F39,"")</f>
        <v>17.25</v>
      </c>
      <c r="K39" s="127">
        <f>IF(H39&lt;&gt;0,H39/I39,"")</f>
        <v>6.405797101449275</v>
      </c>
      <c r="L39" s="131">
        <v>49415</v>
      </c>
      <c r="M39" s="249">
        <v>4399</v>
      </c>
      <c r="N39" s="130">
        <f>IF(L39&lt;&gt;0,L39/M39,"")</f>
        <v>11.23323482609684</v>
      </c>
      <c r="O39" s="272"/>
    </row>
    <row r="40" spans="1:15" ht="15">
      <c r="A40" s="160">
        <v>37</v>
      </c>
      <c r="B40" s="222" t="s">
        <v>157</v>
      </c>
      <c r="C40" s="36">
        <v>40074</v>
      </c>
      <c r="D40" s="208" t="s">
        <v>30</v>
      </c>
      <c r="E40" s="90">
        <v>65</v>
      </c>
      <c r="F40" s="90">
        <v>2</v>
      </c>
      <c r="G40" s="90">
        <v>11</v>
      </c>
      <c r="H40" s="56">
        <v>448</v>
      </c>
      <c r="I40" s="251">
        <v>83</v>
      </c>
      <c r="J40" s="252">
        <f>IF(H40&lt;&gt;0,I40/F40,"")</f>
        <v>41.5</v>
      </c>
      <c r="K40" s="127">
        <f>IF(H40&lt;&gt;0,H40/I40,"")</f>
        <v>5.397590361445783</v>
      </c>
      <c r="L40" s="131">
        <v>558893</v>
      </c>
      <c r="M40" s="249">
        <v>62285</v>
      </c>
      <c r="N40" s="130">
        <f>IF(L40&lt;&gt;0,L40/M40,"")</f>
        <v>8.973155655454764</v>
      </c>
      <c r="O40" s="272"/>
    </row>
    <row r="41" spans="1:15" ht="15">
      <c r="A41" s="160">
        <v>38</v>
      </c>
      <c r="B41" s="219" t="s">
        <v>46</v>
      </c>
      <c r="C41" s="34">
        <v>40137</v>
      </c>
      <c r="D41" s="204" t="s">
        <v>27</v>
      </c>
      <c r="E41" s="88">
        <v>61</v>
      </c>
      <c r="F41" s="88">
        <v>4</v>
      </c>
      <c r="G41" s="88">
        <v>8</v>
      </c>
      <c r="H41" s="52">
        <v>2148</v>
      </c>
      <c r="I41" s="64">
        <v>594</v>
      </c>
      <c r="J41" s="132">
        <f aca="true" t="shared" si="4" ref="J41:J46">I41/F41</f>
        <v>148.5</v>
      </c>
      <c r="K41" s="205">
        <f>+H41/I41</f>
        <v>3.6161616161616164</v>
      </c>
      <c r="L41" s="133">
        <v>458401</v>
      </c>
      <c r="M41" s="132">
        <v>42433</v>
      </c>
      <c r="N41" s="221">
        <f aca="true" t="shared" si="5" ref="N41:N46">+L41/M41</f>
        <v>10.802936393844414</v>
      </c>
      <c r="O41" s="229"/>
    </row>
    <row r="42" spans="1:15" ht="15">
      <c r="A42" s="160">
        <v>39</v>
      </c>
      <c r="B42" s="82" t="s">
        <v>46</v>
      </c>
      <c r="C42" s="32">
        <v>40137</v>
      </c>
      <c r="D42" s="33" t="s">
        <v>27</v>
      </c>
      <c r="E42" s="92">
        <v>61</v>
      </c>
      <c r="F42" s="92">
        <v>1</v>
      </c>
      <c r="G42" s="92">
        <v>7</v>
      </c>
      <c r="H42" s="54">
        <v>768</v>
      </c>
      <c r="I42" s="66">
        <v>63</v>
      </c>
      <c r="J42" s="122">
        <f t="shared" si="4"/>
        <v>63</v>
      </c>
      <c r="K42" s="123">
        <f>+H42/I42</f>
        <v>12.19047619047619</v>
      </c>
      <c r="L42" s="124">
        <v>456253</v>
      </c>
      <c r="M42" s="122">
        <v>41839</v>
      </c>
      <c r="N42" s="125">
        <f t="shared" si="5"/>
        <v>10.9049690480174</v>
      </c>
      <c r="O42" s="230"/>
    </row>
    <row r="43" spans="1:15" ht="15">
      <c r="A43" s="160">
        <v>40</v>
      </c>
      <c r="B43" s="219" t="s">
        <v>46</v>
      </c>
      <c r="C43" s="34">
        <v>40137</v>
      </c>
      <c r="D43" s="204" t="s">
        <v>27</v>
      </c>
      <c r="E43" s="88">
        <v>61</v>
      </c>
      <c r="F43" s="88">
        <v>1</v>
      </c>
      <c r="G43" s="88">
        <v>9</v>
      </c>
      <c r="H43" s="52">
        <v>989</v>
      </c>
      <c r="I43" s="248">
        <v>157</v>
      </c>
      <c r="J43" s="249">
        <f t="shared" si="4"/>
        <v>157</v>
      </c>
      <c r="K43" s="134">
        <f>+H43/I43</f>
        <v>6.2993630573248405</v>
      </c>
      <c r="L43" s="133">
        <v>459390</v>
      </c>
      <c r="M43" s="249">
        <v>42590</v>
      </c>
      <c r="N43" s="135">
        <f t="shared" si="5"/>
        <v>10.786334820380372</v>
      </c>
      <c r="O43" s="272"/>
    </row>
    <row r="44" spans="1:15" ht="15">
      <c r="A44" s="160">
        <v>41</v>
      </c>
      <c r="B44" s="80" t="s">
        <v>47</v>
      </c>
      <c r="C44" s="36">
        <v>40137</v>
      </c>
      <c r="D44" s="37" t="s">
        <v>26</v>
      </c>
      <c r="E44" s="90">
        <v>20</v>
      </c>
      <c r="F44" s="90">
        <v>1</v>
      </c>
      <c r="G44" s="90">
        <v>7</v>
      </c>
      <c r="H44" s="51">
        <v>4193</v>
      </c>
      <c r="I44" s="63">
        <v>595</v>
      </c>
      <c r="J44" s="110">
        <f t="shared" si="4"/>
        <v>595</v>
      </c>
      <c r="K44" s="111">
        <f>H44/I44</f>
        <v>7.047058823529412</v>
      </c>
      <c r="L44" s="112">
        <f>997860+4193</f>
        <v>1002053</v>
      </c>
      <c r="M44" s="113">
        <f>81544+595</f>
        <v>82139</v>
      </c>
      <c r="N44" s="114">
        <f t="shared" si="5"/>
        <v>12.1994789320542</v>
      </c>
      <c r="O44" s="230"/>
    </row>
    <row r="45" spans="1:15" ht="15">
      <c r="A45" s="160">
        <v>42</v>
      </c>
      <c r="B45" s="222" t="s">
        <v>47</v>
      </c>
      <c r="C45" s="36">
        <v>40137</v>
      </c>
      <c r="D45" s="208" t="s">
        <v>26</v>
      </c>
      <c r="E45" s="90">
        <v>20</v>
      </c>
      <c r="F45" s="90">
        <v>1</v>
      </c>
      <c r="G45" s="90">
        <v>8</v>
      </c>
      <c r="H45" s="51">
        <v>617</v>
      </c>
      <c r="I45" s="63">
        <v>106</v>
      </c>
      <c r="J45" s="110">
        <f t="shared" si="4"/>
        <v>106</v>
      </c>
      <c r="K45" s="207">
        <f>H45/I45</f>
        <v>5.820754716981132</v>
      </c>
      <c r="L45" s="112">
        <f>997860+4193+617</f>
        <v>1002670</v>
      </c>
      <c r="M45" s="113">
        <f>81544+595+106</f>
        <v>82245</v>
      </c>
      <c r="N45" s="220">
        <f t="shared" si="5"/>
        <v>12.19125782722354</v>
      </c>
      <c r="O45" s="229"/>
    </row>
    <row r="46" spans="1:15" ht="15">
      <c r="A46" s="160">
        <v>43</v>
      </c>
      <c r="B46" s="222" t="s">
        <v>47</v>
      </c>
      <c r="C46" s="36">
        <v>40137</v>
      </c>
      <c r="D46" s="250" t="s">
        <v>26</v>
      </c>
      <c r="E46" s="90">
        <v>20</v>
      </c>
      <c r="F46" s="90">
        <v>2</v>
      </c>
      <c r="G46" s="90">
        <v>9</v>
      </c>
      <c r="H46" s="51">
        <v>10063</v>
      </c>
      <c r="I46" s="245">
        <v>1265</v>
      </c>
      <c r="J46" s="246">
        <f t="shared" si="4"/>
        <v>632.5</v>
      </c>
      <c r="K46" s="111">
        <f>H46/I46</f>
        <v>7.95494071146245</v>
      </c>
      <c r="L46" s="112">
        <f>997860+4193+617+10063</f>
        <v>1012733</v>
      </c>
      <c r="M46" s="247">
        <f>81544+595+106+1265</f>
        <v>83510</v>
      </c>
      <c r="N46" s="114">
        <f t="shared" si="5"/>
        <v>12.12708657645791</v>
      </c>
      <c r="O46" s="272"/>
    </row>
    <row r="47" spans="1:15" ht="15">
      <c r="A47" s="160">
        <v>44</v>
      </c>
      <c r="B47" s="219" t="s">
        <v>111</v>
      </c>
      <c r="C47" s="34">
        <v>40102</v>
      </c>
      <c r="D47" s="206" t="s">
        <v>28</v>
      </c>
      <c r="E47" s="88">
        <v>22</v>
      </c>
      <c r="F47" s="88">
        <v>1</v>
      </c>
      <c r="G47" s="88">
        <v>6</v>
      </c>
      <c r="H47" s="51">
        <v>1081.5</v>
      </c>
      <c r="I47" s="63">
        <v>369</v>
      </c>
      <c r="J47" s="110">
        <f>(I47/F47)</f>
        <v>369</v>
      </c>
      <c r="K47" s="207">
        <f>H47/I47</f>
        <v>2.930894308943089</v>
      </c>
      <c r="L47" s="112">
        <f>129717.5+110957+18478+6527+6853.5+1081.5</f>
        <v>273614.5</v>
      </c>
      <c r="M47" s="113">
        <f>10402+8975+1885+691+1109+369</f>
        <v>23431</v>
      </c>
      <c r="N47" s="220">
        <f>L47/M47</f>
        <v>11.677457214800905</v>
      </c>
      <c r="O47" s="230"/>
    </row>
    <row r="48" spans="1:15" ht="15">
      <c r="A48" s="160">
        <v>45</v>
      </c>
      <c r="B48" s="266" t="s">
        <v>111</v>
      </c>
      <c r="C48" s="242">
        <v>40102</v>
      </c>
      <c r="D48" s="243" t="s">
        <v>28</v>
      </c>
      <c r="E48" s="244">
        <v>22</v>
      </c>
      <c r="F48" s="244">
        <v>2</v>
      </c>
      <c r="G48" s="244">
        <v>7</v>
      </c>
      <c r="H48" s="51">
        <v>738.5</v>
      </c>
      <c r="I48" s="245">
        <v>262</v>
      </c>
      <c r="J48" s="246">
        <f>(I48/F48)</f>
        <v>131</v>
      </c>
      <c r="K48" s="111">
        <f>H48/I48</f>
        <v>2.818702290076336</v>
      </c>
      <c r="L48" s="112">
        <f>129717.5+110957+18478+6527+6853.5+1081.5+738.5</f>
        <v>274353</v>
      </c>
      <c r="M48" s="247">
        <f>10402+8975+1885+691+1109+369+262</f>
        <v>23693</v>
      </c>
      <c r="N48" s="114">
        <f>L48/M48</f>
        <v>11.579496053686743</v>
      </c>
      <c r="O48" s="272"/>
    </row>
    <row r="49" spans="1:15" ht="15">
      <c r="A49" s="160">
        <v>46</v>
      </c>
      <c r="B49" s="82" t="s">
        <v>53</v>
      </c>
      <c r="C49" s="32">
        <v>40172</v>
      </c>
      <c r="D49" s="33" t="s">
        <v>27</v>
      </c>
      <c r="E49" s="92">
        <v>51</v>
      </c>
      <c r="F49" s="92">
        <v>51</v>
      </c>
      <c r="G49" s="92">
        <v>2</v>
      </c>
      <c r="H49" s="54">
        <v>175309</v>
      </c>
      <c r="I49" s="66">
        <v>14721</v>
      </c>
      <c r="J49" s="122">
        <f>I49/F49</f>
        <v>288.6470588235294</v>
      </c>
      <c r="K49" s="123">
        <f>+H49/I49</f>
        <v>11.908769784661368</v>
      </c>
      <c r="L49" s="124">
        <v>448889</v>
      </c>
      <c r="M49" s="122">
        <v>39522</v>
      </c>
      <c r="N49" s="125">
        <f>+L49/M49</f>
        <v>11.35795253276656</v>
      </c>
      <c r="O49" s="230"/>
    </row>
    <row r="50" spans="1:15" ht="15">
      <c r="A50" s="160">
        <v>47</v>
      </c>
      <c r="B50" s="219" t="s">
        <v>53</v>
      </c>
      <c r="C50" s="34">
        <v>40172</v>
      </c>
      <c r="D50" s="204" t="s">
        <v>27</v>
      </c>
      <c r="E50" s="88">
        <v>51</v>
      </c>
      <c r="F50" s="88">
        <v>38</v>
      </c>
      <c r="G50" s="88">
        <v>3</v>
      </c>
      <c r="H50" s="52">
        <v>69657</v>
      </c>
      <c r="I50" s="64">
        <v>6224</v>
      </c>
      <c r="J50" s="132">
        <f>I50/F50</f>
        <v>163.78947368421052</v>
      </c>
      <c r="K50" s="205">
        <f>+H50/I50</f>
        <v>11.19167737789203</v>
      </c>
      <c r="L50" s="133">
        <v>518546</v>
      </c>
      <c r="M50" s="132">
        <v>45746</v>
      </c>
      <c r="N50" s="221">
        <f>+L50/M50</f>
        <v>11.335329864906221</v>
      </c>
      <c r="O50" s="229"/>
    </row>
    <row r="51" spans="1:15" ht="15">
      <c r="A51" s="160">
        <v>48</v>
      </c>
      <c r="B51" s="219" t="s">
        <v>53</v>
      </c>
      <c r="C51" s="34">
        <v>40172</v>
      </c>
      <c r="D51" s="204" t="s">
        <v>27</v>
      </c>
      <c r="E51" s="88">
        <v>51</v>
      </c>
      <c r="F51" s="88">
        <v>12</v>
      </c>
      <c r="G51" s="88">
        <v>4</v>
      </c>
      <c r="H51" s="52">
        <v>8478</v>
      </c>
      <c r="I51" s="248">
        <v>1260</v>
      </c>
      <c r="J51" s="249">
        <f>I51/F51</f>
        <v>105</v>
      </c>
      <c r="K51" s="134">
        <f>+H51/I51</f>
        <v>6.728571428571429</v>
      </c>
      <c r="L51" s="133">
        <v>527024</v>
      </c>
      <c r="M51" s="249">
        <v>47006</v>
      </c>
      <c r="N51" s="135">
        <f>+L51/M51</f>
        <v>11.211845296345148</v>
      </c>
      <c r="O51" s="272"/>
    </row>
    <row r="52" spans="1:15" ht="15">
      <c r="A52" s="160">
        <v>49</v>
      </c>
      <c r="B52" s="79" t="s">
        <v>57</v>
      </c>
      <c r="C52" s="34">
        <v>40172</v>
      </c>
      <c r="D52" s="35" t="s">
        <v>41</v>
      </c>
      <c r="E52" s="88">
        <v>196</v>
      </c>
      <c r="F52" s="88">
        <v>196</v>
      </c>
      <c r="G52" s="88">
        <v>2</v>
      </c>
      <c r="H52" s="52">
        <v>546264.5</v>
      </c>
      <c r="I52" s="64">
        <v>66898</v>
      </c>
      <c r="J52" s="126">
        <f>IF(H52&lt;&gt;0,I52/F52,"")</f>
        <v>341.31632653061223</v>
      </c>
      <c r="K52" s="127">
        <f>IF(H52&lt;&gt;0,H52/I52,"")</f>
        <v>8.165632754342433</v>
      </c>
      <c r="L52" s="133">
        <f>821982.75+546264.5</f>
        <v>1368247.25</v>
      </c>
      <c r="M52" s="132">
        <f>109740+66898</f>
        <v>176638</v>
      </c>
      <c r="N52" s="130">
        <f>IF(L52&lt;&gt;0,L52/M52,"")</f>
        <v>7.746052661375242</v>
      </c>
      <c r="O52" s="230">
        <v>1</v>
      </c>
    </row>
    <row r="53" spans="1:15" ht="15">
      <c r="A53" s="160">
        <v>50</v>
      </c>
      <c r="B53" s="219" t="s">
        <v>78</v>
      </c>
      <c r="C53" s="34">
        <v>40172</v>
      </c>
      <c r="D53" s="206" t="s">
        <v>41</v>
      </c>
      <c r="E53" s="88">
        <v>196</v>
      </c>
      <c r="F53" s="88">
        <v>183</v>
      </c>
      <c r="G53" s="88">
        <v>3</v>
      </c>
      <c r="H53" s="52">
        <v>300546.5</v>
      </c>
      <c r="I53" s="64">
        <v>39464</v>
      </c>
      <c r="J53" s="132">
        <f>I53/F53</f>
        <v>215.65027322404373</v>
      </c>
      <c r="K53" s="205">
        <f>+H53/I53</f>
        <v>7.615713054936144</v>
      </c>
      <c r="L53" s="133">
        <f>821982.75+546264.5+300546.5</f>
        <v>1668793.75</v>
      </c>
      <c r="M53" s="132">
        <f>109740+66898+39464</f>
        <v>216102</v>
      </c>
      <c r="N53" s="221">
        <f>+L53/M53</f>
        <v>7.722250372509278</v>
      </c>
      <c r="O53" s="229">
        <v>1</v>
      </c>
    </row>
    <row r="54" spans="1:15" ht="15">
      <c r="A54" s="160">
        <v>51</v>
      </c>
      <c r="B54" s="219" t="s">
        <v>126</v>
      </c>
      <c r="C54" s="34">
        <v>40172</v>
      </c>
      <c r="D54" s="206" t="s">
        <v>41</v>
      </c>
      <c r="E54" s="88">
        <v>196</v>
      </c>
      <c r="F54" s="88">
        <v>148</v>
      </c>
      <c r="G54" s="88">
        <v>4</v>
      </c>
      <c r="H54" s="52">
        <v>218412</v>
      </c>
      <c r="I54" s="248">
        <v>31918</v>
      </c>
      <c r="J54" s="252">
        <f>+I54/F54</f>
        <v>215.66216216216216</v>
      </c>
      <c r="K54" s="127">
        <f>+H54/I54</f>
        <v>6.842909956764208</v>
      </c>
      <c r="L54" s="133">
        <f>821982.75+546264.5+300546.5+218412</f>
        <v>1887205.75</v>
      </c>
      <c r="M54" s="249">
        <f>109740+66898+39464+31918</f>
        <v>248020</v>
      </c>
      <c r="N54" s="135">
        <f>+L54/M54</f>
        <v>7.609086968792839</v>
      </c>
      <c r="O54" s="272">
        <v>1</v>
      </c>
    </row>
    <row r="55" spans="1:15" ht="15">
      <c r="A55" s="160">
        <v>52</v>
      </c>
      <c r="B55" s="224" t="s">
        <v>141</v>
      </c>
      <c r="C55" s="36">
        <v>39920</v>
      </c>
      <c r="D55" s="211" t="s">
        <v>3</v>
      </c>
      <c r="E55" s="91">
        <v>132</v>
      </c>
      <c r="F55" s="91">
        <v>3</v>
      </c>
      <c r="G55" s="91">
        <v>19</v>
      </c>
      <c r="H55" s="55">
        <v>2655</v>
      </c>
      <c r="I55" s="256">
        <v>531</v>
      </c>
      <c r="J55" s="252">
        <f>+I55/F55</f>
        <v>177</v>
      </c>
      <c r="K55" s="127">
        <f>+H55/I55</f>
        <v>5</v>
      </c>
      <c r="L55" s="128">
        <v>914710</v>
      </c>
      <c r="M55" s="257">
        <v>117082</v>
      </c>
      <c r="N55" s="130">
        <f>+L55/M55</f>
        <v>7.812558719529902</v>
      </c>
      <c r="O55" s="272">
        <v>1</v>
      </c>
    </row>
    <row r="56" spans="1:15" ht="15">
      <c r="A56" s="160">
        <v>53</v>
      </c>
      <c r="B56" s="219" t="s">
        <v>158</v>
      </c>
      <c r="C56" s="34">
        <v>39926</v>
      </c>
      <c r="D56" s="211" t="s">
        <v>28</v>
      </c>
      <c r="E56" s="88">
        <v>40</v>
      </c>
      <c r="F56" s="88">
        <v>1</v>
      </c>
      <c r="G56" s="88">
        <v>32</v>
      </c>
      <c r="H56" s="51">
        <v>256</v>
      </c>
      <c r="I56" s="245">
        <v>64</v>
      </c>
      <c r="J56" s="246">
        <f>(I56/F56)</f>
        <v>64</v>
      </c>
      <c r="K56" s="111">
        <f>H56/I56</f>
        <v>4</v>
      </c>
      <c r="L56" s="112">
        <f>35864.5+53058.5+35303.5+15734.5+12778.5+9687.5+8045+13953.5+10307+6140.75+1296+667+231+755+1970+2246+752.5+591.5+130+445+2051+750+1477+2060+1816+47+72+84+378+2301+1280+700+256</f>
        <v>223229.25</v>
      </c>
      <c r="M56" s="247">
        <f>3971+5771+3969+2398+2257+2131+1634+2509+1783+912+230+126+48+181+472+311+114+91+20+78+493+183+365+462+452+9+24+28+94+494+182+115+64</f>
        <v>31971</v>
      </c>
      <c r="N56" s="114">
        <f>L56/M56</f>
        <v>6.982241719057896</v>
      </c>
      <c r="O56" s="272"/>
    </row>
    <row r="57" spans="1:15" ht="15">
      <c r="A57" s="160">
        <v>54</v>
      </c>
      <c r="B57" s="222" t="s">
        <v>43</v>
      </c>
      <c r="C57" s="36">
        <v>40123</v>
      </c>
      <c r="D57" s="208" t="s">
        <v>30</v>
      </c>
      <c r="E57" s="90">
        <v>58</v>
      </c>
      <c r="F57" s="90">
        <v>7</v>
      </c>
      <c r="G57" s="90">
        <v>9</v>
      </c>
      <c r="H57" s="56">
        <v>2843</v>
      </c>
      <c r="I57" s="68">
        <v>406</v>
      </c>
      <c r="J57" s="126">
        <f>IF(H57&lt;&gt;0,I57/F57,"")</f>
        <v>58</v>
      </c>
      <c r="K57" s="210">
        <f>IF(H57&lt;&gt;0,H57/I57,"")</f>
        <v>7.002463054187192</v>
      </c>
      <c r="L57" s="131">
        <v>471356.75</v>
      </c>
      <c r="M57" s="132">
        <v>45156</v>
      </c>
      <c r="N57" s="223">
        <f>IF(L57&lt;&gt;0,L57/M57,"")</f>
        <v>10.438407963504297</v>
      </c>
      <c r="O57" s="229"/>
    </row>
    <row r="58" spans="1:15" ht="15">
      <c r="A58" s="160">
        <v>55</v>
      </c>
      <c r="B58" s="80" t="s">
        <v>43</v>
      </c>
      <c r="C58" s="36">
        <v>40123</v>
      </c>
      <c r="D58" s="38" t="s">
        <v>30</v>
      </c>
      <c r="E58" s="90">
        <v>58</v>
      </c>
      <c r="F58" s="90">
        <v>1</v>
      </c>
      <c r="G58" s="90">
        <v>8</v>
      </c>
      <c r="H58" s="56">
        <v>414</v>
      </c>
      <c r="I58" s="68">
        <v>83</v>
      </c>
      <c r="J58" s="126">
        <f>IF(H58&lt;&gt;0,I58/F58,"")</f>
        <v>83</v>
      </c>
      <c r="K58" s="127">
        <f>IF(H58&lt;&gt;0,H58/I58,"")</f>
        <v>4.9879518072289155</v>
      </c>
      <c r="L58" s="131">
        <v>468513.75</v>
      </c>
      <c r="M58" s="132">
        <v>44750</v>
      </c>
      <c r="N58" s="130">
        <f>IF(L58&lt;&gt;0,L58/M58,"")</f>
        <v>10.469581005586592</v>
      </c>
      <c r="O58" s="230"/>
    </row>
    <row r="59" spans="1:15" ht="15">
      <c r="A59" s="160">
        <v>56</v>
      </c>
      <c r="B59" s="222" t="s">
        <v>43</v>
      </c>
      <c r="C59" s="36">
        <v>40123</v>
      </c>
      <c r="D59" s="208" t="s">
        <v>30</v>
      </c>
      <c r="E59" s="90">
        <v>58</v>
      </c>
      <c r="F59" s="90">
        <v>4</v>
      </c>
      <c r="G59" s="90">
        <v>10</v>
      </c>
      <c r="H59" s="56">
        <v>1180</v>
      </c>
      <c r="I59" s="251">
        <v>202</v>
      </c>
      <c r="J59" s="252">
        <f>IF(H59&lt;&gt;0,I59/F59,"")</f>
        <v>50.5</v>
      </c>
      <c r="K59" s="127">
        <f>IF(H59&lt;&gt;0,H59/I59,"")</f>
        <v>5.841584158415841</v>
      </c>
      <c r="L59" s="131">
        <v>472536.75</v>
      </c>
      <c r="M59" s="249">
        <v>45358</v>
      </c>
      <c r="N59" s="130">
        <f>IF(L59&lt;&gt;0,L59/M59,"")</f>
        <v>10.417936196481326</v>
      </c>
      <c r="O59" s="272"/>
    </row>
    <row r="60" spans="1:15" ht="15">
      <c r="A60" s="160">
        <v>57</v>
      </c>
      <c r="B60" s="219" t="s">
        <v>48</v>
      </c>
      <c r="C60" s="34">
        <v>40151</v>
      </c>
      <c r="D60" s="206" t="s">
        <v>28</v>
      </c>
      <c r="E60" s="88">
        <v>8</v>
      </c>
      <c r="F60" s="88">
        <v>7</v>
      </c>
      <c r="G60" s="88">
        <v>6</v>
      </c>
      <c r="H60" s="51">
        <v>4958.5</v>
      </c>
      <c r="I60" s="63">
        <v>693</v>
      </c>
      <c r="J60" s="110">
        <f>(I60/F60)</f>
        <v>99</v>
      </c>
      <c r="K60" s="207">
        <f>H60/I60</f>
        <v>7.155122655122655</v>
      </c>
      <c r="L60" s="112">
        <f>69195.5+29540+2797+8009+1473.5+4958.5</f>
        <v>115973.5</v>
      </c>
      <c r="M60" s="113">
        <f>5170+2208+292+904+296+693</f>
        <v>9563</v>
      </c>
      <c r="N60" s="220">
        <f>L60/M60</f>
        <v>12.127313604517411</v>
      </c>
      <c r="O60" s="230"/>
    </row>
    <row r="61" spans="1:15" ht="15">
      <c r="A61" s="160">
        <v>58</v>
      </c>
      <c r="B61" s="79" t="s">
        <v>48</v>
      </c>
      <c r="C61" s="34">
        <v>40151</v>
      </c>
      <c r="D61" s="35" t="s">
        <v>28</v>
      </c>
      <c r="E61" s="88">
        <v>8</v>
      </c>
      <c r="F61" s="88">
        <v>3</v>
      </c>
      <c r="G61" s="88">
        <v>5</v>
      </c>
      <c r="H61" s="51">
        <v>1473.5</v>
      </c>
      <c r="I61" s="63">
        <v>296</v>
      </c>
      <c r="J61" s="110">
        <f>(I61/F61)</f>
        <v>98.66666666666667</v>
      </c>
      <c r="K61" s="111">
        <f>H61/I61</f>
        <v>4.97804054054054</v>
      </c>
      <c r="L61" s="112">
        <f>69195.5+29540+2797+8009+1473.5</f>
        <v>111015</v>
      </c>
      <c r="M61" s="113">
        <f>5170+2208+292+904+296</f>
        <v>8870</v>
      </c>
      <c r="N61" s="114">
        <f>L61/M61</f>
        <v>12.515783540022548</v>
      </c>
      <c r="O61" s="230"/>
    </row>
    <row r="62" spans="1:15" ht="15">
      <c r="A62" s="160">
        <v>59</v>
      </c>
      <c r="B62" s="266" t="s">
        <v>48</v>
      </c>
      <c r="C62" s="242">
        <v>40151</v>
      </c>
      <c r="D62" s="243" t="s">
        <v>28</v>
      </c>
      <c r="E62" s="244">
        <v>8</v>
      </c>
      <c r="F62" s="244">
        <v>6</v>
      </c>
      <c r="G62" s="244">
        <v>7</v>
      </c>
      <c r="H62" s="51">
        <v>4691.5</v>
      </c>
      <c r="I62" s="245">
        <v>949</v>
      </c>
      <c r="J62" s="246">
        <f>(I62/F62)</f>
        <v>158.16666666666666</v>
      </c>
      <c r="K62" s="111">
        <f>H62/I62</f>
        <v>4.943624868282402</v>
      </c>
      <c r="L62" s="112">
        <f>69195.5+29540+2797+8009+1473.5+4958.5+4691.5</f>
        <v>120665</v>
      </c>
      <c r="M62" s="247">
        <f>5170+2208+292+904+296+693+949</f>
        <v>10512</v>
      </c>
      <c r="N62" s="114">
        <f>L62/M62</f>
        <v>11.478786149162861</v>
      </c>
      <c r="O62" s="272"/>
    </row>
    <row r="63" spans="1:15" ht="15">
      <c r="A63" s="160">
        <v>60</v>
      </c>
      <c r="B63" s="219" t="s">
        <v>108</v>
      </c>
      <c r="C63" s="34">
        <v>40102</v>
      </c>
      <c r="D63" s="204" t="s">
        <v>27</v>
      </c>
      <c r="E63" s="88">
        <v>62</v>
      </c>
      <c r="F63" s="88">
        <v>1</v>
      </c>
      <c r="G63" s="88">
        <v>12</v>
      </c>
      <c r="H63" s="52">
        <v>1258</v>
      </c>
      <c r="I63" s="64">
        <v>177</v>
      </c>
      <c r="J63" s="132">
        <f>I63/F63</f>
        <v>177</v>
      </c>
      <c r="K63" s="205">
        <f>+H63/I63</f>
        <v>7.107344632768362</v>
      </c>
      <c r="L63" s="133">
        <v>490015</v>
      </c>
      <c r="M63" s="132">
        <v>55707</v>
      </c>
      <c r="N63" s="221">
        <f>+L63/M63</f>
        <v>8.796291309889241</v>
      </c>
      <c r="O63" s="229"/>
    </row>
    <row r="64" spans="1:15" ht="15">
      <c r="A64" s="160">
        <v>61</v>
      </c>
      <c r="B64" s="219" t="s">
        <v>108</v>
      </c>
      <c r="C64" s="34">
        <v>40102</v>
      </c>
      <c r="D64" s="204" t="s">
        <v>27</v>
      </c>
      <c r="E64" s="88">
        <v>62</v>
      </c>
      <c r="F64" s="88">
        <v>2</v>
      </c>
      <c r="G64" s="88">
        <v>13</v>
      </c>
      <c r="H64" s="52">
        <v>3422</v>
      </c>
      <c r="I64" s="248">
        <v>491</v>
      </c>
      <c r="J64" s="249">
        <f>I64/F64</f>
        <v>245.5</v>
      </c>
      <c r="K64" s="134">
        <f>+H64/I64</f>
        <v>6.969450101832994</v>
      </c>
      <c r="L64" s="133">
        <v>493437</v>
      </c>
      <c r="M64" s="249">
        <v>56198</v>
      </c>
      <c r="N64" s="135">
        <f>+L64/M64</f>
        <v>8.780330260863376</v>
      </c>
      <c r="O64" s="272"/>
    </row>
    <row r="65" spans="1:15" ht="15">
      <c r="A65" s="160">
        <v>62</v>
      </c>
      <c r="B65" s="79" t="s">
        <v>42</v>
      </c>
      <c r="C65" s="34">
        <v>40116</v>
      </c>
      <c r="D65" s="35" t="s">
        <v>12</v>
      </c>
      <c r="E65" s="88">
        <v>24</v>
      </c>
      <c r="F65" s="88">
        <v>1</v>
      </c>
      <c r="G65" s="88">
        <v>8</v>
      </c>
      <c r="H65" s="52">
        <v>497</v>
      </c>
      <c r="I65" s="64">
        <v>81</v>
      </c>
      <c r="J65" s="126">
        <f>IF(H65&lt;&gt;0,I65/F65,"")</f>
        <v>81</v>
      </c>
      <c r="K65" s="127">
        <f>IF(H65&lt;&gt;0,H65/I65,"")</f>
        <v>6.135802469135802</v>
      </c>
      <c r="L65" s="133">
        <f>87403.25+34862.75+15508.5+2797+944+915+1620+497</f>
        <v>144547.5</v>
      </c>
      <c r="M65" s="132">
        <f>14575+405+81</f>
        <v>15061</v>
      </c>
      <c r="N65" s="130">
        <f>IF(L65&lt;&gt;0,L65/M65,"")</f>
        <v>9.59747028749751</v>
      </c>
      <c r="O65" s="230"/>
    </row>
    <row r="66" spans="1:15" ht="15">
      <c r="A66" s="160">
        <v>63</v>
      </c>
      <c r="B66" s="79" t="s">
        <v>49</v>
      </c>
      <c r="C66" s="34">
        <v>40151</v>
      </c>
      <c r="D66" s="35" t="s">
        <v>28</v>
      </c>
      <c r="E66" s="88">
        <v>2</v>
      </c>
      <c r="F66" s="88">
        <v>2</v>
      </c>
      <c r="G66" s="88">
        <v>5</v>
      </c>
      <c r="H66" s="51">
        <v>2853</v>
      </c>
      <c r="I66" s="63">
        <v>502</v>
      </c>
      <c r="J66" s="110">
        <f>(I66/F66)</f>
        <v>251</v>
      </c>
      <c r="K66" s="111">
        <f>H66/I66</f>
        <v>5.683266932270916</v>
      </c>
      <c r="L66" s="112">
        <f>14952+6112+2196+2975+2853</f>
        <v>29088</v>
      </c>
      <c r="M66" s="113">
        <f>1468+666+254+478+502</f>
        <v>3368</v>
      </c>
      <c r="N66" s="114">
        <f>L66/M66</f>
        <v>8.636579572446555</v>
      </c>
      <c r="O66" s="230"/>
    </row>
    <row r="67" spans="1:15" ht="15">
      <c r="A67" s="160">
        <v>64</v>
      </c>
      <c r="B67" s="219" t="s">
        <v>49</v>
      </c>
      <c r="C67" s="34">
        <v>40151</v>
      </c>
      <c r="D67" s="206" t="s">
        <v>28</v>
      </c>
      <c r="E67" s="88">
        <v>2</v>
      </c>
      <c r="F67" s="88">
        <v>2</v>
      </c>
      <c r="G67" s="88">
        <v>6</v>
      </c>
      <c r="H67" s="51">
        <v>674</v>
      </c>
      <c r="I67" s="63">
        <v>81</v>
      </c>
      <c r="J67" s="110">
        <f>(I67/F67)</f>
        <v>40.5</v>
      </c>
      <c r="K67" s="207">
        <f>H67/I67</f>
        <v>8.320987654320987</v>
      </c>
      <c r="L67" s="112">
        <f>14952+6112+2196+2975+2853+674</f>
        <v>29762</v>
      </c>
      <c r="M67" s="113">
        <f>1468+666+254+478+502+81</f>
        <v>3449</v>
      </c>
      <c r="N67" s="220">
        <f>L67/M67</f>
        <v>8.629167874746303</v>
      </c>
      <c r="O67" s="230"/>
    </row>
    <row r="68" spans="1:15" ht="15">
      <c r="A68" s="160">
        <v>65</v>
      </c>
      <c r="B68" s="225" t="s">
        <v>149</v>
      </c>
      <c r="C68" s="36">
        <v>40074</v>
      </c>
      <c r="D68" s="211" t="s">
        <v>92</v>
      </c>
      <c r="E68" s="214" t="s">
        <v>104</v>
      </c>
      <c r="F68" s="214" t="s">
        <v>105</v>
      </c>
      <c r="G68" s="214" t="s">
        <v>106</v>
      </c>
      <c r="H68" s="55">
        <v>1385</v>
      </c>
      <c r="I68" s="67">
        <v>222</v>
      </c>
      <c r="J68" s="136">
        <f>+I68/F68</f>
        <v>222</v>
      </c>
      <c r="K68" s="210">
        <f>IF(H68&lt;&gt;0,H68/I68,"")</f>
        <v>6.238738738738738</v>
      </c>
      <c r="L68" s="128">
        <v>176398</v>
      </c>
      <c r="M68" s="129">
        <v>21849</v>
      </c>
      <c r="N68" s="223">
        <f>IF(L68&lt;&gt;0,L68/M68,"")</f>
        <v>8.073504508215478</v>
      </c>
      <c r="O68" s="229"/>
    </row>
    <row r="69" spans="1:15" ht="15">
      <c r="A69" s="160">
        <v>66</v>
      </c>
      <c r="B69" s="225" t="s">
        <v>149</v>
      </c>
      <c r="C69" s="36">
        <v>40074</v>
      </c>
      <c r="D69" s="211" t="s">
        <v>92</v>
      </c>
      <c r="E69" s="214" t="s">
        <v>104</v>
      </c>
      <c r="F69" s="214" t="s">
        <v>105</v>
      </c>
      <c r="G69" s="214" t="s">
        <v>150</v>
      </c>
      <c r="H69" s="55">
        <v>1145</v>
      </c>
      <c r="I69" s="256">
        <v>203</v>
      </c>
      <c r="J69" s="258">
        <f>+I69/F69</f>
        <v>203</v>
      </c>
      <c r="K69" s="173"/>
      <c r="L69" s="128">
        <v>177543</v>
      </c>
      <c r="M69" s="257">
        <v>22052</v>
      </c>
      <c r="N69" s="130">
        <f>IF(L69&lt;&gt;0,L69/M69,"")</f>
        <v>8.05110647560312</v>
      </c>
      <c r="O69" s="272"/>
    </row>
    <row r="70" spans="1:15" ht="15">
      <c r="A70" s="160">
        <v>67</v>
      </c>
      <c r="B70" s="219" t="s">
        <v>159</v>
      </c>
      <c r="C70" s="34">
        <v>39962</v>
      </c>
      <c r="D70" s="206" t="s">
        <v>28</v>
      </c>
      <c r="E70" s="88">
        <v>1</v>
      </c>
      <c r="F70" s="88">
        <v>1</v>
      </c>
      <c r="G70" s="88">
        <v>16</v>
      </c>
      <c r="H70" s="51">
        <v>84</v>
      </c>
      <c r="I70" s="245">
        <v>20</v>
      </c>
      <c r="J70" s="246">
        <f>(I70/F70)</f>
        <v>20</v>
      </c>
      <c r="K70" s="111">
        <f>H70/I70</f>
        <v>4.2</v>
      </c>
      <c r="L70" s="112">
        <f>2055+1340+750+709+604+925+1270+1220+776+981+343+858+383+597+2376+84</f>
        <v>15271</v>
      </c>
      <c r="M70" s="247">
        <f>411+268+150+85+70+118+161+152+99+144+47+143+48+95+594+20</f>
        <v>2605</v>
      </c>
      <c r="N70" s="114">
        <f>L70/M70</f>
        <v>5.862188099808061</v>
      </c>
      <c r="O70" s="272"/>
    </row>
    <row r="71" spans="1:15" ht="15">
      <c r="A71" s="160">
        <v>68</v>
      </c>
      <c r="B71" s="81" t="s">
        <v>61</v>
      </c>
      <c r="C71" s="36">
        <v>40158</v>
      </c>
      <c r="D71" s="40" t="s">
        <v>3</v>
      </c>
      <c r="E71" s="91">
        <v>148</v>
      </c>
      <c r="F71" s="91">
        <v>91</v>
      </c>
      <c r="G71" s="91">
        <v>4</v>
      </c>
      <c r="H71" s="55">
        <v>119681</v>
      </c>
      <c r="I71" s="67">
        <v>17048</v>
      </c>
      <c r="J71" s="126">
        <f>+I71/F71</f>
        <v>187.34065934065933</v>
      </c>
      <c r="K71" s="127">
        <f aca="true" t="shared" si="6" ref="K71:K76">+H71/I71</f>
        <v>7.020236977944627</v>
      </c>
      <c r="L71" s="128">
        <v>2757217</v>
      </c>
      <c r="M71" s="129">
        <v>323709</v>
      </c>
      <c r="N71" s="130">
        <f aca="true" t="shared" si="7" ref="N71:N76">+L71/M71</f>
        <v>8.517579060205307</v>
      </c>
      <c r="O71" s="230">
        <v>1</v>
      </c>
    </row>
    <row r="72" spans="1:15" ht="15">
      <c r="A72" s="160">
        <v>69</v>
      </c>
      <c r="B72" s="224" t="s">
        <v>84</v>
      </c>
      <c r="C72" s="36">
        <v>40158</v>
      </c>
      <c r="D72" s="211" t="s">
        <v>3</v>
      </c>
      <c r="E72" s="91">
        <v>148</v>
      </c>
      <c r="F72" s="91">
        <v>77</v>
      </c>
      <c r="G72" s="91">
        <v>5</v>
      </c>
      <c r="H72" s="55">
        <v>62188</v>
      </c>
      <c r="I72" s="67">
        <v>9495</v>
      </c>
      <c r="J72" s="126">
        <f>+I72/F72</f>
        <v>123.31168831168831</v>
      </c>
      <c r="K72" s="210">
        <f t="shared" si="6"/>
        <v>6.549552395997893</v>
      </c>
      <c r="L72" s="128">
        <v>2819404</v>
      </c>
      <c r="M72" s="129">
        <v>333204</v>
      </c>
      <c r="N72" s="223">
        <f t="shared" si="7"/>
        <v>8.461495060083312</v>
      </c>
      <c r="O72" s="229">
        <v>1</v>
      </c>
    </row>
    <row r="73" spans="1:15" ht="15">
      <c r="A73" s="160">
        <v>70</v>
      </c>
      <c r="B73" s="224" t="s">
        <v>132</v>
      </c>
      <c r="C73" s="36">
        <v>40158</v>
      </c>
      <c r="D73" s="211" t="s">
        <v>3</v>
      </c>
      <c r="E73" s="91">
        <v>148</v>
      </c>
      <c r="F73" s="91">
        <v>39</v>
      </c>
      <c r="G73" s="91">
        <v>6</v>
      </c>
      <c r="H73" s="55">
        <v>28359</v>
      </c>
      <c r="I73" s="256">
        <v>4830</v>
      </c>
      <c r="J73" s="252">
        <f>+I73/F73</f>
        <v>123.84615384615384</v>
      </c>
      <c r="K73" s="127">
        <f t="shared" si="6"/>
        <v>5.871428571428571</v>
      </c>
      <c r="L73" s="128">
        <v>2847763</v>
      </c>
      <c r="M73" s="257">
        <v>338034</v>
      </c>
      <c r="N73" s="130">
        <f t="shared" si="7"/>
        <v>8.42448688593455</v>
      </c>
      <c r="O73" s="272">
        <v>1</v>
      </c>
    </row>
    <row r="74" spans="1:15" ht="15">
      <c r="A74" s="160">
        <v>71</v>
      </c>
      <c r="B74" s="82" t="s">
        <v>36</v>
      </c>
      <c r="C74" s="32">
        <v>40074</v>
      </c>
      <c r="D74" s="33" t="s">
        <v>27</v>
      </c>
      <c r="E74" s="92">
        <v>61</v>
      </c>
      <c r="F74" s="92">
        <v>1</v>
      </c>
      <c r="G74" s="92">
        <v>15</v>
      </c>
      <c r="H74" s="54">
        <v>1521</v>
      </c>
      <c r="I74" s="66">
        <v>408</v>
      </c>
      <c r="J74" s="122">
        <f>I74/F74</f>
        <v>408</v>
      </c>
      <c r="K74" s="123">
        <f t="shared" si="6"/>
        <v>3.7279411764705883</v>
      </c>
      <c r="L74" s="124">
        <v>1027374</v>
      </c>
      <c r="M74" s="122">
        <v>103387</v>
      </c>
      <c r="N74" s="125">
        <f t="shared" si="7"/>
        <v>9.937168115913993</v>
      </c>
      <c r="O74" s="230"/>
    </row>
    <row r="75" spans="1:15" ht="15">
      <c r="A75" s="160">
        <v>72</v>
      </c>
      <c r="B75" s="219" t="s">
        <v>36</v>
      </c>
      <c r="C75" s="34">
        <v>40074</v>
      </c>
      <c r="D75" s="204" t="s">
        <v>27</v>
      </c>
      <c r="E75" s="88">
        <v>61</v>
      </c>
      <c r="F75" s="88">
        <v>1</v>
      </c>
      <c r="G75" s="88">
        <v>16</v>
      </c>
      <c r="H75" s="52">
        <v>116</v>
      </c>
      <c r="I75" s="64">
        <v>16</v>
      </c>
      <c r="J75" s="132">
        <f>I75/F75</f>
        <v>16</v>
      </c>
      <c r="K75" s="205">
        <f t="shared" si="6"/>
        <v>7.25</v>
      </c>
      <c r="L75" s="133">
        <v>1027490</v>
      </c>
      <c r="M75" s="132">
        <v>103403</v>
      </c>
      <c r="N75" s="221">
        <f t="shared" si="7"/>
        <v>9.936752318598106</v>
      </c>
      <c r="O75" s="229"/>
    </row>
    <row r="76" spans="1:15" ht="15">
      <c r="A76" s="160">
        <v>73</v>
      </c>
      <c r="B76" s="219" t="s">
        <v>36</v>
      </c>
      <c r="C76" s="34">
        <v>40074</v>
      </c>
      <c r="D76" s="204" t="s">
        <v>27</v>
      </c>
      <c r="E76" s="88">
        <v>61</v>
      </c>
      <c r="F76" s="88">
        <v>2</v>
      </c>
      <c r="G76" s="88">
        <v>17</v>
      </c>
      <c r="H76" s="52">
        <v>1503</v>
      </c>
      <c r="I76" s="248">
        <v>241</v>
      </c>
      <c r="J76" s="249">
        <f>I76/F76</f>
        <v>120.5</v>
      </c>
      <c r="K76" s="134">
        <f t="shared" si="6"/>
        <v>6.236514522821577</v>
      </c>
      <c r="L76" s="133">
        <v>1028993</v>
      </c>
      <c r="M76" s="249">
        <v>103644</v>
      </c>
      <c r="N76" s="135">
        <f t="shared" si="7"/>
        <v>9.92814827679364</v>
      </c>
      <c r="O76" s="272"/>
    </row>
    <row r="77" spans="1:15" ht="15">
      <c r="A77" s="160">
        <v>74</v>
      </c>
      <c r="B77" s="219" t="s">
        <v>156</v>
      </c>
      <c r="C77" s="34">
        <v>40046</v>
      </c>
      <c r="D77" s="206" t="s">
        <v>28</v>
      </c>
      <c r="E77" s="88">
        <v>5</v>
      </c>
      <c r="F77" s="88">
        <v>1</v>
      </c>
      <c r="G77" s="88">
        <v>17</v>
      </c>
      <c r="H77" s="51">
        <v>487.5</v>
      </c>
      <c r="I77" s="63">
        <v>78</v>
      </c>
      <c r="J77" s="110">
        <f aca="true" t="shared" si="8" ref="J77:J85">(I77/F77)</f>
        <v>78</v>
      </c>
      <c r="K77" s="207">
        <f aca="true" t="shared" si="9" ref="K77:K85">H77/I77</f>
        <v>6.25</v>
      </c>
      <c r="L77" s="112">
        <f>29266.75+13116.25+9279.25+8463+18147.5+3121+4110+6763+926+5173.5+9461.5+192+486+2002+382+72+487.5</f>
        <v>111449.25</v>
      </c>
      <c r="M77" s="113">
        <f>2425+1257+1223+1013+2360+455+662+1253+138+745+1554+44+79+353+69+18+78</f>
        <v>13726</v>
      </c>
      <c r="N77" s="220">
        <f aca="true" t="shared" si="10" ref="N77:N85">L77/M77</f>
        <v>8.119572344455777</v>
      </c>
      <c r="O77" s="230"/>
    </row>
    <row r="78" spans="1:15" ht="15">
      <c r="A78" s="160">
        <v>75</v>
      </c>
      <c r="B78" s="219" t="s">
        <v>156</v>
      </c>
      <c r="C78" s="34">
        <v>40046</v>
      </c>
      <c r="D78" s="35" t="s">
        <v>28</v>
      </c>
      <c r="E78" s="88">
        <v>5</v>
      </c>
      <c r="F78" s="88">
        <v>1</v>
      </c>
      <c r="G78" s="88">
        <v>16</v>
      </c>
      <c r="H78" s="51">
        <v>72</v>
      </c>
      <c r="I78" s="63">
        <v>18</v>
      </c>
      <c r="J78" s="110">
        <f t="shared" si="8"/>
        <v>18</v>
      </c>
      <c r="K78" s="111">
        <f t="shared" si="9"/>
        <v>4</v>
      </c>
      <c r="L78" s="112">
        <f>29266.75+13116.25+9279.25+8463+18147.5+3121+4110+6763+926+5173.5+9461.5+192+486+2002+382+72</f>
        <v>110961.75</v>
      </c>
      <c r="M78" s="113">
        <f>2425+1257+1223+1013+2360+455+662+1253+138+745+1554+44+79+353+69+18</f>
        <v>13648</v>
      </c>
      <c r="N78" s="114">
        <f t="shared" si="10"/>
        <v>8.130257180539273</v>
      </c>
      <c r="O78" s="230"/>
    </row>
    <row r="79" spans="1:15" ht="15">
      <c r="A79" s="160">
        <v>76</v>
      </c>
      <c r="B79" s="266" t="s">
        <v>151</v>
      </c>
      <c r="C79" s="242">
        <v>40151</v>
      </c>
      <c r="D79" s="243" t="s">
        <v>28</v>
      </c>
      <c r="E79" s="244">
        <v>2</v>
      </c>
      <c r="F79" s="244">
        <v>2</v>
      </c>
      <c r="G79" s="244">
        <v>7</v>
      </c>
      <c r="H79" s="51">
        <v>1006</v>
      </c>
      <c r="I79" s="245">
        <v>130</v>
      </c>
      <c r="J79" s="246">
        <f t="shared" si="8"/>
        <v>65</v>
      </c>
      <c r="K79" s="111">
        <f t="shared" si="9"/>
        <v>7.7384615384615385</v>
      </c>
      <c r="L79" s="112">
        <f>14952+6112+2196+2975+2853+674+1006</f>
        <v>30768</v>
      </c>
      <c r="M79" s="247">
        <f>1468+666+254+478+502+81+130</f>
        <v>3579</v>
      </c>
      <c r="N79" s="114">
        <f t="shared" si="10"/>
        <v>8.596814752724224</v>
      </c>
      <c r="O79" s="272"/>
    </row>
    <row r="80" spans="1:15" ht="15">
      <c r="A80" s="160">
        <v>77</v>
      </c>
      <c r="B80" s="219" t="s">
        <v>33</v>
      </c>
      <c r="C80" s="34">
        <v>39995</v>
      </c>
      <c r="D80" s="206" t="s">
        <v>28</v>
      </c>
      <c r="E80" s="88">
        <v>209</v>
      </c>
      <c r="F80" s="88">
        <v>3</v>
      </c>
      <c r="G80" s="88">
        <v>28</v>
      </c>
      <c r="H80" s="51">
        <v>2821</v>
      </c>
      <c r="I80" s="63">
        <v>551</v>
      </c>
      <c r="J80" s="110">
        <f t="shared" si="8"/>
        <v>183.66666666666666</v>
      </c>
      <c r="K80" s="207">
        <f t="shared" si="9"/>
        <v>5.11978221415608</v>
      </c>
      <c r="L80" s="112">
        <f>872160.5+3062686.25+2016658.5+1330226.25+943221.5+742732+516667.5+450351.5+331944.75+238834+191406+133484.5+252388.75+88483.5+54821.5+50455.5+10393.5+13219.5+4551+15537+5404+869+4082+1834+3805+1635+750+1385+2821</f>
        <v>11342808.5</v>
      </c>
      <c r="M80" s="113">
        <f>115039+364710+241056+162109+115810+90639+66180+59650+44695+33272+25508+18324+32600+11489+6695+7353+1723+3013+920+3530+1123+138+968+454+919+396+210+249+551</f>
        <v>1409323</v>
      </c>
      <c r="N80" s="220">
        <f t="shared" si="10"/>
        <v>8.048409413597877</v>
      </c>
      <c r="O80" s="230"/>
    </row>
    <row r="81" spans="1:15" ht="15">
      <c r="A81" s="160">
        <v>78</v>
      </c>
      <c r="B81" s="79" t="s">
        <v>33</v>
      </c>
      <c r="C81" s="34">
        <v>39995</v>
      </c>
      <c r="D81" s="35" t="s">
        <v>28</v>
      </c>
      <c r="E81" s="88">
        <v>209</v>
      </c>
      <c r="F81" s="88">
        <v>2</v>
      </c>
      <c r="G81" s="88">
        <v>27</v>
      </c>
      <c r="H81" s="51">
        <v>1385</v>
      </c>
      <c r="I81" s="63">
        <v>249</v>
      </c>
      <c r="J81" s="110">
        <f t="shared" si="8"/>
        <v>124.5</v>
      </c>
      <c r="K81" s="111">
        <f t="shared" si="9"/>
        <v>5.562248995983936</v>
      </c>
      <c r="L81" s="112">
        <f>872160.5+3062686.25+2016658.5+1330226.25+943221.5+742732+516667.5+450351.5+331944.75+238834+191406+133484.5+252388.75+88483.5+54821.5+50455.5+10393.5+13219.5+4551+15537+5404+869+4082+1834+3805+1635+750+1385</f>
        <v>11339987.5</v>
      </c>
      <c r="M81" s="113">
        <f>115039+364710+241056+162109+115810+90639+66180+59650+44695+33272+25508+18324+32600+11489+6695+7353+1723+3013+920+3530+1123+138+968+454+919+396+210+249</f>
        <v>1408772</v>
      </c>
      <c r="N81" s="114">
        <f t="shared" si="10"/>
        <v>8.049554860545213</v>
      </c>
      <c r="O81" s="230"/>
    </row>
    <row r="82" spans="1:15" ht="15">
      <c r="A82" s="160">
        <v>79</v>
      </c>
      <c r="B82" s="266" t="s">
        <v>33</v>
      </c>
      <c r="C82" s="242">
        <v>39995</v>
      </c>
      <c r="D82" s="243" t="s">
        <v>28</v>
      </c>
      <c r="E82" s="244">
        <v>209</v>
      </c>
      <c r="F82" s="244">
        <v>4</v>
      </c>
      <c r="G82" s="244">
        <v>29</v>
      </c>
      <c r="H82" s="51">
        <v>5898</v>
      </c>
      <c r="I82" s="245">
        <v>1381</v>
      </c>
      <c r="J82" s="246">
        <f t="shared" si="8"/>
        <v>345.25</v>
      </c>
      <c r="K82" s="111">
        <f t="shared" si="9"/>
        <v>4.270818247646633</v>
      </c>
      <c r="L82" s="112">
        <f>872160.5+3062686.25+2016658.5+1330226.25+943221.5+742732+516667.5+450351.5+331944.75+238834+191406+133484.5+252388.75+88483.5+54821.5+50455.5+10393.5+13219.5+4551+15537+5404+869+4082+1834+3805+1635+750+1385+2821+5898</f>
        <v>11348706.5</v>
      </c>
      <c r="M82" s="247">
        <f>115039+364710+241056+162109+115810+90639+66180+59650+44695+33272+25508+18324+32600+11489+6695+7353+1723+3013+920+3530+1123+138+968+454+919+396+210+249+551+1381</f>
        <v>1410704</v>
      </c>
      <c r="N82" s="114">
        <f t="shared" si="10"/>
        <v>8.044711363971464</v>
      </c>
      <c r="O82" s="272"/>
    </row>
    <row r="83" spans="1:15" ht="15">
      <c r="A83" s="160">
        <v>80</v>
      </c>
      <c r="B83" s="219" t="s">
        <v>88</v>
      </c>
      <c r="C83" s="34">
        <v>40109</v>
      </c>
      <c r="D83" s="206" t="s">
        <v>28</v>
      </c>
      <c r="E83" s="88">
        <v>25</v>
      </c>
      <c r="F83" s="88">
        <v>8</v>
      </c>
      <c r="G83" s="88">
        <v>12</v>
      </c>
      <c r="H83" s="51">
        <v>13931</v>
      </c>
      <c r="I83" s="63">
        <v>2457</v>
      </c>
      <c r="J83" s="110">
        <f t="shared" si="8"/>
        <v>307.125</v>
      </c>
      <c r="K83" s="207">
        <f t="shared" si="9"/>
        <v>5.66992266992267</v>
      </c>
      <c r="L83" s="112">
        <f>198009+121514.5+95148.5+66495+23091+12092+17648.5+7279+6352.5+7838.5+3895+13931</f>
        <v>573294.5</v>
      </c>
      <c r="M83" s="113">
        <f>27092+16078+14204+10980+3903+1664+3329+1236+1212+1399+730+2457</f>
        <v>84284</v>
      </c>
      <c r="N83" s="220">
        <f t="shared" si="10"/>
        <v>6.801937497033838</v>
      </c>
      <c r="O83" s="230">
        <v>1</v>
      </c>
    </row>
    <row r="84" spans="1:15" ht="15">
      <c r="A84" s="160">
        <v>81</v>
      </c>
      <c r="B84" s="79" t="s">
        <v>69</v>
      </c>
      <c r="C84" s="34">
        <v>40109</v>
      </c>
      <c r="D84" s="35" t="s">
        <v>28</v>
      </c>
      <c r="E84" s="88">
        <v>25</v>
      </c>
      <c r="F84" s="88">
        <v>5</v>
      </c>
      <c r="G84" s="88">
        <v>11</v>
      </c>
      <c r="H84" s="51">
        <v>3895</v>
      </c>
      <c r="I84" s="63">
        <v>730</v>
      </c>
      <c r="J84" s="110">
        <f t="shared" si="8"/>
        <v>146</v>
      </c>
      <c r="K84" s="111">
        <f t="shared" si="9"/>
        <v>5.335616438356165</v>
      </c>
      <c r="L84" s="112">
        <f>198009+121514.5+95148.5+66495+23091+12092+17648.5+7279+6352.5+7838.5+3895</f>
        <v>559363.5</v>
      </c>
      <c r="M84" s="113">
        <f>27092+16078+14204+10980+3903+1664+3329+1236+1212+1399+730</f>
        <v>81827</v>
      </c>
      <c r="N84" s="114">
        <f t="shared" si="10"/>
        <v>6.835928238845369</v>
      </c>
      <c r="O84" s="230">
        <v>1</v>
      </c>
    </row>
    <row r="85" spans="1:15" ht="15">
      <c r="A85" s="160">
        <v>82</v>
      </c>
      <c r="B85" s="266" t="s">
        <v>88</v>
      </c>
      <c r="C85" s="242">
        <v>40109</v>
      </c>
      <c r="D85" s="243" t="s">
        <v>28</v>
      </c>
      <c r="E85" s="244">
        <v>25</v>
      </c>
      <c r="F85" s="244">
        <v>7</v>
      </c>
      <c r="G85" s="244">
        <v>13</v>
      </c>
      <c r="H85" s="51">
        <v>9467.5</v>
      </c>
      <c r="I85" s="245">
        <v>1694</v>
      </c>
      <c r="J85" s="246">
        <f t="shared" si="8"/>
        <v>242</v>
      </c>
      <c r="K85" s="111">
        <f t="shared" si="9"/>
        <v>5.588842975206612</v>
      </c>
      <c r="L85" s="112">
        <f>198009+121514.5+95148.5+66495+23091+12092+17648.5+7279+6352.5+7838.5+3895+13931+9467.5</f>
        <v>582762</v>
      </c>
      <c r="M85" s="247">
        <f>27092+16078+14204+10980+3903+1664+3329+1236+1212+1399+730+2457+1694</f>
        <v>85978</v>
      </c>
      <c r="N85" s="114">
        <f t="shared" si="10"/>
        <v>6.778036241829305</v>
      </c>
      <c r="O85" s="272">
        <v>1</v>
      </c>
    </row>
    <row r="86" spans="1:15" ht="15">
      <c r="A86" s="160">
        <v>83</v>
      </c>
      <c r="B86" s="219" t="s">
        <v>116</v>
      </c>
      <c r="C86" s="34">
        <v>40074</v>
      </c>
      <c r="D86" s="206" t="s">
        <v>41</v>
      </c>
      <c r="E86" s="88">
        <v>20</v>
      </c>
      <c r="F86" s="88">
        <v>1</v>
      </c>
      <c r="G86" s="88">
        <v>8</v>
      </c>
      <c r="H86" s="52">
        <v>622</v>
      </c>
      <c r="I86" s="64">
        <v>104</v>
      </c>
      <c r="J86" s="132">
        <f>I86/F86</f>
        <v>104</v>
      </c>
      <c r="K86" s="205">
        <f>+H86/I86</f>
        <v>5.980769230769231</v>
      </c>
      <c r="L86" s="133">
        <f>29605.75+13687.5+1715.5+10167+0.5+1482+874+865+622</f>
        <v>59019.25</v>
      </c>
      <c r="M86" s="132">
        <f>2984+1583+274+1724+229+164+167+104</f>
        <v>7229</v>
      </c>
      <c r="N86" s="221">
        <f>+L86/M86</f>
        <v>8.164234333932772</v>
      </c>
      <c r="O86" s="229">
        <v>1</v>
      </c>
    </row>
    <row r="87" spans="1:15" ht="15">
      <c r="A87" s="160">
        <v>84</v>
      </c>
      <c r="B87" s="219" t="s">
        <v>160</v>
      </c>
      <c r="C87" s="34">
        <v>40074</v>
      </c>
      <c r="D87" s="206" t="s">
        <v>41</v>
      </c>
      <c r="E87" s="88">
        <v>20</v>
      </c>
      <c r="F87" s="88">
        <v>1</v>
      </c>
      <c r="G87" s="88">
        <v>9</v>
      </c>
      <c r="H87" s="52">
        <v>52</v>
      </c>
      <c r="I87" s="248">
        <v>12</v>
      </c>
      <c r="J87" s="252">
        <f>+I87/F87</f>
        <v>12</v>
      </c>
      <c r="K87" s="127">
        <f>+H87/I87</f>
        <v>4.333333333333333</v>
      </c>
      <c r="L87" s="133">
        <f>29605.75+13687.5+1715.5+10167+0.5+1482+874+865+622+52</f>
        <v>59071.25</v>
      </c>
      <c r="M87" s="249">
        <f>2984+1583+274+1724+229+164+167+104+12</f>
        <v>7241</v>
      </c>
      <c r="N87" s="130">
        <f>+L87/M87</f>
        <v>8.157885651153155</v>
      </c>
      <c r="O87" s="272">
        <v>1</v>
      </c>
    </row>
    <row r="88" spans="1:15" ht="15">
      <c r="A88" s="160">
        <v>85</v>
      </c>
      <c r="B88" s="219" t="s">
        <v>39</v>
      </c>
      <c r="C88" s="34">
        <v>40109</v>
      </c>
      <c r="D88" s="206" t="s">
        <v>28</v>
      </c>
      <c r="E88" s="88">
        <v>35</v>
      </c>
      <c r="F88" s="88">
        <v>4</v>
      </c>
      <c r="G88" s="88">
        <v>10</v>
      </c>
      <c r="H88" s="51">
        <v>2698</v>
      </c>
      <c r="I88" s="63">
        <v>403</v>
      </c>
      <c r="J88" s="110">
        <f>(I88/F88)</f>
        <v>100.75</v>
      </c>
      <c r="K88" s="207">
        <f>H88/I88</f>
        <v>6.694789081885856</v>
      </c>
      <c r="L88" s="112">
        <f>138311.75+79345.25+13093+10041+3739+971+1340+254+1082+2698</f>
        <v>250875</v>
      </c>
      <c r="M88" s="113">
        <f>12918+7558+2061+1540+644+195+252+48+177+403</f>
        <v>25796</v>
      </c>
      <c r="N88" s="220">
        <f>L88/M88</f>
        <v>9.725345014730966</v>
      </c>
      <c r="O88" s="230"/>
    </row>
    <row r="89" spans="1:15" ht="15">
      <c r="A89" s="160">
        <v>86</v>
      </c>
      <c r="B89" s="79" t="s">
        <v>39</v>
      </c>
      <c r="C89" s="34">
        <v>40109</v>
      </c>
      <c r="D89" s="35" t="s">
        <v>28</v>
      </c>
      <c r="E89" s="88">
        <v>35</v>
      </c>
      <c r="F89" s="88">
        <v>1</v>
      </c>
      <c r="G89" s="88">
        <v>9</v>
      </c>
      <c r="H89" s="51">
        <v>1082</v>
      </c>
      <c r="I89" s="63">
        <v>177</v>
      </c>
      <c r="J89" s="110">
        <f>(I89/F89)</f>
        <v>177</v>
      </c>
      <c r="K89" s="111">
        <f>H89/I89</f>
        <v>6.112994350282486</v>
      </c>
      <c r="L89" s="112">
        <f>138311.75+79345.25+13093+10041+3739+971+1340+254+1082</f>
        <v>248177</v>
      </c>
      <c r="M89" s="113">
        <f>12918+7558+2061+1540+644+195+252+48+177</f>
        <v>25393</v>
      </c>
      <c r="N89" s="114">
        <f>L89/M89</f>
        <v>9.77344149962588</v>
      </c>
      <c r="O89" s="230"/>
    </row>
    <row r="90" spans="1:15" ht="15">
      <c r="A90" s="160">
        <v>87</v>
      </c>
      <c r="B90" s="266" t="s">
        <v>39</v>
      </c>
      <c r="C90" s="242">
        <v>40109</v>
      </c>
      <c r="D90" s="243" t="s">
        <v>28</v>
      </c>
      <c r="E90" s="244">
        <v>35</v>
      </c>
      <c r="F90" s="244">
        <v>2</v>
      </c>
      <c r="G90" s="244">
        <v>11</v>
      </c>
      <c r="H90" s="51">
        <v>1314</v>
      </c>
      <c r="I90" s="245">
        <v>212</v>
      </c>
      <c r="J90" s="246">
        <f>(I90/F90)</f>
        <v>106</v>
      </c>
      <c r="K90" s="111">
        <f>H90/I90</f>
        <v>6.19811320754717</v>
      </c>
      <c r="L90" s="112">
        <f>138311.75+79345.25+13093+10041+3739+971+1340+254+1082+2698+1314</f>
        <v>252189</v>
      </c>
      <c r="M90" s="247">
        <f>12918+7558+2061+1540+644+195+252+48+177+403+212</f>
        <v>26008</v>
      </c>
      <c r="N90" s="114">
        <f>L90/M90</f>
        <v>9.696593355890496</v>
      </c>
      <c r="O90" s="272"/>
    </row>
    <row r="91" spans="1:15" ht="15">
      <c r="A91" s="160">
        <v>88</v>
      </c>
      <c r="B91" s="222" t="s">
        <v>117</v>
      </c>
      <c r="C91" s="36">
        <v>40088</v>
      </c>
      <c r="D91" s="208" t="s">
        <v>118</v>
      </c>
      <c r="E91" s="90">
        <v>55</v>
      </c>
      <c r="F91" s="90">
        <v>1</v>
      </c>
      <c r="G91" s="90">
        <v>10</v>
      </c>
      <c r="H91" s="56">
        <v>210</v>
      </c>
      <c r="I91" s="68">
        <v>42</v>
      </c>
      <c r="J91" s="126">
        <f>IF(H91&lt;&gt;0,I91/F91,"")</f>
        <v>42</v>
      </c>
      <c r="K91" s="210">
        <f>IF(H91&lt;&gt;0,H91/I91,"")</f>
        <v>5</v>
      </c>
      <c r="L91" s="131">
        <v>147461</v>
      </c>
      <c r="M91" s="132">
        <v>18201</v>
      </c>
      <c r="N91" s="223">
        <f>IF(L91&lt;&gt;0,L91/M91,"")</f>
        <v>8.101807592989395</v>
      </c>
      <c r="O91" s="229">
        <v>1</v>
      </c>
    </row>
    <row r="92" spans="1:15" ht="15">
      <c r="A92" s="160">
        <v>89</v>
      </c>
      <c r="B92" s="222" t="s">
        <v>155</v>
      </c>
      <c r="C92" s="36">
        <v>40088</v>
      </c>
      <c r="D92" s="208" t="s">
        <v>30</v>
      </c>
      <c r="E92" s="90">
        <v>55</v>
      </c>
      <c r="F92" s="90">
        <v>1</v>
      </c>
      <c r="G92" s="90">
        <v>11</v>
      </c>
      <c r="H92" s="56">
        <v>653</v>
      </c>
      <c r="I92" s="251">
        <v>131</v>
      </c>
      <c r="J92" s="252">
        <f>IF(H92&lt;&gt;0,I92/F92,"")</f>
        <v>131</v>
      </c>
      <c r="K92" s="127">
        <f>IF(H92&lt;&gt;0,H92/I92,"")</f>
        <v>4.984732824427481</v>
      </c>
      <c r="L92" s="131">
        <v>148114</v>
      </c>
      <c r="M92" s="249">
        <v>18332</v>
      </c>
      <c r="N92" s="130">
        <f>IF(L92&lt;&gt;0,L92/M92,"")</f>
        <v>8.079533056949597</v>
      </c>
      <c r="O92" s="272">
        <v>1</v>
      </c>
    </row>
    <row r="93" spans="1:15" ht="15">
      <c r="A93" s="160">
        <v>90</v>
      </c>
      <c r="B93" s="79" t="s">
        <v>77</v>
      </c>
      <c r="C93" s="34">
        <v>40109</v>
      </c>
      <c r="D93" s="35" t="s">
        <v>28</v>
      </c>
      <c r="E93" s="88">
        <v>179</v>
      </c>
      <c r="F93" s="88">
        <v>2</v>
      </c>
      <c r="G93" s="88">
        <v>11</v>
      </c>
      <c r="H93" s="51">
        <v>564</v>
      </c>
      <c r="I93" s="63">
        <v>91</v>
      </c>
      <c r="J93" s="110">
        <f>(I93/F93)</f>
        <v>45.5</v>
      </c>
      <c r="K93" s="111">
        <f>H93/I93</f>
        <v>6.197802197802198</v>
      </c>
      <c r="L93" s="112">
        <f>1128559+561773+266735+93447+7005+1818+273+24520+599+3199+564</f>
        <v>2088492</v>
      </c>
      <c r="M93" s="113">
        <f>129422+68620+41591+19064+1291+300+35+6130+81+717+91</f>
        <v>267342</v>
      </c>
      <c r="N93" s="114">
        <f>L93/M93</f>
        <v>7.8120609556298675</v>
      </c>
      <c r="O93" s="230">
        <v>1</v>
      </c>
    </row>
    <row r="94" spans="1:15" ht="15">
      <c r="A94" s="160">
        <v>91</v>
      </c>
      <c r="B94" s="266" t="s">
        <v>145</v>
      </c>
      <c r="C94" s="242">
        <v>40109</v>
      </c>
      <c r="D94" s="243" t="s">
        <v>28</v>
      </c>
      <c r="E94" s="244">
        <v>179</v>
      </c>
      <c r="F94" s="244">
        <v>1</v>
      </c>
      <c r="G94" s="244">
        <v>12</v>
      </c>
      <c r="H94" s="51">
        <v>1563</v>
      </c>
      <c r="I94" s="245">
        <v>274</v>
      </c>
      <c r="J94" s="246">
        <f>(I94/F94)</f>
        <v>274</v>
      </c>
      <c r="K94" s="111">
        <f>H94/I94</f>
        <v>5.704379562043796</v>
      </c>
      <c r="L94" s="112">
        <f>1128559+561773+266735+93447+7005+1818+273+24520+599+3199+564+1563</f>
        <v>2090055</v>
      </c>
      <c r="M94" s="247">
        <f>129422+68620+41591+19064+1291+300+35+6130+81+717+91+274</f>
        <v>267616</v>
      </c>
      <c r="N94" s="114">
        <f>L94/M94</f>
        <v>7.809902995336602</v>
      </c>
      <c r="O94" s="272">
        <v>1</v>
      </c>
    </row>
    <row r="95" spans="1:15" ht="15">
      <c r="A95" s="160">
        <v>92</v>
      </c>
      <c r="B95" s="219" t="s">
        <v>110</v>
      </c>
      <c r="C95" s="34">
        <v>39934</v>
      </c>
      <c r="D95" s="206" t="s">
        <v>41</v>
      </c>
      <c r="E95" s="88">
        <v>125</v>
      </c>
      <c r="F95" s="88">
        <v>1</v>
      </c>
      <c r="G95" s="88">
        <v>11</v>
      </c>
      <c r="H95" s="52">
        <v>1085</v>
      </c>
      <c r="I95" s="64">
        <v>217</v>
      </c>
      <c r="J95" s="132">
        <f>I95/F95</f>
        <v>217</v>
      </c>
      <c r="K95" s="205">
        <f>+H95/I95</f>
        <v>5</v>
      </c>
      <c r="L95" s="133">
        <f>114460.75+42138+22420+8194+3259+329+823+25444.5+546+3853+1085</f>
        <v>222552.25</v>
      </c>
      <c r="M95" s="132">
        <f>15343+6534+4108+1491+680+62+130+4241+100+770+217</f>
        <v>33676</v>
      </c>
      <c r="N95" s="221">
        <f>+L95/M95</f>
        <v>6.608630775626559</v>
      </c>
      <c r="O95" s="229">
        <v>1</v>
      </c>
    </row>
    <row r="96" spans="1:15" ht="15">
      <c r="A96" s="160">
        <v>93</v>
      </c>
      <c r="B96" s="219" t="s">
        <v>153</v>
      </c>
      <c r="C96" s="34">
        <v>39934</v>
      </c>
      <c r="D96" s="206" t="s">
        <v>41</v>
      </c>
      <c r="E96" s="88">
        <v>125</v>
      </c>
      <c r="F96" s="88">
        <v>1</v>
      </c>
      <c r="G96" s="88">
        <v>12</v>
      </c>
      <c r="H96" s="52">
        <v>700</v>
      </c>
      <c r="I96" s="248">
        <v>140</v>
      </c>
      <c r="J96" s="252">
        <f>+I96/F96</f>
        <v>140</v>
      </c>
      <c r="K96" s="127">
        <f>+H96/I96</f>
        <v>5</v>
      </c>
      <c r="L96" s="133">
        <f>114460.75+42138+22420+8194+3259+329+823+25444.5+546+3853+1085+700</f>
        <v>223252.25</v>
      </c>
      <c r="M96" s="249">
        <f>15343+6534+4108+1491+680+62+130+4241+100+770+217+140</f>
        <v>33816</v>
      </c>
      <c r="N96" s="135">
        <f>+L96/M96</f>
        <v>6.601970960492075</v>
      </c>
      <c r="O96" s="272">
        <v>1</v>
      </c>
    </row>
    <row r="97" spans="1:15" ht="15">
      <c r="A97" s="160">
        <v>94</v>
      </c>
      <c r="B97" s="80" t="s">
        <v>72</v>
      </c>
      <c r="C97" s="36">
        <v>40123</v>
      </c>
      <c r="D97" s="38" t="s">
        <v>30</v>
      </c>
      <c r="E97" s="90">
        <v>40</v>
      </c>
      <c r="F97" s="90">
        <v>3</v>
      </c>
      <c r="G97" s="90">
        <v>8</v>
      </c>
      <c r="H97" s="56">
        <v>2876</v>
      </c>
      <c r="I97" s="68">
        <v>477</v>
      </c>
      <c r="J97" s="126">
        <f>IF(H97&lt;&gt;0,I97/F97,"")</f>
        <v>159</v>
      </c>
      <c r="K97" s="127">
        <f>IF(H97&lt;&gt;0,H97/I97,"")</f>
        <v>6.029350104821803</v>
      </c>
      <c r="L97" s="131">
        <v>260364.25</v>
      </c>
      <c r="M97" s="132">
        <v>26330</v>
      </c>
      <c r="N97" s="130">
        <f>IF(L97&lt;&gt;0,L97/M97,"")</f>
        <v>9.888501709077099</v>
      </c>
      <c r="O97" s="230">
        <v>1</v>
      </c>
    </row>
    <row r="98" spans="1:15" ht="15">
      <c r="A98" s="160">
        <v>95</v>
      </c>
      <c r="B98" s="222" t="s">
        <v>103</v>
      </c>
      <c r="C98" s="36">
        <v>40123</v>
      </c>
      <c r="D98" s="208" t="s">
        <v>30</v>
      </c>
      <c r="E98" s="90">
        <v>40</v>
      </c>
      <c r="F98" s="90">
        <v>4</v>
      </c>
      <c r="G98" s="90">
        <v>9</v>
      </c>
      <c r="H98" s="56">
        <v>1672</v>
      </c>
      <c r="I98" s="68">
        <v>314</v>
      </c>
      <c r="J98" s="126">
        <f>IF(H98&lt;&gt;0,I98/F98,"")</f>
        <v>78.5</v>
      </c>
      <c r="K98" s="210">
        <f>IF(H98&lt;&gt;0,H98/I98,"")</f>
        <v>5.32484076433121</v>
      </c>
      <c r="L98" s="131">
        <v>262036.25</v>
      </c>
      <c r="M98" s="132">
        <v>26644</v>
      </c>
      <c r="N98" s="223">
        <f>IF(L98&lt;&gt;0,L98/M98,"")</f>
        <v>9.834718886053146</v>
      </c>
      <c r="O98" s="229">
        <v>1</v>
      </c>
    </row>
    <row r="99" spans="1:15" ht="15">
      <c r="A99" s="160">
        <v>96</v>
      </c>
      <c r="B99" s="222" t="s">
        <v>144</v>
      </c>
      <c r="C99" s="36">
        <v>40123</v>
      </c>
      <c r="D99" s="208" t="s">
        <v>30</v>
      </c>
      <c r="E99" s="90">
        <v>40</v>
      </c>
      <c r="F99" s="90">
        <v>5</v>
      </c>
      <c r="G99" s="90">
        <v>10</v>
      </c>
      <c r="H99" s="56">
        <v>1905</v>
      </c>
      <c r="I99" s="251">
        <v>315</v>
      </c>
      <c r="J99" s="252">
        <f>IF(H99&lt;&gt;0,I99/F99,"")</f>
        <v>63</v>
      </c>
      <c r="K99" s="127">
        <f>IF(H99&lt;&gt;0,H99/I99,"")</f>
        <v>6.0476190476190474</v>
      </c>
      <c r="L99" s="131">
        <v>263941.25</v>
      </c>
      <c r="M99" s="249">
        <v>26959</v>
      </c>
      <c r="N99" s="130">
        <f>IF(L99&lt;&gt;0,L99/M99,"")</f>
        <v>9.790468860120924</v>
      </c>
      <c r="O99" s="272">
        <v>1</v>
      </c>
    </row>
    <row r="100" spans="1:15" ht="15">
      <c r="A100" s="160">
        <v>97</v>
      </c>
      <c r="B100" s="79" t="s">
        <v>70</v>
      </c>
      <c r="C100" s="34">
        <v>40116</v>
      </c>
      <c r="D100" s="35" t="s">
        <v>41</v>
      </c>
      <c r="E100" s="88">
        <v>252</v>
      </c>
      <c r="F100" s="88">
        <v>3</v>
      </c>
      <c r="G100" s="88">
        <v>10</v>
      </c>
      <c r="H100" s="52">
        <v>3546</v>
      </c>
      <c r="I100" s="64">
        <v>675</v>
      </c>
      <c r="J100" s="126">
        <f>IF(H100&lt;&gt;0,I100/F100,"")</f>
        <v>225</v>
      </c>
      <c r="K100" s="127">
        <f>IF(H100&lt;&gt;0,H100/I100,"")</f>
        <v>5.253333333333333</v>
      </c>
      <c r="L100" s="133">
        <f>1669127.75+948082.25+584112.75-1430.5+253635+167357+9936+0.5+7987+1963+4065+3546</f>
        <v>3648381.75</v>
      </c>
      <c r="M100" s="132">
        <f>200044+117374+72700-112+36636+25117+1706+1163+472+1036+675</f>
        <v>456811</v>
      </c>
      <c r="N100" s="130">
        <f>IF(L100&lt;&gt;0,L100/M100,"")</f>
        <v>7.986632874427279</v>
      </c>
      <c r="O100" s="230">
        <v>1</v>
      </c>
    </row>
    <row r="101" spans="1:15" ht="15">
      <c r="A101" s="160">
        <v>98</v>
      </c>
      <c r="B101" s="219" t="s">
        <v>107</v>
      </c>
      <c r="C101" s="34">
        <v>40116</v>
      </c>
      <c r="D101" s="206" t="s">
        <v>41</v>
      </c>
      <c r="E101" s="88">
        <v>252</v>
      </c>
      <c r="F101" s="88">
        <v>2</v>
      </c>
      <c r="G101" s="88">
        <v>11</v>
      </c>
      <c r="H101" s="52">
        <v>1275</v>
      </c>
      <c r="I101" s="64">
        <v>224</v>
      </c>
      <c r="J101" s="132">
        <f>I101/F101</f>
        <v>112</v>
      </c>
      <c r="K101" s="205">
        <f>+H101/I101</f>
        <v>5.691964285714286</v>
      </c>
      <c r="L101" s="133">
        <f>1669127.75+948082.25+584112.75-1430.5+253635+167357+9936+0.5+7987+1963+4065+3546+1275</f>
        <v>3649656.75</v>
      </c>
      <c r="M101" s="132">
        <f>200044+117374+72700-112+36636+25117+1706+1163+472+1036+675+224</f>
        <v>457035</v>
      </c>
      <c r="N101" s="221">
        <f>+L101/M101</f>
        <v>7.985508221471004</v>
      </c>
      <c r="O101" s="229">
        <v>1</v>
      </c>
    </row>
    <row r="102" spans="1:15" ht="15">
      <c r="A102" s="160">
        <v>99</v>
      </c>
      <c r="B102" s="219" t="s">
        <v>146</v>
      </c>
      <c r="C102" s="34">
        <v>40116</v>
      </c>
      <c r="D102" s="206" t="s">
        <v>41</v>
      </c>
      <c r="E102" s="88">
        <v>252</v>
      </c>
      <c r="F102" s="88">
        <v>3</v>
      </c>
      <c r="G102" s="88">
        <v>12</v>
      </c>
      <c r="H102" s="52">
        <v>1470</v>
      </c>
      <c r="I102" s="248">
        <v>234</v>
      </c>
      <c r="J102" s="252">
        <f>+I102/F102</f>
        <v>78</v>
      </c>
      <c r="K102" s="127">
        <f>+H102/I102</f>
        <v>6.282051282051282</v>
      </c>
      <c r="L102" s="133">
        <f>1669127.75+948082.25+584112.75-1430.5+253635+167357+9936+0.5+7987+1963+4065+3546+1275+1470</f>
        <v>3651126.75</v>
      </c>
      <c r="M102" s="249">
        <f>200044+117374+72700-112+36636+25117+1706+1163+472+1036+675+224+234</f>
        <v>457269</v>
      </c>
      <c r="N102" s="135">
        <f>+L102/M102</f>
        <v>7.984636504989404</v>
      </c>
      <c r="O102" s="272">
        <v>1</v>
      </c>
    </row>
    <row r="103" spans="1:15" ht="15">
      <c r="A103" s="160">
        <v>100</v>
      </c>
      <c r="B103" s="222" t="s">
        <v>114</v>
      </c>
      <c r="C103" s="36">
        <v>40116</v>
      </c>
      <c r="D103" s="208" t="s">
        <v>30</v>
      </c>
      <c r="E103" s="90">
        <v>88</v>
      </c>
      <c r="F103" s="90">
        <v>3</v>
      </c>
      <c r="G103" s="90">
        <v>10</v>
      </c>
      <c r="H103" s="56">
        <v>720</v>
      </c>
      <c r="I103" s="68">
        <v>126</v>
      </c>
      <c r="J103" s="126">
        <f>IF(H103&lt;&gt;0,I103/F103,"")</f>
        <v>42</v>
      </c>
      <c r="K103" s="210">
        <f>IF(H103&lt;&gt;0,H103/I103,"")</f>
        <v>5.714285714285714</v>
      </c>
      <c r="L103" s="131">
        <v>277792</v>
      </c>
      <c r="M103" s="132">
        <v>37243</v>
      </c>
      <c r="N103" s="223">
        <f>IF(L103&lt;&gt;0,L103/M103,"")</f>
        <v>7.458905029132992</v>
      </c>
      <c r="O103" s="229">
        <v>1</v>
      </c>
    </row>
    <row r="104" spans="1:15" ht="15">
      <c r="A104" s="160">
        <v>101</v>
      </c>
      <c r="B104" s="222" t="s">
        <v>154</v>
      </c>
      <c r="C104" s="36">
        <v>40116</v>
      </c>
      <c r="D104" s="208" t="s">
        <v>30</v>
      </c>
      <c r="E104" s="90">
        <v>88</v>
      </c>
      <c r="F104" s="90">
        <v>1</v>
      </c>
      <c r="G104" s="90">
        <v>11</v>
      </c>
      <c r="H104" s="56">
        <v>693</v>
      </c>
      <c r="I104" s="251">
        <v>127</v>
      </c>
      <c r="J104" s="252">
        <f>IF(H104&lt;&gt;0,I104/F104,"")</f>
        <v>127</v>
      </c>
      <c r="K104" s="127">
        <f>IF(H104&lt;&gt;0,H104/I104,"")</f>
        <v>5.456692913385827</v>
      </c>
      <c r="L104" s="131">
        <v>278485</v>
      </c>
      <c r="M104" s="249">
        <v>37370</v>
      </c>
      <c r="N104" s="130">
        <f>IF(L104&lt;&gt;0,L104/M104,"")</f>
        <v>7.452100615466952</v>
      </c>
      <c r="O104" s="272">
        <v>1</v>
      </c>
    </row>
    <row r="105" spans="1:15" ht="15">
      <c r="A105" s="160">
        <v>102</v>
      </c>
      <c r="B105" s="79" t="s">
        <v>63</v>
      </c>
      <c r="C105" s="34">
        <v>40137</v>
      </c>
      <c r="D105" s="35" t="s">
        <v>41</v>
      </c>
      <c r="E105" s="88">
        <v>311</v>
      </c>
      <c r="F105" s="88">
        <v>3</v>
      </c>
      <c r="G105" s="88">
        <v>7</v>
      </c>
      <c r="H105" s="52">
        <v>39718</v>
      </c>
      <c r="I105" s="64">
        <v>6551</v>
      </c>
      <c r="J105" s="126">
        <f>IF(H105&lt;&gt;0,I105/F105,"")</f>
        <v>2183.6666666666665</v>
      </c>
      <c r="K105" s="127">
        <f>IF(H105&lt;&gt;0,H105/I105,"")</f>
        <v>6.06289116165471</v>
      </c>
      <c r="L105" s="133">
        <f>3304754.25+2499078+631694+23+231806.5+262+75092+83827.5+39718+180</f>
        <v>6866435.25</v>
      </c>
      <c r="M105" s="132">
        <f>413699+312050+80320+31253+42+12537-15+13061+6551+45</f>
        <v>869543</v>
      </c>
      <c r="N105" s="130">
        <f>IF(L105&lt;&gt;0,L105/M105,"")</f>
        <v>7.896602295688655</v>
      </c>
      <c r="O105" s="230">
        <v>1</v>
      </c>
    </row>
    <row r="106" spans="1:15" ht="15">
      <c r="A106" s="160">
        <v>103</v>
      </c>
      <c r="B106" s="219" t="s">
        <v>119</v>
      </c>
      <c r="C106" s="34">
        <v>40137</v>
      </c>
      <c r="D106" s="206" t="s">
        <v>41</v>
      </c>
      <c r="E106" s="88">
        <v>311</v>
      </c>
      <c r="F106" s="88">
        <v>1</v>
      </c>
      <c r="G106" s="88">
        <v>8</v>
      </c>
      <c r="H106" s="52">
        <v>150</v>
      </c>
      <c r="I106" s="64">
        <v>15</v>
      </c>
      <c r="J106" s="132">
        <f>I106/F106</f>
        <v>15</v>
      </c>
      <c r="K106" s="205">
        <f>+H106/I106</f>
        <v>10</v>
      </c>
      <c r="L106" s="133">
        <f>3304754.25+2499078+631694+23+231806.5+262+75092+83827.5+39718+180+150</f>
        <v>6866585.25</v>
      </c>
      <c r="M106" s="132">
        <f>413699+312050+80320+31253+42+12537-15+13061+6551+45+15</f>
        <v>869558</v>
      </c>
      <c r="N106" s="221">
        <f>+L106/M106</f>
        <v>7.896638579600211</v>
      </c>
      <c r="O106" s="229">
        <v>1</v>
      </c>
    </row>
    <row r="107" spans="1:15" ht="15">
      <c r="A107" s="160">
        <v>104</v>
      </c>
      <c r="B107" s="219" t="s">
        <v>119</v>
      </c>
      <c r="C107" s="34">
        <v>40137</v>
      </c>
      <c r="D107" s="206" t="s">
        <v>41</v>
      </c>
      <c r="E107" s="88">
        <v>311</v>
      </c>
      <c r="F107" s="88">
        <v>2</v>
      </c>
      <c r="G107" s="88">
        <v>9</v>
      </c>
      <c r="H107" s="52">
        <v>8500.5</v>
      </c>
      <c r="I107" s="248">
        <v>1409</v>
      </c>
      <c r="J107" s="252">
        <f>+I107/F107</f>
        <v>704.5</v>
      </c>
      <c r="K107" s="127">
        <f>+H107/I107</f>
        <v>6.033002129169624</v>
      </c>
      <c r="L107" s="133">
        <f>3304754.25+2499078+631694+23+231806.5+262+75092+83827.5+39718+180+150+8500+0.5</f>
        <v>6875085.75</v>
      </c>
      <c r="M107" s="249">
        <f>413699+312050+80320+31253+42+12537-15+13061+6551+45+15+1409</f>
        <v>870967</v>
      </c>
      <c r="N107" s="135">
        <f>+L107/M107</f>
        <v>7.893623696420186</v>
      </c>
      <c r="O107" s="272">
        <v>1</v>
      </c>
    </row>
    <row r="108" spans="1:15" ht="15">
      <c r="A108" s="160">
        <v>105</v>
      </c>
      <c r="B108" s="222" t="s">
        <v>34</v>
      </c>
      <c r="C108" s="36">
        <v>40067</v>
      </c>
      <c r="D108" s="208" t="s">
        <v>30</v>
      </c>
      <c r="E108" s="90">
        <v>105</v>
      </c>
      <c r="F108" s="90">
        <v>9</v>
      </c>
      <c r="G108" s="90">
        <v>18</v>
      </c>
      <c r="H108" s="56">
        <v>4342.75</v>
      </c>
      <c r="I108" s="68">
        <v>845</v>
      </c>
      <c r="J108" s="126">
        <f>IF(H108&lt;&gt;0,I108/F108,"")</f>
        <v>93.88888888888889</v>
      </c>
      <c r="K108" s="210">
        <f>IF(H108&lt;&gt;0,H108/I108,"")</f>
        <v>5.139349112426036</v>
      </c>
      <c r="L108" s="131">
        <v>614319.5</v>
      </c>
      <c r="M108" s="132">
        <v>72096</v>
      </c>
      <c r="N108" s="223">
        <f>IF(L108&lt;&gt;0,L108/M108,"")</f>
        <v>8.520854138925877</v>
      </c>
      <c r="O108" s="229"/>
    </row>
    <row r="109" spans="1:15" ht="15">
      <c r="A109" s="160">
        <v>106</v>
      </c>
      <c r="B109" s="80" t="s">
        <v>34</v>
      </c>
      <c r="C109" s="36">
        <v>40067</v>
      </c>
      <c r="D109" s="38" t="s">
        <v>30</v>
      </c>
      <c r="E109" s="90">
        <v>105</v>
      </c>
      <c r="F109" s="90">
        <v>7</v>
      </c>
      <c r="G109" s="90">
        <v>17</v>
      </c>
      <c r="H109" s="56">
        <v>810</v>
      </c>
      <c r="I109" s="68">
        <v>154</v>
      </c>
      <c r="J109" s="126">
        <f>IF(H109&lt;&gt;0,I109/F109,"")</f>
        <v>22</v>
      </c>
      <c r="K109" s="127">
        <f>IF(H109&lt;&gt;0,H109/I109,"")</f>
        <v>5.259740259740259</v>
      </c>
      <c r="L109" s="131">
        <v>609976.75</v>
      </c>
      <c r="M109" s="132">
        <v>71251</v>
      </c>
      <c r="N109" s="130">
        <f>IF(L109&lt;&gt;0,L109/M109,"")</f>
        <v>8.56095703919945</v>
      </c>
      <c r="O109" s="230"/>
    </row>
    <row r="110" spans="1:15" ht="15">
      <c r="A110" s="160">
        <v>107</v>
      </c>
      <c r="B110" s="222" t="s">
        <v>34</v>
      </c>
      <c r="C110" s="36">
        <v>40067</v>
      </c>
      <c r="D110" s="208" t="s">
        <v>30</v>
      </c>
      <c r="E110" s="90">
        <v>105</v>
      </c>
      <c r="F110" s="90">
        <v>10</v>
      </c>
      <c r="G110" s="90">
        <v>19</v>
      </c>
      <c r="H110" s="56">
        <v>7181.5</v>
      </c>
      <c r="I110" s="251">
        <v>1825</v>
      </c>
      <c r="J110" s="252">
        <f>IF(H110&lt;&gt;0,I110/F110,"")</f>
        <v>182.5</v>
      </c>
      <c r="K110" s="127">
        <f>IF(H110&lt;&gt;0,H110/I110,"")</f>
        <v>3.935068493150685</v>
      </c>
      <c r="L110" s="131">
        <v>621501</v>
      </c>
      <c r="M110" s="249">
        <v>73921</v>
      </c>
      <c r="N110" s="130">
        <f>IF(L110&lt;&gt;0,L110/M110,"")</f>
        <v>8.407637883686638</v>
      </c>
      <c r="O110" s="272"/>
    </row>
    <row r="111" spans="1:15" ht="15">
      <c r="A111" s="160">
        <v>108</v>
      </c>
      <c r="B111" s="79" t="s">
        <v>32</v>
      </c>
      <c r="C111" s="34">
        <v>39871</v>
      </c>
      <c r="D111" s="40" t="s">
        <v>28</v>
      </c>
      <c r="E111" s="88">
        <v>1</v>
      </c>
      <c r="F111" s="88">
        <v>1</v>
      </c>
      <c r="G111" s="88">
        <v>21</v>
      </c>
      <c r="H111" s="51">
        <v>1780</v>
      </c>
      <c r="I111" s="63">
        <v>445</v>
      </c>
      <c r="J111" s="110">
        <f>(I111/F111)</f>
        <v>445</v>
      </c>
      <c r="K111" s="111">
        <f>H111/I111</f>
        <v>4</v>
      </c>
      <c r="L111" s="112">
        <f>1088+1510+1304+856+387+214+424+106+162+130+476+60.5+118+96+1664+1780+454+259.5+1188+119.5+1188+1780</f>
        <v>15364.5</v>
      </c>
      <c r="M111" s="113">
        <f>267+175+155+102+46+26+51+12+18+16+57+8+22+16+416+445+57+31+297+19+297+445</f>
        <v>2978</v>
      </c>
      <c r="N111" s="114">
        <f>L111/M111</f>
        <v>5.15933512424446</v>
      </c>
      <c r="O111" s="230"/>
    </row>
    <row r="112" spans="1:15" ht="15">
      <c r="A112" s="160">
        <v>109</v>
      </c>
      <c r="B112" s="219" t="s">
        <v>32</v>
      </c>
      <c r="C112" s="34">
        <v>39871</v>
      </c>
      <c r="D112" s="211" t="s">
        <v>28</v>
      </c>
      <c r="E112" s="88">
        <v>1</v>
      </c>
      <c r="F112" s="88">
        <v>1</v>
      </c>
      <c r="G112" s="88">
        <v>22</v>
      </c>
      <c r="H112" s="51">
        <v>1780</v>
      </c>
      <c r="I112" s="63">
        <v>445</v>
      </c>
      <c r="J112" s="110">
        <f>(I112/F112)</f>
        <v>445</v>
      </c>
      <c r="K112" s="207">
        <f>H112/I112</f>
        <v>4</v>
      </c>
      <c r="L112" s="112">
        <f>1088+1510+1304+856+387+214+424+106+162+130+476+60.5+118+96+1664+1780+454+259.5+1188+119.5+1188+1780+1780</f>
        <v>17144.5</v>
      </c>
      <c r="M112" s="113">
        <f>267+175+155+102+46+26+51+12+18+16+57+8+22+16+416+445+57+31+297+19+297+445+445</f>
        <v>3423</v>
      </c>
      <c r="N112" s="220">
        <f>L112/M112</f>
        <v>5.0086181711948585</v>
      </c>
      <c r="O112" s="230"/>
    </row>
    <row r="113" spans="1:15" ht="15">
      <c r="A113" s="160">
        <v>110</v>
      </c>
      <c r="B113" s="225" t="s">
        <v>91</v>
      </c>
      <c r="C113" s="36">
        <v>40158</v>
      </c>
      <c r="D113" s="211" t="s">
        <v>92</v>
      </c>
      <c r="E113" s="214" t="s">
        <v>93</v>
      </c>
      <c r="F113" s="214" t="s">
        <v>93</v>
      </c>
      <c r="G113" s="214" t="s">
        <v>94</v>
      </c>
      <c r="H113" s="55">
        <v>10169</v>
      </c>
      <c r="I113" s="67">
        <v>1579</v>
      </c>
      <c r="J113" s="136">
        <f>+I113/F113</f>
        <v>157.9</v>
      </c>
      <c r="K113" s="210">
        <f>IF(H113&lt;&gt;0,H113/I113,"")</f>
        <v>6.440151994933502</v>
      </c>
      <c r="L113" s="128">
        <v>104779</v>
      </c>
      <c r="M113" s="129">
        <v>9582</v>
      </c>
      <c r="N113" s="223">
        <f>IF(L113&lt;&gt;0,L113/M113,"")</f>
        <v>10.934982258401169</v>
      </c>
      <c r="O113" s="229"/>
    </row>
    <row r="114" spans="1:15" ht="15">
      <c r="A114" s="160">
        <v>111</v>
      </c>
      <c r="B114" s="225" t="s">
        <v>91</v>
      </c>
      <c r="C114" s="36">
        <v>40158</v>
      </c>
      <c r="D114" s="211" t="s">
        <v>92</v>
      </c>
      <c r="E114" s="214" t="s">
        <v>93</v>
      </c>
      <c r="F114" s="214" t="s">
        <v>93</v>
      </c>
      <c r="G114" s="214" t="s">
        <v>135</v>
      </c>
      <c r="H114" s="55">
        <v>9421</v>
      </c>
      <c r="I114" s="256">
        <v>1421</v>
      </c>
      <c r="J114" s="258">
        <f>+I114/F114</f>
        <v>142.1</v>
      </c>
      <c r="K114" s="173"/>
      <c r="L114" s="128">
        <v>114200</v>
      </c>
      <c r="M114" s="257">
        <v>11003</v>
      </c>
      <c r="N114" s="130">
        <f>IF(L114&lt;&gt;0,L114/M114,"")</f>
        <v>10.378987548850313</v>
      </c>
      <c r="O114" s="272"/>
    </row>
    <row r="115" spans="1:15" ht="15">
      <c r="A115" s="160">
        <v>112</v>
      </c>
      <c r="B115" s="219" t="s">
        <v>147</v>
      </c>
      <c r="C115" s="34">
        <v>39920</v>
      </c>
      <c r="D115" s="206" t="s">
        <v>28</v>
      </c>
      <c r="E115" s="88">
        <v>43</v>
      </c>
      <c r="F115" s="88">
        <v>1</v>
      </c>
      <c r="G115" s="88">
        <v>26</v>
      </c>
      <c r="H115" s="51">
        <v>1188</v>
      </c>
      <c r="I115" s="245">
        <v>297</v>
      </c>
      <c r="J115" s="246">
        <f>(I115/F115)</f>
        <v>297</v>
      </c>
      <c r="K115" s="111">
        <f>H115/I115</f>
        <v>4</v>
      </c>
      <c r="L115" s="112">
        <f>71921.5+55489+28896+23842.5+13474.5+19552.5+14027+10409+7091.5+1088.5+1046+1608+982+3368+433+2156+3870+2362+588+3564+2376+1424+1780+1424+1512+1188</f>
        <v>275473</v>
      </c>
      <c r="M115" s="247">
        <f>9131+7791+4520+4728+2735+3857+3026+2110+1463+203+226+324+239+809+81+469+941+537+95+891+594+356+445+356+378+297</f>
        <v>46602</v>
      </c>
      <c r="N115" s="114">
        <f>L115/M115</f>
        <v>5.911184069353246</v>
      </c>
      <c r="O115" s="272">
        <v>1</v>
      </c>
    </row>
    <row r="116" spans="1:15" ht="15">
      <c r="A116" s="160">
        <v>113</v>
      </c>
      <c r="B116" s="80" t="s">
        <v>68</v>
      </c>
      <c r="C116" s="36">
        <v>40102</v>
      </c>
      <c r="D116" s="38" t="s">
        <v>30</v>
      </c>
      <c r="E116" s="90">
        <v>319</v>
      </c>
      <c r="F116" s="90">
        <v>13</v>
      </c>
      <c r="G116" s="90">
        <v>12</v>
      </c>
      <c r="H116" s="56">
        <v>6659</v>
      </c>
      <c r="I116" s="68">
        <v>990</v>
      </c>
      <c r="J116" s="126">
        <f>IF(H116&lt;&gt;0,I116/F116,"")</f>
        <v>76.15384615384616</v>
      </c>
      <c r="K116" s="127">
        <f>IF(H116&lt;&gt;0,H116/I116,"")</f>
        <v>6.726262626262626</v>
      </c>
      <c r="L116" s="131">
        <v>19727039.25</v>
      </c>
      <c r="M116" s="132">
        <v>2420126</v>
      </c>
      <c r="N116" s="130">
        <f>IF(L116&lt;&gt;0,L116/M116,"")</f>
        <v>8.151244707920165</v>
      </c>
      <c r="O116" s="230">
        <v>1</v>
      </c>
    </row>
    <row r="117" spans="1:15" ht="15">
      <c r="A117" s="160">
        <v>114</v>
      </c>
      <c r="B117" s="222" t="s">
        <v>100</v>
      </c>
      <c r="C117" s="36">
        <v>40102</v>
      </c>
      <c r="D117" s="208" t="s">
        <v>30</v>
      </c>
      <c r="E117" s="90">
        <v>319</v>
      </c>
      <c r="F117" s="90">
        <v>7</v>
      </c>
      <c r="G117" s="90">
        <v>13</v>
      </c>
      <c r="H117" s="56">
        <v>1900</v>
      </c>
      <c r="I117" s="68">
        <v>264</v>
      </c>
      <c r="J117" s="126">
        <f>IF(H117&lt;&gt;0,I117/F117,"")</f>
        <v>37.714285714285715</v>
      </c>
      <c r="K117" s="210">
        <f>IF(H117&lt;&gt;0,H117/I117,"")</f>
        <v>7.196969696969697</v>
      </c>
      <c r="L117" s="131">
        <v>19728939.25</v>
      </c>
      <c r="M117" s="132">
        <v>2420390</v>
      </c>
      <c r="N117" s="223">
        <f>IF(L117&lt;&gt;0,L117/M117,"")</f>
        <v>8.151140621965881</v>
      </c>
      <c r="O117" s="229">
        <v>1</v>
      </c>
    </row>
    <row r="118" spans="1:15" ht="15">
      <c r="A118" s="160">
        <v>115</v>
      </c>
      <c r="B118" s="222" t="s">
        <v>140</v>
      </c>
      <c r="C118" s="36">
        <v>40102</v>
      </c>
      <c r="D118" s="208" t="s">
        <v>30</v>
      </c>
      <c r="E118" s="90">
        <v>319</v>
      </c>
      <c r="F118" s="90">
        <v>6</v>
      </c>
      <c r="G118" s="90">
        <v>14</v>
      </c>
      <c r="H118" s="56">
        <v>3814</v>
      </c>
      <c r="I118" s="251">
        <v>755</v>
      </c>
      <c r="J118" s="252">
        <f>IF(H118&lt;&gt;0,I118/F118,"")</f>
        <v>125.83333333333333</v>
      </c>
      <c r="K118" s="127">
        <f>IF(H118&lt;&gt;0,H118/I118,"")</f>
        <v>5.051655629139073</v>
      </c>
      <c r="L118" s="131">
        <v>19732753.25</v>
      </c>
      <c r="M118" s="249">
        <v>2421145</v>
      </c>
      <c r="N118" s="130">
        <f>IF(L118&lt;&gt;0,L118/M118,"")</f>
        <v>8.15017409118413</v>
      </c>
      <c r="O118" s="272">
        <v>1</v>
      </c>
    </row>
    <row r="119" spans="1:15" ht="15">
      <c r="A119" s="160">
        <v>116</v>
      </c>
      <c r="B119" s="81" t="s">
        <v>58</v>
      </c>
      <c r="C119" s="36">
        <v>40144</v>
      </c>
      <c r="D119" s="39" t="s">
        <v>5</v>
      </c>
      <c r="E119" s="91">
        <v>258</v>
      </c>
      <c r="F119" s="91">
        <v>176</v>
      </c>
      <c r="G119" s="91">
        <v>6</v>
      </c>
      <c r="H119" s="53">
        <v>225694.5</v>
      </c>
      <c r="I119" s="65">
        <v>35788</v>
      </c>
      <c r="J119" s="117">
        <f>I119/F119</f>
        <v>203.3409090909091</v>
      </c>
      <c r="K119" s="118">
        <f>H119/I119</f>
        <v>6.306429529451212</v>
      </c>
      <c r="L119" s="119">
        <v>9551615.25</v>
      </c>
      <c r="M119" s="120">
        <v>1107368</v>
      </c>
      <c r="N119" s="121">
        <f>+L119/M119</f>
        <v>8.625511347627889</v>
      </c>
      <c r="O119" s="230">
        <v>1</v>
      </c>
    </row>
    <row r="120" spans="1:15" ht="15">
      <c r="A120" s="160">
        <v>117</v>
      </c>
      <c r="B120" s="224" t="s">
        <v>85</v>
      </c>
      <c r="C120" s="36">
        <v>40144</v>
      </c>
      <c r="D120" s="212" t="s">
        <v>5</v>
      </c>
      <c r="E120" s="91">
        <v>258</v>
      </c>
      <c r="F120" s="91">
        <v>55</v>
      </c>
      <c r="G120" s="91">
        <v>7</v>
      </c>
      <c r="H120" s="53">
        <v>58586</v>
      </c>
      <c r="I120" s="65">
        <v>9274</v>
      </c>
      <c r="J120" s="117">
        <f>I120/F120</f>
        <v>168.61818181818182</v>
      </c>
      <c r="K120" s="213">
        <f>H120/I120</f>
        <v>6.317230968298468</v>
      </c>
      <c r="L120" s="119">
        <v>9610201.25</v>
      </c>
      <c r="M120" s="120">
        <v>1116642</v>
      </c>
      <c r="N120" s="223">
        <f>IF(L120&lt;&gt;0,L120/M120,"")</f>
        <v>8.60634048334202</v>
      </c>
      <c r="O120" s="229">
        <v>1</v>
      </c>
    </row>
    <row r="121" spans="1:15" ht="15">
      <c r="A121" s="160">
        <v>118</v>
      </c>
      <c r="B121" s="224" t="s">
        <v>131</v>
      </c>
      <c r="C121" s="36">
        <v>40144</v>
      </c>
      <c r="D121" s="212" t="s">
        <v>5</v>
      </c>
      <c r="E121" s="91">
        <v>258</v>
      </c>
      <c r="F121" s="91">
        <v>27</v>
      </c>
      <c r="G121" s="91">
        <v>8</v>
      </c>
      <c r="H121" s="53">
        <v>33984.5</v>
      </c>
      <c r="I121" s="253">
        <v>5492</v>
      </c>
      <c r="J121" s="254">
        <f>I121/F121</f>
        <v>203.40740740740742</v>
      </c>
      <c r="K121" s="118">
        <f>H121/I121</f>
        <v>6.18800072833212</v>
      </c>
      <c r="L121" s="119">
        <v>9644185.75</v>
      </c>
      <c r="M121" s="255">
        <v>1122134</v>
      </c>
      <c r="N121" s="130">
        <f>IF(L121&lt;&gt;0,L121/M121,"")</f>
        <v>8.59450453332668</v>
      </c>
      <c r="O121" s="272">
        <v>1</v>
      </c>
    </row>
    <row r="122" spans="1:15" ht="15">
      <c r="A122" s="160">
        <v>119</v>
      </c>
      <c r="B122" s="79" t="s">
        <v>74</v>
      </c>
      <c r="C122" s="34">
        <v>39941</v>
      </c>
      <c r="D122" s="40" t="s">
        <v>28</v>
      </c>
      <c r="E122" s="88">
        <v>26</v>
      </c>
      <c r="F122" s="88">
        <v>1</v>
      </c>
      <c r="G122" s="88">
        <v>21</v>
      </c>
      <c r="H122" s="51">
        <v>1780</v>
      </c>
      <c r="I122" s="63">
        <v>445</v>
      </c>
      <c r="J122" s="110">
        <f>(I122/F122)</f>
        <v>445</v>
      </c>
      <c r="K122" s="111">
        <f>H122/I122</f>
        <v>4</v>
      </c>
      <c r="L122" s="112">
        <f>36482.75+16583.5+5922.75+3249+4769+4925+4199.5+5525+366+924+414+2215+2444+33+1987+838+1440+537+604+3792+2376+1780</f>
        <v>101406.5</v>
      </c>
      <c r="M122" s="113">
        <f>4495+1934+744+517+1003+1215+722+968+65+193+83+369+384+5+336+159+238+83+151+948+594+445</f>
        <v>15651</v>
      </c>
      <c r="N122" s="114">
        <f>L122/M122</f>
        <v>6.479234553702639</v>
      </c>
      <c r="O122" s="230">
        <v>1</v>
      </c>
    </row>
    <row r="123" spans="1:15" ht="15">
      <c r="A123" s="160">
        <v>120</v>
      </c>
      <c r="B123" s="219" t="s">
        <v>101</v>
      </c>
      <c r="C123" s="34">
        <v>39829</v>
      </c>
      <c r="D123" s="211" t="s">
        <v>28</v>
      </c>
      <c r="E123" s="88">
        <v>65</v>
      </c>
      <c r="F123" s="88">
        <v>1</v>
      </c>
      <c r="G123" s="88">
        <v>34</v>
      </c>
      <c r="H123" s="51">
        <v>1780</v>
      </c>
      <c r="I123" s="63">
        <v>445</v>
      </c>
      <c r="J123" s="110">
        <f>(I123/F123)</f>
        <v>445</v>
      </c>
      <c r="K123" s="207">
        <f>H123/I123</f>
        <v>4</v>
      </c>
      <c r="L123" s="112">
        <f>237023+244842+160469+47021+21536+18820+18020.5+26440+10695+9162.5+9870+6322+1787+2032+757+348+420.5+158+4053+339.5+3161.5+1729.5+752+1417+1780+64+1208+952+552+139.5+544+40+8072+1780</f>
        <v>842307.5</v>
      </c>
      <c r="M123" s="113">
        <f>25678+28966+21290+6590+4890+3520+3479+4786+1907+1716+2388+1533+368+541+126+70+67+48+991+81+743+414+155+169+445+16+302+238+117+23+48+12+2018+445</f>
        <v>114180</v>
      </c>
      <c r="N123" s="220">
        <f>L123/M123</f>
        <v>7.377014363286039</v>
      </c>
      <c r="O123" s="230"/>
    </row>
    <row r="124" spans="1:15" ht="15">
      <c r="A124" s="160">
        <v>121</v>
      </c>
      <c r="B124" s="219" t="s">
        <v>98</v>
      </c>
      <c r="C124" s="34">
        <v>40172</v>
      </c>
      <c r="D124" s="206" t="s">
        <v>41</v>
      </c>
      <c r="E124" s="88">
        <v>10</v>
      </c>
      <c r="F124" s="88">
        <v>9</v>
      </c>
      <c r="G124" s="88">
        <v>3</v>
      </c>
      <c r="H124" s="52">
        <v>3129.5</v>
      </c>
      <c r="I124" s="64">
        <v>431</v>
      </c>
      <c r="J124" s="132">
        <f>I124/F124</f>
        <v>47.888888888888886</v>
      </c>
      <c r="K124" s="205">
        <f>+H124/I124</f>
        <v>7.261020881670533</v>
      </c>
      <c r="L124" s="133">
        <f>9917+0.75+3107+3129+0.5</f>
        <v>16154.25</v>
      </c>
      <c r="M124" s="132">
        <f>987+335+431</f>
        <v>1753</v>
      </c>
      <c r="N124" s="221">
        <f>+L124/M124</f>
        <v>9.215202509982886</v>
      </c>
      <c r="O124" s="229">
        <v>1</v>
      </c>
    </row>
    <row r="125" spans="1:15" ht="15">
      <c r="A125" s="160">
        <v>122</v>
      </c>
      <c r="B125" s="79" t="s">
        <v>71</v>
      </c>
      <c r="C125" s="34">
        <v>40172</v>
      </c>
      <c r="D125" s="35" t="s">
        <v>41</v>
      </c>
      <c r="E125" s="88">
        <v>10</v>
      </c>
      <c r="F125" s="88">
        <v>9</v>
      </c>
      <c r="G125" s="88">
        <v>2</v>
      </c>
      <c r="H125" s="52">
        <v>3107</v>
      </c>
      <c r="I125" s="64">
        <v>335</v>
      </c>
      <c r="J125" s="126">
        <f>IF(H125&lt;&gt;0,I125/F125,"")</f>
        <v>37.22222222222222</v>
      </c>
      <c r="K125" s="127">
        <f>IF(H125&lt;&gt;0,H125/I125,"")</f>
        <v>9.274626865671642</v>
      </c>
      <c r="L125" s="133">
        <f>9917+0.75+3107</f>
        <v>13024.75</v>
      </c>
      <c r="M125" s="132">
        <f>987+335</f>
        <v>1322</v>
      </c>
      <c r="N125" s="130">
        <f>IF(L125&lt;&gt;0,L125/M125,"")</f>
        <v>9.85230711043873</v>
      </c>
      <c r="O125" s="230">
        <v>1</v>
      </c>
    </row>
    <row r="126" spans="1:15" ht="15">
      <c r="A126" s="160">
        <v>123</v>
      </c>
      <c r="B126" s="219" t="s">
        <v>142</v>
      </c>
      <c r="C126" s="34">
        <v>40172</v>
      </c>
      <c r="D126" s="206" t="s">
        <v>41</v>
      </c>
      <c r="E126" s="88">
        <v>10</v>
      </c>
      <c r="F126" s="88">
        <v>5</v>
      </c>
      <c r="G126" s="88">
        <v>4</v>
      </c>
      <c r="H126" s="52">
        <v>2355</v>
      </c>
      <c r="I126" s="248">
        <v>415</v>
      </c>
      <c r="J126" s="252">
        <f>+I126/F126</f>
        <v>83</v>
      </c>
      <c r="K126" s="127">
        <f>+H126/I126</f>
        <v>5.674698795180723</v>
      </c>
      <c r="L126" s="133">
        <f>9917+0.75+3107+3129+0.5+2355</f>
        <v>18509.25</v>
      </c>
      <c r="M126" s="249">
        <f>987+335+431+415</f>
        <v>2168</v>
      </c>
      <c r="N126" s="130">
        <f>+L126/M126</f>
        <v>8.537476937269373</v>
      </c>
      <c r="O126" s="272">
        <v>1</v>
      </c>
    </row>
    <row r="127" spans="1:15" ht="15">
      <c r="A127" s="160">
        <v>124</v>
      </c>
      <c r="B127" s="79" t="s">
        <v>4</v>
      </c>
      <c r="C127" s="34">
        <v>39745</v>
      </c>
      <c r="D127" s="35" t="s">
        <v>28</v>
      </c>
      <c r="E127" s="88">
        <v>7</v>
      </c>
      <c r="F127" s="88">
        <v>1</v>
      </c>
      <c r="G127" s="88">
        <v>17</v>
      </c>
      <c r="H127" s="55">
        <v>87</v>
      </c>
      <c r="I127" s="67">
        <v>29</v>
      </c>
      <c r="J127" s="136">
        <f>(I127/F127)</f>
        <v>29</v>
      </c>
      <c r="K127" s="173">
        <f>H127/I127</f>
        <v>3</v>
      </c>
      <c r="L127" s="128">
        <f>31758.5+8225.5+1958+2180+395+7254.5+494+2046+429+128+135+1066+1003+620+20+120+87</f>
        <v>57919.5</v>
      </c>
      <c r="M127" s="129">
        <f>2732+851+288+247+46+761+52+333+72+22+23+258+223+133+2+12+29</f>
        <v>6084</v>
      </c>
      <c r="N127" s="137">
        <f>L127/M127</f>
        <v>9.519970414201184</v>
      </c>
      <c r="O127" s="230"/>
    </row>
    <row r="128" spans="1:15" ht="15">
      <c r="A128" s="160">
        <v>125</v>
      </c>
      <c r="B128" s="219" t="s">
        <v>4</v>
      </c>
      <c r="C128" s="34">
        <v>39745</v>
      </c>
      <c r="D128" s="206" t="s">
        <v>28</v>
      </c>
      <c r="E128" s="88">
        <v>7</v>
      </c>
      <c r="F128" s="88">
        <v>1</v>
      </c>
      <c r="G128" s="88">
        <v>18</v>
      </c>
      <c r="H128" s="55">
        <v>45</v>
      </c>
      <c r="I128" s="67">
        <v>15</v>
      </c>
      <c r="J128" s="136">
        <f>(I128/F128)</f>
        <v>15</v>
      </c>
      <c r="K128" s="215">
        <f>H128/I128</f>
        <v>3</v>
      </c>
      <c r="L128" s="128">
        <f>31758.5+8225.5+1958+2180+395+7254.5+494+2046+429+128+135+1066+1003+620+20+120+87+45</f>
        <v>57964.5</v>
      </c>
      <c r="M128" s="129">
        <f>2732+851+288+247+46+761+52+333+72+22+23+258+223+133+2+12+29+15</f>
        <v>6099</v>
      </c>
      <c r="N128" s="226">
        <f>L128/M128</f>
        <v>9.503935071323168</v>
      </c>
      <c r="O128" s="230"/>
    </row>
    <row r="129" spans="1:15" ht="15">
      <c r="A129" s="160">
        <v>126</v>
      </c>
      <c r="B129" s="222" t="s">
        <v>50</v>
      </c>
      <c r="C129" s="36">
        <v>40158</v>
      </c>
      <c r="D129" s="208" t="s">
        <v>26</v>
      </c>
      <c r="E129" s="90">
        <v>141</v>
      </c>
      <c r="F129" s="90">
        <v>34</v>
      </c>
      <c r="G129" s="90">
        <v>5</v>
      </c>
      <c r="H129" s="51">
        <v>32443</v>
      </c>
      <c r="I129" s="63">
        <v>5335</v>
      </c>
      <c r="J129" s="110">
        <f>I129/F129</f>
        <v>156.91176470588235</v>
      </c>
      <c r="K129" s="207">
        <f>H129/I129</f>
        <v>6.08116213683224</v>
      </c>
      <c r="L129" s="112">
        <f>1607914+23244+32443</f>
        <v>1663601</v>
      </c>
      <c r="M129" s="113">
        <f>183968+3818+5335</f>
        <v>193121</v>
      </c>
      <c r="N129" s="220">
        <f>+L129/M129</f>
        <v>8.614293629382615</v>
      </c>
      <c r="O129" s="229"/>
    </row>
    <row r="130" spans="1:15" ht="15">
      <c r="A130" s="160">
        <v>127</v>
      </c>
      <c r="B130" s="80" t="s">
        <v>50</v>
      </c>
      <c r="C130" s="36">
        <v>40158</v>
      </c>
      <c r="D130" s="37" t="s">
        <v>26</v>
      </c>
      <c r="E130" s="90">
        <v>141</v>
      </c>
      <c r="F130" s="90">
        <v>27</v>
      </c>
      <c r="G130" s="90">
        <v>4</v>
      </c>
      <c r="H130" s="51">
        <v>23244</v>
      </c>
      <c r="I130" s="63">
        <v>3818</v>
      </c>
      <c r="J130" s="110">
        <f>I130/F130</f>
        <v>141.40740740740742</v>
      </c>
      <c r="K130" s="111">
        <f>H130/I130</f>
        <v>6.088004190675746</v>
      </c>
      <c r="L130" s="112">
        <f>1607914+23244</f>
        <v>1631158</v>
      </c>
      <c r="M130" s="113">
        <f>183968+3818</f>
        <v>187786</v>
      </c>
      <c r="N130" s="114">
        <f>+L130/M130</f>
        <v>8.686259891578713</v>
      </c>
      <c r="O130" s="230"/>
    </row>
    <row r="131" spans="1:15" ht="15">
      <c r="A131" s="160">
        <v>128</v>
      </c>
      <c r="B131" s="222" t="s">
        <v>50</v>
      </c>
      <c r="C131" s="36">
        <v>40158</v>
      </c>
      <c r="D131" s="250" t="s">
        <v>26</v>
      </c>
      <c r="E131" s="90">
        <v>141</v>
      </c>
      <c r="F131" s="90">
        <v>21</v>
      </c>
      <c r="G131" s="90">
        <v>6</v>
      </c>
      <c r="H131" s="51">
        <v>25994</v>
      </c>
      <c r="I131" s="245">
        <v>4998</v>
      </c>
      <c r="J131" s="246">
        <f>I131/F131</f>
        <v>238</v>
      </c>
      <c r="K131" s="111">
        <f>H131/I131</f>
        <v>5.200880352140857</v>
      </c>
      <c r="L131" s="112">
        <f>1607914+23244+32443+25994</f>
        <v>1689595</v>
      </c>
      <c r="M131" s="247">
        <f>183968+3818+5335+4998</f>
        <v>198119</v>
      </c>
      <c r="N131" s="114">
        <f>+L131/M131</f>
        <v>8.528182556948098</v>
      </c>
      <c r="O131" s="272"/>
    </row>
    <row r="132" spans="1:15" ht="15">
      <c r="A132" s="160">
        <v>129</v>
      </c>
      <c r="B132" s="222" t="s">
        <v>161</v>
      </c>
      <c r="C132" s="36">
        <v>40074</v>
      </c>
      <c r="D132" s="208" t="s">
        <v>30</v>
      </c>
      <c r="E132" s="90">
        <v>142</v>
      </c>
      <c r="F132" s="90">
        <v>1</v>
      </c>
      <c r="G132" s="90">
        <v>11</v>
      </c>
      <c r="H132" s="56">
        <v>203</v>
      </c>
      <c r="I132" s="251">
        <v>35</v>
      </c>
      <c r="J132" s="252">
        <f>IF(H132&lt;&gt;0,I132/F132,"")</f>
        <v>35</v>
      </c>
      <c r="K132" s="127">
        <f>IF(H132&lt;&gt;0,H132/I132,"")</f>
        <v>5.8</v>
      </c>
      <c r="L132" s="131">
        <v>810656.5</v>
      </c>
      <c r="M132" s="249">
        <v>102391</v>
      </c>
      <c r="N132" s="130">
        <f>IF(L132&lt;&gt;0,L132/M132,"")</f>
        <v>7.917263236026604</v>
      </c>
      <c r="O132" s="272">
        <v>1</v>
      </c>
    </row>
    <row r="133" spans="1:15" ht="15">
      <c r="A133" s="160">
        <v>130</v>
      </c>
      <c r="B133" s="79" t="s">
        <v>56</v>
      </c>
      <c r="C133" s="34">
        <v>39926</v>
      </c>
      <c r="D133" s="40" t="s">
        <v>28</v>
      </c>
      <c r="E133" s="88">
        <v>40</v>
      </c>
      <c r="F133" s="88">
        <v>2</v>
      </c>
      <c r="G133" s="88">
        <v>30</v>
      </c>
      <c r="H133" s="51">
        <v>1280</v>
      </c>
      <c r="I133" s="63">
        <v>182</v>
      </c>
      <c r="J133" s="110">
        <f>(I133/F133)</f>
        <v>91</v>
      </c>
      <c r="K133" s="111">
        <f>H133/I133</f>
        <v>7.032967032967033</v>
      </c>
      <c r="L133" s="112">
        <f>35864.5+53058.5+35303.5+15734.5+12778.5+9687.5+8045+13953.5+10307+6140.75+1296+667+231+755+1970+2246+752.5+591.5+130+445+2051+750+1477+2060+1816+47+72+84+378+2301+1280</f>
        <v>222273.25</v>
      </c>
      <c r="M133" s="113">
        <f>3971+5771+3969+2398+2257+2131+1634+2509+1783+912+230+126+48+181+472+311+114+91+20+78+493+183+365+462+452+9+24+28+94+494+182</f>
        <v>31792</v>
      </c>
      <c r="N133" s="114">
        <f>L133/M133</f>
        <v>6.991483706592853</v>
      </c>
      <c r="O133" s="230"/>
    </row>
    <row r="134" spans="1:15" ht="15">
      <c r="A134" s="160">
        <v>131</v>
      </c>
      <c r="B134" s="219" t="s">
        <v>115</v>
      </c>
      <c r="C134" s="34">
        <v>39926</v>
      </c>
      <c r="D134" s="211" t="s">
        <v>28</v>
      </c>
      <c r="E134" s="88">
        <v>40</v>
      </c>
      <c r="F134" s="88">
        <v>2</v>
      </c>
      <c r="G134" s="88">
        <v>31</v>
      </c>
      <c r="H134" s="51">
        <v>700</v>
      </c>
      <c r="I134" s="63">
        <v>115</v>
      </c>
      <c r="J134" s="110">
        <f>(I134/F134)</f>
        <v>57.5</v>
      </c>
      <c r="K134" s="207">
        <f>H134/I134</f>
        <v>6.086956521739131</v>
      </c>
      <c r="L134" s="112">
        <f>35864.5+53058.5+35303.5+15734.5+12778.5+9687.5+8045+13953.5+10307+6140.75+1296+667+231+755+1970+2246+752.5+591.5+130+445+2051+750+1477+2060+1816+47+72+84+378+2301+1280+700</f>
        <v>222973.25</v>
      </c>
      <c r="M134" s="113">
        <f>3971+5771+3969+2398+2257+2131+1634+2509+1783+912+230+126+48+181+472+311+114+91+20+78+493+183+365+462+452+9+24+28+94+494+182+115</f>
        <v>31907</v>
      </c>
      <c r="N134" s="220">
        <f>L134/M134</f>
        <v>6.988223587300593</v>
      </c>
      <c r="O134" s="230"/>
    </row>
    <row r="135" spans="1:15" ht="15">
      <c r="A135" s="160">
        <v>132</v>
      </c>
      <c r="B135" s="80" t="s">
        <v>76</v>
      </c>
      <c r="C135" s="36">
        <v>40165</v>
      </c>
      <c r="D135" s="37" t="s">
        <v>26</v>
      </c>
      <c r="E135" s="90">
        <v>36</v>
      </c>
      <c r="F135" s="90">
        <v>1</v>
      </c>
      <c r="G135" s="90">
        <v>3</v>
      </c>
      <c r="H135" s="51">
        <v>852</v>
      </c>
      <c r="I135" s="63">
        <v>142</v>
      </c>
      <c r="J135" s="110">
        <f>I135/F135</f>
        <v>142</v>
      </c>
      <c r="K135" s="111">
        <f>H135/I135</f>
        <v>6</v>
      </c>
      <c r="L135" s="112">
        <v>119500</v>
      </c>
      <c r="M135" s="113">
        <v>13046</v>
      </c>
      <c r="N135" s="114">
        <f aca="true" t="shared" si="11" ref="N135:N145">+L135/M135</f>
        <v>9.159895753487659</v>
      </c>
      <c r="O135" s="230">
        <v>1</v>
      </c>
    </row>
    <row r="136" spans="1:15" ht="15">
      <c r="A136" s="160">
        <v>133</v>
      </c>
      <c r="B136" s="222" t="s">
        <v>137</v>
      </c>
      <c r="C136" s="36">
        <v>40165</v>
      </c>
      <c r="D136" s="250" t="s">
        <v>26</v>
      </c>
      <c r="E136" s="90">
        <v>36</v>
      </c>
      <c r="F136" s="90">
        <v>8</v>
      </c>
      <c r="G136" s="90">
        <v>4</v>
      </c>
      <c r="H136" s="51">
        <v>7119</v>
      </c>
      <c r="I136" s="245">
        <v>1206</v>
      </c>
      <c r="J136" s="246">
        <f>I136/F136</f>
        <v>150.75</v>
      </c>
      <c r="K136" s="111">
        <f>H136/I136</f>
        <v>5.902985074626866</v>
      </c>
      <c r="L136" s="112">
        <f>119500+7119</f>
        <v>126619</v>
      </c>
      <c r="M136" s="247">
        <f>13046+1206</f>
        <v>14252</v>
      </c>
      <c r="N136" s="114">
        <f t="shared" si="11"/>
        <v>8.884296940780242</v>
      </c>
      <c r="O136" s="272">
        <v>1</v>
      </c>
    </row>
    <row r="137" spans="1:15" ht="15">
      <c r="A137" s="160">
        <v>134</v>
      </c>
      <c r="B137" s="219" t="s">
        <v>40</v>
      </c>
      <c r="C137" s="34">
        <v>40046</v>
      </c>
      <c r="D137" s="204" t="s">
        <v>27</v>
      </c>
      <c r="E137" s="88">
        <v>55</v>
      </c>
      <c r="F137" s="88">
        <v>2</v>
      </c>
      <c r="G137" s="88">
        <v>12</v>
      </c>
      <c r="H137" s="52">
        <v>2059</v>
      </c>
      <c r="I137" s="64">
        <v>466</v>
      </c>
      <c r="J137" s="132">
        <f>I137/F137</f>
        <v>233</v>
      </c>
      <c r="K137" s="205">
        <f aca="true" t="shared" si="12" ref="K137:K145">+H137/I137</f>
        <v>4.418454935622318</v>
      </c>
      <c r="L137" s="133">
        <v>189359</v>
      </c>
      <c r="M137" s="132">
        <v>19405</v>
      </c>
      <c r="N137" s="221">
        <f t="shared" si="11"/>
        <v>9.758258180881215</v>
      </c>
      <c r="O137" s="229"/>
    </row>
    <row r="138" spans="1:15" ht="15">
      <c r="A138" s="160">
        <v>135</v>
      </c>
      <c r="B138" s="82" t="s">
        <v>40</v>
      </c>
      <c r="C138" s="32">
        <v>40046</v>
      </c>
      <c r="D138" s="33" t="s">
        <v>27</v>
      </c>
      <c r="E138" s="92">
        <v>55</v>
      </c>
      <c r="F138" s="92">
        <v>1</v>
      </c>
      <c r="G138" s="92">
        <v>11</v>
      </c>
      <c r="H138" s="54">
        <v>650</v>
      </c>
      <c r="I138" s="66">
        <v>100</v>
      </c>
      <c r="J138" s="122">
        <f>I138/F138</f>
        <v>100</v>
      </c>
      <c r="K138" s="123">
        <f t="shared" si="12"/>
        <v>6.5</v>
      </c>
      <c r="L138" s="124">
        <v>187300</v>
      </c>
      <c r="M138" s="122">
        <v>18939</v>
      </c>
      <c r="N138" s="125">
        <f t="shared" si="11"/>
        <v>9.889645704630656</v>
      </c>
      <c r="O138" s="230"/>
    </row>
    <row r="139" spans="1:15" ht="15">
      <c r="A139" s="160">
        <v>136</v>
      </c>
      <c r="B139" s="219" t="s">
        <v>40</v>
      </c>
      <c r="C139" s="34">
        <v>40046</v>
      </c>
      <c r="D139" s="204" t="s">
        <v>27</v>
      </c>
      <c r="E139" s="88">
        <v>55</v>
      </c>
      <c r="F139" s="88">
        <v>1</v>
      </c>
      <c r="G139" s="88">
        <v>13</v>
      </c>
      <c r="H139" s="52">
        <v>146</v>
      </c>
      <c r="I139" s="248">
        <v>19</v>
      </c>
      <c r="J139" s="249">
        <f>I139/F139</f>
        <v>19</v>
      </c>
      <c r="K139" s="134">
        <f t="shared" si="12"/>
        <v>7.684210526315789</v>
      </c>
      <c r="L139" s="133">
        <v>189505</v>
      </c>
      <c r="M139" s="249">
        <v>19424</v>
      </c>
      <c r="N139" s="135">
        <f t="shared" si="11"/>
        <v>9.756229406919275</v>
      </c>
      <c r="O139" s="272"/>
    </row>
    <row r="140" spans="1:15" ht="15">
      <c r="A140" s="160">
        <v>137</v>
      </c>
      <c r="B140" s="224" t="s">
        <v>44</v>
      </c>
      <c r="C140" s="36">
        <v>40130</v>
      </c>
      <c r="D140" s="211" t="s">
        <v>3</v>
      </c>
      <c r="E140" s="91">
        <v>17</v>
      </c>
      <c r="F140" s="91">
        <v>8</v>
      </c>
      <c r="G140" s="91">
        <v>8</v>
      </c>
      <c r="H140" s="55">
        <v>3794</v>
      </c>
      <c r="I140" s="67">
        <v>543</v>
      </c>
      <c r="J140" s="126">
        <f>+I140/F140</f>
        <v>67.875</v>
      </c>
      <c r="K140" s="210">
        <f t="shared" si="12"/>
        <v>6.987108655616943</v>
      </c>
      <c r="L140" s="128">
        <v>55202</v>
      </c>
      <c r="M140" s="129">
        <v>5006</v>
      </c>
      <c r="N140" s="223">
        <f t="shared" si="11"/>
        <v>11.027167399121055</v>
      </c>
      <c r="O140" s="229"/>
    </row>
    <row r="141" spans="1:15" ht="15">
      <c r="A141" s="160">
        <v>138</v>
      </c>
      <c r="B141" s="81" t="s">
        <v>44</v>
      </c>
      <c r="C141" s="36">
        <v>40130</v>
      </c>
      <c r="D141" s="40" t="s">
        <v>3</v>
      </c>
      <c r="E141" s="91">
        <v>17</v>
      </c>
      <c r="F141" s="91">
        <v>2</v>
      </c>
      <c r="G141" s="91">
        <v>7</v>
      </c>
      <c r="H141" s="55">
        <v>254</v>
      </c>
      <c r="I141" s="67">
        <v>41</v>
      </c>
      <c r="J141" s="126">
        <f>+I141/F141</f>
        <v>20.5</v>
      </c>
      <c r="K141" s="127">
        <f t="shared" si="12"/>
        <v>6.195121951219512</v>
      </c>
      <c r="L141" s="128">
        <v>51408</v>
      </c>
      <c r="M141" s="129">
        <v>4463</v>
      </c>
      <c r="N141" s="130">
        <f t="shared" si="11"/>
        <v>11.518709388303831</v>
      </c>
      <c r="O141" s="230"/>
    </row>
    <row r="142" spans="1:15" ht="15">
      <c r="A142" s="160">
        <v>139</v>
      </c>
      <c r="B142" s="224" t="s">
        <v>44</v>
      </c>
      <c r="C142" s="36">
        <v>40130</v>
      </c>
      <c r="D142" s="211" t="s">
        <v>3</v>
      </c>
      <c r="E142" s="91">
        <v>17</v>
      </c>
      <c r="F142" s="91">
        <v>10</v>
      </c>
      <c r="G142" s="91">
        <v>9</v>
      </c>
      <c r="H142" s="55">
        <v>5776</v>
      </c>
      <c r="I142" s="256">
        <v>991</v>
      </c>
      <c r="J142" s="252">
        <f>+I142/F142</f>
        <v>99.1</v>
      </c>
      <c r="K142" s="127">
        <f t="shared" si="12"/>
        <v>5.8284561049445</v>
      </c>
      <c r="L142" s="128">
        <v>60978</v>
      </c>
      <c r="M142" s="257">
        <v>5997</v>
      </c>
      <c r="N142" s="135">
        <f t="shared" si="11"/>
        <v>10.168084042021011</v>
      </c>
      <c r="O142" s="272"/>
    </row>
    <row r="143" spans="1:15" ht="15">
      <c r="A143" s="160">
        <v>140</v>
      </c>
      <c r="B143" s="219" t="s">
        <v>99</v>
      </c>
      <c r="C143" s="34">
        <v>40144</v>
      </c>
      <c r="D143" s="204" t="s">
        <v>27</v>
      </c>
      <c r="E143" s="88">
        <v>128</v>
      </c>
      <c r="F143" s="88">
        <v>5</v>
      </c>
      <c r="G143" s="88">
        <v>7</v>
      </c>
      <c r="H143" s="52">
        <v>2478</v>
      </c>
      <c r="I143" s="64">
        <v>419</v>
      </c>
      <c r="J143" s="132">
        <f>I143/F143</f>
        <v>83.8</v>
      </c>
      <c r="K143" s="205">
        <f t="shared" si="12"/>
        <v>5.914081145584726</v>
      </c>
      <c r="L143" s="133">
        <v>2572498</v>
      </c>
      <c r="M143" s="132">
        <v>307913</v>
      </c>
      <c r="N143" s="221">
        <f t="shared" si="11"/>
        <v>8.35462614439793</v>
      </c>
      <c r="O143" s="229">
        <v>1</v>
      </c>
    </row>
    <row r="144" spans="1:15" ht="15">
      <c r="A144" s="160">
        <v>141</v>
      </c>
      <c r="B144" s="82" t="s">
        <v>73</v>
      </c>
      <c r="C144" s="32">
        <v>40144</v>
      </c>
      <c r="D144" s="33" t="s">
        <v>27</v>
      </c>
      <c r="E144" s="92">
        <v>128</v>
      </c>
      <c r="F144" s="92">
        <v>7</v>
      </c>
      <c r="G144" s="92">
        <v>6</v>
      </c>
      <c r="H144" s="54">
        <v>1964</v>
      </c>
      <c r="I144" s="66">
        <v>269</v>
      </c>
      <c r="J144" s="122">
        <f>I144/F144</f>
        <v>38.42857142857143</v>
      </c>
      <c r="K144" s="123">
        <f t="shared" si="12"/>
        <v>7.301115241635688</v>
      </c>
      <c r="L144" s="124">
        <v>2570020</v>
      </c>
      <c r="M144" s="122">
        <v>307494</v>
      </c>
      <c r="N144" s="125">
        <f t="shared" si="11"/>
        <v>8.357951699870567</v>
      </c>
      <c r="O144" s="230">
        <v>1</v>
      </c>
    </row>
    <row r="145" spans="1:15" ht="15">
      <c r="A145" s="160">
        <v>142</v>
      </c>
      <c r="B145" s="219" t="s">
        <v>99</v>
      </c>
      <c r="C145" s="34">
        <v>40144</v>
      </c>
      <c r="D145" s="204" t="s">
        <v>27</v>
      </c>
      <c r="E145" s="88">
        <v>128</v>
      </c>
      <c r="F145" s="88">
        <v>6</v>
      </c>
      <c r="G145" s="88">
        <v>8</v>
      </c>
      <c r="H145" s="52">
        <v>4834</v>
      </c>
      <c r="I145" s="248">
        <v>783</v>
      </c>
      <c r="J145" s="249">
        <f>I145/F145</f>
        <v>130.5</v>
      </c>
      <c r="K145" s="134">
        <f t="shared" si="12"/>
        <v>6.173690932311622</v>
      </c>
      <c r="L145" s="133">
        <v>2577332</v>
      </c>
      <c r="M145" s="249">
        <v>308696</v>
      </c>
      <c r="N145" s="135">
        <f t="shared" si="11"/>
        <v>8.349094254541685</v>
      </c>
      <c r="O145" s="272">
        <v>1</v>
      </c>
    </row>
    <row r="146" spans="1:15" ht="15">
      <c r="A146" s="160">
        <v>143</v>
      </c>
      <c r="B146" s="79" t="s">
        <v>45</v>
      </c>
      <c r="C146" s="34">
        <v>40137</v>
      </c>
      <c r="D146" s="35" t="s">
        <v>28</v>
      </c>
      <c r="E146" s="88">
        <v>147</v>
      </c>
      <c r="F146" s="88">
        <v>57</v>
      </c>
      <c r="G146" s="88">
        <v>7</v>
      </c>
      <c r="H146" s="51">
        <v>87796</v>
      </c>
      <c r="I146" s="63">
        <v>15922</v>
      </c>
      <c r="J146" s="110">
        <f>(I146/F146)</f>
        <v>279.3333333333333</v>
      </c>
      <c r="K146" s="111">
        <f>H146/I146</f>
        <v>5.514131390528828</v>
      </c>
      <c r="L146" s="112">
        <f>4499732.5+3362984.5+1262292.25+664013.75+490740.5+244990+87796</f>
        <v>10612549.5</v>
      </c>
      <c r="M146" s="113">
        <f>493806+365411+142937+78728+74756+40294+15922</f>
        <v>1211854</v>
      </c>
      <c r="N146" s="114">
        <f>L146/M146</f>
        <v>8.757283880731507</v>
      </c>
      <c r="O146" s="230"/>
    </row>
    <row r="147" spans="1:15" ht="15">
      <c r="A147" s="160">
        <v>144</v>
      </c>
      <c r="B147" s="219" t="s">
        <v>45</v>
      </c>
      <c r="C147" s="34">
        <v>40137</v>
      </c>
      <c r="D147" s="206" t="s">
        <v>28</v>
      </c>
      <c r="E147" s="88">
        <v>147</v>
      </c>
      <c r="F147" s="88">
        <v>32</v>
      </c>
      <c r="G147" s="88">
        <v>8</v>
      </c>
      <c r="H147" s="51">
        <v>33908</v>
      </c>
      <c r="I147" s="63">
        <v>6247</v>
      </c>
      <c r="J147" s="110">
        <f>(I147/F147)</f>
        <v>195.21875</v>
      </c>
      <c r="K147" s="207">
        <f>H147/I147</f>
        <v>5.427885384984792</v>
      </c>
      <c r="L147" s="112">
        <f>4499732.5+3362984.5+1262292.25+664013.75+490740.5+244990+87796+33908</f>
        <v>10646457.5</v>
      </c>
      <c r="M147" s="113">
        <f>493806+365411+142937+78728+74756+40294+15922+6247</f>
        <v>1218101</v>
      </c>
      <c r="N147" s="220">
        <f>L147/M147</f>
        <v>8.740209145218664</v>
      </c>
      <c r="O147" s="230"/>
    </row>
    <row r="148" spans="1:15" ht="15">
      <c r="A148" s="160">
        <v>145</v>
      </c>
      <c r="B148" s="266" t="s">
        <v>45</v>
      </c>
      <c r="C148" s="242">
        <v>40137</v>
      </c>
      <c r="D148" s="243" t="s">
        <v>28</v>
      </c>
      <c r="E148" s="244">
        <v>147</v>
      </c>
      <c r="F148" s="244">
        <v>18</v>
      </c>
      <c r="G148" s="244">
        <v>9</v>
      </c>
      <c r="H148" s="51">
        <v>25213</v>
      </c>
      <c r="I148" s="245">
        <v>4692</v>
      </c>
      <c r="J148" s="246">
        <f>(I148/F148)</f>
        <v>260.6666666666667</v>
      </c>
      <c r="K148" s="111">
        <f>H148/I148</f>
        <v>5.373614663256607</v>
      </c>
      <c r="L148" s="112">
        <f>4499732.5+3362984.5+1262292.25+664013.75+490740.5+244990+87796+33908+25213</f>
        <v>10671670.5</v>
      </c>
      <c r="M148" s="247">
        <f>493806+365411+142937+78728+74756+40294+15922+6247+4692</f>
        <v>1222793</v>
      </c>
      <c r="N148" s="114">
        <f>L148/M148</f>
        <v>8.727291127770604</v>
      </c>
      <c r="O148" s="272"/>
    </row>
    <row r="149" spans="1:15" ht="15">
      <c r="A149" s="160">
        <v>146</v>
      </c>
      <c r="B149" s="222" t="s">
        <v>113</v>
      </c>
      <c r="C149" s="36">
        <v>40081</v>
      </c>
      <c r="D149" s="208" t="s">
        <v>26</v>
      </c>
      <c r="E149" s="90">
        <v>70</v>
      </c>
      <c r="F149" s="90">
        <v>1</v>
      </c>
      <c r="G149" s="90">
        <v>12</v>
      </c>
      <c r="H149" s="51">
        <v>803</v>
      </c>
      <c r="I149" s="63">
        <v>132</v>
      </c>
      <c r="J149" s="110">
        <f>I149/F149</f>
        <v>132</v>
      </c>
      <c r="K149" s="207">
        <f>H149/I149</f>
        <v>6.083333333333333</v>
      </c>
      <c r="L149" s="112">
        <f>1392975+803</f>
        <v>1393778</v>
      </c>
      <c r="M149" s="113">
        <f>137156+132</f>
        <v>137288</v>
      </c>
      <c r="N149" s="220">
        <f>+L149/M149</f>
        <v>10.15222015034089</v>
      </c>
      <c r="O149" s="229"/>
    </row>
    <row r="150" spans="1:15" ht="15">
      <c r="A150" s="160">
        <v>147</v>
      </c>
      <c r="B150" s="222" t="s">
        <v>113</v>
      </c>
      <c r="C150" s="36">
        <v>40081</v>
      </c>
      <c r="D150" s="250" t="s">
        <v>26</v>
      </c>
      <c r="E150" s="90">
        <v>70</v>
      </c>
      <c r="F150" s="90">
        <v>1</v>
      </c>
      <c r="G150" s="90">
        <v>13</v>
      </c>
      <c r="H150" s="51">
        <v>1671</v>
      </c>
      <c r="I150" s="245">
        <v>278</v>
      </c>
      <c r="J150" s="246">
        <f>I150/F150</f>
        <v>278</v>
      </c>
      <c r="K150" s="111">
        <f>H150/I150</f>
        <v>6.010791366906475</v>
      </c>
      <c r="L150" s="112">
        <f>1392975+803+1671</f>
        <v>1395449</v>
      </c>
      <c r="M150" s="247">
        <f>137156+132+278</f>
        <v>137566</v>
      </c>
      <c r="N150" s="114">
        <f>+L150/M150</f>
        <v>10.143850951543259</v>
      </c>
      <c r="O150" s="272"/>
    </row>
    <row r="151" spans="1:15" ht="15">
      <c r="A151" s="160">
        <v>148</v>
      </c>
      <c r="B151" s="82" t="s">
        <v>38</v>
      </c>
      <c r="C151" s="32">
        <v>40102</v>
      </c>
      <c r="D151" s="33" t="s">
        <v>27</v>
      </c>
      <c r="E151" s="92">
        <v>99</v>
      </c>
      <c r="F151" s="92">
        <v>15</v>
      </c>
      <c r="G151" s="92">
        <v>12</v>
      </c>
      <c r="H151" s="54">
        <v>2194</v>
      </c>
      <c r="I151" s="66">
        <v>315</v>
      </c>
      <c r="J151" s="122">
        <f>I151/F151</f>
        <v>21</v>
      </c>
      <c r="K151" s="123">
        <f>+H151/I151</f>
        <v>6.965079365079365</v>
      </c>
      <c r="L151" s="124">
        <v>2575565</v>
      </c>
      <c r="M151" s="122">
        <v>271966</v>
      </c>
      <c r="N151" s="125">
        <f>+L151/M151</f>
        <v>9.470172742181008</v>
      </c>
      <c r="O151" s="230"/>
    </row>
    <row r="152" spans="1:15" ht="15">
      <c r="A152" s="160">
        <v>149</v>
      </c>
      <c r="B152" s="219" t="s">
        <v>38</v>
      </c>
      <c r="C152" s="34">
        <v>40102</v>
      </c>
      <c r="D152" s="204" t="s">
        <v>27</v>
      </c>
      <c r="E152" s="88">
        <v>99</v>
      </c>
      <c r="F152" s="88">
        <v>5</v>
      </c>
      <c r="G152" s="88">
        <v>13</v>
      </c>
      <c r="H152" s="52">
        <v>1237</v>
      </c>
      <c r="I152" s="64">
        <v>218</v>
      </c>
      <c r="J152" s="132">
        <f>I152/F152</f>
        <v>43.6</v>
      </c>
      <c r="K152" s="205">
        <f>+H152/I152</f>
        <v>5.674311926605505</v>
      </c>
      <c r="L152" s="133">
        <v>2576802</v>
      </c>
      <c r="M152" s="132">
        <v>272184</v>
      </c>
      <c r="N152" s="221">
        <f>+L152/M152</f>
        <v>9.467132527995767</v>
      </c>
      <c r="O152" s="229"/>
    </row>
    <row r="153" spans="1:15" ht="15">
      <c r="A153" s="160">
        <v>150</v>
      </c>
      <c r="B153" s="219" t="s">
        <v>38</v>
      </c>
      <c r="C153" s="34">
        <v>40102</v>
      </c>
      <c r="D153" s="204" t="s">
        <v>27</v>
      </c>
      <c r="E153" s="88">
        <v>99</v>
      </c>
      <c r="F153" s="88">
        <v>9</v>
      </c>
      <c r="G153" s="88">
        <v>14</v>
      </c>
      <c r="H153" s="52">
        <v>3375</v>
      </c>
      <c r="I153" s="248">
        <v>911</v>
      </c>
      <c r="J153" s="249">
        <f>I153/F153</f>
        <v>101.22222222222223</v>
      </c>
      <c r="K153" s="134">
        <f>+H153/I153</f>
        <v>3.7047200878155873</v>
      </c>
      <c r="L153" s="133">
        <v>2580177</v>
      </c>
      <c r="M153" s="249">
        <v>273095</v>
      </c>
      <c r="N153" s="135">
        <f>+L153/M153</f>
        <v>9.447910067925081</v>
      </c>
      <c r="O153" s="272"/>
    </row>
    <row r="154" spans="1:15" ht="15">
      <c r="A154" s="160">
        <v>151</v>
      </c>
      <c r="B154" s="219" t="s">
        <v>148</v>
      </c>
      <c r="C154" s="34">
        <v>40095</v>
      </c>
      <c r="D154" s="206" t="s">
        <v>28</v>
      </c>
      <c r="E154" s="88">
        <v>52</v>
      </c>
      <c r="F154" s="88">
        <v>1</v>
      </c>
      <c r="G154" s="88">
        <v>7</v>
      </c>
      <c r="H154" s="51">
        <v>1188</v>
      </c>
      <c r="I154" s="245">
        <v>297</v>
      </c>
      <c r="J154" s="246">
        <f>(I154/F154)</f>
        <v>297</v>
      </c>
      <c r="K154" s="111">
        <f>H154/I154</f>
        <v>4</v>
      </c>
      <c r="L154" s="112">
        <f>108013.25+68864+27976+10214+2402+2209+1188</f>
        <v>220866.25</v>
      </c>
      <c r="M154" s="247">
        <f>12202+8144+4339+1841+481+460+297</f>
        <v>27764</v>
      </c>
      <c r="N154" s="114">
        <f>L154/M154</f>
        <v>7.955130744849446</v>
      </c>
      <c r="O154" s="272">
        <v>1</v>
      </c>
    </row>
    <row r="155" spans="1:15" ht="15">
      <c r="A155" s="160">
        <v>152</v>
      </c>
      <c r="B155" s="82" t="s">
        <v>59</v>
      </c>
      <c r="C155" s="32">
        <v>40165</v>
      </c>
      <c r="D155" s="33" t="s">
        <v>27</v>
      </c>
      <c r="E155" s="92">
        <v>109</v>
      </c>
      <c r="F155" s="92">
        <v>70</v>
      </c>
      <c r="G155" s="92">
        <v>3</v>
      </c>
      <c r="H155" s="54">
        <v>175077</v>
      </c>
      <c r="I155" s="66">
        <v>16879</v>
      </c>
      <c r="J155" s="122">
        <f>I155/F155</f>
        <v>241.12857142857143</v>
      </c>
      <c r="K155" s="123">
        <f>+H155/I155</f>
        <v>10.372474672670181</v>
      </c>
      <c r="L155" s="124">
        <v>1207284</v>
      </c>
      <c r="M155" s="122">
        <v>120991</v>
      </c>
      <c r="N155" s="125">
        <f>+L155/M155</f>
        <v>9.97829590630708</v>
      </c>
      <c r="O155" s="230">
        <v>1</v>
      </c>
    </row>
    <row r="156" spans="1:15" ht="15">
      <c r="A156" s="160">
        <v>153</v>
      </c>
      <c r="B156" s="219" t="s">
        <v>86</v>
      </c>
      <c r="C156" s="34">
        <v>40165</v>
      </c>
      <c r="D156" s="204" t="s">
        <v>27</v>
      </c>
      <c r="E156" s="88">
        <v>109</v>
      </c>
      <c r="F156" s="88">
        <v>39</v>
      </c>
      <c r="G156" s="88">
        <v>4</v>
      </c>
      <c r="H156" s="52">
        <v>54378</v>
      </c>
      <c r="I156" s="64">
        <v>5850</v>
      </c>
      <c r="J156" s="132">
        <f>I156/F156</f>
        <v>150</v>
      </c>
      <c r="K156" s="205">
        <f>+H156/I156</f>
        <v>9.295384615384615</v>
      </c>
      <c r="L156" s="133">
        <v>1261662</v>
      </c>
      <c r="M156" s="132">
        <v>126841</v>
      </c>
      <c r="N156" s="221">
        <f>+L156/M156</f>
        <v>9.946799536427497</v>
      </c>
      <c r="O156" s="229">
        <v>1</v>
      </c>
    </row>
    <row r="157" spans="1:15" ht="15">
      <c r="A157" s="160">
        <v>154</v>
      </c>
      <c r="B157" s="219" t="s">
        <v>86</v>
      </c>
      <c r="C157" s="34">
        <v>40165</v>
      </c>
      <c r="D157" s="204" t="s">
        <v>27</v>
      </c>
      <c r="E157" s="88">
        <v>109</v>
      </c>
      <c r="F157" s="88">
        <v>19</v>
      </c>
      <c r="G157" s="88">
        <v>5</v>
      </c>
      <c r="H157" s="52">
        <v>16797</v>
      </c>
      <c r="I157" s="248">
        <v>3103</v>
      </c>
      <c r="J157" s="249">
        <f>I157/F157</f>
        <v>163.31578947368422</v>
      </c>
      <c r="K157" s="134">
        <f>+H157/I157</f>
        <v>5.413148565903964</v>
      </c>
      <c r="L157" s="133">
        <v>1278459</v>
      </c>
      <c r="M157" s="249">
        <v>129944</v>
      </c>
      <c r="N157" s="135">
        <f>+L157/M157</f>
        <v>9.838538139506248</v>
      </c>
      <c r="O157" s="272">
        <v>1</v>
      </c>
    </row>
    <row r="158" spans="1:15" ht="15">
      <c r="A158" s="160">
        <v>155</v>
      </c>
      <c r="B158" s="266" t="s">
        <v>156</v>
      </c>
      <c r="C158" s="242">
        <v>40046</v>
      </c>
      <c r="D158" s="243" t="s">
        <v>28</v>
      </c>
      <c r="E158" s="244">
        <v>5</v>
      </c>
      <c r="F158" s="244">
        <v>1</v>
      </c>
      <c r="G158" s="244">
        <v>18</v>
      </c>
      <c r="H158" s="51">
        <v>555</v>
      </c>
      <c r="I158" s="245">
        <v>90</v>
      </c>
      <c r="J158" s="246">
        <f>(I158/F158)</f>
        <v>90</v>
      </c>
      <c r="K158" s="111">
        <f>H158/I158</f>
        <v>6.166666666666667</v>
      </c>
      <c r="L158" s="112">
        <f>29266.75+13116.25+9279.25+8463+18147.5+3121+4110+6763+926+5173.5+9461.5+192+486+2002+382+72+487.5+555</f>
        <v>112004.25</v>
      </c>
      <c r="M158" s="247">
        <f>2425+1257+1223+1013+2360+455+662+1253+138+745+1554+44+79+353+69+18+78+90</f>
        <v>13816</v>
      </c>
      <c r="N158" s="114">
        <f>L158/M158</f>
        <v>8.106850752750434</v>
      </c>
      <c r="O158" s="272"/>
    </row>
    <row r="159" spans="1:15" ht="15">
      <c r="A159" s="160">
        <v>156</v>
      </c>
      <c r="B159" s="219" t="s">
        <v>96</v>
      </c>
      <c r="C159" s="34">
        <v>40144</v>
      </c>
      <c r="D159" s="206" t="s">
        <v>97</v>
      </c>
      <c r="E159" s="88">
        <v>2</v>
      </c>
      <c r="F159" s="88">
        <v>1</v>
      </c>
      <c r="G159" s="88">
        <v>3</v>
      </c>
      <c r="H159" s="52">
        <v>6827</v>
      </c>
      <c r="I159" s="64">
        <v>1058</v>
      </c>
      <c r="J159" s="117">
        <f>I159/F159</f>
        <v>1058</v>
      </c>
      <c r="K159" s="213">
        <f>H159/I159</f>
        <v>6.452741020793951</v>
      </c>
      <c r="L159" s="133">
        <v>12004</v>
      </c>
      <c r="M159" s="132">
        <v>1817</v>
      </c>
      <c r="N159" s="223">
        <f>IF(L159&lt;&gt;0,L159/M159,"")</f>
        <v>6.606494221243809</v>
      </c>
      <c r="O159" s="229"/>
    </row>
    <row r="160" spans="1:15" ht="15">
      <c r="A160" s="160">
        <v>157</v>
      </c>
      <c r="B160" s="219" t="s">
        <v>96</v>
      </c>
      <c r="C160" s="34">
        <v>40144</v>
      </c>
      <c r="D160" s="206" t="s">
        <v>97</v>
      </c>
      <c r="E160" s="88">
        <v>2</v>
      </c>
      <c r="F160" s="88">
        <v>1</v>
      </c>
      <c r="G160" s="88">
        <v>4</v>
      </c>
      <c r="H160" s="52">
        <v>1199</v>
      </c>
      <c r="I160" s="64">
        <v>221</v>
      </c>
      <c r="J160" s="117">
        <f>I160/F160</f>
        <v>221</v>
      </c>
      <c r="K160" s="213">
        <f>H160/I160</f>
        <v>5.425339366515837</v>
      </c>
      <c r="L160" s="133">
        <v>13203</v>
      </c>
      <c r="M160" s="132">
        <v>2038</v>
      </c>
      <c r="N160" s="223">
        <f>IF(L160&lt;&gt;0,L160/M160,"")</f>
        <v>6.478410206084397</v>
      </c>
      <c r="O160" s="272"/>
    </row>
    <row r="161" spans="1:15" ht="15">
      <c r="A161" s="160">
        <v>158</v>
      </c>
      <c r="B161" s="224" t="s">
        <v>152</v>
      </c>
      <c r="C161" s="36">
        <v>40060</v>
      </c>
      <c r="D161" s="211" t="s">
        <v>3</v>
      </c>
      <c r="E161" s="91">
        <v>60</v>
      </c>
      <c r="F161" s="91">
        <v>1</v>
      </c>
      <c r="G161" s="91">
        <v>9</v>
      </c>
      <c r="H161" s="55">
        <v>722</v>
      </c>
      <c r="I161" s="256">
        <v>98</v>
      </c>
      <c r="J161" s="252">
        <f>+I161/F161</f>
        <v>98</v>
      </c>
      <c r="K161" s="127">
        <f>+H161/I161</f>
        <v>7.36734693877551</v>
      </c>
      <c r="L161" s="128">
        <v>31093</v>
      </c>
      <c r="M161" s="257">
        <v>4346</v>
      </c>
      <c r="N161" s="135">
        <f>+L161/M161</f>
        <v>7.154394845835251</v>
      </c>
      <c r="O161" s="272">
        <v>1</v>
      </c>
    </row>
    <row r="162" spans="1:15" ht="15">
      <c r="A162" s="160">
        <v>159</v>
      </c>
      <c r="B162" s="80" t="s">
        <v>54</v>
      </c>
      <c r="C162" s="36">
        <v>40172</v>
      </c>
      <c r="D162" s="37" t="s">
        <v>26</v>
      </c>
      <c r="E162" s="90">
        <v>40</v>
      </c>
      <c r="F162" s="90">
        <v>34</v>
      </c>
      <c r="G162" s="90">
        <v>2</v>
      </c>
      <c r="H162" s="51">
        <v>15275</v>
      </c>
      <c r="I162" s="63">
        <v>1524</v>
      </c>
      <c r="J162" s="110">
        <f>I162/F162</f>
        <v>44.8235294117647</v>
      </c>
      <c r="K162" s="111">
        <f>H162/I162</f>
        <v>10.022965879265092</v>
      </c>
      <c r="L162" s="112">
        <f>74576+15275</f>
        <v>89851</v>
      </c>
      <c r="M162" s="113">
        <f>7330+1524</f>
        <v>8854</v>
      </c>
      <c r="N162" s="114">
        <f>+L162/M162</f>
        <v>10.148068669527897</v>
      </c>
      <c r="O162" s="230"/>
    </row>
    <row r="163" spans="1:15" ht="15">
      <c r="A163" s="160">
        <v>160</v>
      </c>
      <c r="B163" s="222" t="s">
        <v>54</v>
      </c>
      <c r="C163" s="36">
        <v>40172</v>
      </c>
      <c r="D163" s="208" t="s">
        <v>26</v>
      </c>
      <c r="E163" s="90">
        <v>40</v>
      </c>
      <c r="F163" s="90">
        <v>10</v>
      </c>
      <c r="G163" s="90">
        <v>3</v>
      </c>
      <c r="H163" s="51">
        <f>3431+38</f>
        <v>3469</v>
      </c>
      <c r="I163" s="63">
        <f>499+4</f>
        <v>503</v>
      </c>
      <c r="J163" s="110">
        <f>I163/F163</f>
        <v>50.3</v>
      </c>
      <c r="K163" s="207">
        <f>H163/I163</f>
        <v>6.89662027833002</v>
      </c>
      <c r="L163" s="112">
        <f>74576+15275+3431+38</f>
        <v>93320</v>
      </c>
      <c r="M163" s="113">
        <f>7330+1524+499+4</f>
        <v>9357</v>
      </c>
      <c r="N163" s="220">
        <f>+L163/M163</f>
        <v>9.973282034840226</v>
      </c>
      <c r="O163" s="229"/>
    </row>
    <row r="164" spans="1:15" ht="15.75" thickBot="1">
      <c r="A164" s="160">
        <v>161</v>
      </c>
      <c r="B164" s="235" t="s">
        <v>54</v>
      </c>
      <c r="C164" s="178">
        <v>40172</v>
      </c>
      <c r="D164" s="280" t="s">
        <v>26</v>
      </c>
      <c r="E164" s="236">
        <v>40</v>
      </c>
      <c r="F164" s="236">
        <v>8</v>
      </c>
      <c r="G164" s="236">
        <v>4</v>
      </c>
      <c r="H164" s="57">
        <v>5335</v>
      </c>
      <c r="I164" s="281">
        <v>870</v>
      </c>
      <c r="J164" s="282">
        <f>I164/F164</f>
        <v>108.75</v>
      </c>
      <c r="K164" s="283">
        <f>H164/I164</f>
        <v>6.132183908045977</v>
      </c>
      <c r="L164" s="138">
        <f>74576+15275+3431+38+5335</f>
        <v>98655</v>
      </c>
      <c r="M164" s="284">
        <f>7330+1524+499+4+870</f>
        <v>10227</v>
      </c>
      <c r="N164" s="285">
        <f>+L164/M164</f>
        <v>9.646523907304195</v>
      </c>
      <c r="O164" s="272"/>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r:id="rId1"/>
  <ignoredErrors>
    <ignoredError sqref="P52 P17:P18 P20:P51 M52:M67 L52:L67 L70:L74 M70:M74 M77:M107 L77:L107 L125:L137 L154:L162" formula="1" unlockedFormula="1"/>
    <ignoredError sqref="Q22:Q24 Q26:Q41 Q44:Q45 H4:L41 Q46:Q52 M4:M43 Q42:Q43 M44:M45 L68:L69 M46:M51 L44:L51 M68:M69 M111:M140 L111:L124 L138:L140 M163:M164 L146:L153 L163:L164 M146:M162 H163:J165" unlockedFormula="1"/>
    <ignoredError sqref="P7:P8 J52:K63 J64:K67 N52:N63 J70:K108 M108 M75:M76 L75:L76 L108 K125:K130 K131:K137 N115:N130 K154:K162 J154:J162 N154" formula="1"/>
    <ignoredError sqref="E68:H75 E113:H1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2010-01-29T20:23:07Z</dcterms:modified>
  <cp:category/>
  <cp:version/>
  <cp:contentType/>
  <cp:contentStatus/>
</cp:coreProperties>
</file>