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22-28 Jan' 10 (WK 04)" sheetId="1" r:id="rId1"/>
    <sheet name="01-28 Jan'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'01-28 Jan'' 10 (Annual)'!$A$5:$I$7</definedName>
    <definedName name="_xlnm.Print_Area" localSheetId="0">'22-28 Jan'' 10 (WK 04)'!$A$1:$N$93</definedName>
  </definedNames>
  <calcPr fullCalcOnLoad="1"/>
</workbook>
</file>

<file path=xl/sharedStrings.xml><?xml version="1.0" encoding="utf-8"?>
<sst xmlns="http://schemas.openxmlformats.org/spreadsheetml/2006/main" count="647" uniqueCount="188">
  <si>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</si>
  <si>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</si>
  <si>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</si>
  <si>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</si>
  <si>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</si>
  <si>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</si>
  <si>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</si>
  <si>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</si>
  <si>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</si>
  <si>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</si>
  <si>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</si>
  <si>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</si>
  <si>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</si>
  <si>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</si>
  <si>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</si>
  <si>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</si>
  <si>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</si>
  <si>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</si>
  <si>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</si>
  <si>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</si>
  <si>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</si>
  <si>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</si>
  <si>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</si>
  <si>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</si>
  <si>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</si>
  <si>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</si>
  <si>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</si>
  <si>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</si>
  <si>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</si>
  <si>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</si>
  <si>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</si>
  <si>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</si>
  <si>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</si>
  <si>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</si>
  <si>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</si>
  <si>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</si>
  <si>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</si>
  <si>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</si>
  <si>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</si>
  <si>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</si>
  <si>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</si>
  <si>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</si>
  <si>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</si>
  <si>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</si>
  <si>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</si>
  <si>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</si>
  <si>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</si>
  <si>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</si>
  <si>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</si>
  <si>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</si>
  <si>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</si>
  <si>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</si>
  <si>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</si>
  <si>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</si>
  <si>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</si>
  <si>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</si>
  <si>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t>SUNSHINE BARRY AND THE DISCO WORMS</t>
  </si>
  <si>
    <r>
      <t xml:space="preserve">DABBE 2 </t>
    </r>
    <r>
      <rPr>
        <b/>
        <sz val="10"/>
        <color indexed="10"/>
        <rFont val="Arial Black"/>
        <family val="2"/>
      </rPr>
      <t>(LOCAL)</t>
    </r>
  </si>
  <si>
    <r>
      <t xml:space="preserve">NEŞELİ HAYAT </t>
    </r>
    <r>
      <rPr>
        <b/>
        <sz val="10"/>
        <color indexed="10"/>
        <rFont val="Arial Black"/>
        <family val="2"/>
      </rPr>
      <t>(LOCAL)</t>
    </r>
  </si>
  <si>
    <r>
      <t>VAVİEN</t>
    </r>
    <r>
      <rPr>
        <b/>
        <sz val="10"/>
        <color indexed="10"/>
        <rFont val="Arial Black"/>
        <family val="2"/>
      </rPr>
      <t xml:space="preserve"> (LOCAL)</t>
    </r>
  </si>
  <si>
    <r>
      <t xml:space="preserve">ACI AŞK </t>
    </r>
    <r>
      <rPr>
        <b/>
        <sz val="10"/>
        <color indexed="10"/>
        <rFont val="Arial Black"/>
        <family val="2"/>
      </rPr>
      <t>(LOCAL)</t>
    </r>
  </si>
  <si>
    <r>
      <t xml:space="preserve">GECENİN KANATLARI </t>
    </r>
    <r>
      <rPr>
        <b/>
        <sz val="10"/>
        <color indexed="10"/>
        <rFont val="Arial Black"/>
        <family val="2"/>
      </rPr>
      <t>(LOCAL)</t>
    </r>
  </si>
  <si>
    <r>
      <t xml:space="preserve">BAŞKA DİLDE AŞK </t>
    </r>
    <r>
      <rPr>
        <b/>
        <sz val="10"/>
        <color indexed="10"/>
        <rFont val="Arial Black"/>
        <family val="2"/>
      </rPr>
      <t>(LOCAL)</t>
    </r>
  </si>
  <si>
    <r>
      <t xml:space="preserve">KURTLAR VADİSİ GLADİO </t>
    </r>
    <r>
      <rPr>
        <b/>
        <sz val="10"/>
        <color indexed="10"/>
        <rFont val="Arial Black"/>
        <family val="2"/>
      </rPr>
      <t>(LOCAL)</t>
    </r>
  </si>
  <si>
    <r>
      <t xml:space="preserve">7 KOCALI HÜRMÜZ </t>
    </r>
    <r>
      <rPr>
        <b/>
        <sz val="10"/>
        <color indexed="10"/>
        <rFont val="Arial Black"/>
        <family val="2"/>
      </rPr>
      <t>(LOCAL)</t>
    </r>
  </si>
  <si>
    <r>
      <t xml:space="preserve">AŞK GELİYORUM DEMEZ </t>
    </r>
    <r>
      <rPr>
        <b/>
        <sz val="10"/>
        <color indexed="10"/>
        <rFont val="Arial Black"/>
        <family val="2"/>
      </rPr>
      <t>(LOCAL)</t>
    </r>
  </si>
  <si>
    <r>
      <t xml:space="preserve">ADINI SEN KOY </t>
    </r>
    <r>
      <rPr>
        <b/>
        <sz val="10"/>
        <color indexed="10"/>
        <rFont val="Arial Black"/>
        <family val="2"/>
      </rPr>
      <t>(LOCAL)</t>
    </r>
  </si>
  <si>
    <r>
      <t xml:space="preserve">ABİMM </t>
    </r>
    <r>
      <rPr>
        <b/>
        <sz val="10"/>
        <color indexed="10"/>
        <rFont val="Arial Black"/>
        <family val="2"/>
      </rPr>
      <t>(LOCAL)</t>
    </r>
  </si>
  <si>
    <r>
      <t xml:space="preserve">NEFES: VATAN SAĞOLSUN </t>
    </r>
    <r>
      <rPr>
        <b/>
        <sz val="10"/>
        <color indexed="10"/>
        <rFont val="Arial Black"/>
        <family val="2"/>
      </rPr>
      <t>(LOCAL)</t>
    </r>
  </si>
  <si>
    <r>
      <t xml:space="preserve">İKİ DİL BİR BAVUL </t>
    </r>
    <r>
      <rPr>
        <b/>
        <sz val="10"/>
        <color indexed="10"/>
        <rFont val="Arial Black"/>
        <family val="2"/>
      </rPr>
      <t>(LOCAL)</t>
    </r>
  </si>
  <si>
    <r>
      <t xml:space="preserve">KOLPAÇİNO </t>
    </r>
    <r>
      <rPr>
        <b/>
        <sz val="10"/>
        <color indexed="10"/>
        <rFont val="Arial Black"/>
        <family val="2"/>
      </rPr>
      <t>(LOCAL)</t>
    </r>
  </si>
  <si>
    <r>
      <t xml:space="preserve">ORADA </t>
    </r>
    <r>
      <rPr>
        <b/>
        <sz val="10"/>
        <color indexed="10"/>
        <rFont val="Arial Black"/>
        <family val="2"/>
      </rPr>
      <t>(LOCAL)</t>
    </r>
  </si>
  <si>
    <r>
      <t xml:space="preserve">KISKANMAK </t>
    </r>
    <r>
      <rPr>
        <b/>
        <sz val="10"/>
        <color indexed="10"/>
        <rFont val="Arial Black"/>
        <family val="2"/>
      </rPr>
      <t>(LOCAL)</t>
    </r>
  </si>
  <si>
    <r>
      <t xml:space="preserve">TÜRKLER ÇILDIRMIŞ OLMALI </t>
    </r>
    <r>
      <rPr>
        <b/>
        <sz val="10"/>
        <color indexed="10"/>
        <rFont val="Arial Black"/>
        <family val="2"/>
      </rPr>
      <t>(LOCAL)</t>
    </r>
  </si>
  <si>
    <r>
      <t xml:space="preserve">NOKTA </t>
    </r>
    <r>
      <rPr>
        <b/>
        <sz val="10"/>
        <color indexed="10"/>
        <rFont val="Arial Black"/>
        <family val="2"/>
      </rPr>
      <t>(LOCAL)</t>
    </r>
  </si>
  <si>
    <r>
      <t xml:space="preserve">BORNOVA BORNOVA </t>
    </r>
    <r>
      <rPr>
        <b/>
        <sz val="10"/>
        <color indexed="10"/>
        <rFont val="Arial Black"/>
        <family val="2"/>
      </rPr>
      <t>(LOCAL)</t>
    </r>
  </si>
  <si>
    <r>
      <t xml:space="preserve">SÜPÜRRR! </t>
    </r>
    <r>
      <rPr>
        <b/>
        <sz val="10"/>
        <color indexed="10"/>
        <rFont val="Arial Black"/>
        <family val="2"/>
      </rPr>
      <t>(LOCAL)</t>
    </r>
  </si>
  <si>
    <r>
      <t xml:space="preserve">KANAL-İ-ZASYON </t>
    </r>
    <r>
      <rPr>
        <b/>
        <sz val="10"/>
        <color indexed="10"/>
        <rFont val="Arial Black"/>
        <family val="2"/>
      </rPr>
      <t>(LOCAL)</t>
    </r>
  </si>
  <si>
    <r>
      <t>DABBE 2</t>
    </r>
    <r>
      <rPr>
        <sz val="10"/>
        <color indexed="10"/>
        <rFont val="Arial Black"/>
        <family val="2"/>
      </rPr>
      <t xml:space="preserve"> (LOCAL)</t>
    </r>
  </si>
  <si>
    <t>SOUL KITCHEN</t>
  </si>
  <si>
    <t>LAW ABIDING CITIZEN</t>
  </si>
  <si>
    <t>CHANTIER FILMS</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</si>
  <si>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</si>
  <si>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</si>
  <si>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</si>
  <si>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</si>
  <si>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</si>
  <si>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t>CHERI</t>
  </si>
  <si>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</si>
  <si>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</si>
  <si>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</si>
  <si>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</si>
  <si>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</si>
  <si>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</si>
  <si>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</si>
  <si>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</si>
  <si>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</si>
  <si>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</si>
  <si>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</si>
  <si>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</si>
  <si>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</si>
  <si>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</si>
  <si>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</si>
  <si>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</si>
  <si>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</si>
  <si>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</si>
  <si>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</si>
  <si>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KOLPAÇİNO (LOCAL)</t>
  </si>
  <si>
    <t>DRAG ME TO HELL</t>
  </si>
  <si>
    <t>CAPITALISM: A LOVE STORY</t>
  </si>
  <si>
    <r>
      <t xml:space="preserve">KELEBEK </t>
    </r>
    <r>
      <rPr>
        <sz val="10"/>
        <color indexed="10"/>
        <rFont val="Arial Black"/>
        <family val="2"/>
      </rPr>
      <t>(LOCAL)</t>
    </r>
  </si>
  <si>
    <t>COCO CHANEL &amp; IGOR STRAVINSKY</t>
  </si>
  <si>
    <t>WHATEVER WORKS</t>
  </si>
  <si>
    <t>UGLY TRUTH</t>
  </si>
  <si>
    <r>
      <t>KONAK</t>
    </r>
    <r>
      <rPr>
        <sz val="10"/>
        <color indexed="10"/>
        <rFont val="Arial Black"/>
        <family val="2"/>
      </rPr>
      <t xml:space="preserve"> (LOCAL)</t>
    </r>
  </si>
  <si>
    <t>SUNSHINE BARRY AND THE DISCO WORMS (DISCO ORMENE)</t>
  </si>
  <si>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</si>
  <si>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</si>
  <si>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</si>
  <si>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</si>
  <si>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</si>
  <si>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</si>
  <si>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r>
      <t xml:space="preserve">BAŞKA DİLDE AŞK </t>
    </r>
    <r>
      <rPr>
        <sz val="10"/>
        <color indexed="10"/>
        <rFont val="Arial Black"/>
        <family val="2"/>
      </rPr>
      <t>(LOCAL)</t>
    </r>
  </si>
  <si>
    <t>NINJA ASSASSIN</t>
  </si>
  <si>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</si>
  <si>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</si>
  <si>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</si>
  <si>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</si>
  <si>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t>ADINI SEN KOY (LOCAL)</t>
  </si>
  <si>
    <r>
      <t>SÜPÜRRR!</t>
    </r>
    <r>
      <rPr>
        <sz val="10"/>
        <color indexed="10"/>
        <rFont val="Arial Black"/>
        <family val="2"/>
      </rPr>
      <t xml:space="preserve"> (LOCAL)</t>
    </r>
  </si>
  <si>
    <t>LET THE RIGHT ONE IN</t>
  </si>
  <si>
    <t>AMELIA</t>
  </si>
  <si>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</si>
  <si>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</si>
  <si>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</si>
  <si>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t>NORTH FACE</t>
  </si>
  <si>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</si>
  <si>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</si>
  <si>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</si>
  <si>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</si>
  <si>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r>
      <t xml:space="preserve">UZAK IHTIMAL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</si>
  <si>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</si>
  <si>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</si>
  <si>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</si>
  <si>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</si>
  <si>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</si>
  <si>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</si>
  <si>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</si>
  <si>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</si>
  <si>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</si>
  <si>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</si>
  <si>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</si>
  <si>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</si>
  <si>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</si>
  <si>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</si>
  <si>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LOS ABRAZOS ROTOS</t>
  </si>
  <si>
    <t>SHERLOCK HOLMES</t>
  </si>
  <si>
    <t>PARANORMAL ACTIVITY</t>
  </si>
  <si>
    <t>UP IN THE AIR</t>
  </si>
  <si>
    <t>LITTLE NICHOLAS</t>
  </si>
  <si>
    <r>
      <t xml:space="preserve">2010 Türkiye Annual Box Office Report  </t>
    </r>
    <r>
      <rPr>
        <b/>
        <sz val="16"/>
        <rFont val="Garamond"/>
        <family val="1"/>
      </rPr>
      <t>01-28 January 2010</t>
    </r>
  </si>
  <si>
    <r>
      <t>2010 Türkiye Ex Years Releases Annual Box Office Report</t>
    </r>
    <r>
      <rPr>
        <sz val="26"/>
        <rFont val="Garamond"/>
        <family val="1"/>
      </rPr>
      <t xml:space="preserve">  </t>
    </r>
    <r>
      <rPr>
        <b/>
        <sz val="16"/>
        <rFont val="Garamond"/>
        <family val="1"/>
      </rPr>
      <t>01-28 January 2010</t>
    </r>
  </si>
  <si>
    <r>
      <t xml:space="preserve">KUTSAL DAMACANA 2 </t>
    </r>
    <r>
      <rPr>
        <sz val="10"/>
        <color indexed="10"/>
        <rFont val="Arial Black"/>
        <family val="2"/>
      </rPr>
      <t>(LOCAL)</t>
    </r>
    <r>
      <rPr>
        <sz val="10"/>
        <color indexed="12"/>
        <rFont val="Arial Black"/>
        <family val="2"/>
      </rPr>
      <t xml:space="preserve"> (NEW)</t>
    </r>
  </si>
  <si>
    <r>
      <t xml:space="preserve">EJDER KAPANI </t>
    </r>
    <r>
      <rPr>
        <sz val="10"/>
        <color indexed="10"/>
        <rFont val="Arial Black"/>
        <family val="2"/>
      </rPr>
      <t xml:space="preserve">(LOCAL) </t>
    </r>
    <r>
      <rPr>
        <sz val="10"/>
        <color indexed="12"/>
        <rFont val="Arial Black"/>
        <family val="2"/>
      </rPr>
      <t>(NEW)</t>
    </r>
  </si>
  <si>
    <r>
      <t xml:space="preserve">YAHŞİ BATI </t>
    </r>
    <r>
      <rPr>
        <sz val="10"/>
        <color indexed="10"/>
        <rFont val="Arial Black"/>
        <family val="2"/>
      </rPr>
      <t>(LOCAL)</t>
    </r>
  </si>
  <si>
    <r>
      <t>PRINCESS AND THE FROG</t>
    </r>
    <r>
      <rPr>
        <sz val="10"/>
        <color indexed="12"/>
        <rFont val="Arial Black"/>
        <family val="2"/>
      </rPr>
      <t xml:space="preserve"> (NEW)</t>
    </r>
  </si>
  <si>
    <r>
      <t>DID YOU HEAR ABOUT THE MORGANS?</t>
    </r>
    <r>
      <rPr>
        <sz val="10"/>
        <color indexed="12"/>
        <rFont val="Arial Black"/>
        <family val="2"/>
      </rPr>
      <t xml:space="preserve"> (NEW)</t>
    </r>
  </si>
  <si>
    <r>
      <t xml:space="preserve">GELECEKTEN BİR GÜN </t>
    </r>
    <r>
      <rPr>
        <sz val="10"/>
        <color indexed="10"/>
        <rFont val="Arial Black"/>
        <family val="2"/>
      </rPr>
      <t>(LOCAL)</t>
    </r>
  </si>
  <si>
    <r>
      <t>VALİ</t>
    </r>
    <r>
      <rPr>
        <sz val="10"/>
        <color indexed="10"/>
        <rFont val="Arial Black"/>
        <family val="2"/>
      </rPr>
      <t xml:space="preserve"> (LOCAL)</t>
    </r>
  </si>
  <si>
    <t>CINEGROUP</t>
  </si>
  <si>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</si>
  <si>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</si>
  <si>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</si>
  <si>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</si>
  <si>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r>
      <t>KAPTAN FEZA</t>
    </r>
    <r>
      <rPr>
        <sz val="10"/>
        <color indexed="10"/>
        <rFont val="Arial Black"/>
        <family val="2"/>
      </rPr>
      <t xml:space="preserve"> (LOCAL)</t>
    </r>
  </si>
  <si>
    <t>NIGHT AT THE MUSEUM 2</t>
  </si>
  <si>
    <t>INGLOURIOUS BASTERDS</t>
  </si>
  <si>
    <t>PUBLIC ENEMIES</t>
  </si>
  <si>
    <t>ROADSIDE ROMEO</t>
  </si>
  <si>
    <t>HIGH LANE</t>
  </si>
  <si>
    <t>GAMER</t>
  </si>
  <si>
    <t>FAME</t>
  </si>
  <si>
    <t xml:space="preserve">TOURNAMENT,THE </t>
  </si>
  <si>
    <t>PONTYPOOL</t>
  </si>
  <si>
    <r>
      <t xml:space="preserve">KUTSAL DAMACANA 2 </t>
    </r>
    <r>
      <rPr>
        <sz val="10"/>
        <color indexed="10"/>
        <rFont val="Arial Black"/>
        <family val="2"/>
      </rPr>
      <t>(LOCAL)</t>
    </r>
  </si>
  <si>
    <r>
      <t xml:space="preserve">EJDER KAPANI </t>
    </r>
    <r>
      <rPr>
        <sz val="10"/>
        <color indexed="10"/>
        <rFont val="Arial Black"/>
        <family val="2"/>
      </rPr>
      <t>(LOCAL)</t>
    </r>
  </si>
  <si>
    <t>PRINCESS AND THE FROG</t>
  </si>
  <si>
    <t>DID YOU HEAR ABOUT THE MORGANS?</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</si>
</sst>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7">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8"/>
      <name val="Arial"/>
      <family val="2"/>
    </font>
    <font>
      <b/>
      <sz val="11"/>
      <name val="Century Gothic"/>
      <family val="2"/>
    </font>
    <font>
      <sz val="9"/>
      <name val="Trebuchet MS"/>
      <family val="2"/>
    </font>
    <font>
      <sz val="10"/>
      <color indexed="9"/>
      <name val="Arial"/>
      <family val="0"/>
    </font>
    <font>
      <b/>
      <sz val="8"/>
      <color indexed="9"/>
      <name val="Trebuchet MS"/>
      <family val="0"/>
    </font>
    <font>
      <sz val="8"/>
      <color indexed="9"/>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2"/>
    </font>
    <font>
      <sz val="10"/>
      <name val="Verdana"/>
      <family val="2"/>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b/>
      <sz val="10"/>
      <name val="Arial Black"/>
      <family val="2"/>
    </font>
    <font>
      <b/>
      <sz val="10"/>
      <color indexed="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sz val="26"/>
      <name val="Garamond"/>
      <family val="1"/>
    </font>
    <font>
      <sz val="16"/>
      <name val="Garamond"/>
      <family val="1"/>
    </font>
    <font>
      <b/>
      <sz val="16"/>
      <name val="Garamond"/>
      <family val="1"/>
    </font>
    <font>
      <sz val="10"/>
      <color indexed="10"/>
      <name val="Arial Black"/>
      <family val="2"/>
    </font>
    <font>
      <sz val="10"/>
      <color indexed="12"/>
      <name val="Arial Black"/>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hair"/>
      <bottom style="mediu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medium"/>
      <top style="hair"/>
      <bottom style="hair"/>
    </border>
    <border>
      <left style="hair"/>
      <right style="medium"/>
      <top>
        <color indexed="63"/>
      </top>
      <bottom style="hair"/>
    </border>
    <border>
      <left style="hair"/>
      <right style="hair"/>
      <top style="medium"/>
      <bottom style="hair"/>
    </border>
    <border>
      <left style="medium"/>
      <right>
        <color indexed="63"/>
      </right>
      <top>
        <color indexed="63"/>
      </top>
      <bottom style="hair"/>
    </border>
    <border>
      <left style="hair"/>
      <right style="medium"/>
      <top style="medium"/>
      <bottom style="hair"/>
    </border>
    <border>
      <left>
        <color indexed="63"/>
      </left>
      <right>
        <color indexed="63"/>
      </right>
      <top>
        <color indexed="63"/>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hair"/>
      <top style="hair"/>
      <bottom style="hair"/>
    </border>
    <border>
      <left style="medium"/>
      <right style="hair"/>
      <top>
        <color indexed="63"/>
      </top>
      <bottom style="hair"/>
    </border>
    <border>
      <left style="hair"/>
      <right style="medium"/>
      <top style="hair"/>
      <bottom style="medium"/>
    </border>
    <border>
      <left style="thin"/>
      <right>
        <color indexed="63"/>
      </right>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171" fontId="0" fillId="0" borderId="0" applyFont="0" applyFill="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81">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6" fillId="0" borderId="0" xfId="0" applyNumberFormat="1" applyFont="1" applyFill="1" applyBorder="1" applyAlignment="1" applyProtection="1">
      <alignment horizontal="center" vertical="center"/>
      <protection locked="0"/>
    </xf>
    <xf numFmtId="184" fontId="5"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4" fillId="0" borderId="0" xfId="0" applyFont="1" applyFill="1" applyBorder="1" applyAlignment="1" applyProtection="1">
      <alignment vertical="center"/>
      <protection locked="0"/>
    </xf>
    <xf numFmtId="184" fontId="0" fillId="0" borderId="0" xfId="0" applyNumberFormat="1" applyAlignment="1">
      <alignment horizontal="center" vertical="center"/>
    </xf>
    <xf numFmtId="3" fontId="0" fillId="0" borderId="0" xfId="0" applyNumberFormat="1" applyBorder="1" applyAlignment="1">
      <alignment vertical="center"/>
    </xf>
    <xf numFmtId="4" fontId="0" fillId="0" borderId="0" xfId="0" applyNumberFormat="1" applyBorder="1" applyAlignment="1">
      <alignment vertical="center"/>
    </xf>
    <xf numFmtId="184" fontId="0" fillId="0" borderId="0" xfId="0" applyNumberFormat="1" applyAlignment="1">
      <alignment horizontal="center"/>
    </xf>
    <xf numFmtId="3"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3" fillId="0" borderId="0" xfId="0" applyFont="1" applyFill="1" applyAlignment="1">
      <alignment/>
    </xf>
    <xf numFmtId="3" fontId="10" fillId="0" borderId="0" xfId="0" applyNumberFormat="1" applyFont="1" applyFill="1" applyBorder="1" applyAlignment="1">
      <alignment vertical="center"/>
    </xf>
    <xf numFmtId="4" fontId="10" fillId="0" borderId="0" xfId="0" applyNumberFormat="1" applyFont="1" applyFill="1" applyBorder="1" applyAlignment="1">
      <alignment vertical="center"/>
    </xf>
    <xf numFmtId="0" fontId="10" fillId="0" borderId="0" xfId="0" applyFont="1" applyBorder="1" applyAlignment="1">
      <alignment vertical="center"/>
    </xf>
    <xf numFmtId="4" fontId="15" fillId="0"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184" fontId="20" fillId="0" borderId="11" xfId="0" applyNumberFormat="1" applyFont="1" applyFill="1" applyBorder="1" applyAlignment="1">
      <alignment horizontal="center" vertical="center"/>
    </xf>
    <xf numFmtId="0" fontId="20" fillId="0" borderId="11" xfId="0" applyFont="1" applyFill="1" applyBorder="1" applyAlignment="1">
      <alignment vertical="center"/>
    </xf>
    <xf numFmtId="184" fontId="20" fillId="0" borderId="11" xfId="0" applyNumberFormat="1" applyFont="1" applyFill="1" applyBorder="1" applyAlignment="1" applyProtection="1">
      <alignment horizontal="center" vertical="center"/>
      <protection locked="0"/>
    </xf>
    <xf numFmtId="0" fontId="20" fillId="0" borderId="11" xfId="0" applyFont="1" applyFill="1" applyBorder="1" applyAlignment="1" applyProtection="1">
      <alignment vertical="center"/>
      <protection locked="0"/>
    </xf>
    <xf numFmtId="184" fontId="20" fillId="0" borderId="12" xfId="0" applyNumberFormat="1" applyFont="1" applyFill="1" applyBorder="1" applyAlignment="1">
      <alignment horizontal="center" vertical="center"/>
    </xf>
    <xf numFmtId="1" fontId="22" fillId="0" borderId="0" xfId="0" applyNumberFormat="1" applyFont="1" applyFill="1" applyBorder="1" applyAlignment="1" applyProtection="1">
      <alignment horizontal="right" vertical="center"/>
      <protection/>
    </xf>
    <xf numFmtId="0" fontId="22" fillId="0" borderId="13"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1" fontId="22" fillId="0" borderId="0" xfId="0"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horizontal="center" vertical="center"/>
      <protection locked="0"/>
    </xf>
    <xf numFmtId="187" fontId="25" fillId="0" borderId="0" xfId="0" applyNumberFormat="1" applyFont="1" applyFill="1" applyBorder="1" applyAlignment="1" applyProtection="1">
      <alignment horizontal="center" vertical="center"/>
      <protection locked="0"/>
    </xf>
    <xf numFmtId="200" fontId="26" fillId="0" borderId="0" xfId="0" applyNumberFormat="1" applyFont="1" applyFill="1" applyBorder="1" applyAlignment="1" applyProtection="1">
      <alignment horizontal="right" vertical="center"/>
      <protection/>
    </xf>
    <xf numFmtId="200" fontId="27" fillId="33" borderId="10" xfId="0" applyNumberFormat="1" applyFont="1" applyFill="1" applyBorder="1" applyAlignment="1">
      <alignment horizontal="right" vertical="center"/>
    </xf>
    <xf numFmtId="200" fontId="28" fillId="0" borderId="0" xfId="0" applyNumberFormat="1" applyFont="1" applyFill="1" applyBorder="1" applyAlignment="1" applyProtection="1">
      <alignment horizontal="right" vertical="center"/>
      <protection locked="0"/>
    </xf>
    <xf numFmtId="200" fontId="22" fillId="0" borderId="0" xfId="0" applyNumberFormat="1" applyFont="1" applyAlignment="1">
      <alignment horizontal="right" vertical="center"/>
    </xf>
    <xf numFmtId="200" fontId="26" fillId="0" borderId="0" xfId="0" applyNumberFormat="1" applyFont="1" applyFill="1" applyBorder="1" applyAlignment="1" applyProtection="1">
      <alignment horizontal="right" vertical="center"/>
      <protection locked="0"/>
    </xf>
    <xf numFmtId="193" fontId="29" fillId="0" borderId="0" xfId="0" applyNumberFormat="1" applyFont="1" applyFill="1" applyBorder="1" applyAlignment="1" applyProtection="1">
      <alignment horizontal="right" vertical="center"/>
      <protection/>
    </xf>
    <xf numFmtId="193" fontId="27" fillId="33" borderId="10" xfId="0" applyNumberFormat="1" applyFont="1" applyFill="1" applyBorder="1" applyAlignment="1">
      <alignment horizontal="right" vertical="center"/>
    </xf>
    <xf numFmtId="193" fontId="25" fillId="0" borderId="0" xfId="0" applyNumberFormat="1" applyFont="1" applyFill="1" applyBorder="1" applyAlignment="1" applyProtection="1">
      <alignment horizontal="right" vertical="center"/>
      <protection locked="0"/>
    </xf>
    <xf numFmtId="193" fontId="22" fillId="0" borderId="0" xfId="0" applyNumberFormat="1" applyFont="1" applyAlignment="1">
      <alignment horizontal="right" vertical="center"/>
    </xf>
    <xf numFmtId="193" fontId="29"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0" fontId="21" fillId="0" borderId="0" xfId="0" applyFont="1" applyAlignment="1">
      <alignment/>
    </xf>
    <xf numFmtId="171" fontId="32" fillId="0" borderId="0" xfId="43" applyFont="1" applyFill="1" applyBorder="1" applyAlignment="1" applyProtection="1">
      <alignment vertical="center"/>
      <protection/>
    </xf>
    <xf numFmtId="0" fontId="36" fillId="0" borderId="0" xfId="0" applyFont="1" applyFill="1" applyBorder="1" applyAlignment="1" applyProtection="1">
      <alignment vertical="center"/>
      <protection locked="0"/>
    </xf>
    <xf numFmtId="0" fontId="33" fillId="0" borderId="0" xfId="0" applyFont="1" applyAlignment="1">
      <alignment/>
    </xf>
    <xf numFmtId="0" fontId="33" fillId="0" borderId="0" xfId="0" applyFont="1" applyAlignment="1">
      <alignment vertical="center" readingOrder="1"/>
    </xf>
    <xf numFmtId="0" fontId="32" fillId="0" borderId="0" xfId="0" applyFont="1" applyFill="1" applyBorder="1" applyAlignment="1" applyProtection="1">
      <alignment vertical="center"/>
      <protection locked="0"/>
    </xf>
    <xf numFmtId="0" fontId="24" fillId="0" borderId="0" xfId="0" applyNumberFormat="1" applyFont="1" applyFill="1" applyBorder="1" applyAlignment="1" applyProtection="1">
      <alignment horizontal="center" vertical="center"/>
      <protection/>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1" xfId="0" applyFont="1" applyFill="1" applyBorder="1" applyAlignment="1" applyProtection="1">
      <alignment horizontal="center" vertical="center"/>
      <protection locked="0"/>
    </xf>
    <xf numFmtId="0" fontId="37" fillId="33" borderId="10" xfId="0" applyFont="1" applyFill="1" applyBorder="1" applyAlignment="1">
      <alignment horizontal="center" vertical="center"/>
    </xf>
    <xf numFmtId="3" fontId="37" fillId="33" borderId="10" xfId="0" applyNumberFormat="1" applyFont="1" applyFill="1" applyBorder="1" applyAlignment="1">
      <alignment horizontal="center" vertical="center"/>
    </xf>
    <xf numFmtId="0" fontId="24" fillId="0" borderId="0" xfId="0" applyFont="1" applyAlignment="1">
      <alignment horizontal="center"/>
    </xf>
    <xf numFmtId="0" fontId="25" fillId="0" borderId="0" xfId="0" applyFont="1" applyBorder="1" applyAlignment="1">
      <alignment horizontal="center" vertical="center"/>
    </xf>
    <xf numFmtId="0" fontId="24" fillId="0" borderId="0" xfId="0" applyFont="1" applyBorder="1" applyAlignment="1">
      <alignment horizontal="center"/>
    </xf>
    <xf numFmtId="0" fontId="24" fillId="0" borderId="0" xfId="0" applyFont="1" applyAlignment="1">
      <alignment horizontal="center" vertical="center"/>
    </xf>
    <xf numFmtId="1" fontId="19" fillId="0" borderId="16"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locked="0"/>
    </xf>
    <xf numFmtId="1" fontId="38" fillId="0" borderId="17" xfId="0" applyNumberFormat="1" applyFont="1" applyFill="1" applyBorder="1" applyAlignment="1" applyProtection="1">
      <alignment horizontal="center" vertical="center" wrapText="1"/>
      <protection/>
    </xf>
    <xf numFmtId="200" fontId="19" fillId="0" borderId="18" xfId="0" applyNumberFormat="1" applyFont="1" applyFill="1" applyBorder="1" applyAlignment="1" applyProtection="1">
      <alignment horizontal="center" wrapText="1"/>
      <protection/>
    </xf>
    <xf numFmtId="193" fontId="19" fillId="0" borderId="18" xfId="0" applyNumberFormat="1" applyFont="1" applyFill="1" applyBorder="1" applyAlignment="1" applyProtection="1">
      <alignment horizontal="center" wrapText="1"/>
      <protection/>
    </xf>
    <xf numFmtId="192" fontId="19" fillId="0" borderId="18" xfId="0" applyNumberFormat="1" applyFont="1" applyFill="1" applyBorder="1" applyAlignment="1" applyProtection="1">
      <alignment horizontal="center" wrapText="1"/>
      <protection/>
    </xf>
    <xf numFmtId="192" fontId="19" fillId="0" borderId="19" xfId="0" applyNumberFormat="1" applyFont="1" applyFill="1" applyBorder="1" applyAlignment="1" applyProtection="1">
      <alignment horizontal="center" wrapText="1"/>
      <protection/>
    </xf>
    <xf numFmtId="193" fontId="39" fillId="0" borderId="0" xfId="0" applyNumberFormat="1" applyFont="1" applyFill="1" applyBorder="1" applyAlignment="1" applyProtection="1">
      <alignment horizontal="right" vertical="center"/>
      <protection/>
    </xf>
    <xf numFmtId="192" fontId="40" fillId="0" borderId="0" xfId="0" applyNumberFormat="1" applyFont="1" applyFill="1" applyBorder="1" applyAlignment="1" applyProtection="1">
      <alignment horizontal="right" vertical="center"/>
      <protection/>
    </xf>
    <xf numFmtId="200" fontId="40" fillId="0" borderId="0" xfId="0" applyNumberFormat="1" applyFont="1" applyFill="1" applyBorder="1" applyAlignment="1" applyProtection="1">
      <alignment horizontal="right" vertical="center"/>
      <protection/>
    </xf>
    <xf numFmtId="193" fontId="40" fillId="0" borderId="0" xfId="0" applyNumberFormat="1" applyFont="1" applyFill="1" applyBorder="1" applyAlignment="1" applyProtection="1">
      <alignment horizontal="right" vertical="center"/>
      <protection/>
    </xf>
    <xf numFmtId="2" fontId="40" fillId="0" borderId="11" xfId="40" applyNumberFormat="1" applyFont="1" applyFill="1" applyBorder="1" applyAlignment="1" applyProtection="1">
      <alignment vertical="center"/>
      <protection/>
    </xf>
    <xf numFmtId="2" fontId="40" fillId="0" borderId="20" xfId="40" applyNumberFormat="1" applyFont="1" applyFill="1" applyBorder="1" applyAlignment="1" applyProtection="1">
      <alignment vertical="center"/>
      <protection/>
    </xf>
    <xf numFmtId="2" fontId="40" fillId="0" borderId="21" xfId="40" applyNumberFormat="1" applyFont="1" applyFill="1" applyBorder="1" applyAlignment="1" applyProtection="1">
      <alignment vertical="center"/>
      <protection/>
    </xf>
    <xf numFmtId="2" fontId="40" fillId="0" borderId="11" xfId="0" applyNumberFormat="1" applyFont="1" applyFill="1" applyBorder="1" applyAlignment="1">
      <alignment vertical="center"/>
    </xf>
    <xf numFmtId="2" fontId="40" fillId="0" borderId="20" xfId="0" applyNumberFormat="1" applyFont="1" applyFill="1" applyBorder="1" applyAlignment="1">
      <alignment vertical="center"/>
    </xf>
    <xf numFmtId="193" fontId="41" fillId="33" borderId="10" xfId="0" applyNumberFormat="1" applyFont="1" applyFill="1" applyBorder="1" applyAlignment="1">
      <alignment horizontal="right" vertical="center"/>
    </xf>
    <xf numFmtId="192" fontId="42" fillId="33" borderId="10" xfId="0" applyNumberFormat="1" applyFont="1" applyFill="1" applyBorder="1" applyAlignment="1">
      <alignment horizontal="right" vertical="center"/>
    </xf>
    <xf numFmtId="200" fontId="42" fillId="33" borderId="10" xfId="0" applyNumberFormat="1" applyFont="1" applyFill="1" applyBorder="1" applyAlignment="1">
      <alignment horizontal="right" vertical="center"/>
    </xf>
    <xf numFmtId="193" fontId="42" fillId="33" borderId="10" xfId="0" applyNumberFormat="1" applyFont="1" applyFill="1" applyBorder="1" applyAlignment="1">
      <alignment horizontal="right" vertical="center"/>
    </xf>
    <xf numFmtId="192" fontId="42" fillId="33" borderId="21" xfId="0" applyNumberFormat="1" applyFont="1" applyFill="1" applyBorder="1" applyAlignment="1">
      <alignment horizontal="right" vertical="center"/>
    </xf>
    <xf numFmtId="193" fontId="39" fillId="0" borderId="0" xfId="0" applyNumberFormat="1" applyFont="1" applyFill="1" applyBorder="1" applyAlignment="1" applyProtection="1">
      <alignment horizontal="right" vertical="center"/>
      <protection locked="0"/>
    </xf>
    <xf numFmtId="192" fontId="40" fillId="0" borderId="0" xfId="0" applyNumberFormat="1" applyFont="1" applyFill="1" applyBorder="1" applyAlignment="1" applyProtection="1">
      <alignment horizontal="right" vertical="center"/>
      <protection locked="0"/>
    </xf>
    <xf numFmtId="200" fontId="40" fillId="0" borderId="0" xfId="43" applyNumberFormat="1" applyFont="1" applyFill="1" applyBorder="1" applyAlignment="1" applyProtection="1">
      <alignment horizontal="right" vertical="center"/>
      <protection/>
    </xf>
    <xf numFmtId="193" fontId="40" fillId="0" borderId="0" xfId="0" applyNumberFormat="1" applyFont="1" applyFill="1" applyBorder="1" applyAlignment="1" applyProtection="1">
      <alignment horizontal="right" vertical="center"/>
      <protection locked="0"/>
    </xf>
    <xf numFmtId="193" fontId="39" fillId="0" borderId="0" xfId="0" applyNumberFormat="1" applyFont="1" applyAlignment="1">
      <alignment horizontal="right" vertical="center"/>
    </xf>
    <xf numFmtId="192" fontId="40" fillId="0" borderId="0" xfId="0" applyNumberFormat="1" applyFont="1" applyAlignment="1">
      <alignment horizontal="right" vertical="center"/>
    </xf>
    <xf numFmtId="200" fontId="40" fillId="0" borderId="0" xfId="0" applyNumberFormat="1" applyFont="1" applyAlignment="1">
      <alignment horizontal="right" vertical="center"/>
    </xf>
    <xf numFmtId="193" fontId="40" fillId="0" borderId="0" xfId="0" applyNumberFormat="1" applyFont="1" applyAlignment="1">
      <alignment horizontal="right" vertical="center"/>
    </xf>
    <xf numFmtId="200" fontId="40" fillId="0" borderId="0" xfId="0" applyNumberFormat="1" applyFont="1" applyFill="1" applyBorder="1" applyAlignment="1" applyProtection="1">
      <alignment horizontal="right" vertical="center"/>
      <protection locked="0"/>
    </xf>
    <xf numFmtId="2" fontId="19" fillId="0" borderId="19" xfId="0" applyNumberFormat="1" applyFont="1" applyFill="1" applyBorder="1" applyAlignment="1" applyProtection="1">
      <alignment horizontal="center" wrapText="1"/>
      <protection/>
    </xf>
    <xf numFmtId="184" fontId="20" fillId="0" borderId="22" xfId="0" applyNumberFormat="1" applyFont="1" applyFill="1" applyBorder="1" applyAlignment="1">
      <alignment horizontal="center" vertical="center"/>
    </xf>
    <xf numFmtId="0" fontId="21" fillId="0" borderId="0" xfId="0" applyFont="1" applyAlignment="1">
      <alignment horizontal="center"/>
    </xf>
    <xf numFmtId="4" fontId="23" fillId="0" borderId="0" xfId="0" applyNumberFormat="1" applyFont="1" applyAlignment="1">
      <alignment horizontal="right"/>
    </xf>
    <xf numFmtId="3" fontId="23" fillId="0" borderId="0" xfId="0" applyNumberFormat="1" applyFont="1" applyAlignment="1">
      <alignment horizontal="right"/>
    </xf>
    <xf numFmtId="0" fontId="22" fillId="0" borderId="23" xfId="0" applyFont="1" applyFill="1" applyBorder="1" applyAlignment="1" applyProtection="1">
      <alignment horizontal="right" vertical="center"/>
      <protection/>
    </xf>
    <xf numFmtId="0" fontId="23" fillId="0" borderId="0" xfId="0" applyFont="1" applyAlignment="1">
      <alignment/>
    </xf>
    <xf numFmtId="4" fontId="19" fillId="0" borderId="18" xfId="0" applyNumberFormat="1" applyFont="1" applyFill="1" applyBorder="1" applyAlignment="1" applyProtection="1">
      <alignment horizontal="center" wrapText="1"/>
      <protection/>
    </xf>
    <xf numFmtId="3" fontId="19" fillId="0" borderId="18" xfId="0" applyNumberFormat="1" applyFont="1" applyFill="1" applyBorder="1" applyAlignment="1" applyProtection="1">
      <alignment horizontal="center" wrapText="1"/>
      <protection/>
    </xf>
    <xf numFmtId="2" fontId="19" fillId="0" borderId="18" xfId="0" applyNumberFormat="1" applyFont="1" applyFill="1" applyBorder="1" applyAlignment="1" applyProtection="1">
      <alignment horizontal="center" wrapText="1"/>
      <protection/>
    </xf>
    <xf numFmtId="0" fontId="24" fillId="0" borderId="22" xfId="0" applyFont="1" applyFill="1" applyBorder="1" applyAlignment="1">
      <alignment horizontal="center" vertical="center"/>
    </xf>
    <xf numFmtId="200" fontId="25" fillId="0" borderId="0" xfId="0" applyNumberFormat="1" applyFont="1" applyAlignment="1">
      <alignment horizontal="center"/>
    </xf>
    <xf numFmtId="193" fontId="25" fillId="0" borderId="0" xfId="0" applyNumberFormat="1" applyFont="1" applyAlignment="1">
      <alignment horizontal="center"/>
    </xf>
    <xf numFmtId="2" fontId="40" fillId="0" borderId="22" xfId="40" applyNumberFormat="1" applyFont="1" applyFill="1" applyBorder="1" applyAlignment="1" applyProtection="1">
      <alignment vertical="center"/>
      <protection/>
    </xf>
    <xf numFmtId="2" fontId="40" fillId="0" borderId="24" xfId="40" applyNumberFormat="1" applyFont="1" applyFill="1" applyBorder="1" applyAlignment="1" applyProtection="1">
      <alignment vertical="center"/>
      <protection/>
    </xf>
    <xf numFmtId="3" fontId="40" fillId="0" borderId="0" xfId="0" applyNumberFormat="1" applyFont="1" applyAlignment="1">
      <alignment horizontal="right"/>
    </xf>
    <xf numFmtId="2" fontId="40" fillId="0" borderId="0" xfId="0" applyNumberFormat="1" applyFont="1" applyAlignment="1">
      <alignment/>
    </xf>
    <xf numFmtId="4" fontId="40" fillId="0" borderId="0" xfId="0" applyNumberFormat="1" applyFont="1" applyAlignment="1">
      <alignment horizontal="right"/>
    </xf>
    <xf numFmtId="184" fontId="20" fillId="0" borderId="10" xfId="0" applyNumberFormat="1" applyFont="1" applyFill="1" applyBorder="1" applyAlignment="1" applyProtection="1">
      <alignment horizontal="center" vertical="center"/>
      <protection locked="0"/>
    </xf>
    <xf numFmtId="184" fontId="20" fillId="0" borderId="12" xfId="0" applyNumberFormat="1" applyFont="1" applyFill="1" applyBorder="1" applyAlignment="1" applyProtection="1">
      <alignment horizontal="center" vertical="center"/>
      <protection locked="0"/>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0" fontId="22" fillId="0" borderId="25" xfId="0" applyFont="1" applyFill="1" applyBorder="1" applyAlignment="1">
      <alignment horizontal="right" vertical="center"/>
    </xf>
    <xf numFmtId="200" fontId="22" fillId="0" borderId="0" xfId="0" applyNumberFormat="1" applyFont="1" applyBorder="1" applyAlignment="1">
      <alignment horizontal="right" vertical="center"/>
    </xf>
    <xf numFmtId="193" fontId="22" fillId="0" borderId="0" xfId="0" applyNumberFormat="1" applyFont="1" applyBorder="1" applyAlignment="1">
      <alignment horizontal="right" vertical="center" indent="1"/>
    </xf>
    <xf numFmtId="192" fontId="23" fillId="0" borderId="0" xfId="0" applyNumberFormat="1" applyFont="1" applyBorder="1" applyAlignment="1">
      <alignment horizontal="right" vertical="center" indent="1"/>
    </xf>
    <xf numFmtId="0" fontId="10" fillId="0" borderId="0" xfId="0" applyFont="1" applyBorder="1" applyAlignment="1">
      <alignment horizontal="center" vertical="center"/>
    </xf>
    <xf numFmtId="0" fontId="24" fillId="0" borderId="0" xfId="0" applyFont="1" applyBorder="1" applyAlignment="1">
      <alignment horizontal="center" vertical="center"/>
    </xf>
    <xf numFmtId="0" fontId="19" fillId="0" borderId="0" xfId="0" applyFont="1" applyBorder="1" applyAlignment="1">
      <alignment horizontal="right" vertical="center"/>
    </xf>
    <xf numFmtId="0" fontId="21" fillId="0" borderId="0" xfId="0" applyFont="1" applyBorder="1" applyAlignment="1">
      <alignment vertical="center"/>
    </xf>
    <xf numFmtId="200" fontId="19" fillId="0" borderId="0" xfId="0" applyNumberFormat="1" applyFont="1" applyBorder="1" applyAlignment="1">
      <alignment horizontal="right" vertical="center"/>
    </xf>
    <xf numFmtId="193" fontId="19" fillId="0" borderId="0" xfId="0" applyNumberFormat="1" applyFont="1" applyBorder="1" applyAlignment="1">
      <alignment horizontal="right" vertical="center" indent="1"/>
    </xf>
    <xf numFmtId="192" fontId="21" fillId="0" borderId="0" xfId="0" applyNumberFormat="1" applyFont="1" applyBorder="1" applyAlignment="1">
      <alignment horizontal="right" vertical="center" indent="1"/>
    </xf>
    <xf numFmtId="4" fontId="31" fillId="0" borderId="0" xfId="0" applyNumberFormat="1" applyFont="1" applyFill="1" applyBorder="1" applyAlignment="1">
      <alignment horizontal="righ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0" fontId="19" fillId="0" borderId="16" xfId="0" applyFont="1" applyFill="1" applyBorder="1" applyAlignment="1">
      <alignment horizontal="center" vertical="center"/>
    </xf>
    <xf numFmtId="0" fontId="38" fillId="0" borderId="17" xfId="0" applyFont="1" applyFill="1" applyBorder="1" applyAlignment="1">
      <alignment horizontal="center" vertical="center"/>
    </xf>
    <xf numFmtId="0" fontId="21" fillId="0" borderId="0" xfId="0" applyFont="1" applyBorder="1" applyAlignment="1">
      <alignment horizontal="center" vertical="center"/>
    </xf>
    <xf numFmtId="4" fontId="38"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200" fontId="19" fillId="0" borderId="18" xfId="0" applyNumberFormat="1" applyFont="1" applyFill="1" applyBorder="1" applyAlignment="1" applyProtection="1">
      <alignment horizontal="center" vertical="center" wrapText="1"/>
      <protection/>
    </xf>
    <xf numFmtId="193" fontId="19" fillId="0" borderId="18" xfId="0" applyNumberFormat="1" applyFont="1" applyFill="1" applyBorder="1" applyAlignment="1" applyProtection="1">
      <alignment horizontal="center" vertical="center" wrapText="1"/>
      <protection/>
    </xf>
    <xf numFmtId="0" fontId="33" fillId="0" borderId="26" xfId="0" applyFont="1" applyFill="1" applyBorder="1" applyAlignment="1">
      <alignment horizontal="left" vertical="center"/>
    </xf>
    <xf numFmtId="0" fontId="33" fillId="0" borderId="27" xfId="0" applyFont="1" applyFill="1" applyBorder="1" applyAlignment="1">
      <alignment horizontal="left" vertical="center"/>
    </xf>
    <xf numFmtId="0" fontId="33" fillId="0" borderId="27" xfId="0" applyFont="1" applyFill="1" applyBorder="1" applyAlignment="1" applyProtection="1">
      <alignment horizontal="left" vertical="center"/>
      <protection locked="0"/>
    </xf>
    <xf numFmtId="0" fontId="33" fillId="0" borderId="27" xfId="0" applyFont="1" applyFill="1" applyBorder="1" applyAlignment="1">
      <alignment horizontal="left" vertical="center"/>
    </xf>
    <xf numFmtId="0" fontId="33" fillId="0" borderId="28" xfId="0" applyFont="1" applyFill="1" applyBorder="1" applyAlignment="1">
      <alignment horizontal="left" vertical="center"/>
    </xf>
    <xf numFmtId="0" fontId="42" fillId="0" borderId="29" xfId="0" applyFont="1" applyFill="1" applyBorder="1" applyAlignment="1">
      <alignment horizontal="right" vertical="center"/>
    </xf>
    <xf numFmtId="0" fontId="42" fillId="0" borderId="29" xfId="0" applyFont="1" applyFill="1" applyBorder="1" applyAlignment="1" applyProtection="1">
      <alignment horizontal="right" vertical="center"/>
      <protection locked="0"/>
    </xf>
    <xf numFmtId="0" fontId="42" fillId="0" borderId="29" xfId="0" applyFont="1" applyFill="1" applyBorder="1" applyAlignment="1" applyProtection="1">
      <alignment horizontal="right" vertical="center"/>
      <protection locked="0"/>
    </xf>
    <xf numFmtId="0" fontId="33" fillId="0" borderId="28" xfId="0" applyFont="1" applyFill="1" applyBorder="1" applyAlignment="1" applyProtection="1">
      <alignment horizontal="left" vertical="center"/>
      <protection locked="0"/>
    </xf>
    <xf numFmtId="0" fontId="24" fillId="0" borderId="12" xfId="0" applyFont="1" applyFill="1" applyBorder="1" applyAlignment="1" applyProtection="1">
      <alignment horizontal="center" vertical="center"/>
      <protection locked="0"/>
    </xf>
    <xf numFmtId="0" fontId="42" fillId="0" borderId="0" xfId="0" applyFont="1" applyFill="1" applyBorder="1" applyAlignment="1">
      <alignment horizontal="right"/>
    </xf>
    <xf numFmtId="0" fontId="33" fillId="0" borderId="30" xfId="0" applyFont="1" applyFill="1" applyBorder="1" applyAlignment="1" applyProtection="1">
      <alignment horizontal="left" vertical="center"/>
      <protection locked="0"/>
    </xf>
    <xf numFmtId="0" fontId="24" fillId="0" borderId="10" xfId="0" applyFont="1" applyFill="1" applyBorder="1" applyAlignment="1" applyProtection="1">
      <alignment horizontal="center" vertical="center"/>
      <protection locked="0"/>
    </xf>
    <xf numFmtId="3" fontId="22" fillId="0" borderId="11" xfId="40" applyNumberFormat="1" applyFont="1" applyFill="1" applyBorder="1" applyAlignment="1" applyProtection="1">
      <alignment vertical="center"/>
      <protection locked="0"/>
    </xf>
    <xf numFmtId="3" fontId="40" fillId="0" borderId="11" xfId="40" applyNumberFormat="1" applyFont="1" applyFill="1" applyBorder="1" applyAlignment="1" applyProtection="1">
      <alignment vertical="center"/>
      <protection/>
    </xf>
    <xf numFmtId="3" fontId="40" fillId="0" borderId="11" xfId="40" applyNumberFormat="1" applyFont="1" applyFill="1" applyBorder="1" applyAlignment="1" applyProtection="1">
      <alignment vertical="center"/>
      <protection locked="0"/>
    </xf>
    <xf numFmtId="3" fontId="22" fillId="0" borderId="11" xfId="0" applyNumberFormat="1" applyFont="1" applyFill="1" applyBorder="1" applyAlignment="1">
      <alignment vertical="center"/>
    </xf>
    <xf numFmtId="3" fontId="40" fillId="0" borderId="11" xfId="0" applyNumberFormat="1" applyFont="1" applyFill="1" applyBorder="1" applyAlignment="1">
      <alignment vertical="center"/>
    </xf>
    <xf numFmtId="3" fontId="40" fillId="0" borderId="22" xfId="40" applyNumberFormat="1" applyFont="1" applyFill="1" applyBorder="1" applyAlignment="1" applyProtection="1">
      <alignment vertical="center"/>
      <protection/>
    </xf>
    <xf numFmtId="0" fontId="42" fillId="0" borderId="29" xfId="0" applyFont="1" applyFill="1" applyBorder="1" applyAlignment="1" applyProtection="1">
      <alignment vertical="center"/>
      <protection locked="0"/>
    </xf>
    <xf numFmtId="3" fontId="40" fillId="0" borderId="10" xfId="0" applyNumberFormat="1" applyFont="1" applyFill="1" applyBorder="1" applyAlignment="1">
      <alignment vertical="center"/>
    </xf>
    <xf numFmtId="3" fontId="22" fillId="0" borderId="12" xfId="40" applyNumberFormat="1" applyFont="1" applyFill="1" applyBorder="1" applyAlignment="1" applyProtection="1">
      <alignment vertical="center"/>
      <protection locked="0"/>
    </xf>
    <xf numFmtId="3" fontId="40" fillId="0" borderId="12" xfId="40" applyNumberFormat="1" applyFont="1" applyFill="1" applyBorder="1" applyAlignment="1" applyProtection="1">
      <alignment vertical="center"/>
      <protection/>
    </xf>
    <xf numFmtId="2" fontId="40" fillId="0" borderId="12" xfId="40" applyNumberFormat="1" applyFont="1" applyFill="1" applyBorder="1" applyAlignment="1" applyProtection="1">
      <alignment vertical="center"/>
      <protection/>
    </xf>
    <xf numFmtId="3" fontId="40" fillId="0" borderId="12" xfId="40" applyNumberFormat="1" applyFont="1" applyFill="1" applyBorder="1" applyAlignment="1" applyProtection="1">
      <alignment vertical="center"/>
      <protection locked="0"/>
    </xf>
    <xf numFmtId="2" fontId="40" fillId="0" borderId="31" xfId="40" applyNumberFormat="1" applyFont="1" applyFill="1" applyBorder="1" applyAlignment="1" applyProtection="1">
      <alignment vertical="center"/>
      <protection/>
    </xf>
    <xf numFmtId="0" fontId="41" fillId="0" borderId="0" xfId="0" applyFont="1" applyFill="1" applyBorder="1" applyAlignment="1" applyProtection="1">
      <alignment horizontal="right" vertical="center" wrapText="1"/>
      <protection locked="0"/>
    </xf>
    <xf numFmtId="0" fontId="22" fillId="0" borderId="17" xfId="0" applyFont="1" applyFill="1" applyBorder="1" applyAlignment="1" applyProtection="1">
      <alignment horizontal="right" vertical="center"/>
      <protection/>
    </xf>
    <xf numFmtId="0" fontId="22" fillId="0" borderId="0" xfId="0" applyFont="1" applyFill="1" applyBorder="1" applyAlignment="1" applyProtection="1">
      <alignment horizontal="right" vertical="center"/>
      <protection/>
    </xf>
    <xf numFmtId="3" fontId="22" fillId="0" borderId="22" xfId="0" applyNumberFormat="1" applyFont="1" applyFill="1" applyBorder="1" applyAlignment="1">
      <alignment vertical="center"/>
    </xf>
    <xf numFmtId="2" fontId="40" fillId="0" borderId="24" xfId="0" applyNumberFormat="1" applyFont="1" applyFill="1" applyBorder="1" applyAlignment="1">
      <alignment vertical="center"/>
    </xf>
    <xf numFmtId="3" fontId="22" fillId="0" borderId="10" xfId="40" applyNumberFormat="1" applyFont="1" applyFill="1" applyBorder="1" applyAlignment="1" applyProtection="1">
      <alignment vertical="center"/>
      <protection locked="0"/>
    </xf>
    <xf numFmtId="4" fontId="22" fillId="0" borderId="11" xfId="0" applyNumberFormat="1" applyFont="1" applyFill="1" applyBorder="1" applyAlignment="1">
      <alignment vertical="center"/>
    </xf>
    <xf numFmtId="4" fontId="40" fillId="0" borderId="11" xfId="0" applyNumberFormat="1" applyFont="1" applyFill="1" applyBorder="1" applyAlignment="1">
      <alignment vertical="center"/>
    </xf>
    <xf numFmtId="14" fontId="20" fillId="0" borderId="11" xfId="0" applyNumberFormat="1" applyFont="1" applyFill="1" applyBorder="1" applyAlignment="1">
      <alignment vertical="center"/>
    </xf>
    <xf numFmtId="3" fontId="40" fillId="0" borderId="11" xfId="0" applyNumberFormat="1" applyFont="1" applyFill="1" applyBorder="1" applyAlignment="1">
      <alignment vertical="center"/>
    </xf>
    <xf numFmtId="4" fontId="22" fillId="0" borderId="11" xfId="40" applyNumberFormat="1" applyFont="1" applyFill="1" applyBorder="1" applyAlignment="1" applyProtection="1">
      <alignment vertical="center"/>
      <protection locked="0"/>
    </xf>
    <xf numFmtId="4" fontId="40" fillId="0" borderId="11" xfId="40" applyNumberFormat="1" applyFont="1" applyFill="1" applyBorder="1" applyAlignment="1" applyProtection="1">
      <alignment vertical="center"/>
      <protection locked="0"/>
    </xf>
    <xf numFmtId="4" fontId="40" fillId="0" borderId="11" xfId="0" applyNumberFormat="1" applyFont="1" applyFill="1" applyBorder="1" applyAlignment="1">
      <alignment vertical="center"/>
    </xf>
    <xf numFmtId="0" fontId="20" fillId="0" borderId="22" xfId="0" applyFont="1" applyFill="1" applyBorder="1" applyAlignment="1" applyProtection="1">
      <alignment vertical="center"/>
      <protection locked="0"/>
    </xf>
    <xf numFmtId="4" fontId="22" fillId="0" borderId="22" xfId="0" applyNumberFormat="1" applyFont="1" applyFill="1" applyBorder="1" applyAlignment="1">
      <alignment vertical="center"/>
    </xf>
    <xf numFmtId="4" fontId="40" fillId="0" borderId="22" xfId="0" applyNumberFormat="1" applyFont="1" applyFill="1" applyBorder="1" applyAlignment="1">
      <alignment vertical="center"/>
    </xf>
    <xf numFmtId="3" fontId="40" fillId="0" borderId="22" xfId="0" applyNumberFormat="1" applyFont="1" applyFill="1" applyBorder="1" applyAlignment="1">
      <alignment vertical="center"/>
    </xf>
    <xf numFmtId="0" fontId="20" fillId="0" borderId="12" xfId="0" applyFont="1" applyFill="1" applyBorder="1" applyAlignment="1" applyProtection="1">
      <alignment vertical="center"/>
      <protection locked="0"/>
    </xf>
    <xf numFmtId="4" fontId="22" fillId="0" borderId="12" xfId="40" applyNumberFormat="1" applyFont="1" applyFill="1" applyBorder="1" applyAlignment="1" applyProtection="1">
      <alignment vertical="center"/>
      <protection locked="0"/>
    </xf>
    <xf numFmtId="4" fontId="40" fillId="0" borderId="12" xfId="40" applyNumberFormat="1" applyFont="1" applyFill="1" applyBorder="1" applyAlignment="1" applyProtection="1">
      <alignment vertical="center"/>
      <protection locked="0"/>
    </xf>
    <xf numFmtId="0" fontId="22" fillId="0" borderId="32" xfId="0" applyFont="1" applyFill="1" applyBorder="1" applyAlignment="1" applyProtection="1">
      <alignment vertical="center"/>
      <protection locked="0"/>
    </xf>
    <xf numFmtId="0" fontId="33" fillId="0" borderId="30" xfId="0" applyFont="1" applyFill="1" applyBorder="1" applyAlignment="1">
      <alignment horizontal="left" vertical="center"/>
    </xf>
    <xf numFmtId="184" fontId="20" fillId="0" borderId="10" xfId="0" applyNumberFormat="1" applyFont="1" applyFill="1" applyBorder="1" applyAlignment="1">
      <alignment horizontal="center" vertical="center"/>
    </xf>
    <xf numFmtId="14" fontId="20" fillId="0" borderId="10" xfId="0" applyNumberFormat="1" applyFont="1" applyFill="1" applyBorder="1" applyAlignment="1">
      <alignment vertical="center"/>
    </xf>
    <xf numFmtId="0" fontId="24" fillId="0" borderId="10" xfId="0" applyFont="1" applyFill="1" applyBorder="1" applyAlignment="1">
      <alignment horizontal="center" vertical="center"/>
    </xf>
    <xf numFmtId="4" fontId="22" fillId="0" borderId="10" xfId="0" applyNumberFormat="1" applyFont="1" applyFill="1" applyBorder="1" applyAlignment="1">
      <alignment vertical="center"/>
    </xf>
    <xf numFmtId="3" fontId="22" fillId="0" borderId="10" xfId="0" applyNumberFormat="1" applyFont="1" applyFill="1" applyBorder="1" applyAlignment="1">
      <alignment vertical="center"/>
    </xf>
    <xf numFmtId="2" fontId="40" fillId="0" borderId="10" xfId="0" applyNumberFormat="1" applyFont="1" applyFill="1" applyBorder="1" applyAlignment="1">
      <alignment vertical="center"/>
    </xf>
    <xf numFmtId="4" fontId="40" fillId="0" borderId="10" xfId="0" applyNumberFormat="1" applyFont="1" applyFill="1" applyBorder="1" applyAlignment="1">
      <alignment vertical="center"/>
    </xf>
    <xf numFmtId="2" fontId="40" fillId="0" borderId="21" xfId="0" applyNumberFormat="1" applyFont="1" applyFill="1" applyBorder="1" applyAlignment="1">
      <alignment vertical="center"/>
    </xf>
    <xf numFmtId="0" fontId="20" fillId="0" borderId="12" xfId="0" applyFont="1" applyFill="1" applyBorder="1" applyAlignment="1">
      <alignment vertical="center"/>
    </xf>
    <xf numFmtId="184" fontId="20" fillId="0" borderId="33" xfId="0" applyNumberFormat="1" applyFont="1" applyFill="1" applyBorder="1" applyAlignment="1" applyProtection="1">
      <alignment horizontal="center" vertical="center"/>
      <protection locked="0"/>
    </xf>
    <xf numFmtId="184" fontId="20" fillId="0" borderId="33" xfId="0" applyNumberFormat="1" applyFont="1" applyFill="1" applyBorder="1" applyAlignment="1" applyProtection="1">
      <alignment vertical="center"/>
      <protection locked="0"/>
    </xf>
    <xf numFmtId="0" fontId="24" fillId="0" borderId="33" xfId="0" applyFont="1" applyFill="1" applyBorder="1" applyAlignment="1" applyProtection="1">
      <alignment horizontal="center" vertical="center"/>
      <protection locked="0"/>
    </xf>
    <xf numFmtId="4" fontId="22" fillId="0" borderId="33" xfId="40" applyNumberFormat="1" applyFont="1" applyFill="1" applyBorder="1" applyAlignment="1" applyProtection="1">
      <alignment horizontal="right" vertical="center"/>
      <protection locked="0"/>
    </xf>
    <xf numFmtId="3" fontId="22" fillId="0" borderId="33" xfId="40" applyNumberFormat="1" applyFont="1" applyFill="1" applyBorder="1" applyAlignment="1" applyProtection="1">
      <alignment horizontal="right" vertical="center"/>
      <protection locked="0"/>
    </xf>
    <xf numFmtId="3" fontId="40" fillId="0" borderId="33" xfId="40" applyNumberFormat="1" applyFont="1" applyFill="1" applyBorder="1" applyAlignment="1" applyProtection="1">
      <alignment horizontal="right" vertical="center"/>
      <protection/>
    </xf>
    <xf numFmtId="2" fontId="40" fillId="0" borderId="33" xfId="40" applyNumberFormat="1" applyFont="1" applyFill="1" applyBorder="1" applyAlignment="1" applyProtection="1">
      <alignment vertical="center"/>
      <protection/>
    </xf>
    <xf numFmtId="4" fontId="40" fillId="0" borderId="33" xfId="40" applyNumberFormat="1" applyFont="1" applyFill="1" applyBorder="1" applyAlignment="1" applyProtection="1">
      <alignment horizontal="right" vertical="center"/>
      <protection locked="0"/>
    </xf>
    <xf numFmtId="3" fontId="40" fillId="0" borderId="33" xfId="40" applyNumberFormat="1" applyFont="1" applyFill="1" applyBorder="1" applyAlignment="1" applyProtection="1">
      <alignment horizontal="right" vertical="center"/>
      <protection locked="0"/>
    </xf>
    <xf numFmtId="0" fontId="20" fillId="0" borderId="33" xfId="0" applyFont="1" applyFill="1" applyBorder="1" applyAlignment="1" applyProtection="1">
      <alignment horizontal="left" vertical="center"/>
      <protection locked="0"/>
    </xf>
    <xf numFmtId="2" fontId="40" fillId="0" borderId="33" xfId="40" applyNumberFormat="1" applyFont="1" applyFill="1" applyBorder="1" applyAlignment="1" applyProtection="1">
      <alignment horizontal="right" vertical="center"/>
      <protection/>
    </xf>
    <xf numFmtId="184" fontId="20" fillId="0" borderId="33" xfId="0" applyNumberFormat="1" applyFont="1" applyFill="1" applyBorder="1" applyAlignment="1" applyProtection="1">
      <alignment horizontal="left" vertical="center"/>
      <protection locked="0"/>
    </xf>
    <xf numFmtId="3" fontId="22" fillId="0" borderId="33" xfId="40" applyNumberFormat="1" applyFont="1" applyFill="1" applyBorder="1" applyAlignment="1" applyProtection="1">
      <alignment vertical="center"/>
      <protection locked="0"/>
    </xf>
    <xf numFmtId="3" fontId="40" fillId="0" borderId="33" xfId="40" applyNumberFormat="1" applyFont="1" applyFill="1" applyBorder="1" applyAlignment="1" applyProtection="1">
      <alignment vertical="center"/>
      <protection/>
    </xf>
    <xf numFmtId="3" fontId="40" fillId="0" borderId="33" xfId="40" applyNumberFormat="1" applyFont="1" applyFill="1" applyBorder="1" applyAlignment="1" applyProtection="1">
      <alignment vertical="center"/>
      <protection locked="0"/>
    </xf>
    <xf numFmtId="0" fontId="20" fillId="0" borderId="33" xfId="0" applyFont="1" applyFill="1" applyBorder="1" applyAlignment="1" applyProtection="1">
      <alignment vertical="center"/>
      <protection locked="0"/>
    </xf>
    <xf numFmtId="4" fontId="22" fillId="0" borderId="33" xfId="40" applyNumberFormat="1" applyFont="1" applyFill="1" applyBorder="1" applyAlignment="1" applyProtection="1">
      <alignment vertical="center"/>
      <protection locked="0"/>
    </xf>
    <xf numFmtId="4" fontId="40" fillId="0" borderId="33" xfId="40" applyNumberFormat="1" applyFont="1" applyFill="1" applyBorder="1" applyAlignment="1" applyProtection="1">
      <alignment vertical="center"/>
      <protection locked="0"/>
    </xf>
    <xf numFmtId="184" fontId="20" fillId="0" borderId="33" xfId="0" applyNumberFormat="1" applyFont="1" applyFill="1" applyBorder="1" applyAlignment="1">
      <alignment horizontal="center" vertical="center"/>
    </xf>
    <xf numFmtId="0" fontId="20" fillId="0" borderId="33" xfId="0" applyFont="1" applyFill="1" applyBorder="1" applyAlignment="1">
      <alignment horizontal="left" vertical="center"/>
    </xf>
    <xf numFmtId="0" fontId="24" fillId="0" borderId="33" xfId="0" applyFont="1" applyFill="1" applyBorder="1" applyAlignment="1">
      <alignment horizontal="center" vertical="center"/>
    </xf>
    <xf numFmtId="0" fontId="20" fillId="0" borderId="33" xfId="0" applyFont="1" applyFill="1" applyBorder="1" applyAlignment="1">
      <alignment vertical="center"/>
    </xf>
    <xf numFmtId="4" fontId="22" fillId="0" borderId="33" xfId="0" applyNumberFormat="1" applyFont="1" applyFill="1" applyBorder="1" applyAlignment="1">
      <alignment horizontal="right" vertical="center"/>
    </xf>
    <xf numFmtId="3" fontId="22" fillId="0" borderId="33" xfId="0" applyNumberFormat="1" applyFont="1" applyFill="1" applyBorder="1" applyAlignment="1">
      <alignment horizontal="right" vertical="center"/>
    </xf>
    <xf numFmtId="3" fontId="40" fillId="0" borderId="33" xfId="0" applyNumberFormat="1" applyFont="1" applyFill="1" applyBorder="1" applyAlignment="1">
      <alignment horizontal="right" vertical="center"/>
    </xf>
    <xf numFmtId="2" fontId="40" fillId="0" borderId="33" xfId="0" applyNumberFormat="1" applyFont="1" applyFill="1" applyBorder="1" applyAlignment="1">
      <alignment vertical="center"/>
    </xf>
    <xf numFmtId="4" fontId="40" fillId="0" borderId="33" xfId="0" applyNumberFormat="1" applyFont="1" applyFill="1" applyBorder="1" applyAlignment="1">
      <alignment horizontal="right" vertical="center"/>
    </xf>
    <xf numFmtId="2" fontId="40" fillId="0" borderId="33" xfId="0" applyNumberFormat="1" applyFont="1" applyFill="1" applyBorder="1" applyAlignment="1">
      <alignment horizontal="right" vertical="center"/>
    </xf>
    <xf numFmtId="4" fontId="22" fillId="0" borderId="33" xfId="43" applyNumberFormat="1" applyFont="1" applyFill="1" applyBorder="1" applyAlignment="1" applyProtection="1">
      <alignment horizontal="right" vertical="center"/>
      <protection/>
    </xf>
    <xf numFmtId="3" fontId="22" fillId="0" borderId="33" xfId="43" applyNumberFormat="1" applyFont="1" applyFill="1" applyBorder="1" applyAlignment="1" applyProtection="1">
      <alignment vertical="center"/>
      <protection/>
    </xf>
    <xf numFmtId="3" fontId="40" fillId="0" borderId="33" xfId="61" applyNumberFormat="1" applyFont="1" applyFill="1" applyBorder="1" applyAlignment="1" applyProtection="1">
      <alignment vertical="center"/>
      <protection/>
    </xf>
    <xf numFmtId="2" fontId="40" fillId="0" borderId="33" xfId="61" applyNumberFormat="1" applyFont="1" applyFill="1" applyBorder="1" applyAlignment="1" applyProtection="1">
      <alignment vertical="center"/>
      <protection/>
    </xf>
    <xf numFmtId="4" fontId="40" fillId="0" borderId="33" xfId="43" applyNumberFormat="1" applyFont="1" applyFill="1" applyBorder="1" applyAlignment="1" applyProtection="1">
      <alignment horizontal="right" vertical="center"/>
      <protection/>
    </xf>
    <xf numFmtId="3" fontId="40" fillId="0" borderId="33" xfId="0" applyNumberFormat="1" applyFont="1" applyFill="1" applyBorder="1" applyAlignment="1">
      <alignment vertical="center"/>
    </xf>
    <xf numFmtId="3" fontId="22" fillId="0" borderId="33" xfId="43" applyNumberFormat="1" applyFont="1" applyFill="1" applyBorder="1" applyAlignment="1" applyProtection="1">
      <alignment horizontal="right" vertical="center"/>
      <protection/>
    </xf>
    <xf numFmtId="3" fontId="40" fillId="0" borderId="33" xfId="61" applyNumberFormat="1" applyFont="1" applyFill="1" applyBorder="1" applyAlignment="1" applyProtection="1">
      <alignment horizontal="right" vertical="center"/>
      <protection/>
    </xf>
    <xf numFmtId="2" fontId="40" fillId="0" borderId="33" xfId="61" applyNumberFormat="1" applyFont="1" applyFill="1" applyBorder="1" applyAlignment="1" applyProtection="1">
      <alignment horizontal="right" vertical="center"/>
      <protection/>
    </xf>
    <xf numFmtId="184" fontId="20" fillId="34" borderId="33" xfId="0" applyNumberFormat="1" applyFont="1" applyFill="1" applyBorder="1" applyAlignment="1">
      <alignment horizontal="center" vertical="center"/>
    </xf>
    <xf numFmtId="0" fontId="20" fillId="34" borderId="33" xfId="0" applyFont="1" applyFill="1" applyBorder="1" applyAlignment="1">
      <alignment horizontal="left" vertical="center"/>
    </xf>
    <xf numFmtId="0" fontId="24" fillId="34" borderId="33" xfId="0" applyFont="1" applyFill="1" applyBorder="1" applyAlignment="1">
      <alignment horizontal="center" vertical="center"/>
    </xf>
    <xf numFmtId="0" fontId="20" fillId="0" borderId="33" xfId="0" applyNumberFormat="1" applyFont="1" applyFill="1" applyBorder="1" applyAlignment="1" applyProtection="1">
      <alignment vertical="center"/>
      <protection locked="0"/>
    </xf>
    <xf numFmtId="0" fontId="24" fillId="0" borderId="33" xfId="0" applyNumberFormat="1" applyFont="1" applyFill="1" applyBorder="1" applyAlignment="1" applyProtection="1">
      <alignment horizontal="center" vertical="center"/>
      <protection locked="0"/>
    </xf>
    <xf numFmtId="4" fontId="22" fillId="0" borderId="33" xfId="45" applyNumberFormat="1" applyFont="1" applyFill="1" applyBorder="1" applyAlignment="1" applyProtection="1">
      <alignment horizontal="right" vertical="center"/>
      <protection locked="0"/>
    </xf>
    <xf numFmtId="3" fontId="22" fillId="0" borderId="33" xfId="45" applyNumberFormat="1" applyFont="1" applyFill="1" applyBorder="1" applyAlignment="1" applyProtection="1">
      <alignment horizontal="right" vertical="center"/>
      <protection locked="0"/>
    </xf>
    <xf numFmtId="3" fontId="40" fillId="0" borderId="33" xfId="45" applyNumberFormat="1" applyFont="1" applyFill="1" applyBorder="1" applyAlignment="1" applyProtection="1">
      <alignment horizontal="right" vertical="center"/>
      <protection/>
    </xf>
    <xf numFmtId="2" fontId="40" fillId="0" borderId="33" xfId="45" applyNumberFormat="1" applyFont="1" applyFill="1" applyBorder="1" applyAlignment="1" applyProtection="1">
      <alignment vertical="center"/>
      <protection/>
    </xf>
    <xf numFmtId="4" fontId="40" fillId="0" borderId="33" xfId="45" applyNumberFormat="1" applyFont="1" applyFill="1" applyBorder="1" applyAlignment="1" applyProtection="1">
      <alignment horizontal="right" vertical="center"/>
      <protection locked="0"/>
    </xf>
    <xf numFmtId="3" fontId="40" fillId="0" borderId="33" xfId="45" applyNumberFormat="1" applyFont="1" applyFill="1" applyBorder="1" applyAlignment="1" applyProtection="1">
      <alignment horizontal="right" vertical="center"/>
      <protection locked="0"/>
    </xf>
    <xf numFmtId="0" fontId="20" fillId="0" borderId="33" xfId="0" applyNumberFormat="1" applyFont="1" applyFill="1" applyBorder="1" applyAlignment="1" applyProtection="1">
      <alignment horizontal="left" vertical="center"/>
      <protection locked="0"/>
    </xf>
    <xf numFmtId="2" fontId="40" fillId="0" borderId="33" xfId="45" applyNumberFormat="1" applyFont="1" applyFill="1" applyBorder="1" applyAlignment="1" applyProtection="1">
      <alignment horizontal="right" vertical="center"/>
      <protection/>
    </xf>
    <xf numFmtId="3" fontId="22" fillId="0" borderId="33" xfId="45" applyNumberFormat="1" applyFont="1" applyFill="1" applyBorder="1" applyAlignment="1" applyProtection="1">
      <alignment vertical="center"/>
      <protection locked="0"/>
    </xf>
    <xf numFmtId="3" fontId="40" fillId="0" borderId="33" xfId="45" applyNumberFormat="1" applyFont="1" applyFill="1" applyBorder="1" applyAlignment="1" applyProtection="1">
      <alignment vertical="center"/>
      <protection/>
    </xf>
    <xf numFmtId="3" fontId="40" fillId="0" borderId="33" xfId="45" applyNumberFormat="1" applyFont="1" applyFill="1" applyBorder="1" applyAlignment="1" applyProtection="1">
      <alignment vertical="center"/>
      <protection locked="0"/>
    </xf>
    <xf numFmtId="4" fontId="22" fillId="0" borderId="33" xfId="0" applyNumberFormat="1" applyFont="1" applyFill="1" applyBorder="1" applyAlignment="1">
      <alignment vertical="center"/>
    </xf>
    <xf numFmtId="3" fontId="22" fillId="0" borderId="33" xfId="0" applyNumberFormat="1" applyFont="1" applyFill="1" applyBorder="1" applyAlignment="1">
      <alignment vertical="center"/>
    </xf>
    <xf numFmtId="4" fontId="40" fillId="0" borderId="33" xfId="0" applyNumberFormat="1" applyFont="1" applyFill="1" applyBorder="1" applyAlignment="1">
      <alignment vertical="center"/>
    </xf>
    <xf numFmtId="14" fontId="20" fillId="0" borderId="33" xfId="0" applyNumberFormat="1" applyFont="1" applyFill="1" applyBorder="1" applyAlignment="1">
      <alignment horizontal="left" vertical="center"/>
    </xf>
    <xf numFmtId="184" fontId="20" fillId="35" borderId="33" xfId="0" applyNumberFormat="1" applyFont="1" applyFill="1" applyBorder="1" applyAlignment="1">
      <alignment horizontal="center" vertical="center"/>
    </xf>
    <xf numFmtId="14" fontId="20" fillId="35" borderId="33" xfId="0" applyNumberFormat="1" applyFont="1" applyFill="1" applyBorder="1" applyAlignment="1">
      <alignment vertical="center"/>
    </xf>
    <xf numFmtId="0" fontId="24" fillId="35" borderId="33" xfId="0" applyFont="1" applyFill="1" applyBorder="1" applyAlignment="1">
      <alignment horizontal="center" vertical="center"/>
    </xf>
    <xf numFmtId="4" fontId="22" fillId="35" borderId="33" xfId="0" applyNumberFormat="1" applyFont="1" applyFill="1" applyBorder="1" applyAlignment="1">
      <alignment horizontal="right" vertical="center"/>
    </xf>
    <xf numFmtId="3" fontId="22" fillId="35" borderId="33" xfId="0" applyNumberFormat="1" applyFont="1" applyFill="1" applyBorder="1" applyAlignment="1">
      <alignment horizontal="right" vertical="center"/>
    </xf>
    <xf numFmtId="3" fontId="40" fillId="35" borderId="33" xfId="0" applyNumberFormat="1" applyFont="1" applyFill="1" applyBorder="1" applyAlignment="1">
      <alignment horizontal="right" vertical="center"/>
    </xf>
    <xf numFmtId="2" fontId="40" fillId="35" borderId="33" xfId="0" applyNumberFormat="1" applyFont="1" applyFill="1" applyBorder="1" applyAlignment="1">
      <alignment vertical="center"/>
    </xf>
    <xf numFmtId="4" fontId="40" fillId="35" borderId="33" xfId="0" applyNumberFormat="1" applyFont="1" applyFill="1" applyBorder="1" applyAlignment="1">
      <alignment horizontal="right" vertical="center"/>
    </xf>
    <xf numFmtId="14" fontId="20" fillId="0" borderId="33" xfId="0" applyNumberFormat="1" applyFont="1" applyFill="1" applyBorder="1" applyAlignment="1">
      <alignment vertical="center"/>
    </xf>
    <xf numFmtId="49" fontId="20" fillId="0" borderId="33" xfId="0" applyNumberFormat="1" applyFont="1" applyFill="1" applyBorder="1" applyAlignment="1" applyProtection="1">
      <alignment horizontal="left" vertical="center"/>
      <protection locked="0"/>
    </xf>
    <xf numFmtId="4" fontId="22" fillId="0" borderId="33" xfId="43" applyNumberFormat="1" applyFont="1" applyFill="1" applyBorder="1" applyAlignment="1" applyProtection="1">
      <alignment horizontal="right" vertical="center"/>
      <protection locked="0"/>
    </xf>
    <xf numFmtId="3" fontId="22" fillId="0" borderId="33" xfId="43" applyNumberFormat="1" applyFont="1" applyFill="1" applyBorder="1" applyAlignment="1" applyProtection="1">
      <alignment vertical="center"/>
      <protection locked="0"/>
    </xf>
    <xf numFmtId="4" fontId="40" fillId="0" borderId="33" xfId="43" applyNumberFormat="1" applyFont="1" applyFill="1" applyBorder="1" applyAlignment="1" applyProtection="1">
      <alignment horizontal="right" vertical="center"/>
      <protection locked="0"/>
    </xf>
    <xf numFmtId="3" fontId="40" fillId="0" borderId="33" xfId="43" applyNumberFormat="1" applyFont="1" applyFill="1" applyBorder="1" applyAlignment="1" applyProtection="1">
      <alignment vertical="center"/>
      <protection locked="0"/>
    </xf>
    <xf numFmtId="49" fontId="24" fillId="0" borderId="33" xfId="0" applyNumberFormat="1" applyFont="1" applyFill="1" applyBorder="1" applyAlignment="1" applyProtection="1">
      <alignment horizontal="center" vertical="center"/>
      <protection locked="0"/>
    </xf>
    <xf numFmtId="3" fontId="22" fillId="0" borderId="33" xfId="43" applyNumberFormat="1" applyFont="1" applyFill="1" applyBorder="1" applyAlignment="1" applyProtection="1">
      <alignment horizontal="right" vertical="center"/>
      <protection locked="0"/>
    </xf>
    <xf numFmtId="3" fontId="40" fillId="0" borderId="33" xfId="43" applyNumberFormat="1" applyFont="1" applyFill="1" applyBorder="1" applyAlignment="1" applyProtection="1">
      <alignment horizontal="right" vertical="center"/>
      <protection/>
    </xf>
    <xf numFmtId="3" fontId="40" fillId="0" borderId="33" xfId="43" applyNumberFormat="1" applyFont="1" applyFill="1" applyBorder="1" applyAlignment="1" applyProtection="1">
      <alignment horizontal="right" vertical="center"/>
      <protection locked="0"/>
    </xf>
    <xf numFmtId="3" fontId="40" fillId="0" borderId="33" xfId="43" applyNumberFormat="1" applyFont="1" applyFill="1" applyBorder="1" applyAlignment="1" applyProtection="1">
      <alignment vertical="center"/>
      <protection/>
    </xf>
    <xf numFmtId="2" fontId="40" fillId="0" borderId="33" xfId="43" applyNumberFormat="1" applyFont="1" applyFill="1" applyBorder="1" applyAlignment="1" applyProtection="1">
      <alignment vertical="center"/>
      <protection/>
    </xf>
    <xf numFmtId="49" fontId="20" fillId="0" borderId="33" xfId="0" applyNumberFormat="1" applyFont="1" applyFill="1" applyBorder="1" applyAlignment="1" applyProtection="1">
      <alignment vertical="center"/>
      <protection locked="0"/>
    </xf>
    <xf numFmtId="2" fontId="40" fillId="0" borderId="33" xfId="43" applyNumberFormat="1" applyFont="1" applyFill="1" applyBorder="1" applyAlignment="1" applyProtection="1">
      <alignment horizontal="right" vertical="center"/>
      <protection/>
    </xf>
    <xf numFmtId="0" fontId="34" fillId="0" borderId="34" xfId="0" applyFont="1" applyFill="1" applyBorder="1" applyAlignment="1" applyProtection="1">
      <alignment horizontal="left" vertical="center"/>
      <protection locked="0"/>
    </xf>
    <xf numFmtId="184" fontId="20" fillId="0" borderId="35" xfId="0" applyNumberFormat="1" applyFont="1" applyFill="1" applyBorder="1" applyAlignment="1" applyProtection="1">
      <alignment horizontal="center" vertical="center"/>
      <protection locked="0"/>
    </xf>
    <xf numFmtId="184" fontId="20" fillId="0" borderId="35" xfId="0" applyNumberFormat="1" applyFont="1" applyFill="1" applyBorder="1" applyAlignment="1" applyProtection="1">
      <alignment vertical="center"/>
      <protection locked="0"/>
    </xf>
    <xf numFmtId="0" fontId="24" fillId="0" borderId="35" xfId="0" applyFont="1" applyFill="1" applyBorder="1" applyAlignment="1" applyProtection="1">
      <alignment horizontal="center" vertical="center"/>
      <protection locked="0"/>
    </xf>
    <xf numFmtId="4" fontId="22" fillId="0" borderId="35" xfId="40" applyNumberFormat="1" applyFont="1" applyFill="1" applyBorder="1" applyAlignment="1" applyProtection="1">
      <alignment horizontal="right" vertical="center"/>
      <protection locked="0"/>
    </xf>
    <xf numFmtId="3" fontId="22" fillId="0" borderId="35" xfId="40" applyNumberFormat="1" applyFont="1" applyFill="1" applyBorder="1" applyAlignment="1" applyProtection="1">
      <alignment horizontal="right" vertical="center"/>
      <protection locked="0"/>
    </xf>
    <xf numFmtId="3" fontId="40" fillId="0" borderId="35" xfId="40" applyNumberFormat="1" applyFont="1" applyFill="1" applyBorder="1" applyAlignment="1" applyProtection="1">
      <alignment horizontal="right" vertical="center"/>
      <protection/>
    </xf>
    <xf numFmtId="2" fontId="40" fillId="0" borderId="35" xfId="40" applyNumberFormat="1" applyFont="1" applyFill="1" applyBorder="1" applyAlignment="1" applyProtection="1">
      <alignment vertical="center"/>
      <protection/>
    </xf>
    <xf numFmtId="4" fontId="40" fillId="0" borderId="35" xfId="40" applyNumberFormat="1" applyFont="1" applyFill="1" applyBorder="1" applyAlignment="1" applyProtection="1">
      <alignment horizontal="right" vertical="center"/>
      <protection locked="0"/>
    </xf>
    <xf numFmtId="3" fontId="40" fillId="0" borderId="35" xfId="40" applyNumberFormat="1" applyFont="1" applyFill="1" applyBorder="1" applyAlignment="1" applyProtection="1">
      <alignment horizontal="right" vertical="center"/>
      <protection locked="0"/>
    </xf>
    <xf numFmtId="2" fontId="40" fillId="0" borderId="36" xfId="40" applyNumberFormat="1" applyFont="1" applyFill="1" applyBorder="1" applyAlignment="1" applyProtection="1">
      <alignment vertical="center"/>
      <protection/>
    </xf>
    <xf numFmtId="0" fontId="33" fillId="0" borderId="37" xfId="0" applyFont="1" applyFill="1" applyBorder="1" applyAlignment="1" applyProtection="1">
      <alignment horizontal="left" vertical="center"/>
      <protection locked="0"/>
    </xf>
    <xf numFmtId="2" fontId="40" fillId="0" borderId="38" xfId="40" applyNumberFormat="1" applyFont="1" applyFill="1" applyBorder="1" applyAlignment="1" applyProtection="1">
      <alignment horizontal="right" vertical="center"/>
      <protection/>
    </xf>
    <xf numFmtId="2" fontId="40" fillId="0" borderId="38" xfId="40" applyNumberFormat="1" applyFont="1" applyFill="1" applyBorder="1" applyAlignment="1" applyProtection="1">
      <alignment vertical="center"/>
      <protection/>
    </xf>
    <xf numFmtId="0" fontId="33" fillId="0" borderId="37" xfId="0" applyFont="1" applyFill="1" applyBorder="1" applyAlignment="1">
      <alignment horizontal="left" vertical="center"/>
    </xf>
    <xf numFmtId="0" fontId="34" fillId="0" borderId="37" xfId="0" applyFont="1" applyFill="1" applyBorder="1" applyAlignment="1">
      <alignment horizontal="left" vertical="center"/>
    </xf>
    <xf numFmtId="2" fontId="40" fillId="0" borderId="38" xfId="0" applyNumberFormat="1" applyFont="1" applyFill="1" applyBorder="1" applyAlignment="1">
      <alignment vertical="center"/>
    </xf>
    <xf numFmtId="2" fontId="40" fillId="0" borderId="38" xfId="0" applyNumberFormat="1" applyFont="1" applyFill="1" applyBorder="1" applyAlignment="1">
      <alignment horizontal="right" vertical="center"/>
    </xf>
    <xf numFmtId="2" fontId="40" fillId="0" borderId="38" xfId="61" applyNumberFormat="1" applyFont="1" applyFill="1" applyBorder="1" applyAlignment="1" applyProtection="1">
      <alignment vertical="center"/>
      <protection/>
    </xf>
    <xf numFmtId="2" fontId="40" fillId="0" borderId="38" xfId="61" applyNumberFormat="1" applyFont="1" applyFill="1" applyBorder="1" applyAlignment="1" applyProtection="1">
      <alignment horizontal="right" vertical="center"/>
      <protection/>
    </xf>
    <xf numFmtId="0" fontId="34" fillId="0" borderId="37" xfId="0" applyFont="1" applyFill="1" applyBorder="1" applyAlignment="1" applyProtection="1">
      <alignment horizontal="left" vertical="center"/>
      <protection locked="0"/>
    </xf>
    <xf numFmtId="0" fontId="33" fillId="34" borderId="37" xfId="0" applyFont="1" applyFill="1" applyBorder="1" applyAlignment="1">
      <alignment horizontal="left" vertical="center"/>
    </xf>
    <xf numFmtId="0" fontId="34" fillId="0" borderId="37" xfId="0" applyNumberFormat="1" applyFont="1" applyFill="1" applyBorder="1" applyAlignment="1" applyProtection="1">
      <alignment horizontal="left" vertical="center"/>
      <protection locked="0"/>
    </xf>
    <xf numFmtId="2" fontId="40" fillId="0" borderId="38" xfId="45" applyNumberFormat="1" applyFont="1" applyFill="1" applyBorder="1" applyAlignment="1" applyProtection="1">
      <alignment vertical="center"/>
      <protection/>
    </xf>
    <xf numFmtId="0" fontId="33" fillId="0" borderId="37" xfId="0" applyNumberFormat="1" applyFont="1" applyFill="1" applyBorder="1" applyAlignment="1" applyProtection="1">
      <alignment horizontal="left" vertical="center"/>
      <protection locked="0"/>
    </xf>
    <xf numFmtId="0" fontId="33" fillId="0" borderId="37" xfId="0" applyFont="1" applyFill="1" applyBorder="1" applyAlignment="1">
      <alignment horizontal="left" vertical="center"/>
    </xf>
    <xf numFmtId="0" fontId="34" fillId="35" borderId="37" xfId="0" applyFont="1" applyFill="1" applyBorder="1" applyAlignment="1">
      <alignment horizontal="left" vertical="center"/>
    </xf>
    <xf numFmtId="2" fontId="40" fillId="35" borderId="38" xfId="0" applyNumberFormat="1" applyFont="1" applyFill="1" applyBorder="1" applyAlignment="1">
      <alignment vertical="center"/>
    </xf>
    <xf numFmtId="0" fontId="33" fillId="0" borderId="37" xfId="0" applyFont="1" applyFill="1" applyBorder="1" applyAlignment="1">
      <alignment horizontal="left" vertical="center"/>
    </xf>
    <xf numFmtId="49" fontId="33" fillId="0" borderId="37" xfId="0" applyNumberFormat="1" applyFont="1" applyFill="1" applyBorder="1" applyAlignment="1" applyProtection="1">
      <alignment horizontal="left" vertical="center"/>
      <protection locked="0"/>
    </xf>
    <xf numFmtId="2" fontId="40" fillId="0" borderId="38" xfId="43" applyNumberFormat="1" applyFont="1" applyFill="1" applyBorder="1" applyAlignment="1" applyProtection="1">
      <alignment vertical="center"/>
      <protection/>
    </xf>
    <xf numFmtId="2" fontId="40" fillId="0" borderId="38" xfId="43" applyNumberFormat="1" applyFont="1" applyFill="1" applyBorder="1" applyAlignment="1" applyProtection="1">
      <alignment horizontal="right" vertical="center"/>
      <protection/>
    </xf>
    <xf numFmtId="0" fontId="33" fillId="0" borderId="39" xfId="0" applyFont="1" applyFill="1" applyBorder="1" applyAlignment="1" applyProtection="1">
      <alignment horizontal="left" vertical="center"/>
      <protection locked="0"/>
    </xf>
    <xf numFmtId="184" fontId="20" fillId="0" borderId="40" xfId="0" applyNumberFormat="1" applyFont="1" applyFill="1" applyBorder="1" applyAlignment="1" applyProtection="1">
      <alignment horizontal="center" vertical="center"/>
      <protection locked="0"/>
    </xf>
    <xf numFmtId="0" fontId="20" fillId="0" borderId="40" xfId="0" applyFont="1" applyFill="1" applyBorder="1" applyAlignment="1" applyProtection="1">
      <alignment vertical="center"/>
      <protection locked="0"/>
    </xf>
    <xf numFmtId="0" fontId="24" fillId="0" borderId="40" xfId="0" applyFont="1" applyFill="1" applyBorder="1" applyAlignment="1" applyProtection="1">
      <alignment horizontal="center" vertical="center"/>
      <protection locked="0"/>
    </xf>
    <xf numFmtId="4" fontId="22" fillId="0" borderId="40" xfId="40" applyNumberFormat="1" applyFont="1" applyFill="1" applyBorder="1" applyAlignment="1" applyProtection="1">
      <alignment vertical="center"/>
      <protection locked="0"/>
    </xf>
    <xf numFmtId="3" fontId="22" fillId="0" borderId="40" xfId="40" applyNumberFormat="1" applyFont="1" applyFill="1" applyBorder="1" applyAlignment="1" applyProtection="1">
      <alignment vertical="center"/>
      <protection locked="0"/>
    </xf>
    <xf numFmtId="3" fontId="40" fillId="0" borderId="40" xfId="40" applyNumberFormat="1" applyFont="1" applyFill="1" applyBorder="1" applyAlignment="1" applyProtection="1">
      <alignment vertical="center"/>
      <protection/>
    </xf>
    <xf numFmtId="2" fontId="40" fillId="0" borderId="40" xfId="40" applyNumberFormat="1" applyFont="1" applyFill="1" applyBorder="1" applyAlignment="1" applyProtection="1">
      <alignment vertical="center"/>
      <protection/>
    </xf>
    <xf numFmtId="4" fontId="40" fillId="0" borderId="40" xfId="40" applyNumberFormat="1" applyFont="1" applyFill="1" applyBorder="1" applyAlignment="1" applyProtection="1">
      <alignment vertical="center"/>
      <protection locked="0"/>
    </xf>
    <xf numFmtId="3" fontId="40" fillId="0" borderId="40" xfId="40" applyNumberFormat="1" applyFont="1" applyFill="1" applyBorder="1" applyAlignment="1" applyProtection="1">
      <alignment vertical="center"/>
      <protection locked="0"/>
    </xf>
    <xf numFmtId="2" fontId="40" fillId="0" borderId="41" xfId="40" applyNumberFormat="1" applyFont="1" applyFill="1" applyBorder="1" applyAlignment="1" applyProtection="1">
      <alignment vertical="center"/>
      <protection/>
    </xf>
    <xf numFmtId="4" fontId="22" fillId="0" borderId="11" xfId="0" applyNumberFormat="1" applyFont="1" applyFill="1" applyBorder="1" applyAlignment="1">
      <alignment vertical="center"/>
    </xf>
    <xf numFmtId="0" fontId="20" fillId="0" borderId="10" xfId="0" applyFont="1" applyFill="1" applyBorder="1" applyAlignment="1" applyProtection="1">
      <alignment vertical="center"/>
      <protection locked="0"/>
    </xf>
    <xf numFmtId="4" fontId="22" fillId="0" borderId="10" xfId="40" applyNumberFormat="1" applyFont="1" applyFill="1" applyBorder="1" applyAlignment="1" applyProtection="1">
      <alignment vertical="center"/>
      <protection locked="0"/>
    </xf>
    <xf numFmtId="14" fontId="20" fillId="0" borderId="22" xfId="0" applyNumberFormat="1" applyFont="1" applyFill="1" applyBorder="1" applyAlignment="1">
      <alignment vertical="center"/>
    </xf>
    <xf numFmtId="4" fontId="0" fillId="0" borderId="0" xfId="0" applyNumberFormat="1" applyAlignment="1">
      <alignment/>
    </xf>
    <xf numFmtId="3" fontId="0" fillId="0" borderId="0" xfId="0" applyNumberFormat="1" applyAlignment="1">
      <alignment/>
    </xf>
    <xf numFmtId="0" fontId="33" fillId="0" borderId="28" xfId="0" applyFont="1" applyFill="1" applyBorder="1" applyAlignment="1">
      <alignment horizontal="left" vertical="center"/>
    </xf>
    <xf numFmtId="14" fontId="20" fillId="0" borderId="12" xfId="0" applyNumberFormat="1" applyFont="1" applyFill="1" applyBorder="1" applyAlignment="1">
      <alignment vertical="center"/>
    </xf>
    <xf numFmtId="4" fontId="22" fillId="0" borderId="12" xfId="0" applyNumberFormat="1" applyFont="1" applyFill="1" applyBorder="1" applyAlignment="1">
      <alignment vertical="center"/>
    </xf>
    <xf numFmtId="3" fontId="22" fillId="0" borderId="12" xfId="0" applyNumberFormat="1" applyFont="1" applyFill="1" applyBorder="1" applyAlignment="1">
      <alignment vertical="center"/>
    </xf>
    <xf numFmtId="2" fontId="40" fillId="0" borderId="31" xfId="0" applyNumberFormat="1" applyFont="1" applyFill="1" applyBorder="1" applyAlignment="1">
      <alignment vertical="center"/>
    </xf>
    <xf numFmtId="0" fontId="16" fillId="33" borderId="25" xfId="0" applyFont="1" applyFill="1" applyBorder="1" applyAlignment="1" applyProtection="1">
      <alignment horizontal="center" vertical="center"/>
      <protection/>
    </xf>
    <xf numFmtId="0" fontId="17" fillId="0" borderId="25" xfId="0" applyFont="1" applyBorder="1" applyAlignment="1">
      <alignment/>
    </xf>
    <xf numFmtId="181" fontId="19" fillId="0" borderId="42" xfId="0" applyNumberFormat="1" applyFont="1" applyFill="1" applyBorder="1" applyAlignment="1" applyProtection="1">
      <alignment horizontal="center" vertical="center" wrapText="1"/>
      <protection/>
    </xf>
    <xf numFmtId="0" fontId="21" fillId="0" borderId="43" xfId="0" applyFont="1" applyBorder="1" applyAlignment="1">
      <alignment/>
    </xf>
    <xf numFmtId="0" fontId="21" fillId="0" borderId="44" xfId="0" applyFont="1" applyBorder="1" applyAlignment="1">
      <alignment/>
    </xf>
    <xf numFmtId="0" fontId="19" fillId="0" borderId="45" xfId="0" applyNumberFormat="1" applyFont="1" applyFill="1" applyBorder="1" applyAlignment="1" applyProtection="1">
      <alignment horizontal="center" vertical="center" wrapText="1"/>
      <protection/>
    </xf>
    <xf numFmtId="0" fontId="21" fillId="0" borderId="46" xfId="0" applyFont="1" applyBorder="1" applyAlignment="1">
      <alignment/>
    </xf>
    <xf numFmtId="171" fontId="19" fillId="0" borderId="45" xfId="43" applyFont="1" applyFill="1" applyBorder="1" applyAlignment="1" applyProtection="1">
      <alignment horizontal="center" vertical="center" wrapText="1"/>
      <protection/>
    </xf>
    <xf numFmtId="0" fontId="19" fillId="0" borderId="45" xfId="0" applyFont="1" applyFill="1" applyBorder="1" applyAlignment="1" applyProtection="1">
      <alignment horizontal="center" vertical="center" wrapText="1"/>
      <protection/>
    </xf>
    <xf numFmtId="4" fontId="19" fillId="0" borderId="42" xfId="0" applyNumberFormat="1" applyFont="1" applyFill="1" applyBorder="1" applyAlignment="1" applyProtection="1">
      <alignment horizontal="center" vertical="center" wrapText="1"/>
      <protection/>
    </xf>
    <xf numFmtId="4" fontId="19" fillId="0" borderId="43" xfId="0" applyNumberFormat="1" applyFont="1" applyFill="1" applyBorder="1" applyAlignment="1" applyProtection="1">
      <alignment horizontal="center" vertical="center" wrapText="1"/>
      <protection/>
    </xf>
    <xf numFmtId="4" fontId="19" fillId="0" borderId="47" xfId="0" applyNumberFormat="1" applyFont="1" applyFill="1" applyBorder="1" applyAlignment="1" applyProtection="1">
      <alignment horizontal="center" vertical="center" wrapText="1"/>
      <protection/>
    </xf>
    <xf numFmtId="184" fontId="19" fillId="0" borderId="4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right" vertical="center" wrapText="1"/>
      <protection locked="0"/>
    </xf>
    <xf numFmtId="0" fontId="0" fillId="0" borderId="0" xfId="0" applyAlignment="1">
      <alignment/>
    </xf>
    <xf numFmtId="0" fontId="6" fillId="0" borderId="0" xfId="0" applyFont="1" applyAlignment="1">
      <alignment horizontal="right" vertical="center" wrapText="1"/>
    </xf>
    <xf numFmtId="0" fontId="31" fillId="33" borderId="48" xfId="0" applyFont="1" applyFill="1" applyBorder="1" applyAlignment="1">
      <alignment horizontal="right" vertical="center"/>
    </xf>
    <xf numFmtId="0" fontId="21" fillId="0" borderId="49" xfId="0" applyFont="1" applyBorder="1" applyAlignment="1">
      <alignment/>
    </xf>
    <xf numFmtId="0" fontId="43" fillId="0" borderId="0" xfId="0" applyFont="1" applyBorder="1" applyAlignment="1" applyProtection="1">
      <alignment horizontal="right" vertical="center" wrapText="1"/>
      <protection locked="0"/>
    </xf>
    <xf numFmtId="0" fontId="18" fillId="0" borderId="0" xfId="0" applyFont="1" applyAlignment="1">
      <alignment/>
    </xf>
    <xf numFmtId="0" fontId="44" fillId="0" borderId="0" xfId="0" applyFont="1" applyBorder="1" applyAlignment="1" applyProtection="1">
      <alignment horizontal="right" vertical="center" wrapText="1"/>
      <protection locked="0"/>
    </xf>
    <xf numFmtId="0" fontId="45" fillId="36" borderId="25" xfId="0" applyFont="1" applyFill="1" applyBorder="1" applyAlignment="1">
      <alignment horizontal="center" vertical="center" wrapText="1"/>
    </xf>
    <xf numFmtId="0" fontId="19" fillId="0" borderId="50" xfId="0" applyNumberFormat="1" applyFont="1" applyFill="1" applyBorder="1" applyAlignment="1">
      <alignment horizontal="center" vertical="center" wrapText="1"/>
    </xf>
    <xf numFmtId="0" fontId="19" fillId="0" borderId="51" xfId="0" applyNumberFormat="1" applyFont="1" applyFill="1" applyBorder="1" applyAlignment="1">
      <alignment horizontal="center" vertical="center" wrapText="1"/>
    </xf>
    <xf numFmtId="0" fontId="19" fillId="0" borderId="45" xfId="0" applyNumberFormat="1" applyFont="1" applyFill="1" applyBorder="1" applyAlignment="1">
      <alignment horizontal="center" vertical="center" wrapText="1"/>
    </xf>
    <xf numFmtId="0" fontId="19" fillId="0" borderId="46" xfId="0" applyNumberFormat="1" applyFont="1" applyFill="1" applyBorder="1" applyAlignment="1">
      <alignment horizontal="center" vertical="center" wrapText="1"/>
    </xf>
    <xf numFmtId="0" fontId="19" fillId="0" borderId="46" xfId="0" applyNumberFormat="1" applyFont="1" applyFill="1" applyBorder="1" applyAlignment="1" applyProtection="1">
      <alignment horizontal="center" vertical="center" wrapText="1"/>
      <protection/>
    </xf>
    <xf numFmtId="0" fontId="19" fillId="0" borderId="42" xfId="0" applyNumberFormat="1" applyFont="1" applyFill="1" applyBorder="1" applyAlignment="1" applyProtection="1">
      <alignment horizontal="center" vertical="center" wrapText="1"/>
      <protection/>
    </xf>
    <xf numFmtId="0" fontId="19" fillId="0" borderId="47" xfId="0" applyNumberFormat="1" applyFont="1" applyFill="1" applyBorder="1" applyAlignment="1" applyProtection="1">
      <alignment horizontal="center" vertical="center" wrapText="1"/>
      <protection/>
    </xf>
    <xf numFmtId="192" fontId="19" fillId="0" borderId="52" xfId="0" applyNumberFormat="1" applyFont="1" applyFill="1" applyBorder="1" applyAlignment="1" applyProtection="1">
      <alignment horizontal="center" vertical="center" wrapText="1"/>
      <protection/>
    </xf>
    <xf numFmtId="192" fontId="19" fillId="0" borderId="53" xfId="0" applyNumberFormat="1" applyFont="1" applyFill="1" applyBorder="1" applyAlignment="1" applyProtection="1">
      <alignment horizontal="center" vertical="center" wrapText="1"/>
      <protection/>
    </xf>
    <xf numFmtId="0" fontId="19" fillId="0" borderId="35" xfId="0" applyNumberFormat="1" applyFont="1" applyFill="1" applyBorder="1" applyAlignment="1" applyProtection="1">
      <alignment horizontal="center" vertical="center" wrapText="1"/>
      <protection/>
    </xf>
    <xf numFmtId="0" fontId="19" fillId="0" borderId="18" xfId="0" applyFont="1" applyBorder="1" applyAlignment="1">
      <alignment horizontal="center" vertical="center"/>
    </xf>
    <xf numFmtId="2" fontId="46" fillId="36" borderId="25" xfId="0" applyNumberFormat="1" applyFont="1" applyFill="1" applyBorder="1" applyAlignment="1">
      <alignment horizontal="center" vertical="center" wrapText="1"/>
    </xf>
    <xf numFmtId="2" fontId="45" fillId="36" borderId="25" xfId="0" applyNumberFormat="1" applyFont="1" applyFill="1" applyBorder="1" applyAlignment="1">
      <alignment vertical="center" wrapText="1"/>
    </xf>
    <xf numFmtId="2" fontId="21" fillId="36" borderId="25" xfId="0" applyNumberFormat="1" applyFont="1" applyFill="1" applyBorder="1" applyAlignment="1">
      <alignment wrapText="1"/>
    </xf>
    <xf numFmtId="171" fontId="19" fillId="0" borderId="34" xfId="43" applyFont="1" applyFill="1" applyBorder="1" applyAlignment="1" applyProtection="1">
      <alignment horizontal="center" vertical="center" wrapText="1"/>
      <protection/>
    </xf>
    <xf numFmtId="0" fontId="19" fillId="0" borderId="54" xfId="0" applyFont="1" applyBorder="1" applyAlignment="1">
      <alignment horizontal="center" vertical="center"/>
    </xf>
    <xf numFmtId="184" fontId="19" fillId="0" borderId="35" xfId="0" applyNumberFormat="1" applyFont="1" applyFill="1" applyBorder="1" applyAlignment="1" applyProtection="1">
      <alignment horizontal="center" vertical="center" wrapText="1"/>
      <protection/>
    </xf>
    <xf numFmtId="184" fontId="19" fillId="0" borderId="18" xfId="0" applyNumberFormat="1" applyFont="1" applyBorder="1" applyAlignment="1">
      <alignment horizontal="center" vertical="center"/>
    </xf>
    <xf numFmtId="0" fontId="19" fillId="0" borderId="35" xfId="0" applyFont="1" applyFill="1" applyBorder="1" applyAlignment="1" applyProtection="1">
      <alignment horizontal="center" vertical="center" wrapText="1"/>
      <protection/>
    </xf>
    <xf numFmtId="0" fontId="19" fillId="0" borderId="46" xfId="0" applyFont="1" applyBorder="1" applyAlignment="1">
      <alignment horizontal="center" vertical="center" wrapText="1"/>
    </xf>
    <xf numFmtId="2" fontId="19" fillId="0" borderId="35" xfId="0" applyNumberFormat="1" applyFont="1" applyFill="1" applyBorder="1" applyAlignment="1" applyProtection="1">
      <alignment horizontal="center" vertical="center" wrapText="1"/>
      <protection/>
    </xf>
    <xf numFmtId="2" fontId="19" fillId="0" borderId="36"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13</xdr:col>
      <xdr:colOff>476250</xdr:colOff>
      <xdr:row>0</xdr:row>
      <xdr:rowOff>1066800</xdr:rowOff>
    </xdr:to>
    <xdr:sp>
      <xdr:nvSpPr>
        <xdr:cNvPr id="1" name="Text Box 1"/>
        <xdr:cNvSpPr txBox="1">
          <a:spLocks noChangeArrowheads="1"/>
        </xdr:cNvSpPr>
      </xdr:nvSpPr>
      <xdr:spPr>
        <a:xfrm>
          <a:off x="0" y="9525"/>
          <a:ext cx="12287250" cy="10572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11</xdr:col>
      <xdr:colOff>657225</xdr:colOff>
      <xdr:row>0</xdr:row>
      <xdr:rowOff>514350</xdr:rowOff>
    </xdr:from>
    <xdr:to>
      <xdr:col>13</xdr:col>
      <xdr:colOff>390525</xdr:colOff>
      <xdr:row>0</xdr:row>
      <xdr:rowOff>990600</xdr:rowOff>
    </xdr:to>
    <xdr:sp fLocksText="0">
      <xdr:nvSpPr>
        <xdr:cNvPr id="2" name="Text Box 2"/>
        <xdr:cNvSpPr txBox="1">
          <a:spLocks noChangeArrowheads="1"/>
        </xdr:cNvSpPr>
      </xdr:nvSpPr>
      <xdr:spPr>
        <a:xfrm>
          <a:off x="10448925" y="514350"/>
          <a:ext cx="1752600" cy="47625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Bookman Old Style"/>
              <a:ea typeface="Bookman Old Style"/>
              <a:cs typeface="Bookman Old Style"/>
            </a:rPr>
            <a:t>WEEK: 04
</a:t>
          </a:r>
          <a:r>
            <a:rPr lang="en-US" cap="none" sz="1200" b="0" i="0" u="none" baseline="0">
              <a:solidFill>
                <a:srgbClr val="000000"/>
              </a:solidFill>
              <a:latin typeface="Bookman Old Style"/>
              <a:ea typeface="Bookman Old Style"/>
              <a:cs typeface="Bookman Old Style"/>
            </a:rPr>
            <a:t>22-28 JANUARY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9"/>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28125" style="41" bestFit="1" customWidth="1"/>
    <col min="2" max="2" width="50.8515625" style="61" bestFit="1" customWidth="1"/>
    <col min="3" max="3" width="8.28125" style="8" bestFit="1" customWidth="1"/>
    <col min="4" max="4" width="13.7109375" style="11" bestFit="1" customWidth="1"/>
    <col min="5" max="5" width="6.421875" style="42" bestFit="1" customWidth="1"/>
    <col min="6" max="6" width="7.28125" style="42" bestFit="1" customWidth="1"/>
    <col min="7" max="7" width="6.57421875" style="42" customWidth="1"/>
    <col min="8" max="8" width="17.28125" style="48" bestFit="1" customWidth="1"/>
    <col min="9" max="9" width="12.421875" style="53" bestFit="1" customWidth="1"/>
    <col min="10" max="10" width="12.00390625" style="93" bestFit="1" customWidth="1"/>
    <col min="11" max="11" width="7.7109375" style="94" bestFit="1" customWidth="1"/>
    <col min="12" max="12" width="17.7109375" style="101" bestFit="1" customWidth="1"/>
    <col min="13" max="13" width="12.57421875" style="96" bestFit="1" customWidth="1"/>
    <col min="14" max="14" width="7.7109375" style="94" bestFit="1" customWidth="1"/>
    <col min="15" max="15" width="2.8515625" style="54" bestFit="1" customWidth="1"/>
    <col min="16" max="16384" width="9.140625" style="3" customWidth="1"/>
  </cols>
  <sheetData>
    <row r="1" spans="1:15" s="1" customFormat="1" ht="90.75" customHeight="1">
      <c r="A1" s="37"/>
      <c r="B1" s="57"/>
      <c r="C1" s="6"/>
      <c r="D1" s="9"/>
      <c r="E1" s="62"/>
      <c r="F1" s="62"/>
      <c r="G1" s="62"/>
      <c r="H1" s="44"/>
      <c r="I1" s="49"/>
      <c r="J1" s="79"/>
      <c r="K1" s="80"/>
      <c r="L1" s="81"/>
      <c r="M1" s="82"/>
      <c r="N1" s="80"/>
      <c r="O1" s="54"/>
    </row>
    <row r="2" spans="1:15" s="5" customFormat="1" ht="27.75" thickBot="1">
      <c r="A2" s="337" t="s">
        <v>24</v>
      </c>
      <c r="B2" s="338"/>
      <c r="C2" s="338"/>
      <c r="D2" s="338"/>
      <c r="E2" s="338"/>
      <c r="F2" s="338"/>
      <c r="G2" s="338"/>
      <c r="H2" s="338"/>
      <c r="I2" s="338"/>
      <c r="J2" s="338"/>
      <c r="K2" s="338"/>
      <c r="L2" s="338"/>
      <c r="M2" s="338"/>
      <c r="N2" s="338"/>
      <c r="O2" s="54"/>
    </row>
    <row r="3" spans="1:15" s="55" customFormat="1" ht="12.75">
      <c r="A3" s="72"/>
      <c r="B3" s="344" t="s">
        <v>2</v>
      </c>
      <c r="C3" s="349" t="s">
        <v>14</v>
      </c>
      <c r="D3" s="345" t="s">
        <v>25</v>
      </c>
      <c r="E3" s="342" t="s">
        <v>15</v>
      </c>
      <c r="F3" s="342" t="s">
        <v>22</v>
      </c>
      <c r="G3" s="342" t="s">
        <v>23</v>
      </c>
      <c r="H3" s="346" t="s">
        <v>16</v>
      </c>
      <c r="I3" s="347"/>
      <c r="J3" s="347"/>
      <c r="K3" s="348"/>
      <c r="L3" s="339" t="s">
        <v>17</v>
      </c>
      <c r="M3" s="340"/>
      <c r="N3" s="341"/>
      <c r="O3" s="73"/>
    </row>
    <row r="4" spans="1:15" s="55" customFormat="1" ht="48" customHeight="1" thickBot="1">
      <c r="A4" s="74"/>
      <c r="B4" s="343"/>
      <c r="C4" s="343"/>
      <c r="D4" s="343"/>
      <c r="E4" s="343"/>
      <c r="F4" s="343"/>
      <c r="G4" s="343"/>
      <c r="H4" s="75" t="s">
        <v>18</v>
      </c>
      <c r="I4" s="76" t="s">
        <v>19</v>
      </c>
      <c r="J4" s="76" t="s">
        <v>8</v>
      </c>
      <c r="K4" s="77" t="s">
        <v>20</v>
      </c>
      <c r="L4" s="75" t="s">
        <v>18</v>
      </c>
      <c r="M4" s="76" t="s">
        <v>19</v>
      </c>
      <c r="N4" s="78" t="s">
        <v>21</v>
      </c>
      <c r="O4" s="73"/>
    </row>
    <row r="5" spans="1:15" s="2" customFormat="1" ht="15">
      <c r="A5" s="38">
        <v>1</v>
      </c>
      <c r="B5" s="147" t="s">
        <v>162</v>
      </c>
      <c r="C5" s="103">
        <v>40200</v>
      </c>
      <c r="D5" s="186" t="s">
        <v>41</v>
      </c>
      <c r="E5" s="112">
        <v>203</v>
      </c>
      <c r="F5" s="112">
        <v>203</v>
      </c>
      <c r="G5" s="112">
        <v>1</v>
      </c>
      <c r="H5" s="187">
        <v>3369134.75</v>
      </c>
      <c r="I5" s="176">
        <v>390331</v>
      </c>
      <c r="J5" s="165">
        <f>I5/F5</f>
        <v>1922.8128078817733</v>
      </c>
      <c r="K5" s="115">
        <f>H5/I5</f>
        <v>8.631481358129383</v>
      </c>
      <c r="L5" s="188">
        <f>3369134.75</f>
        <v>3369134.75</v>
      </c>
      <c r="M5" s="189">
        <f>390331</f>
        <v>390331</v>
      </c>
      <c r="N5" s="116">
        <f>+L5/M5</f>
        <v>8.631481358129383</v>
      </c>
      <c r="O5" s="166">
        <v>1</v>
      </c>
    </row>
    <row r="6" spans="1:15" s="2" customFormat="1" ht="15">
      <c r="A6" s="39">
        <v>2</v>
      </c>
      <c r="B6" s="150" t="s">
        <v>163</v>
      </c>
      <c r="C6" s="32">
        <v>40200</v>
      </c>
      <c r="D6" s="181" t="s">
        <v>27</v>
      </c>
      <c r="E6" s="63">
        <v>227</v>
      </c>
      <c r="F6" s="63">
        <v>407</v>
      </c>
      <c r="G6" s="63">
        <v>1</v>
      </c>
      <c r="H6" s="179">
        <v>2978635</v>
      </c>
      <c r="I6" s="163">
        <v>324425</v>
      </c>
      <c r="J6" s="164">
        <f>I6/F6</f>
        <v>797.1130221130221</v>
      </c>
      <c r="K6" s="86">
        <f>+H6/I6</f>
        <v>9.181274562687832</v>
      </c>
      <c r="L6" s="180">
        <v>2978635</v>
      </c>
      <c r="M6" s="182">
        <v>324425</v>
      </c>
      <c r="N6" s="87">
        <f>+L6/M6</f>
        <v>9.181274562687832</v>
      </c>
      <c r="O6" s="166">
        <v>1</v>
      </c>
    </row>
    <row r="7" spans="1:15" s="2" customFormat="1" ht="15.75" thickBot="1">
      <c r="A7" s="193">
        <v>3</v>
      </c>
      <c r="B7" s="151" t="s">
        <v>52</v>
      </c>
      <c r="C7" s="36">
        <v>40165</v>
      </c>
      <c r="D7" s="203" t="s">
        <v>28</v>
      </c>
      <c r="E7" s="64">
        <v>125</v>
      </c>
      <c r="F7" s="64">
        <v>146</v>
      </c>
      <c r="G7" s="64">
        <v>6</v>
      </c>
      <c r="H7" s="191">
        <v>2751160</v>
      </c>
      <c r="I7" s="168">
        <v>261753</v>
      </c>
      <c r="J7" s="169">
        <f>(I7/F7)</f>
        <v>1792.8287671232877</v>
      </c>
      <c r="K7" s="170">
        <f>H7/I7</f>
        <v>10.510519459184804</v>
      </c>
      <c r="L7" s="192">
        <f>4033069.5+3582182.5+3469556.5+3099545+3107521.5+2751160</f>
        <v>20043035</v>
      </c>
      <c r="M7" s="171">
        <f>383242+338340+309119+280170+290777+261753</f>
        <v>1863401</v>
      </c>
      <c r="N7" s="172">
        <f>L7/M7</f>
        <v>10.756157692305628</v>
      </c>
      <c r="O7" s="166"/>
    </row>
    <row r="8" spans="1:15" s="2" customFormat="1" ht="15">
      <c r="A8" s="40">
        <v>4</v>
      </c>
      <c r="B8" s="194" t="s">
        <v>164</v>
      </c>
      <c r="C8" s="195">
        <v>40179</v>
      </c>
      <c r="D8" s="196" t="s">
        <v>27</v>
      </c>
      <c r="E8" s="197">
        <v>370</v>
      </c>
      <c r="F8" s="197">
        <v>452</v>
      </c>
      <c r="G8" s="197">
        <v>4</v>
      </c>
      <c r="H8" s="198">
        <v>1152914</v>
      </c>
      <c r="I8" s="199">
        <v>134312</v>
      </c>
      <c r="J8" s="167">
        <f>I8/F8</f>
        <v>297.1504424778761</v>
      </c>
      <c r="K8" s="200">
        <f>+H8/I8</f>
        <v>8.583849544344512</v>
      </c>
      <c r="L8" s="201">
        <v>19349544</v>
      </c>
      <c r="M8" s="167">
        <v>2137949</v>
      </c>
      <c r="N8" s="202">
        <f>+L8/M8</f>
        <v>9.050517107751402</v>
      </c>
      <c r="O8" s="166">
        <v>1</v>
      </c>
    </row>
    <row r="9" spans="1:15" s="4" customFormat="1" ht="15">
      <c r="A9" s="38">
        <v>5</v>
      </c>
      <c r="B9" s="150" t="s">
        <v>165</v>
      </c>
      <c r="C9" s="32">
        <v>40200</v>
      </c>
      <c r="D9" s="181" t="s">
        <v>27</v>
      </c>
      <c r="E9" s="63">
        <v>95</v>
      </c>
      <c r="F9" s="63">
        <v>95</v>
      </c>
      <c r="G9" s="63">
        <v>1</v>
      </c>
      <c r="H9" s="179">
        <v>796963</v>
      </c>
      <c r="I9" s="163">
        <v>84733</v>
      </c>
      <c r="J9" s="164">
        <f>I9/F9</f>
        <v>891.9263157894737</v>
      </c>
      <c r="K9" s="86">
        <f>+H9/I9</f>
        <v>9.405579880329977</v>
      </c>
      <c r="L9" s="180">
        <v>796963</v>
      </c>
      <c r="M9" s="164">
        <v>84733</v>
      </c>
      <c r="N9" s="87">
        <f>+L9/M9</f>
        <v>9.405579880329977</v>
      </c>
      <c r="O9" s="166"/>
    </row>
    <row r="10" spans="1:15" s="4" customFormat="1" ht="15">
      <c r="A10" s="38">
        <v>6</v>
      </c>
      <c r="B10" s="149" t="s">
        <v>156</v>
      </c>
      <c r="C10" s="34">
        <v>40193</v>
      </c>
      <c r="D10" s="35" t="s">
        <v>26</v>
      </c>
      <c r="E10" s="65">
        <v>83</v>
      </c>
      <c r="F10" s="65">
        <v>83</v>
      </c>
      <c r="G10" s="65">
        <v>2</v>
      </c>
      <c r="H10" s="183">
        <f>726298-465</f>
        <v>725833</v>
      </c>
      <c r="I10" s="160">
        <v>67508</v>
      </c>
      <c r="J10" s="161">
        <f>I10/F10</f>
        <v>813.3493975903615</v>
      </c>
      <c r="K10" s="83">
        <f>H10/I10</f>
        <v>10.751807193221545</v>
      </c>
      <c r="L10" s="184">
        <f>1293506+726298-465</f>
        <v>2019339</v>
      </c>
      <c r="M10" s="162">
        <f>119281+67607-99</f>
        <v>186789</v>
      </c>
      <c r="N10" s="84">
        <f>+L10/M10</f>
        <v>10.81080256332011</v>
      </c>
      <c r="O10" s="166"/>
    </row>
    <row r="11" spans="1:15" s="4" customFormat="1" ht="15">
      <c r="A11" s="38">
        <v>7</v>
      </c>
      <c r="B11" s="148" t="s">
        <v>157</v>
      </c>
      <c r="C11" s="32">
        <v>40193</v>
      </c>
      <c r="D11" s="33" t="s">
        <v>30</v>
      </c>
      <c r="E11" s="63">
        <v>86</v>
      </c>
      <c r="F11" s="63">
        <v>86</v>
      </c>
      <c r="G11" s="63">
        <v>2</v>
      </c>
      <c r="H11" s="183">
        <v>481850.5</v>
      </c>
      <c r="I11" s="160">
        <v>50789</v>
      </c>
      <c r="J11" s="161">
        <f>IF(H11&lt;&gt;0,I11/F11,"")</f>
        <v>590.5697674418604</v>
      </c>
      <c r="K11" s="83">
        <f>IF(H11&lt;&gt;0,H11/I11,"")</f>
        <v>9.487300399692847</v>
      </c>
      <c r="L11" s="184">
        <v>1371164.5</v>
      </c>
      <c r="M11" s="162">
        <v>144337</v>
      </c>
      <c r="N11" s="84">
        <f>IF(L11&lt;&gt;0,L11/M11,"")</f>
        <v>9.499743655472956</v>
      </c>
      <c r="O11" s="166"/>
    </row>
    <row r="12" spans="1:15" s="4" customFormat="1" ht="15">
      <c r="A12" s="38">
        <v>8</v>
      </c>
      <c r="B12" s="149" t="s">
        <v>166</v>
      </c>
      <c r="C12" s="34">
        <v>40200</v>
      </c>
      <c r="D12" s="35" t="s">
        <v>26</v>
      </c>
      <c r="E12" s="65">
        <v>50</v>
      </c>
      <c r="F12" s="65">
        <v>50</v>
      </c>
      <c r="G12" s="65">
        <v>1</v>
      </c>
      <c r="H12" s="183">
        <v>264574</v>
      </c>
      <c r="I12" s="160">
        <v>23255</v>
      </c>
      <c r="J12" s="161">
        <f>I12/F12</f>
        <v>465.1</v>
      </c>
      <c r="K12" s="83">
        <f>H12/I12</f>
        <v>11.377080197806924</v>
      </c>
      <c r="L12" s="184">
        <v>264574</v>
      </c>
      <c r="M12" s="162">
        <v>23255</v>
      </c>
      <c r="N12" s="84">
        <f>+L12/M12</f>
        <v>11.377080197806924</v>
      </c>
      <c r="O12" s="166"/>
    </row>
    <row r="13" spans="1:15" s="4" customFormat="1" ht="15">
      <c r="A13" s="38">
        <v>9</v>
      </c>
      <c r="B13" s="150" t="s">
        <v>158</v>
      </c>
      <c r="C13" s="32">
        <v>40193</v>
      </c>
      <c r="D13" s="181" t="s">
        <v>27</v>
      </c>
      <c r="E13" s="63">
        <v>40</v>
      </c>
      <c r="F13" s="63">
        <v>40</v>
      </c>
      <c r="G13" s="63">
        <v>2</v>
      </c>
      <c r="H13" s="179">
        <v>200661</v>
      </c>
      <c r="I13" s="163">
        <v>17188</v>
      </c>
      <c r="J13" s="164">
        <f>I13/F13</f>
        <v>429.7</v>
      </c>
      <c r="K13" s="86">
        <f>+H13/I13</f>
        <v>11.674482196881545</v>
      </c>
      <c r="L13" s="185">
        <v>540573</v>
      </c>
      <c r="M13" s="164">
        <v>45823</v>
      </c>
      <c r="N13" s="87">
        <f>+L13/M13</f>
        <v>11.796979682692099</v>
      </c>
      <c r="O13" s="166"/>
    </row>
    <row r="14" spans="1:15" s="4" customFormat="1" ht="15">
      <c r="A14" s="38">
        <v>10</v>
      </c>
      <c r="B14" s="148" t="s">
        <v>55</v>
      </c>
      <c r="C14" s="32">
        <v>40537</v>
      </c>
      <c r="D14" s="33" t="s">
        <v>28</v>
      </c>
      <c r="E14" s="63">
        <v>60</v>
      </c>
      <c r="F14" s="63">
        <v>60</v>
      </c>
      <c r="G14" s="63">
        <v>5</v>
      </c>
      <c r="H14" s="183">
        <v>189819.5</v>
      </c>
      <c r="I14" s="160">
        <v>25902</v>
      </c>
      <c r="J14" s="161">
        <f>(I14/F14)</f>
        <v>431.7</v>
      </c>
      <c r="K14" s="83">
        <f>H14/I14</f>
        <v>7.3283723264612775</v>
      </c>
      <c r="L14" s="184">
        <f>421775.5+397095.5+287050+215248.5+189819.5</f>
        <v>1510989</v>
      </c>
      <c r="M14" s="162">
        <f>43739+40732+31780+27356+25902</f>
        <v>169509</v>
      </c>
      <c r="N14" s="84">
        <f>L14/M14</f>
        <v>8.913916075252642</v>
      </c>
      <c r="O14" s="166"/>
    </row>
    <row r="15" spans="1:15" s="4" customFormat="1" ht="15">
      <c r="A15" s="38">
        <v>11</v>
      </c>
      <c r="B15" s="148" t="s">
        <v>159</v>
      </c>
      <c r="C15" s="32">
        <v>40193</v>
      </c>
      <c r="D15" s="33" t="s">
        <v>28</v>
      </c>
      <c r="E15" s="63">
        <v>55</v>
      </c>
      <c r="F15" s="63">
        <v>55</v>
      </c>
      <c r="G15" s="63">
        <v>2</v>
      </c>
      <c r="H15" s="183">
        <v>158498</v>
      </c>
      <c r="I15" s="160">
        <v>17056</v>
      </c>
      <c r="J15" s="161">
        <f>(I15/F15)</f>
        <v>310.1090909090909</v>
      </c>
      <c r="K15" s="83">
        <f>H15/I15</f>
        <v>9.29280018761726</v>
      </c>
      <c r="L15" s="184">
        <f>197266+158498</f>
        <v>355764</v>
      </c>
      <c r="M15" s="162">
        <f>19567+17056</f>
        <v>36623</v>
      </c>
      <c r="N15" s="84">
        <f>L15/M15</f>
        <v>9.714223302296372</v>
      </c>
      <c r="O15" s="166"/>
    </row>
    <row r="16" spans="1:15" s="4" customFormat="1" ht="15">
      <c r="A16" s="38">
        <v>12</v>
      </c>
      <c r="B16" s="148" t="s">
        <v>167</v>
      </c>
      <c r="C16" s="32">
        <v>40193</v>
      </c>
      <c r="D16" s="33" t="s">
        <v>30</v>
      </c>
      <c r="E16" s="63">
        <v>124</v>
      </c>
      <c r="F16" s="63">
        <v>109</v>
      </c>
      <c r="G16" s="63">
        <v>2</v>
      </c>
      <c r="H16" s="183">
        <v>91932.5</v>
      </c>
      <c r="I16" s="160">
        <v>12202</v>
      </c>
      <c r="J16" s="161">
        <f>IF(H16&lt;&gt;0,I16/F16,"")</f>
        <v>111.94495412844037</v>
      </c>
      <c r="K16" s="83">
        <f>IF(H16&lt;&gt;0,H16/I16,"")</f>
        <v>7.534215702343878</v>
      </c>
      <c r="L16" s="184">
        <v>409067.75</v>
      </c>
      <c r="M16" s="162">
        <v>49465</v>
      </c>
      <c r="N16" s="84">
        <f>IF(L16&lt;&gt;0,L16/M16,"")</f>
        <v>8.269842312746386</v>
      </c>
      <c r="O16" s="166">
        <v>1</v>
      </c>
    </row>
    <row r="17" spans="1:15" s="4" customFormat="1" ht="15">
      <c r="A17" s="38">
        <v>13</v>
      </c>
      <c r="B17" s="148" t="s">
        <v>82</v>
      </c>
      <c r="C17" s="32">
        <v>40165</v>
      </c>
      <c r="D17" s="33" t="s">
        <v>30</v>
      </c>
      <c r="E17" s="63">
        <v>38</v>
      </c>
      <c r="F17" s="63">
        <v>40</v>
      </c>
      <c r="G17" s="63">
        <v>6</v>
      </c>
      <c r="H17" s="183">
        <v>67039.5</v>
      </c>
      <c r="I17" s="160">
        <v>9209</v>
      </c>
      <c r="J17" s="161">
        <f>IF(H17&lt;&gt;0,I17/F17,"")</f>
        <v>230.225</v>
      </c>
      <c r="K17" s="83">
        <f>IF(H17&lt;&gt;0,H17/I17,"")</f>
        <v>7.279780649364752</v>
      </c>
      <c r="L17" s="184">
        <v>921624</v>
      </c>
      <c r="M17" s="162">
        <v>106539</v>
      </c>
      <c r="N17" s="84">
        <f>IF(L17&lt;&gt;0,L17/M17,"")</f>
        <v>8.650578661335286</v>
      </c>
      <c r="O17" s="166">
        <v>1</v>
      </c>
    </row>
    <row r="18" spans="1:15" s="4" customFormat="1" ht="15">
      <c r="A18" s="38">
        <v>14</v>
      </c>
      <c r="B18" s="148" t="s">
        <v>121</v>
      </c>
      <c r="C18" s="32">
        <v>40172</v>
      </c>
      <c r="D18" s="35" t="s">
        <v>41</v>
      </c>
      <c r="E18" s="63">
        <v>196</v>
      </c>
      <c r="F18" s="63">
        <v>25</v>
      </c>
      <c r="G18" s="63">
        <v>5</v>
      </c>
      <c r="H18" s="179">
        <v>49105</v>
      </c>
      <c r="I18" s="163">
        <v>7919</v>
      </c>
      <c r="J18" s="161">
        <f>I18/F18</f>
        <v>316.76</v>
      </c>
      <c r="K18" s="83">
        <f>H18/I18</f>
        <v>6.2009092057077915</v>
      </c>
      <c r="L18" s="180">
        <f>821982.75+546264.5+300546.5+218412+49105</f>
        <v>1936310.75</v>
      </c>
      <c r="M18" s="164">
        <f>109740+66898+39464+31918+7910</f>
        <v>255930</v>
      </c>
      <c r="N18" s="84">
        <f>+L18/M18</f>
        <v>7.565782635876998</v>
      </c>
      <c r="O18" s="166">
        <v>1</v>
      </c>
    </row>
    <row r="19" spans="1:15" s="4" customFormat="1" ht="15">
      <c r="A19" s="38">
        <v>15</v>
      </c>
      <c r="B19" s="148" t="s">
        <v>112</v>
      </c>
      <c r="C19" s="32">
        <v>40193</v>
      </c>
      <c r="D19" s="33" t="s">
        <v>28</v>
      </c>
      <c r="E19" s="63">
        <v>17</v>
      </c>
      <c r="F19" s="63">
        <v>16</v>
      </c>
      <c r="G19" s="63">
        <v>2</v>
      </c>
      <c r="H19" s="183">
        <v>33267.75</v>
      </c>
      <c r="I19" s="160">
        <v>2837</v>
      </c>
      <c r="J19" s="161">
        <f>(I19/F19)</f>
        <v>177.3125</v>
      </c>
      <c r="K19" s="83">
        <f>H19/I19</f>
        <v>11.726383503701094</v>
      </c>
      <c r="L19" s="184">
        <f>1080+95415+33267.75</f>
        <v>129762.75</v>
      </c>
      <c r="M19" s="162">
        <f>108+7515+2837</f>
        <v>10460</v>
      </c>
      <c r="N19" s="84">
        <f>L19/M19</f>
        <v>12.405616634799236</v>
      </c>
      <c r="O19" s="166"/>
    </row>
    <row r="20" spans="1:15" s="4" customFormat="1" ht="15">
      <c r="A20" s="38">
        <v>16</v>
      </c>
      <c r="B20" s="148" t="s">
        <v>168</v>
      </c>
      <c r="C20" s="32">
        <v>39822</v>
      </c>
      <c r="D20" s="33" t="s">
        <v>30</v>
      </c>
      <c r="E20" s="63">
        <v>175</v>
      </c>
      <c r="F20" s="63">
        <v>1</v>
      </c>
      <c r="G20" s="63">
        <v>25</v>
      </c>
      <c r="H20" s="183">
        <v>30203</v>
      </c>
      <c r="I20" s="160">
        <v>6041</v>
      </c>
      <c r="J20" s="161">
        <f>IF(H20&lt;&gt;0,I20/F20,"")</f>
        <v>6041</v>
      </c>
      <c r="K20" s="83">
        <f>IF(H20&lt;&gt;0,H20/I20,"")</f>
        <v>4.999668928985267</v>
      </c>
      <c r="L20" s="184">
        <v>3549661</v>
      </c>
      <c r="M20" s="162">
        <v>486849</v>
      </c>
      <c r="N20" s="84">
        <f>IF(L20&lt;&gt;0,L20/M20,"")</f>
        <v>7.291092309935935</v>
      </c>
      <c r="O20" s="166">
        <v>1</v>
      </c>
    </row>
    <row r="21" spans="1:15" s="4" customFormat="1" ht="15">
      <c r="A21" s="38">
        <v>17</v>
      </c>
      <c r="B21" s="148" t="s">
        <v>79</v>
      </c>
      <c r="C21" s="32">
        <v>40179</v>
      </c>
      <c r="D21" s="33" t="s">
        <v>28</v>
      </c>
      <c r="E21" s="63">
        <v>42</v>
      </c>
      <c r="F21" s="63">
        <v>16</v>
      </c>
      <c r="G21" s="63">
        <v>4</v>
      </c>
      <c r="H21" s="183">
        <v>26271.5</v>
      </c>
      <c r="I21" s="160">
        <v>2954</v>
      </c>
      <c r="J21" s="161">
        <f>(I21/F21)</f>
        <v>184.625</v>
      </c>
      <c r="K21" s="83">
        <f aca="true" t="shared" si="0" ref="K21:K32">H21/I21</f>
        <v>8.893534190927555</v>
      </c>
      <c r="L21" s="184">
        <f>310442.5+275157.5+119153+26271.5</f>
        <v>731024.5</v>
      </c>
      <c r="M21" s="162">
        <f>26771+24068+11328+2954</f>
        <v>65121</v>
      </c>
      <c r="N21" s="84">
        <f>L21/M21</f>
        <v>11.22563382011947</v>
      </c>
      <c r="O21" s="166"/>
    </row>
    <row r="22" spans="1:15" s="4" customFormat="1" ht="15">
      <c r="A22" s="38">
        <v>18</v>
      </c>
      <c r="B22" s="148" t="s">
        <v>120</v>
      </c>
      <c r="C22" s="32">
        <v>40502</v>
      </c>
      <c r="D22" s="35" t="s">
        <v>169</v>
      </c>
      <c r="E22" s="63">
        <v>149</v>
      </c>
      <c r="F22" s="63">
        <v>5</v>
      </c>
      <c r="G22" s="63">
        <v>10</v>
      </c>
      <c r="H22" s="179">
        <v>14326.5</v>
      </c>
      <c r="I22" s="163">
        <v>3296</v>
      </c>
      <c r="J22" s="161">
        <f>I22/F22</f>
        <v>659.2</v>
      </c>
      <c r="K22" s="83">
        <f t="shared" si="0"/>
        <v>4.346632281553398</v>
      </c>
      <c r="L22" s="180">
        <v>3130396</v>
      </c>
      <c r="M22" s="164">
        <v>366723</v>
      </c>
      <c r="N22" s="84">
        <f>+L22/M22</f>
        <v>8.536132176056588</v>
      </c>
      <c r="O22" s="166">
        <v>1</v>
      </c>
    </row>
    <row r="23" spans="1:15" s="4" customFormat="1" ht="15">
      <c r="A23" s="38">
        <v>19</v>
      </c>
      <c r="B23" s="149" t="s">
        <v>84</v>
      </c>
      <c r="C23" s="34">
        <v>40158</v>
      </c>
      <c r="D23" s="35" t="s">
        <v>3</v>
      </c>
      <c r="E23" s="65">
        <v>148</v>
      </c>
      <c r="F23" s="65">
        <v>16</v>
      </c>
      <c r="G23" s="65">
        <v>7</v>
      </c>
      <c r="H23" s="183">
        <v>12514</v>
      </c>
      <c r="I23" s="160">
        <v>2441</v>
      </c>
      <c r="J23" s="161">
        <f>I23/F23</f>
        <v>152.5625</v>
      </c>
      <c r="K23" s="83">
        <f t="shared" si="0"/>
        <v>5.126587464154035</v>
      </c>
      <c r="L23" s="184">
        <v>2860277</v>
      </c>
      <c r="M23" s="162">
        <v>340475</v>
      </c>
      <c r="N23" s="84">
        <f>+L23/M23</f>
        <v>8.40084294001028</v>
      </c>
      <c r="O23" s="166">
        <v>1</v>
      </c>
    </row>
    <row r="24" spans="1:15" s="4" customFormat="1" ht="15">
      <c r="A24" s="38">
        <v>20</v>
      </c>
      <c r="B24" s="148" t="s">
        <v>170</v>
      </c>
      <c r="C24" s="32">
        <v>40165</v>
      </c>
      <c r="D24" s="33" t="s">
        <v>28</v>
      </c>
      <c r="E24" s="63">
        <v>74</v>
      </c>
      <c r="F24" s="63">
        <v>21</v>
      </c>
      <c r="G24" s="63">
        <v>6</v>
      </c>
      <c r="H24" s="183">
        <v>12241</v>
      </c>
      <c r="I24" s="160">
        <v>2268</v>
      </c>
      <c r="J24" s="161">
        <f>(I24/F24)</f>
        <v>108</v>
      </c>
      <c r="K24" s="83">
        <f t="shared" si="0"/>
        <v>5.39726631393298</v>
      </c>
      <c r="L24" s="184">
        <f>507128.25+345268.5+124291.75+100787+70944+12241</f>
        <v>1160660.5</v>
      </c>
      <c r="M24" s="162">
        <f>53408+37346+14864+15043+11010+2268</f>
        <v>133939</v>
      </c>
      <c r="N24" s="84">
        <f>L24/M24</f>
        <v>8.665590306034836</v>
      </c>
      <c r="O24" s="166">
        <v>1</v>
      </c>
    </row>
    <row r="25" spans="1:15" s="4" customFormat="1" ht="15">
      <c r="A25" s="38">
        <v>21</v>
      </c>
      <c r="B25" s="149">
        <v>2012</v>
      </c>
      <c r="C25" s="34">
        <v>40130</v>
      </c>
      <c r="D25" s="35" t="s">
        <v>26</v>
      </c>
      <c r="E25" s="65">
        <v>178</v>
      </c>
      <c r="F25" s="65">
        <v>7</v>
      </c>
      <c r="G25" s="65">
        <v>11</v>
      </c>
      <c r="H25" s="183">
        <v>11036</v>
      </c>
      <c r="I25" s="160">
        <v>2539</v>
      </c>
      <c r="J25" s="161">
        <f>I25/F25</f>
        <v>362.7142857142857</v>
      </c>
      <c r="K25" s="83">
        <f t="shared" si="0"/>
        <v>4.346593146908232</v>
      </c>
      <c r="L25" s="184">
        <f>13107603+48622+283+29270+25563+11036</f>
        <v>13222377</v>
      </c>
      <c r="M25" s="162">
        <f>1468855+7403+116+4996+4175+2539</f>
        <v>1488084</v>
      </c>
      <c r="N25" s="84">
        <f>+L25/M25</f>
        <v>8.885504447329586</v>
      </c>
      <c r="O25" s="166"/>
    </row>
    <row r="26" spans="1:15" s="4" customFormat="1" ht="15">
      <c r="A26" s="38">
        <v>22</v>
      </c>
      <c r="B26" s="149" t="s">
        <v>155</v>
      </c>
      <c r="C26" s="34">
        <v>40186</v>
      </c>
      <c r="D26" s="35" t="s">
        <v>81</v>
      </c>
      <c r="E26" s="65">
        <v>19</v>
      </c>
      <c r="F26" s="65">
        <v>7</v>
      </c>
      <c r="G26" s="65">
        <v>3</v>
      </c>
      <c r="H26" s="183">
        <v>9385</v>
      </c>
      <c r="I26" s="160">
        <v>929</v>
      </c>
      <c r="J26" s="161">
        <f>I26/F26</f>
        <v>132.71428571428572</v>
      </c>
      <c r="K26" s="83">
        <f t="shared" si="0"/>
        <v>10.102260495156083</v>
      </c>
      <c r="L26" s="184">
        <v>211824</v>
      </c>
      <c r="M26" s="162">
        <v>17229</v>
      </c>
      <c r="N26" s="84">
        <f>+L26/M26</f>
        <v>12.294619536827442</v>
      </c>
      <c r="O26" s="166"/>
    </row>
    <row r="27" spans="1:15" s="4" customFormat="1" ht="15">
      <c r="A27" s="38">
        <v>23</v>
      </c>
      <c r="B27" s="148" t="s">
        <v>124</v>
      </c>
      <c r="C27" s="32">
        <v>40144</v>
      </c>
      <c r="D27" s="35" t="s">
        <v>5</v>
      </c>
      <c r="E27" s="63">
        <v>258</v>
      </c>
      <c r="F27" s="63">
        <v>13</v>
      </c>
      <c r="G27" s="63">
        <v>9</v>
      </c>
      <c r="H27" s="179">
        <v>9270</v>
      </c>
      <c r="I27" s="163">
        <v>2067</v>
      </c>
      <c r="J27" s="161">
        <f>I27/F27</f>
        <v>159</v>
      </c>
      <c r="K27" s="83">
        <f t="shared" si="0"/>
        <v>4.484760522496371</v>
      </c>
      <c r="L27" s="180">
        <v>9653455.75</v>
      </c>
      <c r="M27" s="164">
        <v>1124201</v>
      </c>
      <c r="N27" s="84">
        <f>+L27/M27</f>
        <v>8.586948196986127</v>
      </c>
      <c r="O27" s="166">
        <v>1</v>
      </c>
    </row>
    <row r="28" spans="1:15" s="4" customFormat="1" ht="15">
      <c r="A28" s="38">
        <v>24</v>
      </c>
      <c r="B28" s="148" t="s">
        <v>45</v>
      </c>
      <c r="C28" s="32">
        <v>40137</v>
      </c>
      <c r="D28" s="33" t="s">
        <v>28</v>
      </c>
      <c r="E28" s="63">
        <v>147</v>
      </c>
      <c r="F28" s="63">
        <v>10</v>
      </c>
      <c r="G28" s="63">
        <v>10</v>
      </c>
      <c r="H28" s="183">
        <v>8908</v>
      </c>
      <c r="I28" s="160">
        <v>1746</v>
      </c>
      <c r="J28" s="161">
        <f>(I28/F28)</f>
        <v>174.6</v>
      </c>
      <c r="K28" s="83">
        <f t="shared" si="0"/>
        <v>5.101947308132875</v>
      </c>
      <c r="L28" s="184">
        <f>4499732.5+3362984.5+1262292.25+664013.75+490740.5+244990+87796+33908+25213+8908</f>
        <v>10680578.5</v>
      </c>
      <c r="M28" s="162">
        <f>493806+365411+142937+78728+74756+40294+15922+6247+4692+1746</f>
        <v>1224539</v>
      </c>
      <c r="N28" s="84">
        <f>L28/M28</f>
        <v>8.722121957732664</v>
      </c>
      <c r="O28" s="166"/>
    </row>
    <row r="29" spans="1:15" s="4" customFormat="1" ht="15">
      <c r="A29" s="38">
        <v>25</v>
      </c>
      <c r="B29" s="149" t="s">
        <v>50</v>
      </c>
      <c r="C29" s="34">
        <v>40158</v>
      </c>
      <c r="D29" s="35" t="s">
        <v>26</v>
      </c>
      <c r="E29" s="65">
        <v>141</v>
      </c>
      <c r="F29" s="65">
        <v>8</v>
      </c>
      <c r="G29" s="65">
        <v>7</v>
      </c>
      <c r="H29" s="183">
        <v>8150</v>
      </c>
      <c r="I29" s="160">
        <v>1502</v>
      </c>
      <c r="J29" s="161">
        <f>I29/F29</f>
        <v>187.75</v>
      </c>
      <c r="K29" s="83">
        <f t="shared" si="0"/>
        <v>5.426098535286285</v>
      </c>
      <c r="L29" s="184">
        <f>1607914+23244+32443+25994+8150</f>
        <v>1697745</v>
      </c>
      <c r="M29" s="162">
        <f>183968+3818+5335+4998+1502</f>
        <v>199621</v>
      </c>
      <c r="N29" s="84">
        <f>+L29/M29</f>
        <v>8.504841674974076</v>
      </c>
      <c r="O29" s="166"/>
    </row>
    <row r="30" spans="1:15" s="4" customFormat="1" ht="15">
      <c r="A30" s="38">
        <v>26</v>
      </c>
      <c r="B30" s="148" t="s">
        <v>89</v>
      </c>
      <c r="C30" s="32">
        <v>40123</v>
      </c>
      <c r="D30" s="33" t="s">
        <v>28</v>
      </c>
      <c r="E30" s="63">
        <v>144</v>
      </c>
      <c r="F30" s="63">
        <v>7</v>
      </c>
      <c r="G30" s="63">
        <v>12</v>
      </c>
      <c r="H30" s="183">
        <v>7885.5</v>
      </c>
      <c r="I30" s="160">
        <v>1755</v>
      </c>
      <c r="J30" s="161">
        <f>(I30/F30)</f>
        <v>250.71428571428572</v>
      </c>
      <c r="K30" s="83">
        <f t="shared" si="0"/>
        <v>4.493162393162393</v>
      </c>
      <c r="L30" s="184">
        <f>909778+593215.5+203934.5+91391+32233.5+29451.5+14597.5+12123.5+12906+13616+5350+7885.5</f>
        <v>1926482.5</v>
      </c>
      <c r="M30" s="162">
        <f>103944+67300+25860+13426+5611+5689+2739+1975+2803+2381+1177+1755</f>
        <v>234660</v>
      </c>
      <c r="N30" s="84">
        <f>L30/M30</f>
        <v>8.209675701014234</v>
      </c>
      <c r="O30" s="166">
        <v>1</v>
      </c>
    </row>
    <row r="31" spans="1:15" s="4" customFormat="1" ht="15">
      <c r="A31" s="38">
        <v>27</v>
      </c>
      <c r="B31" s="149" t="s">
        <v>47</v>
      </c>
      <c r="C31" s="34">
        <v>40137</v>
      </c>
      <c r="D31" s="35" t="s">
        <v>26</v>
      </c>
      <c r="E31" s="65">
        <v>20</v>
      </c>
      <c r="F31" s="65">
        <v>2</v>
      </c>
      <c r="G31" s="65">
        <v>10</v>
      </c>
      <c r="H31" s="183">
        <v>7010</v>
      </c>
      <c r="I31" s="160">
        <v>874</v>
      </c>
      <c r="J31" s="161">
        <f>I31/F31</f>
        <v>437</v>
      </c>
      <c r="K31" s="83">
        <f t="shared" si="0"/>
        <v>8.020594965675057</v>
      </c>
      <c r="L31" s="184">
        <f>997860+4193+617+10063+7010</f>
        <v>1019743</v>
      </c>
      <c r="M31" s="162">
        <f>81544+595+106+1265+874</f>
        <v>84384</v>
      </c>
      <c r="N31" s="84">
        <f>+L31/M31</f>
        <v>12.084553943875616</v>
      </c>
      <c r="O31" s="166"/>
    </row>
    <row r="32" spans="1:15" s="4" customFormat="1" ht="15">
      <c r="A32" s="38">
        <v>28</v>
      </c>
      <c r="B32" s="148" t="s">
        <v>128</v>
      </c>
      <c r="C32" s="32">
        <v>40151</v>
      </c>
      <c r="D32" s="35" t="s">
        <v>5</v>
      </c>
      <c r="E32" s="63">
        <v>128</v>
      </c>
      <c r="F32" s="63">
        <v>6</v>
      </c>
      <c r="G32" s="63">
        <v>8</v>
      </c>
      <c r="H32" s="179">
        <v>5193</v>
      </c>
      <c r="I32" s="163">
        <v>1233</v>
      </c>
      <c r="J32" s="161">
        <f>I32/F32</f>
        <v>205.5</v>
      </c>
      <c r="K32" s="83">
        <f t="shared" si="0"/>
        <v>4.211678832116788</v>
      </c>
      <c r="L32" s="180">
        <v>1627228.5</v>
      </c>
      <c r="M32" s="164">
        <v>190018</v>
      </c>
      <c r="N32" s="84">
        <f>+L32/M32</f>
        <v>8.563549242703322</v>
      </c>
      <c r="O32" s="166">
        <v>1</v>
      </c>
    </row>
    <row r="33" spans="1:15" s="4" customFormat="1" ht="15">
      <c r="A33" s="38">
        <v>29</v>
      </c>
      <c r="B33" s="148" t="s">
        <v>100</v>
      </c>
      <c r="C33" s="32">
        <v>40102</v>
      </c>
      <c r="D33" s="33" t="s">
        <v>30</v>
      </c>
      <c r="E33" s="63">
        <v>319</v>
      </c>
      <c r="F33" s="63">
        <v>4</v>
      </c>
      <c r="G33" s="63">
        <v>15</v>
      </c>
      <c r="H33" s="183">
        <v>5067</v>
      </c>
      <c r="I33" s="160">
        <v>1028</v>
      </c>
      <c r="J33" s="161">
        <f>IF(H33&lt;&gt;0,I33/F33,"")</f>
        <v>257</v>
      </c>
      <c r="K33" s="83">
        <f>IF(H33&lt;&gt;0,H33/I33,"")</f>
        <v>4.928988326848249</v>
      </c>
      <c r="L33" s="184">
        <v>19737820.25</v>
      </c>
      <c r="M33" s="162">
        <v>2422173</v>
      </c>
      <c r="N33" s="84">
        <f>IF(L33&lt;&gt;0,L33/M33,"")</f>
        <v>8.148806980343684</v>
      </c>
      <c r="O33" s="166">
        <v>1</v>
      </c>
    </row>
    <row r="34" spans="1:15" s="4" customFormat="1" ht="15">
      <c r="A34" s="38">
        <v>30</v>
      </c>
      <c r="B34" s="148" t="s">
        <v>33</v>
      </c>
      <c r="C34" s="32">
        <v>39995</v>
      </c>
      <c r="D34" s="33" t="s">
        <v>28</v>
      </c>
      <c r="E34" s="63">
        <v>209</v>
      </c>
      <c r="F34" s="63">
        <v>6</v>
      </c>
      <c r="G34" s="63">
        <v>30</v>
      </c>
      <c r="H34" s="183">
        <v>4584.5</v>
      </c>
      <c r="I34" s="160">
        <v>976</v>
      </c>
      <c r="J34" s="161">
        <f>(I34/F34)</f>
        <v>162.66666666666666</v>
      </c>
      <c r="K34" s="83">
        <f>H34/I34</f>
        <v>4.697233606557377</v>
      </c>
      <c r="L34" s="184">
        <f>872160.5+3062686.25+2016658.5+1330226.25+943221.5+742732+516667.5+450351.5+331944.75+238834+191406+133484.5+252388.75+88483.5+54821.5+50455.5+10393.5+13219.5+4551+15537+5404+869+4082+1834+3805+1635+750+1385+2821+5898+4584.5</f>
        <v>11353291</v>
      </c>
      <c r="M34" s="162">
        <f>115039+364710+241056+162109+115810+90639+66180+59650+44695+33272+25508+18324+32600+11489+6695+7353+1723+3013+920+3530+1123+138+968+454+919+396+210+249+551+1381+976</f>
        <v>1411680</v>
      </c>
      <c r="N34" s="84">
        <f>L34/M34</f>
        <v>8.042397002153463</v>
      </c>
      <c r="O34" s="166"/>
    </row>
    <row r="35" spans="1:15" s="4" customFormat="1" ht="15">
      <c r="A35" s="38">
        <v>31</v>
      </c>
      <c r="B35" s="150" t="s">
        <v>38</v>
      </c>
      <c r="C35" s="32">
        <v>40102</v>
      </c>
      <c r="D35" s="181" t="s">
        <v>27</v>
      </c>
      <c r="E35" s="63">
        <v>99</v>
      </c>
      <c r="F35" s="63">
        <v>8</v>
      </c>
      <c r="G35" s="63">
        <v>15</v>
      </c>
      <c r="H35" s="179">
        <v>4479</v>
      </c>
      <c r="I35" s="163">
        <v>839</v>
      </c>
      <c r="J35" s="164">
        <f>I35/F35</f>
        <v>104.875</v>
      </c>
      <c r="K35" s="86">
        <f>+H35/I35</f>
        <v>5.33849821215733</v>
      </c>
      <c r="L35" s="180">
        <v>2584656</v>
      </c>
      <c r="M35" s="164">
        <v>273934</v>
      </c>
      <c r="N35" s="87">
        <f>+L35/M35</f>
        <v>9.435323837128651</v>
      </c>
      <c r="O35" s="166"/>
    </row>
    <row r="36" spans="1:15" s="4" customFormat="1" ht="15">
      <c r="A36" s="38">
        <v>32</v>
      </c>
      <c r="B36" s="148" t="s">
        <v>171</v>
      </c>
      <c r="C36" s="32">
        <v>40109</v>
      </c>
      <c r="D36" s="33" t="s">
        <v>28</v>
      </c>
      <c r="E36" s="63">
        <v>25</v>
      </c>
      <c r="F36" s="63">
        <v>3</v>
      </c>
      <c r="G36" s="63">
        <v>14</v>
      </c>
      <c r="H36" s="183">
        <v>3364</v>
      </c>
      <c r="I36" s="160">
        <v>753</v>
      </c>
      <c r="J36" s="161">
        <f>(I36/F36)</f>
        <v>251</v>
      </c>
      <c r="K36" s="83">
        <f>H36/I36</f>
        <v>4.46746347941567</v>
      </c>
      <c r="L36" s="184">
        <f>198009+121514.5+95148.5+66495+23091+12092+17648.5+7279+6352.5+7838.5+3895+13931+9479.5+3364</f>
        <v>586138</v>
      </c>
      <c r="M36" s="162">
        <f>27092+16078+14204+10980+3903+1664+3329+1236+1212+1399+730+2457+1696+753</f>
        <v>86733</v>
      </c>
      <c r="N36" s="84">
        <f>L36/M36</f>
        <v>6.757958331892128</v>
      </c>
      <c r="O36" s="166">
        <v>1</v>
      </c>
    </row>
    <row r="37" spans="1:15" s="4" customFormat="1" ht="15">
      <c r="A37" s="38">
        <v>33</v>
      </c>
      <c r="B37" s="150" t="s">
        <v>86</v>
      </c>
      <c r="C37" s="32">
        <v>40165</v>
      </c>
      <c r="D37" s="181" t="s">
        <v>27</v>
      </c>
      <c r="E37" s="63">
        <v>109</v>
      </c>
      <c r="F37" s="63">
        <v>5</v>
      </c>
      <c r="G37" s="63">
        <v>6</v>
      </c>
      <c r="H37" s="179">
        <v>3254</v>
      </c>
      <c r="I37" s="163">
        <v>483</v>
      </c>
      <c r="J37" s="164">
        <f>I37/F37</f>
        <v>96.6</v>
      </c>
      <c r="K37" s="86">
        <f>+H37/I37</f>
        <v>6.737060041407868</v>
      </c>
      <c r="L37" s="180">
        <v>1281713</v>
      </c>
      <c r="M37" s="164">
        <v>130427</v>
      </c>
      <c r="N37" s="87">
        <f>+L37/M37</f>
        <v>9.827052680809954</v>
      </c>
      <c r="O37" s="166">
        <v>1</v>
      </c>
    </row>
    <row r="38" spans="1:15" s="4" customFormat="1" ht="15">
      <c r="A38" s="38">
        <v>34</v>
      </c>
      <c r="B38" s="148" t="s">
        <v>172</v>
      </c>
      <c r="C38" s="32">
        <v>40095</v>
      </c>
      <c r="D38" s="33" t="s">
        <v>28</v>
      </c>
      <c r="E38" s="63">
        <v>52</v>
      </c>
      <c r="F38" s="63">
        <v>2</v>
      </c>
      <c r="G38" s="63">
        <v>8</v>
      </c>
      <c r="H38" s="183">
        <v>2968</v>
      </c>
      <c r="I38" s="160">
        <v>742</v>
      </c>
      <c r="J38" s="161">
        <f>(I38/F38)</f>
        <v>371</v>
      </c>
      <c r="K38" s="83">
        <f>H38/I38</f>
        <v>4</v>
      </c>
      <c r="L38" s="184">
        <f>108013.25+68864+27976+10214+2402+2209+1188+2968</f>
        <v>223834.25</v>
      </c>
      <c r="M38" s="162">
        <f>12202+8144+4339+1841+481+460+297+742</f>
        <v>28506</v>
      </c>
      <c r="N38" s="84">
        <f>L38/M38</f>
        <v>7.852180242755911</v>
      </c>
      <c r="O38" s="166">
        <v>1</v>
      </c>
    </row>
    <row r="39" spans="1:15" s="4" customFormat="1" ht="15">
      <c r="A39" s="38">
        <v>35</v>
      </c>
      <c r="B39" s="148" t="s">
        <v>173</v>
      </c>
      <c r="C39" s="32">
        <v>39836</v>
      </c>
      <c r="D39" s="33" t="s">
        <v>30</v>
      </c>
      <c r="E39" s="63">
        <v>86</v>
      </c>
      <c r="F39" s="63">
        <v>1</v>
      </c>
      <c r="G39" s="63">
        <v>20</v>
      </c>
      <c r="H39" s="183">
        <v>2941</v>
      </c>
      <c r="I39" s="160">
        <v>588</v>
      </c>
      <c r="J39" s="161">
        <f>IF(H39&lt;&gt;0,I39/F39,"")</f>
        <v>588</v>
      </c>
      <c r="K39" s="83">
        <f>IF(H39&lt;&gt;0,H39/I39,"")</f>
        <v>5.0017006802721085</v>
      </c>
      <c r="L39" s="184">
        <v>1450591.5</v>
      </c>
      <c r="M39" s="162">
        <v>167594</v>
      </c>
      <c r="N39" s="84">
        <f>IF(L39&lt;&gt;0,L39/M39,"")</f>
        <v>8.655390407771161</v>
      </c>
      <c r="O39" s="166"/>
    </row>
    <row r="40" spans="1:15" s="4" customFormat="1" ht="15">
      <c r="A40" s="38">
        <v>36</v>
      </c>
      <c r="B40" s="149" t="s">
        <v>123</v>
      </c>
      <c r="C40" s="34">
        <v>40186</v>
      </c>
      <c r="D40" s="35" t="s">
        <v>26</v>
      </c>
      <c r="E40" s="65">
        <v>59</v>
      </c>
      <c r="F40" s="65">
        <v>8</v>
      </c>
      <c r="G40" s="65">
        <v>3</v>
      </c>
      <c r="H40" s="183">
        <f>2875-74</f>
        <v>2801</v>
      </c>
      <c r="I40" s="160">
        <f>404-23</f>
        <v>381</v>
      </c>
      <c r="J40" s="161">
        <f>I40/F40</f>
        <v>47.625</v>
      </c>
      <c r="K40" s="83">
        <f>H40/I40</f>
        <v>7.351706036745407</v>
      </c>
      <c r="L40" s="184">
        <f>177508+75427+2875-74</f>
        <v>255736</v>
      </c>
      <c r="M40" s="162">
        <f>17102+7505+404-23</f>
        <v>24988</v>
      </c>
      <c r="N40" s="84">
        <f>+L40/M40</f>
        <v>10.234352489194814</v>
      </c>
      <c r="O40" s="166"/>
    </row>
    <row r="41" spans="1:15" s="4" customFormat="1" ht="15">
      <c r="A41" s="38">
        <v>37</v>
      </c>
      <c r="B41" s="149" t="s">
        <v>80</v>
      </c>
      <c r="C41" s="34">
        <v>40179</v>
      </c>
      <c r="D41" s="35" t="s">
        <v>26</v>
      </c>
      <c r="E41" s="65">
        <v>60</v>
      </c>
      <c r="F41" s="65">
        <v>4</v>
      </c>
      <c r="G41" s="65">
        <v>4</v>
      </c>
      <c r="H41" s="183">
        <f>2697-144</f>
        <v>2553</v>
      </c>
      <c r="I41" s="160">
        <f>448-25</f>
        <v>423</v>
      </c>
      <c r="J41" s="161">
        <f>I41/F41</f>
        <v>105.75</v>
      </c>
      <c r="K41" s="83">
        <f>H41/I41</f>
        <v>6.035460992907802</v>
      </c>
      <c r="L41" s="184">
        <f>242167+187163+154+31917+2697-144</f>
        <v>463954</v>
      </c>
      <c r="M41" s="162">
        <f>21845+17511+18+4295+448-25</f>
        <v>44092</v>
      </c>
      <c r="N41" s="84">
        <f>+L41/M41</f>
        <v>10.522407693005533</v>
      </c>
      <c r="O41" s="166"/>
    </row>
    <row r="42" spans="1:15" s="4" customFormat="1" ht="15">
      <c r="A42" s="38">
        <v>38</v>
      </c>
      <c r="B42" s="148" t="s">
        <v>34</v>
      </c>
      <c r="C42" s="32">
        <v>40067</v>
      </c>
      <c r="D42" s="33" t="s">
        <v>30</v>
      </c>
      <c r="E42" s="63">
        <v>105</v>
      </c>
      <c r="F42" s="63">
        <v>8</v>
      </c>
      <c r="G42" s="63">
        <v>20</v>
      </c>
      <c r="H42" s="183">
        <v>2029</v>
      </c>
      <c r="I42" s="160">
        <v>418</v>
      </c>
      <c r="J42" s="161">
        <f>IF(H42&lt;&gt;0,I42/F42,"")</f>
        <v>52.25</v>
      </c>
      <c r="K42" s="83">
        <f>IF(H42&lt;&gt;0,H42/I42,"")</f>
        <v>4.854066985645933</v>
      </c>
      <c r="L42" s="184">
        <v>623530</v>
      </c>
      <c r="M42" s="162">
        <v>74339</v>
      </c>
      <c r="N42" s="84">
        <f>IF(L42&lt;&gt;0,L42/M42,"")</f>
        <v>8.387656546361937</v>
      </c>
      <c r="O42" s="166"/>
    </row>
    <row r="43" spans="1:15" s="4" customFormat="1" ht="15">
      <c r="A43" s="38">
        <v>39</v>
      </c>
      <c r="B43" s="150" t="s">
        <v>99</v>
      </c>
      <c r="C43" s="32">
        <v>40144</v>
      </c>
      <c r="D43" s="181" t="s">
        <v>27</v>
      </c>
      <c r="E43" s="63">
        <v>128</v>
      </c>
      <c r="F43" s="63">
        <v>4</v>
      </c>
      <c r="G43" s="63">
        <v>9</v>
      </c>
      <c r="H43" s="179">
        <v>1890</v>
      </c>
      <c r="I43" s="163">
        <v>334</v>
      </c>
      <c r="J43" s="164">
        <f>I43/F43</f>
        <v>83.5</v>
      </c>
      <c r="K43" s="86">
        <f>+H43/I43</f>
        <v>5.658682634730539</v>
      </c>
      <c r="L43" s="180">
        <v>2579222</v>
      </c>
      <c r="M43" s="164">
        <v>309030</v>
      </c>
      <c r="N43" s="87">
        <f>+L43/M43</f>
        <v>8.346186454389542</v>
      </c>
      <c r="O43" s="166">
        <v>1</v>
      </c>
    </row>
    <row r="44" spans="1:15" s="4" customFormat="1" ht="15">
      <c r="A44" s="38">
        <v>40</v>
      </c>
      <c r="B44" s="149" t="s">
        <v>129</v>
      </c>
      <c r="C44" s="34">
        <v>40165</v>
      </c>
      <c r="D44" s="35" t="s">
        <v>26</v>
      </c>
      <c r="E44" s="65">
        <v>36</v>
      </c>
      <c r="F44" s="65">
        <v>5</v>
      </c>
      <c r="G44" s="65">
        <v>5</v>
      </c>
      <c r="H44" s="183">
        <v>1825</v>
      </c>
      <c r="I44" s="160">
        <v>307</v>
      </c>
      <c r="J44" s="161">
        <f>I44/F44</f>
        <v>61.4</v>
      </c>
      <c r="K44" s="83">
        <f>H44/I44</f>
        <v>5.944625407166124</v>
      </c>
      <c r="L44" s="184">
        <f>119500+7119+1825</f>
        <v>128444</v>
      </c>
      <c r="M44" s="162">
        <f>13046+1206+307</f>
        <v>14559</v>
      </c>
      <c r="N44" s="84">
        <f>+L44/M44</f>
        <v>8.822309224534653</v>
      </c>
      <c r="O44" s="166">
        <v>1</v>
      </c>
    </row>
    <row r="45" spans="1:15" s="4" customFormat="1" ht="15">
      <c r="A45" s="38">
        <v>41</v>
      </c>
      <c r="B45" s="148" t="s">
        <v>135</v>
      </c>
      <c r="C45" s="32">
        <v>40186</v>
      </c>
      <c r="D45" s="33" t="s">
        <v>28</v>
      </c>
      <c r="E45" s="63">
        <v>4</v>
      </c>
      <c r="F45" s="63">
        <v>3</v>
      </c>
      <c r="G45" s="63">
        <v>3</v>
      </c>
      <c r="H45" s="183">
        <v>1632</v>
      </c>
      <c r="I45" s="160">
        <v>325</v>
      </c>
      <c r="J45" s="161">
        <f>(I45/F45)</f>
        <v>108.33333333333333</v>
      </c>
      <c r="K45" s="83">
        <f>H45/I45</f>
        <v>5.021538461538461</v>
      </c>
      <c r="L45" s="184">
        <f>16093+2026+1632</f>
        <v>19751</v>
      </c>
      <c r="M45" s="162">
        <f>1351+257+325</f>
        <v>1933</v>
      </c>
      <c r="N45" s="84">
        <f>L45/M45</f>
        <v>10.21779617175375</v>
      </c>
      <c r="O45" s="166"/>
    </row>
    <row r="46" spans="1:15" s="4" customFormat="1" ht="15">
      <c r="A46" s="38">
        <v>42</v>
      </c>
      <c r="B46" s="150" t="s">
        <v>174</v>
      </c>
      <c r="C46" s="32">
        <v>40193</v>
      </c>
      <c r="D46" s="181" t="s">
        <v>27</v>
      </c>
      <c r="E46" s="63">
        <v>35</v>
      </c>
      <c r="F46" s="63">
        <v>10</v>
      </c>
      <c r="G46" s="63">
        <v>2</v>
      </c>
      <c r="H46" s="179">
        <v>1546</v>
      </c>
      <c r="I46" s="163">
        <v>177</v>
      </c>
      <c r="J46" s="164">
        <f>I46/F46</f>
        <v>17.7</v>
      </c>
      <c r="K46" s="86">
        <f>+H46/I46</f>
        <v>8.734463276836157</v>
      </c>
      <c r="L46" s="180">
        <v>21159</v>
      </c>
      <c r="M46" s="164">
        <v>2190</v>
      </c>
      <c r="N46" s="87">
        <f>+L46/M46</f>
        <v>9.661643835616438</v>
      </c>
      <c r="O46" s="166">
        <v>1</v>
      </c>
    </row>
    <row r="47" spans="1:15" s="4" customFormat="1" ht="15">
      <c r="A47" s="38">
        <v>43</v>
      </c>
      <c r="B47" s="148" t="s">
        <v>146</v>
      </c>
      <c r="C47" s="32">
        <v>40116</v>
      </c>
      <c r="D47" s="33" t="s">
        <v>30</v>
      </c>
      <c r="E47" s="63">
        <v>88</v>
      </c>
      <c r="F47" s="63">
        <v>2</v>
      </c>
      <c r="G47" s="63">
        <v>12</v>
      </c>
      <c r="H47" s="183">
        <v>1492</v>
      </c>
      <c r="I47" s="160">
        <v>303</v>
      </c>
      <c r="J47" s="161">
        <f>IF(H47&lt;&gt;0,I47/F47,"")</f>
        <v>151.5</v>
      </c>
      <c r="K47" s="83">
        <f>IF(H47&lt;&gt;0,H47/I47,"")</f>
        <v>4.924092409240924</v>
      </c>
      <c r="L47" s="184">
        <v>279977</v>
      </c>
      <c r="M47" s="162">
        <v>37673</v>
      </c>
      <c r="N47" s="84">
        <f>IF(L47&lt;&gt;0,L47/M47,"")</f>
        <v>7.43176810978685</v>
      </c>
      <c r="O47" s="166">
        <v>1</v>
      </c>
    </row>
    <row r="48" spans="1:15" s="4" customFormat="1" ht="15">
      <c r="A48" s="38">
        <v>44</v>
      </c>
      <c r="B48" s="150" t="s">
        <v>53</v>
      </c>
      <c r="C48" s="32">
        <v>40172</v>
      </c>
      <c r="D48" s="181" t="s">
        <v>27</v>
      </c>
      <c r="E48" s="63">
        <v>51</v>
      </c>
      <c r="F48" s="63">
        <v>1</v>
      </c>
      <c r="G48" s="63">
        <v>5</v>
      </c>
      <c r="H48" s="179">
        <v>1239</v>
      </c>
      <c r="I48" s="163">
        <v>177</v>
      </c>
      <c r="J48" s="164">
        <f>I48/F48</f>
        <v>177</v>
      </c>
      <c r="K48" s="86">
        <f>+H48/I48</f>
        <v>7</v>
      </c>
      <c r="L48" s="180">
        <v>528263</v>
      </c>
      <c r="M48" s="164">
        <v>47183</v>
      </c>
      <c r="N48" s="87">
        <f>+L48/M48</f>
        <v>11.19604518576606</v>
      </c>
      <c r="O48" s="166"/>
    </row>
    <row r="49" spans="1:15" s="4" customFormat="1" ht="15">
      <c r="A49" s="38">
        <v>45</v>
      </c>
      <c r="B49" s="148" t="s">
        <v>35</v>
      </c>
      <c r="C49" s="32">
        <v>40067</v>
      </c>
      <c r="D49" s="33" t="s">
        <v>28</v>
      </c>
      <c r="E49" s="63">
        <v>51</v>
      </c>
      <c r="F49" s="63">
        <v>1</v>
      </c>
      <c r="G49" s="63">
        <v>19</v>
      </c>
      <c r="H49" s="183">
        <v>1188</v>
      </c>
      <c r="I49" s="160">
        <v>297</v>
      </c>
      <c r="J49" s="161">
        <f>(I49/F49)</f>
        <v>297</v>
      </c>
      <c r="K49" s="83">
        <f>H49/I49</f>
        <v>4</v>
      </c>
      <c r="L49" s="184">
        <f>182949+180053+29827+20114+26140.5+10395.5+4671+3342+2340+5520+249.5+165+3602+91+952+1264+44+1663+1188</f>
        <v>474570.5</v>
      </c>
      <c r="M49" s="162">
        <f>18625+17802+3355+2859+3903+1800+782+594+465+1366+90+60+905+15+238+316+11+244+297</f>
        <v>53727</v>
      </c>
      <c r="N49" s="84">
        <f>L49/M49</f>
        <v>8.832998306251978</v>
      </c>
      <c r="O49" s="166"/>
    </row>
    <row r="50" spans="1:15" s="4" customFormat="1" ht="15">
      <c r="A50" s="38">
        <v>46</v>
      </c>
      <c r="B50" s="148" t="s">
        <v>175</v>
      </c>
      <c r="C50" s="32">
        <v>39955</v>
      </c>
      <c r="D50" s="33" t="s">
        <v>28</v>
      </c>
      <c r="E50" s="63">
        <v>88</v>
      </c>
      <c r="F50" s="63">
        <v>1</v>
      </c>
      <c r="G50" s="63">
        <v>25</v>
      </c>
      <c r="H50" s="183">
        <v>1188</v>
      </c>
      <c r="I50" s="160">
        <v>297</v>
      </c>
      <c r="J50" s="161">
        <f>(I50/F50)</f>
        <v>297</v>
      </c>
      <c r="K50" s="83">
        <f>H50/I50</f>
        <v>4</v>
      </c>
      <c r="L50" s="184">
        <f>253985.25+197941+176827+129137.25+73306.5+36496.5+20735+12653+3137+3974+3108+6704.75+3312+1885+643+108556.75+31027+8660.5+1196.5+2137+5262+2140+4040+1780+1188</f>
        <v>1089833</v>
      </c>
      <c r="M50" s="162">
        <f>26929+21325+23241+17550+10624+6388+4049+2644+577+882+663+1354+764+460+116+14641+4967+986+117+181+1185+535+1010+445+297</f>
        <v>141930</v>
      </c>
      <c r="N50" s="84">
        <f>L50/M50</f>
        <v>7.678665539350384</v>
      </c>
      <c r="O50" s="166"/>
    </row>
    <row r="51" spans="1:15" s="4" customFormat="1" ht="15">
      <c r="A51" s="38">
        <v>47</v>
      </c>
      <c r="B51" s="148" t="s">
        <v>87</v>
      </c>
      <c r="C51" s="32">
        <v>40179</v>
      </c>
      <c r="D51" s="33" t="s">
        <v>28</v>
      </c>
      <c r="E51" s="63">
        <v>8</v>
      </c>
      <c r="F51" s="63">
        <v>2</v>
      </c>
      <c r="G51" s="63">
        <v>4</v>
      </c>
      <c r="H51" s="183">
        <v>1071</v>
      </c>
      <c r="I51" s="160">
        <v>171</v>
      </c>
      <c r="J51" s="161">
        <f>(I51/F51)</f>
        <v>85.5</v>
      </c>
      <c r="K51" s="83">
        <f>H51/I51</f>
        <v>6.2631578947368425</v>
      </c>
      <c r="L51" s="184">
        <f>61026+19560+4475+1071</f>
        <v>86132</v>
      </c>
      <c r="M51" s="162">
        <f>4540+1674+518+171</f>
        <v>6903</v>
      </c>
      <c r="N51" s="84">
        <f>L51/M51</f>
        <v>12.477473562219325</v>
      </c>
      <c r="O51" s="166"/>
    </row>
    <row r="52" spans="1:15" s="4" customFormat="1" ht="15">
      <c r="A52" s="38">
        <v>48</v>
      </c>
      <c r="B52" s="148" t="s">
        <v>134</v>
      </c>
      <c r="C52" s="32">
        <v>40172</v>
      </c>
      <c r="D52" s="35" t="s">
        <v>41</v>
      </c>
      <c r="E52" s="63">
        <v>10</v>
      </c>
      <c r="F52" s="63">
        <v>4</v>
      </c>
      <c r="G52" s="63">
        <v>5</v>
      </c>
      <c r="H52" s="179">
        <v>1019</v>
      </c>
      <c r="I52" s="163">
        <v>152</v>
      </c>
      <c r="J52" s="161">
        <f>I52/F52</f>
        <v>38</v>
      </c>
      <c r="K52" s="83">
        <f>H52/I52</f>
        <v>6.703947368421052</v>
      </c>
      <c r="L52" s="180">
        <f>9917+0.75+3107+3129+0.5+2355+1019</f>
        <v>19528.25</v>
      </c>
      <c r="M52" s="164">
        <f>987+335+431+415+152</f>
        <v>2320</v>
      </c>
      <c r="N52" s="84">
        <f>+L52/M52</f>
        <v>8.417349137931035</v>
      </c>
      <c r="O52" s="166">
        <v>1</v>
      </c>
    </row>
    <row r="53" spans="1:15" s="4" customFormat="1" ht="15">
      <c r="A53" s="38">
        <v>49</v>
      </c>
      <c r="B53" s="148" t="s">
        <v>103</v>
      </c>
      <c r="C53" s="32">
        <v>40123</v>
      </c>
      <c r="D53" s="33" t="s">
        <v>30</v>
      </c>
      <c r="E53" s="63">
        <v>40</v>
      </c>
      <c r="F53" s="63">
        <v>4</v>
      </c>
      <c r="G53" s="63">
        <v>11</v>
      </c>
      <c r="H53" s="183">
        <v>1018</v>
      </c>
      <c r="I53" s="160">
        <v>176</v>
      </c>
      <c r="J53" s="161">
        <f>IF(H53&lt;&gt;0,I53/F53,"")</f>
        <v>44</v>
      </c>
      <c r="K53" s="83">
        <f>IF(H53&lt;&gt;0,H53/I53,"")</f>
        <v>5.784090909090909</v>
      </c>
      <c r="L53" s="184">
        <v>264959.25</v>
      </c>
      <c r="M53" s="162">
        <v>27135</v>
      </c>
      <c r="N53" s="84">
        <f>IF(L53&lt;&gt;0,L53/M53,"")</f>
        <v>9.764483139856274</v>
      </c>
      <c r="O53" s="166">
        <v>1</v>
      </c>
    </row>
    <row r="54" spans="1:15" s="4" customFormat="1" ht="15">
      <c r="A54" s="38">
        <v>50</v>
      </c>
      <c r="B54" s="148" t="s">
        <v>95</v>
      </c>
      <c r="C54" s="32">
        <v>40151</v>
      </c>
      <c r="D54" s="33" t="s">
        <v>30</v>
      </c>
      <c r="E54" s="63">
        <v>140</v>
      </c>
      <c r="F54" s="63">
        <v>3</v>
      </c>
      <c r="G54" s="63">
        <v>8</v>
      </c>
      <c r="H54" s="183">
        <v>946</v>
      </c>
      <c r="I54" s="160">
        <v>174</v>
      </c>
      <c r="J54" s="161">
        <f>IF(H54&lt;&gt;0,I54/F54,"")</f>
        <v>58</v>
      </c>
      <c r="K54" s="83">
        <f>IF(H54&lt;&gt;0,H54/I54,"")</f>
        <v>5.436781609195402</v>
      </c>
      <c r="L54" s="184">
        <v>1037360</v>
      </c>
      <c r="M54" s="162">
        <v>132289</v>
      </c>
      <c r="N54" s="84">
        <f>IF(L54&lt;&gt;0,L54/M54,"")</f>
        <v>7.841619484613233</v>
      </c>
      <c r="O54" s="166">
        <v>1</v>
      </c>
    </row>
    <row r="55" spans="1:15" s="4" customFormat="1" ht="15">
      <c r="A55" s="38">
        <v>51</v>
      </c>
      <c r="B55" s="148" t="s">
        <v>39</v>
      </c>
      <c r="C55" s="32">
        <v>40109</v>
      </c>
      <c r="D55" s="33" t="s">
        <v>28</v>
      </c>
      <c r="E55" s="63">
        <v>35</v>
      </c>
      <c r="F55" s="63">
        <v>2</v>
      </c>
      <c r="G55" s="63">
        <v>12</v>
      </c>
      <c r="H55" s="183">
        <v>676</v>
      </c>
      <c r="I55" s="160">
        <v>110</v>
      </c>
      <c r="J55" s="161">
        <f>(I55/F55)</f>
        <v>55</v>
      </c>
      <c r="K55" s="83">
        <f>H55/I55</f>
        <v>6.1454545454545455</v>
      </c>
      <c r="L55" s="184">
        <f>138311.75+79345.25+13093+10041+3739+971+1340+254+1082+2698+1314+676</f>
        <v>252865</v>
      </c>
      <c r="M55" s="162">
        <f>12918+7558+2061+1540+644+195+252+48+177+403+212+110</f>
        <v>26118</v>
      </c>
      <c r="N55" s="84">
        <f>L55/M55</f>
        <v>9.681637185083085</v>
      </c>
      <c r="O55" s="166"/>
    </row>
    <row r="56" spans="1:15" s="4" customFormat="1" ht="15">
      <c r="A56" s="38">
        <v>52</v>
      </c>
      <c r="B56" s="150" t="s">
        <v>176</v>
      </c>
      <c r="C56" s="32">
        <v>40046</v>
      </c>
      <c r="D56" s="181" t="s">
        <v>27</v>
      </c>
      <c r="E56" s="63">
        <v>55</v>
      </c>
      <c r="F56" s="63">
        <v>1</v>
      </c>
      <c r="G56" s="63">
        <v>20</v>
      </c>
      <c r="H56" s="179">
        <v>609</v>
      </c>
      <c r="I56" s="163">
        <v>280</v>
      </c>
      <c r="J56" s="164">
        <f>I56/F56</f>
        <v>280</v>
      </c>
      <c r="K56" s="86">
        <f>+H56/I56</f>
        <v>2.175</v>
      </c>
      <c r="L56" s="180">
        <v>2895934</v>
      </c>
      <c r="M56" s="164">
        <v>289454</v>
      </c>
      <c r="N56" s="87">
        <f>+L56/M56</f>
        <v>10.004815963849179</v>
      </c>
      <c r="O56" s="166"/>
    </row>
    <row r="57" spans="1:15" s="4" customFormat="1" ht="15">
      <c r="A57" s="38">
        <v>53</v>
      </c>
      <c r="B57" s="150" t="s">
        <v>177</v>
      </c>
      <c r="C57" s="32">
        <v>40004</v>
      </c>
      <c r="D57" s="181" t="s">
        <v>27</v>
      </c>
      <c r="E57" s="63">
        <v>68</v>
      </c>
      <c r="F57" s="63">
        <v>1</v>
      </c>
      <c r="G57" s="63">
        <v>26</v>
      </c>
      <c r="H57" s="179">
        <v>609</v>
      </c>
      <c r="I57" s="163">
        <v>280</v>
      </c>
      <c r="J57" s="164">
        <f>I57/F57</f>
        <v>280</v>
      </c>
      <c r="K57" s="86">
        <f>+H57/I57</f>
        <v>2.175</v>
      </c>
      <c r="L57" s="180">
        <v>1217628</v>
      </c>
      <c r="M57" s="164">
        <v>132046</v>
      </c>
      <c r="N57" s="87">
        <f>+L57/M57</f>
        <v>9.221241082653014</v>
      </c>
      <c r="O57" s="166"/>
    </row>
    <row r="58" spans="1:15" s="4" customFormat="1" ht="15">
      <c r="A58" s="38">
        <v>54</v>
      </c>
      <c r="B58" s="148" t="s">
        <v>130</v>
      </c>
      <c r="C58" s="32">
        <v>40186</v>
      </c>
      <c r="D58" s="33" t="s">
        <v>28</v>
      </c>
      <c r="E58" s="63">
        <v>4</v>
      </c>
      <c r="F58" s="63">
        <v>1</v>
      </c>
      <c r="G58" s="63">
        <v>3</v>
      </c>
      <c r="H58" s="183">
        <v>538</v>
      </c>
      <c r="I58" s="160">
        <v>84</v>
      </c>
      <c r="J58" s="161">
        <f>(I58/F58)</f>
        <v>84</v>
      </c>
      <c r="K58" s="83">
        <f>H58/I58</f>
        <v>6.404761904761905</v>
      </c>
      <c r="L58" s="184">
        <f>19677.25+6138.5+538</f>
        <v>26353.75</v>
      </c>
      <c r="M58" s="162">
        <f>1627+845+84</f>
        <v>2556</v>
      </c>
      <c r="N58" s="84">
        <f>L58/M58</f>
        <v>10.310543818466353</v>
      </c>
      <c r="O58" s="166"/>
    </row>
    <row r="59" spans="1:15" s="4" customFormat="1" ht="15">
      <c r="A59" s="38">
        <v>55</v>
      </c>
      <c r="B59" s="148" t="s">
        <v>131</v>
      </c>
      <c r="C59" s="32">
        <v>40186</v>
      </c>
      <c r="D59" s="33" t="s">
        <v>28</v>
      </c>
      <c r="E59" s="63">
        <v>1</v>
      </c>
      <c r="F59" s="63">
        <v>1</v>
      </c>
      <c r="G59" s="63">
        <v>3</v>
      </c>
      <c r="H59" s="183">
        <v>523</v>
      </c>
      <c r="I59" s="160">
        <v>43</v>
      </c>
      <c r="J59" s="161">
        <f>(I59/F59)</f>
        <v>43</v>
      </c>
      <c r="K59" s="83">
        <f>H59/I59</f>
        <v>12.162790697674419</v>
      </c>
      <c r="L59" s="184">
        <f>9061+11823.5+5543+523</f>
        <v>26950.5</v>
      </c>
      <c r="M59" s="162">
        <f>906+798+439+43</f>
        <v>2186</v>
      </c>
      <c r="N59" s="84">
        <f>L59/M59</f>
        <v>12.32868252516011</v>
      </c>
      <c r="O59" s="166"/>
    </row>
    <row r="60" spans="1:15" s="4" customFormat="1" ht="15">
      <c r="A60" s="38">
        <v>56</v>
      </c>
      <c r="B60" s="149" t="s">
        <v>178</v>
      </c>
      <c r="C60" s="34">
        <v>39962</v>
      </c>
      <c r="D60" s="35" t="s">
        <v>3</v>
      </c>
      <c r="E60" s="65">
        <v>72</v>
      </c>
      <c r="F60" s="65">
        <v>1</v>
      </c>
      <c r="G60" s="65">
        <v>23</v>
      </c>
      <c r="H60" s="183">
        <v>516</v>
      </c>
      <c r="I60" s="160">
        <v>158</v>
      </c>
      <c r="J60" s="161">
        <f>I60/F60</f>
        <v>158</v>
      </c>
      <c r="K60" s="83">
        <f>H60/I60</f>
        <v>3.2658227848101267</v>
      </c>
      <c r="L60" s="184">
        <v>276947</v>
      </c>
      <c r="M60" s="162">
        <v>37748</v>
      </c>
      <c r="N60" s="84">
        <f>+L60/M60</f>
        <v>7.336733071950832</v>
      </c>
      <c r="O60" s="166"/>
    </row>
    <row r="61" spans="1:15" s="4" customFormat="1" ht="15">
      <c r="A61" s="38">
        <v>57</v>
      </c>
      <c r="B61" s="148" t="s">
        <v>179</v>
      </c>
      <c r="C61" s="32">
        <v>40046</v>
      </c>
      <c r="D61" s="33" t="s">
        <v>28</v>
      </c>
      <c r="E61" s="63">
        <v>5</v>
      </c>
      <c r="F61" s="63">
        <v>1</v>
      </c>
      <c r="G61" s="63">
        <v>19</v>
      </c>
      <c r="H61" s="183">
        <v>468</v>
      </c>
      <c r="I61" s="160">
        <v>76</v>
      </c>
      <c r="J61" s="161">
        <f>(I61/F61)</f>
        <v>76</v>
      </c>
      <c r="K61" s="83">
        <f>H61/I61</f>
        <v>6.157894736842105</v>
      </c>
      <c r="L61" s="184">
        <f>29266.75+13116.25+9279.25+8463+18147.5+3121+4110+6763+926+5173.5+9461.5+192+486+2002+382+72+487.5+555+468</f>
        <v>112472.25</v>
      </c>
      <c r="M61" s="162">
        <f>2425+1257+1223+1013+2360+455+662+1253+138+745+1554+44+79+353+69+18+78+90+76</f>
        <v>13892</v>
      </c>
      <c r="N61" s="84">
        <f>L61/M61</f>
        <v>8.096188453786352</v>
      </c>
      <c r="O61" s="166"/>
    </row>
    <row r="62" spans="1:15" s="4" customFormat="1" ht="15">
      <c r="A62" s="38">
        <v>58</v>
      </c>
      <c r="B62" s="148" t="s">
        <v>102</v>
      </c>
      <c r="C62" s="32">
        <v>40130</v>
      </c>
      <c r="D62" s="33" t="s">
        <v>28</v>
      </c>
      <c r="E62" s="63">
        <v>13</v>
      </c>
      <c r="F62" s="63">
        <v>1</v>
      </c>
      <c r="G62" s="63">
        <v>11</v>
      </c>
      <c r="H62" s="183">
        <v>452</v>
      </c>
      <c r="I62" s="160">
        <v>195</v>
      </c>
      <c r="J62" s="161">
        <f>(I62/F62)</f>
        <v>195</v>
      </c>
      <c r="K62" s="83">
        <f>H62/I62</f>
        <v>2.317948717948718</v>
      </c>
      <c r="L62" s="184">
        <f>61012+24426+6122+10040+4081+228+2698+1216+1678.5+1457+452</f>
        <v>113410.5</v>
      </c>
      <c r="M62" s="162">
        <f>5982+2401+678+1620+879+42+433+305+334+339+195</f>
        <v>13208</v>
      </c>
      <c r="N62" s="84">
        <f>L62/M62</f>
        <v>8.58650060569352</v>
      </c>
      <c r="O62" s="166">
        <v>1</v>
      </c>
    </row>
    <row r="63" spans="1:15" s="4" customFormat="1" ht="15">
      <c r="A63" s="38">
        <v>59</v>
      </c>
      <c r="B63" s="148" t="s">
        <v>43</v>
      </c>
      <c r="C63" s="32">
        <v>40123</v>
      </c>
      <c r="D63" s="33" t="s">
        <v>30</v>
      </c>
      <c r="E63" s="63">
        <v>58</v>
      </c>
      <c r="F63" s="63">
        <v>4</v>
      </c>
      <c r="G63" s="63">
        <v>11</v>
      </c>
      <c r="H63" s="183">
        <v>370</v>
      </c>
      <c r="I63" s="160">
        <v>74</v>
      </c>
      <c r="J63" s="161">
        <f>IF(H63&lt;&gt;0,I63/F63,"")</f>
        <v>18.5</v>
      </c>
      <c r="K63" s="83">
        <f>IF(H63&lt;&gt;0,H63/I63,"")</f>
        <v>5</v>
      </c>
      <c r="L63" s="184">
        <v>472906.75</v>
      </c>
      <c r="M63" s="162">
        <v>45432</v>
      </c>
      <c r="N63" s="84">
        <f>IF(L63&lt;&gt;0,L63/M63,"")</f>
        <v>10.409111419263954</v>
      </c>
      <c r="O63" s="166"/>
    </row>
    <row r="64" spans="1:15" s="4" customFormat="1" ht="15">
      <c r="A64" s="38">
        <v>60</v>
      </c>
      <c r="B64" s="150" t="s">
        <v>108</v>
      </c>
      <c r="C64" s="32">
        <v>40102</v>
      </c>
      <c r="D64" s="181" t="s">
        <v>27</v>
      </c>
      <c r="E64" s="63">
        <v>62</v>
      </c>
      <c r="F64" s="63">
        <v>1</v>
      </c>
      <c r="G64" s="63">
        <v>14</v>
      </c>
      <c r="H64" s="179">
        <v>297</v>
      </c>
      <c r="I64" s="163">
        <v>42</v>
      </c>
      <c r="J64" s="164">
        <f>I64/F64</f>
        <v>42</v>
      </c>
      <c r="K64" s="86">
        <f>+H64/I64</f>
        <v>7.071428571428571</v>
      </c>
      <c r="L64" s="180">
        <v>493734</v>
      </c>
      <c r="M64" s="164">
        <v>56240</v>
      </c>
      <c r="N64" s="87">
        <f>+L64/M64</f>
        <v>8.779054054054054</v>
      </c>
      <c r="O64" s="166"/>
    </row>
    <row r="65" spans="1:15" s="4" customFormat="1" ht="15">
      <c r="A65" s="38">
        <v>61</v>
      </c>
      <c r="B65" s="148" t="s">
        <v>147</v>
      </c>
      <c r="C65" s="32">
        <v>40088</v>
      </c>
      <c r="D65" s="33" t="s">
        <v>30</v>
      </c>
      <c r="E65" s="63">
        <v>55</v>
      </c>
      <c r="F65" s="63">
        <v>1</v>
      </c>
      <c r="G65" s="63">
        <v>12</v>
      </c>
      <c r="H65" s="183">
        <v>270</v>
      </c>
      <c r="I65" s="160">
        <v>38</v>
      </c>
      <c r="J65" s="161">
        <f>IF(H65&lt;&gt;0,I65/F65,"")</f>
        <v>38</v>
      </c>
      <c r="K65" s="83">
        <f>IF(H65&lt;&gt;0,H65/I65,"")</f>
        <v>7.105263157894737</v>
      </c>
      <c r="L65" s="184">
        <v>148384</v>
      </c>
      <c r="M65" s="162">
        <v>18370</v>
      </c>
      <c r="N65" s="84">
        <f>IF(L65&lt;&gt;0,L65/M65,"")</f>
        <v>8.07751769188895</v>
      </c>
      <c r="O65" s="166">
        <v>1</v>
      </c>
    </row>
    <row r="66" spans="1:15" s="4" customFormat="1" ht="15">
      <c r="A66" s="38">
        <v>62</v>
      </c>
      <c r="B66" s="149" t="s">
        <v>180</v>
      </c>
      <c r="C66" s="34">
        <v>40088</v>
      </c>
      <c r="D66" s="35" t="s">
        <v>3</v>
      </c>
      <c r="E66" s="65">
        <v>53</v>
      </c>
      <c r="F66" s="65">
        <v>2</v>
      </c>
      <c r="G66" s="65">
        <v>12</v>
      </c>
      <c r="H66" s="183">
        <v>206</v>
      </c>
      <c r="I66" s="160">
        <v>33</v>
      </c>
      <c r="J66" s="161">
        <f>I66/F66</f>
        <v>16.5</v>
      </c>
      <c r="K66" s="83">
        <f aca="true" t="shared" si="1" ref="K66:K72">H66/I66</f>
        <v>6.242424242424242</v>
      </c>
      <c r="L66" s="184">
        <v>520501</v>
      </c>
      <c r="M66" s="162">
        <v>51318</v>
      </c>
      <c r="N66" s="84">
        <f>+L66/M66</f>
        <v>10.142659495693518</v>
      </c>
      <c r="O66" s="166"/>
    </row>
    <row r="67" spans="1:15" s="4" customFormat="1" ht="15">
      <c r="A67" s="38">
        <v>63</v>
      </c>
      <c r="B67" s="149" t="s">
        <v>181</v>
      </c>
      <c r="C67" s="34">
        <v>40109</v>
      </c>
      <c r="D67" s="35" t="s">
        <v>3</v>
      </c>
      <c r="E67" s="65">
        <v>27</v>
      </c>
      <c r="F67" s="65">
        <v>1</v>
      </c>
      <c r="G67" s="65">
        <v>6</v>
      </c>
      <c r="H67" s="183">
        <v>189</v>
      </c>
      <c r="I67" s="160">
        <v>26</v>
      </c>
      <c r="J67" s="161">
        <f>I67/F67</f>
        <v>26</v>
      </c>
      <c r="K67" s="83">
        <f t="shared" si="1"/>
        <v>7.269230769230769</v>
      </c>
      <c r="L67" s="184">
        <v>142817</v>
      </c>
      <c r="M67" s="162">
        <v>11768</v>
      </c>
      <c r="N67" s="84">
        <f>+L67/M67</f>
        <v>12.136046906866078</v>
      </c>
      <c r="O67" s="166"/>
    </row>
    <row r="68" spans="1:15" s="4" customFormat="1" ht="15">
      <c r="A68" s="38">
        <v>64</v>
      </c>
      <c r="B68" s="149" t="s">
        <v>182</v>
      </c>
      <c r="C68" s="34">
        <v>40130</v>
      </c>
      <c r="D68" s="35" t="s">
        <v>3</v>
      </c>
      <c r="E68" s="65">
        <v>17</v>
      </c>
      <c r="F68" s="65">
        <v>1</v>
      </c>
      <c r="G68" s="65">
        <v>10</v>
      </c>
      <c r="H68" s="183">
        <v>141</v>
      </c>
      <c r="I68" s="160">
        <v>38</v>
      </c>
      <c r="J68" s="161">
        <f>I68/F68</f>
        <v>38</v>
      </c>
      <c r="K68" s="83">
        <f t="shared" si="1"/>
        <v>3.710526315789474</v>
      </c>
      <c r="L68" s="184">
        <v>61119</v>
      </c>
      <c r="M68" s="162">
        <v>6035</v>
      </c>
      <c r="N68" s="84">
        <f>+L68/M68</f>
        <v>10.127423363711682</v>
      </c>
      <c r="O68" s="166"/>
    </row>
    <row r="69" spans="1:15" s="4" customFormat="1" ht="15">
      <c r="A69" s="38">
        <v>65</v>
      </c>
      <c r="B69" s="148" t="s">
        <v>183</v>
      </c>
      <c r="C69" s="32">
        <v>40074</v>
      </c>
      <c r="D69" s="33" t="s">
        <v>28</v>
      </c>
      <c r="E69" s="63">
        <v>7</v>
      </c>
      <c r="F69" s="63">
        <v>1</v>
      </c>
      <c r="G69" s="63">
        <v>11</v>
      </c>
      <c r="H69" s="183">
        <v>136</v>
      </c>
      <c r="I69" s="160">
        <v>34</v>
      </c>
      <c r="J69" s="161">
        <f>(I69/F69)</f>
        <v>34</v>
      </c>
      <c r="K69" s="83">
        <f t="shared" si="1"/>
        <v>4</v>
      </c>
      <c r="L69" s="184">
        <f>24901+4873+3754+4238+1794.5+1565+1393.5+1381.5+1482+240+136</f>
        <v>45758.5</v>
      </c>
      <c r="M69" s="162">
        <f>2240+626+482+732+293+342+244+327+247+37+34</f>
        <v>5604</v>
      </c>
      <c r="N69" s="84">
        <f>L69/M69</f>
        <v>8.165328336902213</v>
      </c>
      <c r="O69" s="166"/>
    </row>
    <row r="70" spans="1:15" s="4" customFormat="1" ht="15">
      <c r="A70" s="38">
        <v>66</v>
      </c>
      <c r="B70" s="148" t="s">
        <v>151</v>
      </c>
      <c r="C70" s="32">
        <v>39962</v>
      </c>
      <c r="D70" s="33" t="s">
        <v>28</v>
      </c>
      <c r="E70" s="63">
        <v>1</v>
      </c>
      <c r="F70" s="63">
        <v>1</v>
      </c>
      <c r="G70" s="63">
        <v>17</v>
      </c>
      <c r="H70" s="183">
        <v>51</v>
      </c>
      <c r="I70" s="160">
        <v>17</v>
      </c>
      <c r="J70" s="161">
        <f>(I70/F70)</f>
        <v>17</v>
      </c>
      <c r="K70" s="83">
        <f t="shared" si="1"/>
        <v>3</v>
      </c>
      <c r="L70" s="184">
        <f>2055+1340+750+709+604+925+1270+1220+776+981+343+858+383+597+2376+84+51</f>
        <v>15322</v>
      </c>
      <c r="M70" s="162">
        <f>411+268+150+85+70+118+161+152+99+144+47+143+48+95+594+20+17</f>
        <v>2622</v>
      </c>
      <c r="N70" s="84">
        <f>L70/M70</f>
        <v>5.843630816170862</v>
      </c>
      <c r="O70" s="166"/>
    </row>
    <row r="71" spans="1:15" s="4" customFormat="1" ht="15">
      <c r="A71" s="38">
        <v>67</v>
      </c>
      <c r="B71" s="148" t="s">
        <v>48</v>
      </c>
      <c r="C71" s="32">
        <v>40151</v>
      </c>
      <c r="D71" s="33" t="s">
        <v>28</v>
      </c>
      <c r="E71" s="63">
        <v>8</v>
      </c>
      <c r="F71" s="63">
        <v>1</v>
      </c>
      <c r="G71" s="63">
        <v>8</v>
      </c>
      <c r="H71" s="183">
        <v>45</v>
      </c>
      <c r="I71" s="160">
        <v>9</v>
      </c>
      <c r="J71" s="161">
        <f>(I71/F71)</f>
        <v>9</v>
      </c>
      <c r="K71" s="83">
        <f t="shared" si="1"/>
        <v>5</v>
      </c>
      <c r="L71" s="184">
        <f>69195.5+29540+2797+8009+1473.5+4958.5+4691.5+45</f>
        <v>120710</v>
      </c>
      <c r="M71" s="162">
        <f>5170+2208+292+904+296+693+949+9</f>
        <v>10521</v>
      </c>
      <c r="N71" s="84">
        <f>L71/M71</f>
        <v>11.473243988214048</v>
      </c>
      <c r="O71" s="166"/>
    </row>
    <row r="72" spans="1:15" s="4" customFormat="1" ht="15.75" thickBot="1">
      <c r="A72" s="38">
        <v>68</v>
      </c>
      <c r="B72" s="155" t="s">
        <v>54</v>
      </c>
      <c r="C72" s="121">
        <v>40172</v>
      </c>
      <c r="D72" s="190" t="s">
        <v>26</v>
      </c>
      <c r="E72" s="156">
        <v>40</v>
      </c>
      <c r="F72" s="156">
        <v>1</v>
      </c>
      <c r="G72" s="156">
        <v>5</v>
      </c>
      <c r="H72" s="191">
        <v>40</v>
      </c>
      <c r="I72" s="168">
        <v>8</v>
      </c>
      <c r="J72" s="169">
        <f>I72/F72</f>
        <v>8</v>
      </c>
      <c r="K72" s="170">
        <f t="shared" si="1"/>
        <v>5</v>
      </c>
      <c r="L72" s="192">
        <f>74576+15275+3431+38+5335+40</f>
        <v>98695</v>
      </c>
      <c r="M72" s="171">
        <f>7330+1524+499+4+870+8</f>
        <v>10235</v>
      </c>
      <c r="N72" s="172">
        <f>+L72/M72</f>
        <v>9.642892037127504</v>
      </c>
      <c r="O72" s="166"/>
    </row>
    <row r="73" spans="1:15" s="16" customFormat="1" ht="15">
      <c r="A73" s="353" t="s">
        <v>31</v>
      </c>
      <c r="B73" s="354"/>
      <c r="C73" s="15"/>
      <c r="D73" s="23"/>
      <c r="E73" s="66"/>
      <c r="F73" s="67"/>
      <c r="G73" s="66"/>
      <c r="H73" s="45">
        <f>SUM(H5:H72)</f>
        <v>13530011.5</v>
      </c>
      <c r="I73" s="50">
        <f>SUM(I5:I72)</f>
        <v>1470130</v>
      </c>
      <c r="J73" s="88"/>
      <c r="K73" s="89"/>
      <c r="L73" s="90"/>
      <c r="M73" s="91"/>
      <c r="N73" s="92"/>
      <c r="O73" s="54"/>
    </row>
    <row r="74" spans="1:15" s="4" customFormat="1" ht="13.5">
      <c r="A74" s="41"/>
      <c r="B74" s="58"/>
      <c r="C74" s="7"/>
      <c r="D74" s="10"/>
      <c r="E74" s="42"/>
      <c r="F74" s="42"/>
      <c r="G74" s="42"/>
      <c r="H74" s="46"/>
      <c r="I74" s="51"/>
      <c r="J74" s="93"/>
      <c r="K74" s="94"/>
      <c r="L74" s="95"/>
      <c r="M74" s="96"/>
      <c r="N74" s="94"/>
      <c r="O74" s="54"/>
    </row>
    <row r="75" spans="1:15" s="4" customFormat="1" ht="15">
      <c r="A75" s="41"/>
      <c r="B75" s="59"/>
      <c r="C75" s="20"/>
      <c r="D75" s="24"/>
      <c r="E75" s="68"/>
      <c r="F75" s="69"/>
      <c r="G75" s="42"/>
      <c r="H75" s="46"/>
      <c r="I75" s="51"/>
      <c r="J75" s="355" t="s">
        <v>29</v>
      </c>
      <c r="K75" s="356"/>
      <c r="L75" s="356"/>
      <c r="M75" s="356"/>
      <c r="N75" s="356"/>
      <c r="O75" s="54"/>
    </row>
    <row r="76" spans="1:15" s="4" customFormat="1" ht="15">
      <c r="A76" s="41"/>
      <c r="B76" s="59"/>
      <c r="C76" s="20"/>
      <c r="D76" s="24"/>
      <c r="E76" s="68"/>
      <c r="F76" s="42"/>
      <c r="G76" s="43"/>
      <c r="H76" s="46"/>
      <c r="I76" s="51"/>
      <c r="J76" s="356"/>
      <c r="K76" s="356"/>
      <c r="L76" s="356"/>
      <c r="M76" s="356"/>
      <c r="N76" s="356"/>
      <c r="O76" s="54"/>
    </row>
    <row r="77" spans="1:15" s="4" customFormat="1" ht="15">
      <c r="A77" s="41"/>
      <c r="B77" s="59"/>
      <c r="C77" s="20"/>
      <c r="D77" s="24"/>
      <c r="E77" s="68"/>
      <c r="F77" s="42"/>
      <c r="G77" s="43"/>
      <c r="H77" s="46"/>
      <c r="I77" s="51"/>
      <c r="J77" s="356"/>
      <c r="K77" s="356"/>
      <c r="L77" s="356"/>
      <c r="M77" s="356"/>
      <c r="N77" s="356"/>
      <c r="O77" s="54"/>
    </row>
    <row r="78" spans="1:15" s="4" customFormat="1" ht="15">
      <c r="A78" s="41"/>
      <c r="B78" s="59"/>
      <c r="C78" s="20"/>
      <c r="D78" s="24"/>
      <c r="E78" s="68"/>
      <c r="F78" s="42"/>
      <c r="G78" s="43"/>
      <c r="H78" s="46"/>
      <c r="I78" s="51"/>
      <c r="J78" s="357"/>
      <c r="K78" s="357"/>
      <c r="L78" s="357"/>
      <c r="M78" s="357"/>
      <c r="N78" s="357"/>
      <c r="O78" s="54"/>
    </row>
    <row r="79" spans="1:15" s="4" customFormat="1" ht="15">
      <c r="A79" s="41"/>
      <c r="B79" s="59"/>
      <c r="C79" s="20"/>
      <c r="D79" s="24"/>
      <c r="E79" s="68"/>
      <c r="F79" s="42"/>
      <c r="G79" s="350" t="s">
        <v>7</v>
      </c>
      <c r="H79" s="351"/>
      <c r="I79" s="351"/>
      <c r="J79" s="351"/>
      <c r="K79" s="351"/>
      <c r="L79" s="351"/>
      <c r="M79" s="351"/>
      <c r="N79" s="351"/>
      <c r="O79" s="54"/>
    </row>
    <row r="80" spans="1:15" s="12" customFormat="1" ht="15">
      <c r="A80" s="41"/>
      <c r="B80" s="59"/>
      <c r="C80" s="20"/>
      <c r="D80" s="24"/>
      <c r="E80" s="68"/>
      <c r="F80" s="70"/>
      <c r="G80" s="351"/>
      <c r="H80" s="351"/>
      <c r="I80" s="351"/>
      <c r="J80" s="351"/>
      <c r="K80" s="351"/>
      <c r="L80" s="351"/>
      <c r="M80" s="351"/>
      <c r="N80" s="351"/>
      <c r="O80" s="54"/>
    </row>
    <row r="81" spans="1:15" s="12" customFormat="1" ht="15">
      <c r="A81" s="41"/>
      <c r="B81" s="59"/>
      <c r="C81" s="20"/>
      <c r="D81" s="24"/>
      <c r="E81" s="68"/>
      <c r="F81" s="42"/>
      <c r="G81" s="351"/>
      <c r="H81" s="351"/>
      <c r="I81" s="351"/>
      <c r="J81" s="351"/>
      <c r="K81" s="351"/>
      <c r="L81" s="351"/>
      <c r="M81" s="351"/>
      <c r="N81" s="351"/>
      <c r="O81" s="54"/>
    </row>
    <row r="82" spans="1:15" s="12" customFormat="1" ht="15">
      <c r="A82" s="41"/>
      <c r="B82" s="59"/>
      <c r="C82" s="20"/>
      <c r="D82" s="24"/>
      <c r="E82" s="68"/>
      <c r="F82" s="42"/>
      <c r="G82" s="351"/>
      <c r="H82" s="351"/>
      <c r="I82" s="351"/>
      <c r="J82" s="351"/>
      <c r="K82" s="351"/>
      <c r="L82" s="351"/>
      <c r="M82" s="351"/>
      <c r="N82" s="351"/>
      <c r="O82" s="54"/>
    </row>
    <row r="83" spans="1:15" s="12" customFormat="1" ht="15">
      <c r="A83" s="41"/>
      <c r="B83" s="59"/>
      <c r="C83" s="20"/>
      <c r="D83" s="24"/>
      <c r="E83" s="68"/>
      <c r="F83" s="42"/>
      <c r="G83" s="351"/>
      <c r="H83" s="351"/>
      <c r="I83" s="351"/>
      <c r="J83" s="351"/>
      <c r="K83" s="351"/>
      <c r="L83" s="351"/>
      <c r="M83" s="351"/>
      <c r="N83" s="351"/>
      <c r="O83" s="54"/>
    </row>
    <row r="84" spans="1:15" s="12" customFormat="1" ht="15">
      <c r="A84" s="41"/>
      <c r="B84" s="59"/>
      <c r="C84" s="20"/>
      <c r="D84" s="24"/>
      <c r="E84" s="68"/>
      <c r="F84" s="42"/>
      <c r="G84" s="351"/>
      <c r="H84" s="351"/>
      <c r="I84" s="351"/>
      <c r="J84" s="351"/>
      <c r="K84" s="351"/>
      <c r="L84" s="351"/>
      <c r="M84" s="351"/>
      <c r="N84" s="351"/>
      <c r="O84" s="54"/>
    </row>
    <row r="85" spans="1:15" s="12" customFormat="1" ht="15">
      <c r="A85" s="41"/>
      <c r="B85" s="59"/>
      <c r="C85" s="20"/>
      <c r="D85" s="24"/>
      <c r="E85" s="68"/>
      <c r="F85" s="42"/>
      <c r="G85" s="352" t="s">
        <v>0</v>
      </c>
      <c r="H85" s="351"/>
      <c r="I85" s="351"/>
      <c r="J85" s="351"/>
      <c r="K85" s="351"/>
      <c r="L85" s="351"/>
      <c r="M85" s="351"/>
      <c r="N85" s="351"/>
      <c r="O85" s="54"/>
    </row>
    <row r="86" spans="1:15" s="12" customFormat="1" ht="15">
      <c r="A86" s="41"/>
      <c r="B86" s="59"/>
      <c r="C86" s="20"/>
      <c r="D86" s="24"/>
      <c r="E86" s="68"/>
      <c r="F86" s="42"/>
      <c r="G86" s="351"/>
      <c r="H86" s="351"/>
      <c r="I86" s="351"/>
      <c r="J86" s="351"/>
      <c r="K86" s="351"/>
      <c r="L86" s="351"/>
      <c r="M86" s="351"/>
      <c r="N86" s="351"/>
      <c r="O86" s="54"/>
    </row>
    <row r="87" spans="1:15" s="12" customFormat="1" ht="15">
      <c r="A87" s="41"/>
      <c r="B87" s="59"/>
      <c r="C87" s="20"/>
      <c r="D87" s="24"/>
      <c r="E87" s="68"/>
      <c r="F87" s="42"/>
      <c r="G87" s="351"/>
      <c r="H87" s="351"/>
      <c r="I87" s="351"/>
      <c r="J87" s="351"/>
      <c r="K87" s="351"/>
      <c r="L87" s="351"/>
      <c r="M87" s="351"/>
      <c r="N87" s="351"/>
      <c r="O87" s="54"/>
    </row>
    <row r="88" spans="1:15" s="12" customFormat="1" ht="15">
      <c r="A88" s="41"/>
      <c r="B88" s="59"/>
      <c r="C88" s="20"/>
      <c r="D88" s="24"/>
      <c r="E88" s="68"/>
      <c r="F88" s="42"/>
      <c r="G88" s="351"/>
      <c r="H88" s="351"/>
      <c r="I88" s="351"/>
      <c r="J88" s="351"/>
      <c r="K88" s="351"/>
      <c r="L88" s="351"/>
      <c r="M88" s="351"/>
      <c r="N88" s="351"/>
      <c r="O88" s="54"/>
    </row>
    <row r="89" spans="1:15" s="12" customFormat="1" ht="15">
      <c r="A89" s="41"/>
      <c r="B89" s="59"/>
      <c r="C89" s="20"/>
      <c r="D89" s="24"/>
      <c r="E89" s="68"/>
      <c r="F89" s="42"/>
      <c r="G89" s="351"/>
      <c r="H89" s="351"/>
      <c r="I89" s="351"/>
      <c r="J89" s="351"/>
      <c r="K89" s="351"/>
      <c r="L89" s="351"/>
      <c r="M89" s="351"/>
      <c r="N89" s="351"/>
      <c r="O89" s="54"/>
    </row>
    <row r="90" spans="1:15" s="12" customFormat="1" ht="15">
      <c r="A90" s="41"/>
      <c r="B90" s="60"/>
      <c r="C90" s="17"/>
      <c r="D90" s="25"/>
      <c r="E90" s="71"/>
      <c r="F90" s="42"/>
      <c r="G90" s="351"/>
      <c r="H90" s="351"/>
      <c r="I90" s="351"/>
      <c r="J90" s="351"/>
      <c r="K90" s="351"/>
      <c r="L90" s="351"/>
      <c r="M90" s="351"/>
      <c r="N90" s="351"/>
      <c r="O90" s="54"/>
    </row>
    <row r="91" spans="1:15" s="12" customFormat="1" ht="15">
      <c r="A91" s="41"/>
      <c r="B91" s="60"/>
      <c r="C91" s="17"/>
      <c r="D91" s="25"/>
      <c r="E91" s="71"/>
      <c r="F91" s="42"/>
      <c r="G91" s="351"/>
      <c r="H91" s="351"/>
      <c r="I91" s="351"/>
      <c r="J91" s="351"/>
      <c r="K91" s="351"/>
      <c r="L91" s="351"/>
      <c r="M91" s="351"/>
      <c r="N91" s="351"/>
      <c r="O91" s="54"/>
    </row>
    <row r="92" spans="1:15" s="12" customFormat="1" ht="15">
      <c r="A92" s="41"/>
      <c r="B92" s="60"/>
      <c r="C92" s="17"/>
      <c r="D92" s="25"/>
      <c r="E92" s="71"/>
      <c r="F92" s="42"/>
      <c r="G92" s="71"/>
      <c r="H92" s="47"/>
      <c r="I92" s="52"/>
      <c r="J92" s="97"/>
      <c r="K92" s="98"/>
      <c r="L92" s="99"/>
      <c r="M92" s="100"/>
      <c r="N92" s="98"/>
      <c r="O92" s="54"/>
    </row>
    <row r="93" spans="1:15" s="12" customFormat="1" ht="15">
      <c r="A93" s="41"/>
      <c r="B93" s="60"/>
      <c r="C93" s="17"/>
      <c r="D93" s="25"/>
      <c r="E93" s="71"/>
      <c r="F93" s="42"/>
      <c r="G93" s="71"/>
      <c r="H93" s="47"/>
      <c r="I93" s="52"/>
      <c r="J93" s="97"/>
      <c r="K93" s="98"/>
      <c r="L93" s="99"/>
      <c r="M93" s="100"/>
      <c r="N93" s="98"/>
      <c r="O93" s="54"/>
    </row>
    <row r="94" spans="2:5" ht="18">
      <c r="B94" s="60"/>
      <c r="C94" s="17"/>
      <c r="D94" s="25"/>
      <c r="E94" s="71"/>
    </row>
    <row r="95" spans="2:5" ht="18">
      <c r="B95" s="60"/>
      <c r="C95" s="17"/>
      <c r="D95" s="25"/>
      <c r="E95" s="71"/>
    </row>
    <row r="96" spans="2:14" ht="18">
      <c r="B96" s="60"/>
      <c r="C96" s="17"/>
      <c r="D96" s="25"/>
      <c r="E96" s="71"/>
      <c r="F96" s="71"/>
      <c r="G96" s="71"/>
      <c r="H96" s="47"/>
      <c r="I96" s="52"/>
      <c r="J96" s="97"/>
      <c r="K96" s="98"/>
      <c r="L96" s="99"/>
      <c r="M96" s="100"/>
      <c r="N96" s="98"/>
    </row>
    <row r="97" spans="2:14" ht="18">
      <c r="B97" s="60"/>
      <c r="C97" s="17"/>
      <c r="D97" s="25"/>
      <c r="E97" s="71"/>
      <c r="F97" s="71"/>
      <c r="G97" s="71"/>
      <c r="H97" s="47"/>
      <c r="I97" s="52"/>
      <c r="J97" s="97"/>
      <c r="K97" s="98"/>
      <c r="L97" s="99"/>
      <c r="M97" s="100"/>
      <c r="N97" s="98"/>
    </row>
    <row r="98" spans="2:14" ht="18">
      <c r="B98" s="60"/>
      <c r="C98" s="17"/>
      <c r="D98" s="25"/>
      <c r="E98" s="71"/>
      <c r="F98" s="71"/>
      <c r="G98" s="71"/>
      <c r="H98" s="47"/>
      <c r="I98" s="52"/>
      <c r="J98" s="97"/>
      <c r="K98" s="98"/>
      <c r="L98" s="99"/>
      <c r="M98" s="100"/>
      <c r="N98" s="98"/>
    </row>
    <row r="99" spans="2:14" ht="18">
      <c r="B99" s="60"/>
      <c r="C99" s="17"/>
      <c r="D99" s="25"/>
      <c r="E99" s="71"/>
      <c r="F99" s="71"/>
      <c r="G99" s="71"/>
      <c r="H99" s="47"/>
      <c r="I99" s="52"/>
      <c r="J99" s="97"/>
      <c r="K99" s="98"/>
      <c r="L99" s="99"/>
      <c r="M99" s="100"/>
      <c r="N99" s="98"/>
    </row>
    <row r="100" spans="2:14" ht="18">
      <c r="B100" s="60"/>
      <c r="C100" s="17"/>
      <c r="D100" s="25"/>
      <c r="E100" s="71"/>
      <c r="F100" s="71"/>
      <c r="G100" s="71"/>
      <c r="H100" s="47"/>
      <c r="I100" s="52"/>
      <c r="J100" s="97"/>
      <c r="K100" s="98"/>
      <c r="L100" s="99"/>
      <c r="M100" s="100"/>
      <c r="N100" s="98"/>
    </row>
    <row r="101" spans="2:14" ht="18">
      <c r="B101" s="60"/>
      <c r="C101" s="17"/>
      <c r="D101" s="25"/>
      <c r="E101" s="71"/>
      <c r="F101" s="71"/>
      <c r="G101" s="71"/>
      <c r="H101" s="47"/>
      <c r="I101" s="52"/>
      <c r="J101" s="97"/>
      <c r="K101" s="98"/>
      <c r="L101" s="99"/>
      <c r="M101" s="100"/>
      <c r="N101" s="98"/>
    </row>
    <row r="102" spans="2:14" ht="18">
      <c r="B102" s="60"/>
      <c r="C102" s="17"/>
      <c r="D102" s="25"/>
      <c r="E102" s="71"/>
      <c r="F102" s="71"/>
      <c r="G102" s="71"/>
      <c r="H102" s="47"/>
      <c r="I102" s="52"/>
      <c r="J102" s="97"/>
      <c r="K102" s="98"/>
      <c r="L102" s="99"/>
      <c r="M102" s="100"/>
      <c r="N102" s="98"/>
    </row>
    <row r="103" spans="2:14" ht="18">
      <c r="B103" s="60"/>
      <c r="C103" s="17"/>
      <c r="D103" s="25"/>
      <c r="E103" s="71"/>
      <c r="F103" s="71"/>
      <c r="G103" s="71"/>
      <c r="H103" s="47"/>
      <c r="I103" s="52"/>
      <c r="J103" s="97"/>
      <c r="K103" s="98"/>
      <c r="L103" s="99"/>
      <c r="M103" s="100"/>
      <c r="N103" s="98"/>
    </row>
    <row r="104" spans="6:14" ht="22.5">
      <c r="F104" s="71"/>
      <c r="G104" s="71"/>
      <c r="H104" s="47"/>
      <c r="I104" s="52"/>
      <c r="J104" s="97"/>
      <c r="K104" s="98"/>
      <c r="L104" s="99"/>
      <c r="M104" s="100"/>
      <c r="N104" s="98"/>
    </row>
    <row r="105" spans="6:14" ht="22.5">
      <c r="F105" s="71"/>
      <c r="G105" s="71"/>
      <c r="H105" s="47"/>
      <c r="I105" s="52"/>
      <c r="J105" s="97"/>
      <c r="K105" s="98"/>
      <c r="L105" s="99"/>
      <c r="M105" s="100"/>
      <c r="N105" s="98"/>
    </row>
    <row r="106" spans="6:14" ht="22.5">
      <c r="F106" s="71"/>
      <c r="G106" s="71"/>
      <c r="H106" s="47"/>
      <c r="I106" s="52"/>
      <c r="J106" s="97"/>
      <c r="K106" s="98"/>
      <c r="L106" s="99"/>
      <c r="M106" s="100"/>
      <c r="N106" s="98"/>
    </row>
    <row r="107" spans="6:14" ht="22.5">
      <c r="F107" s="71"/>
      <c r="G107" s="71"/>
      <c r="H107" s="47"/>
      <c r="I107" s="52"/>
      <c r="J107" s="97"/>
      <c r="K107" s="98"/>
      <c r="L107" s="99"/>
      <c r="M107" s="100"/>
      <c r="N107" s="98"/>
    </row>
    <row r="108" spans="6:14" ht="22.5">
      <c r="F108" s="71"/>
      <c r="G108" s="71"/>
      <c r="H108" s="47"/>
      <c r="I108" s="52"/>
      <c r="J108" s="97"/>
      <c r="K108" s="98"/>
      <c r="L108" s="99"/>
      <c r="M108" s="100"/>
      <c r="N108" s="98"/>
    </row>
    <row r="109" spans="6:14" ht="22.5">
      <c r="F109" s="71"/>
      <c r="G109" s="71"/>
      <c r="H109" s="47"/>
      <c r="I109" s="52"/>
      <c r="J109" s="97"/>
      <c r="K109" s="98"/>
      <c r="L109" s="99"/>
      <c r="M109" s="100"/>
      <c r="N109" s="98"/>
    </row>
  </sheetData>
  <sheetProtection insertRows="0" deleteRows="0" sort="0"/>
  <mergeCells count="14">
    <mergeCell ref="G79:N84"/>
    <mergeCell ref="G85:N91"/>
    <mergeCell ref="A73:B73"/>
    <mergeCell ref="J75:N77"/>
    <mergeCell ref="J78:N78"/>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G73:G77 H74:I77 K38:K39 P8:P9 P7 K6 L39:M39 N7:O9 L6:M6 J37 N6:O6 N42:O44 P6 N37:O37 P10:P30 N10:O36 K37 K7:K9 J7:J9 N38:O41 J78:N84 H78:I84 G78:G84 J73:N77 O45:P77 N45:N72" formula="1"/>
    <ignoredError sqref="J40:J41 H40:I72 H10" unlockedFormula="1"/>
    <ignoredError sqref="J10:J36 K10:K36 L10:M36 L37:M37 L7:M9 L38:M38 M42:M44 M40:M41 L42:L44 L40:L41 K42:K44 K40:K41 J42:J44 L72:M72 J71:J72 K71:K72 M45:M70 L71 M71 L45:L70 J45:J70 K45:K70" formula="1" unlockedFormula="1"/>
  </ignoredErrors>
  <drawing r:id="rId1"/>
</worksheet>
</file>

<file path=xl/worksheets/sheet2.xml><?xml version="1.0" encoding="utf-8"?>
<worksheet xmlns="http://schemas.openxmlformats.org/spreadsheetml/2006/main" xmlns:r="http://schemas.openxmlformats.org/officeDocument/2006/relationships">
  <dimension ref="A1:O25"/>
  <sheetViews>
    <sheetView zoomScale="120" zoomScaleNormal="120" zoomScalePageLayoutView="0" workbookViewId="0" topLeftCell="A1">
      <selection activeCell="D34" sqref="D34"/>
    </sheetView>
  </sheetViews>
  <sheetFormatPr defaultColWidth="17.421875" defaultRowHeight="12.75"/>
  <cols>
    <col min="1" max="1" width="4.140625" style="122" bestFit="1" customWidth="1"/>
    <col min="2" max="2" width="50.8515625" style="14" bestFit="1" customWidth="1"/>
    <col min="3" max="3" width="8.8515625" style="128" customWidth="1"/>
    <col min="4" max="4" width="17.00390625" style="128" bestFit="1" customWidth="1"/>
    <col min="5" max="5" width="6.28125" style="129" bestFit="1" customWidth="1"/>
    <col min="6" max="6" width="10.00390625" style="129" customWidth="1"/>
    <col min="7" max="7" width="17.8515625" style="125" bestFit="1" customWidth="1"/>
    <col min="8" max="8" width="12.7109375" style="126" bestFit="1" customWidth="1"/>
    <col min="9" max="9" width="11.00390625" style="127" customWidth="1"/>
    <col min="10" max="10" width="2.421875" style="31" bestFit="1" customWidth="1"/>
    <col min="11" max="11" width="17.421875" style="18" customWidth="1"/>
    <col min="12" max="12" width="17.421875" style="19" customWidth="1"/>
    <col min="13" max="13" width="17.421875" style="18" customWidth="1"/>
    <col min="14" max="15" width="17.421875" style="0" customWidth="1"/>
    <col min="16" max="16384" width="17.421875" style="14" customWidth="1"/>
  </cols>
  <sheetData>
    <row r="1" spans="1:13" s="29" customFormat="1" ht="36.75" customHeight="1" thickBot="1">
      <c r="A1" s="358" t="s">
        <v>160</v>
      </c>
      <c r="B1" s="358"/>
      <c r="C1" s="358"/>
      <c r="D1" s="358"/>
      <c r="E1" s="358"/>
      <c r="F1" s="358"/>
      <c r="G1" s="358"/>
      <c r="H1" s="358"/>
      <c r="I1" s="358"/>
      <c r="J1" s="30"/>
      <c r="K1" s="27"/>
      <c r="L1" s="28"/>
      <c r="M1" s="27"/>
    </row>
    <row r="2" spans="1:15" s="131" customFormat="1" ht="13.5" thickBot="1">
      <c r="A2" s="130"/>
      <c r="C2" s="140"/>
      <c r="D2" s="140"/>
      <c r="E2" s="140"/>
      <c r="F2" s="140"/>
      <c r="G2" s="132"/>
      <c r="H2" s="133"/>
      <c r="I2" s="134"/>
      <c r="J2" s="135"/>
      <c r="K2" s="136"/>
      <c r="L2" s="137"/>
      <c r="M2" s="136"/>
      <c r="N2" s="56"/>
      <c r="O2" s="56"/>
    </row>
    <row r="3" spans="1:13" s="144" customFormat="1" ht="12.75">
      <c r="A3" s="138"/>
      <c r="B3" s="359" t="s">
        <v>2</v>
      </c>
      <c r="C3" s="361" t="s">
        <v>9</v>
      </c>
      <c r="D3" s="361" t="s">
        <v>13</v>
      </c>
      <c r="E3" s="342" t="s">
        <v>15</v>
      </c>
      <c r="F3" s="342" t="s">
        <v>10</v>
      </c>
      <c r="G3" s="364" t="s">
        <v>17</v>
      </c>
      <c r="H3" s="365"/>
      <c r="I3" s="366" t="s">
        <v>11</v>
      </c>
      <c r="J3" s="141"/>
      <c r="K3" s="142"/>
      <c r="L3" s="143"/>
      <c r="M3" s="142"/>
    </row>
    <row r="4" spans="1:13" s="144" customFormat="1" ht="13.5" thickBot="1">
      <c r="A4" s="139"/>
      <c r="B4" s="360"/>
      <c r="C4" s="362"/>
      <c r="D4" s="362"/>
      <c r="E4" s="363"/>
      <c r="F4" s="363"/>
      <c r="G4" s="145" t="s">
        <v>6</v>
      </c>
      <c r="H4" s="146" t="s">
        <v>1</v>
      </c>
      <c r="I4" s="367"/>
      <c r="J4" s="141"/>
      <c r="K4" s="142"/>
      <c r="L4" s="143"/>
      <c r="M4" s="142"/>
    </row>
    <row r="5" spans="1:13" s="13" customFormat="1" ht="15">
      <c r="A5" s="123">
        <v>1</v>
      </c>
      <c r="B5" s="147" t="s">
        <v>164</v>
      </c>
      <c r="C5" s="103">
        <v>40179</v>
      </c>
      <c r="D5" s="329" t="s">
        <v>27</v>
      </c>
      <c r="E5" s="112">
        <v>370</v>
      </c>
      <c r="F5" s="112">
        <v>4</v>
      </c>
      <c r="G5" s="187">
        <v>19349544</v>
      </c>
      <c r="H5" s="176">
        <v>2137949</v>
      </c>
      <c r="I5" s="177">
        <f>+G5/H5</f>
        <v>9.050517107751402</v>
      </c>
      <c r="J5" s="166">
        <v>1</v>
      </c>
      <c r="K5" s="21"/>
      <c r="L5" s="22"/>
      <c r="M5" s="21"/>
    </row>
    <row r="6" spans="1:13" s="13" customFormat="1" ht="15">
      <c r="A6" s="123">
        <v>2</v>
      </c>
      <c r="B6" s="148" t="s">
        <v>184</v>
      </c>
      <c r="C6" s="32">
        <v>40200</v>
      </c>
      <c r="D6" s="35" t="s">
        <v>41</v>
      </c>
      <c r="E6" s="63">
        <v>203</v>
      </c>
      <c r="F6" s="63">
        <v>1</v>
      </c>
      <c r="G6" s="179">
        <f>3369134.75</f>
        <v>3369134.75</v>
      </c>
      <c r="H6" s="163">
        <f>390331</f>
        <v>390331</v>
      </c>
      <c r="I6" s="84">
        <f>+G6/H6</f>
        <v>8.631481358129383</v>
      </c>
      <c r="J6" s="166">
        <v>1</v>
      </c>
      <c r="K6" s="21"/>
      <c r="L6" s="22"/>
      <c r="M6" s="21"/>
    </row>
    <row r="7" spans="1:13" s="13" customFormat="1" ht="15.75" thickBot="1">
      <c r="A7" s="124">
        <v>3</v>
      </c>
      <c r="B7" s="332" t="s">
        <v>185</v>
      </c>
      <c r="C7" s="36">
        <v>40200</v>
      </c>
      <c r="D7" s="333" t="s">
        <v>27</v>
      </c>
      <c r="E7" s="64">
        <v>227</v>
      </c>
      <c r="F7" s="64">
        <v>1</v>
      </c>
      <c r="G7" s="334">
        <v>2978635</v>
      </c>
      <c r="H7" s="335">
        <v>324425</v>
      </c>
      <c r="I7" s="336">
        <f>+G7/H7</f>
        <v>9.181274562687832</v>
      </c>
      <c r="J7" s="166">
        <v>1</v>
      </c>
      <c r="K7" s="21"/>
      <c r="L7" s="22"/>
      <c r="M7" s="21"/>
    </row>
    <row r="8" spans="1:10" ht="15">
      <c r="A8" s="123">
        <v>4</v>
      </c>
      <c r="B8" s="158" t="s">
        <v>156</v>
      </c>
      <c r="C8" s="120">
        <v>40193</v>
      </c>
      <c r="D8" s="327" t="s">
        <v>26</v>
      </c>
      <c r="E8" s="159">
        <v>83</v>
      </c>
      <c r="F8" s="159">
        <v>2</v>
      </c>
      <c r="G8" s="328">
        <f>1293506+726298-465</f>
        <v>2019339</v>
      </c>
      <c r="H8" s="178">
        <f>119281+67607-99</f>
        <v>186789</v>
      </c>
      <c r="I8" s="85">
        <f>+G8/H8</f>
        <v>10.81080256332011</v>
      </c>
      <c r="J8" s="166"/>
    </row>
    <row r="9" spans="1:10" ht="15">
      <c r="A9" s="123">
        <v>5</v>
      </c>
      <c r="B9" s="148" t="s">
        <v>55</v>
      </c>
      <c r="C9" s="32">
        <v>40537</v>
      </c>
      <c r="D9" s="33" t="s">
        <v>28</v>
      </c>
      <c r="E9" s="63">
        <v>60</v>
      </c>
      <c r="F9" s="63">
        <v>5</v>
      </c>
      <c r="G9" s="183">
        <f>421775.5+397095.5+287050+215248.5+189819.5</f>
        <v>1510989</v>
      </c>
      <c r="H9" s="160">
        <f>43739+40732+31780+27356+25902</f>
        <v>169509</v>
      </c>
      <c r="I9" s="84">
        <f>G9/H9</f>
        <v>8.913916075252642</v>
      </c>
      <c r="J9" s="166"/>
    </row>
    <row r="10" spans="1:10" ht="15">
      <c r="A10" s="123">
        <v>6</v>
      </c>
      <c r="B10" s="148" t="s">
        <v>157</v>
      </c>
      <c r="C10" s="32">
        <v>40193</v>
      </c>
      <c r="D10" s="33" t="s">
        <v>30</v>
      </c>
      <c r="E10" s="63">
        <v>86</v>
      </c>
      <c r="F10" s="63">
        <v>2</v>
      </c>
      <c r="G10" s="183">
        <v>1371164.5</v>
      </c>
      <c r="H10" s="160">
        <v>144337</v>
      </c>
      <c r="I10" s="84">
        <f>IF(G10&lt;&gt;0,G10/H10,"")</f>
        <v>9.499743655472956</v>
      </c>
      <c r="J10" s="166"/>
    </row>
    <row r="11" spans="1:10" ht="15">
      <c r="A11" s="123">
        <v>7</v>
      </c>
      <c r="B11" s="150" t="s">
        <v>186</v>
      </c>
      <c r="C11" s="32">
        <v>40200</v>
      </c>
      <c r="D11" s="181" t="s">
        <v>27</v>
      </c>
      <c r="E11" s="63">
        <v>95</v>
      </c>
      <c r="F11" s="63">
        <v>1</v>
      </c>
      <c r="G11" s="179">
        <v>796963</v>
      </c>
      <c r="H11" s="163">
        <v>84733</v>
      </c>
      <c r="I11" s="87">
        <f>+G11/H11</f>
        <v>9.405579880329977</v>
      </c>
      <c r="J11" s="166"/>
    </row>
    <row r="12" spans="1:10" ht="15">
      <c r="A12" s="123">
        <v>8</v>
      </c>
      <c r="B12" s="148" t="s">
        <v>79</v>
      </c>
      <c r="C12" s="32">
        <v>40179</v>
      </c>
      <c r="D12" s="33" t="s">
        <v>28</v>
      </c>
      <c r="E12" s="63">
        <v>42</v>
      </c>
      <c r="F12" s="63">
        <v>4</v>
      </c>
      <c r="G12" s="183">
        <f>310442.5+275157.5+119153+26271.5</f>
        <v>731024.5</v>
      </c>
      <c r="H12" s="160">
        <f>26771+24068+11328+2954</f>
        <v>65121</v>
      </c>
      <c r="I12" s="84">
        <f>G12/H12</f>
        <v>11.22563382011947</v>
      </c>
      <c r="J12" s="166"/>
    </row>
    <row r="13" spans="1:10" ht="15">
      <c r="A13" s="123">
        <v>9</v>
      </c>
      <c r="B13" s="150" t="s">
        <v>158</v>
      </c>
      <c r="C13" s="32">
        <v>40193</v>
      </c>
      <c r="D13" s="181" t="s">
        <v>27</v>
      </c>
      <c r="E13" s="63">
        <v>40</v>
      </c>
      <c r="F13" s="63">
        <v>2</v>
      </c>
      <c r="G13" s="326">
        <v>540573</v>
      </c>
      <c r="H13" s="163">
        <v>45823</v>
      </c>
      <c r="I13" s="87">
        <f>+G13/H13</f>
        <v>11.796979682692099</v>
      </c>
      <c r="J13" s="166"/>
    </row>
    <row r="14" spans="1:10" ht="15">
      <c r="A14" s="123">
        <v>10</v>
      </c>
      <c r="B14" s="149" t="s">
        <v>80</v>
      </c>
      <c r="C14" s="34">
        <v>40179</v>
      </c>
      <c r="D14" s="35" t="s">
        <v>26</v>
      </c>
      <c r="E14" s="65">
        <v>60</v>
      </c>
      <c r="F14" s="65">
        <v>4</v>
      </c>
      <c r="G14" s="183">
        <f>242167+187163+154+31917+2697-144</f>
        <v>463954</v>
      </c>
      <c r="H14" s="160">
        <f>21845+17511+18+4295+448-25</f>
        <v>44092</v>
      </c>
      <c r="I14" s="84">
        <f>+G14/H14</f>
        <v>10.522407693005533</v>
      </c>
      <c r="J14" s="166"/>
    </row>
    <row r="15" spans="1:10" ht="15">
      <c r="A15" s="123">
        <v>11</v>
      </c>
      <c r="B15" s="148" t="s">
        <v>167</v>
      </c>
      <c r="C15" s="32">
        <v>40193</v>
      </c>
      <c r="D15" s="33" t="s">
        <v>30</v>
      </c>
      <c r="E15" s="63">
        <v>124</v>
      </c>
      <c r="F15" s="63">
        <v>2</v>
      </c>
      <c r="G15" s="183">
        <v>409067.75</v>
      </c>
      <c r="H15" s="160">
        <v>49465</v>
      </c>
      <c r="I15" s="84">
        <f>IF(G15&lt;&gt;0,G15/H15,"")</f>
        <v>8.269842312746386</v>
      </c>
      <c r="J15" s="166">
        <v>1</v>
      </c>
    </row>
    <row r="16" spans="1:10" ht="15">
      <c r="A16" s="123">
        <v>12</v>
      </c>
      <c r="B16" s="148" t="s">
        <v>159</v>
      </c>
      <c r="C16" s="32">
        <v>40193</v>
      </c>
      <c r="D16" s="33" t="s">
        <v>28</v>
      </c>
      <c r="E16" s="63">
        <v>55</v>
      </c>
      <c r="F16" s="63">
        <v>2</v>
      </c>
      <c r="G16" s="183">
        <f>197266+158498</f>
        <v>355764</v>
      </c>
      <c r="H16" s="160">
        <f>19567+17056</f>
        <v>36623</v>
      </c>
      <c r="I16" s="84">
        <f>G16/H16</f>
        <v>9.714223302296372</v>
      </c>
      <c r="J16" s="166"/>
    </row>
    <row r="17" spans="1:10" ht="15">
      <c r="A17" s="123">
        <v>13</v>
      </c>
      <c r="B17" s="149" t="s">
        <v>187</v>
      </c>
      <c r="C17" s="34">
        <v>40200</v>
      </c>
      <c r="D17" s="35" t="s">
        <v>26</v>
      </c>
      <c r="E17" s="65">
        <v>50</v>
      </c>
      <c r="F17" s="65">
        <v>1</v>
      </c>
      <c r="G17" s="183">
        <v>264574</v>
      </c>
      <c r="H17" s="160">
        <v>23255</v>
      </c>
      <c r="I17" s="84">
        <f>+G17/H17</f>
        <v>11.377080197806924</v>
      </c>
      <c r="J17" s="166"/>
    </row>
    <row r="18" spans="1:10" ht="15">
      <c r="A18" s="123">
        <v>14</v>
      </c>
      <c r="B18" s="158" t="s">
        <v>123</v>
      </c>
      <c r="C18" s="120">
        <v>40186</v>
      </c>
      <c r="D18" s="327" t="s">
        <v>26</v>
      </c>
      <c r="E18" s="159">
        <v>59</v>
      </c>
      <c r="F18" s="159">
        <v>3</v>
      </c>
      <c r="G18" s="328">
        <f>177508+75427+2875-74</f>
        <v>255736</v>
      </c>
      <c r="H18" s="178">
        <f>17102+7505+404-23</f>
        <v>24988</v>
      </c>
      <c r="I18" s="85">
        <f>+G18/H18</f>
        <v>10.234352489194814</v>
      </c>
      <c r="J18" s="166"/>
    </row>
    <row r="19" spans="1:10" ht="15">
      <c r="A19" s="123">
        <v>15</v>
      </c>
      <c r="B19" s="149" t="s">
        <v>155</v>
      </c>
      <c r="C19" s="34">
        <v>40186</v>
      </c>
      <c r="D19" s="35" t="s">
        <v>81</v>
      </c>
      <c r="E19" s="65">
        <v>19</v>
      </c>
      <c r="F19" s="65">
        <v>3</v>
      </c>
      <c r="G19" s="183">
        <v>211824</v>
      </c>
      <c r="H19" s="160">
        <v>17229</v>
      </c>
      <c r="I19" s="84">
        <f>+G19/H19</f>
        <v>12.294619536827442</v>
      </c>
      <c r="J19" s="166"/>
    </row>
    <row r="20" spans="1:10" ht="15">
      <c r="A20" s="123">
        <v>16</v>
      </c>
      <c r="B20" s="148" t="s">
        <v>112</v>
      </c>
      <c r="C20" s="32">
        <v>40193</v>
      </c>
      <c r="D20" s="33" t="s">
        <v>28</v>
      </c>
      <c r="E20" s="63">
        <v>17</v>
      </c>
      <c r="F20" s="63">
        <v>2</v>
      </c>
      <c r="G20" s="183">
        <f>1080+95415+33267.75</f>
        <v>129762.75</v>
      </c>
      <c r="H20" s="160">
        <f>108+7515+2837</f>
        <v>10460</v>
      </c>
      <c r="I20" s="84">
        <f>G20/H20</f>
        <v>12.405616634799236</v>
      </c>
      <c r="J20" s="166"/>
    </row>
    <row r="21" spans="1:10" ht="15">
      <c r="A21" s="123">
        <v>17</v>
      </c>
      <c r="B21" s="148" t="s">
        <v>87</v>
      </c>
      <c r="C21" s="32">
        <v>40179</v>
      </c>
      <c r="D21" s="33" t="s">
        <v>28</v>
      </c>
      <c r="E21" s="63">
        <v>8</v>
      </c>
      <c r="F21" s="63">
        <v>4</v>
      </c>
      <c r="G21" s="183">
        <f>61026+19560+4475+1071</f>
        <v>86132</v>
      </c>
      <c r="H21" s="160">
        <f>4540+1674+518+171</f>
        <v>6903</v>
      </c>
      <c r="I21" s="84">
        <f>G21/H21</f>
        <v>12.477473562219325</v>
      </c>
      <c r="J21" s="166"/>
    </row>
    <row r="22" spans="1:10" ht="15">
      <c r="A22" s="123">
        <v>18</v>
      </c>
      <c r="B22" s="148" t="s">
        <v>131</v>
      </c>
      <c r="C22" s="32">
        <v>40186</v>
      </c>
      <c r="D22" s="33" t="s">
        <v>28</v>
      </c>
      <c r="E22" s="63">
        <v>1</v>
      </c>
      <c r="F22" s="63">
        <v>3</v>
      </c>
      <c r="G22" s="183">
        <f>9061+11823.5+5543+523</f>
        <v>26950.5</v>
      </c>
      <c r="H22" s="160">
        <f>906+798+439+43</f>
        <v>2186</v>
      </c>
      <c r="I22" s="84">
        <f>G22/H22</f>
        <v>12.32868252516011</v>
      </c>
      <c r="J22" s="166"/>
    </row>
    <row r="23" spans="1:10" ht="15">
      <c r="A23" s="123">
        <v>19</v>
      </c>
      <c r="B23" s="148" t="s">
        <v>130</v>
      </c>
      <c r="C23" s="32">
        <v>40186</v>
      </c>
      <c r="D23" s="33" t="s">
        <v>28</v>
      </c>
      <c r="E23" s="63">
        <v>4</v>
      </c>
      <c r="F23" s="63">
        <v>3</v>
      </c>
      <c r="G23" s="183">
        <f>19677.25+6138.5+538</f>
        <v>26353.75</v>
      </c>
      <c r="H23" s="160">
        <f>1627+845+84</f>
        <v>2556</v>
      </c>
      <c r="I23" s="84">
        <f>G23/H23</f>
        <v>10.310543818466353</v>
      </c>
      <c r="J23" s="166"/>
    </row>
    <row r="24" spans="1:10" ht="15">
      <c r="A24" s="123">
        <v>20</v>
      </c>
      <c r="B24" s="150" t="s">
        <v>174</v>
      </c>
      <c r="C24" s="32">
        <v>40193</v>
      </c>
      <c r="D24" s="181" t="s">
        <v>27</v>
      </c>
      <c r="E24" s="63">
        <v>35</v>
      </c>
      <c r="F24" s="63">
        <v>2</v>
      </c>
      <c r="G24" s="179">
        <v>21159</v>
      </c>
      <c r="H24" s="163">
        <v>2190</v>
      </c>
      <c r="I24" s="87">
        <f>+G24/H24</f>
        <v>9.661643835616438</v>
      </c>
      <c r="J24" s="166">
        <v>1</v>
      </c>
    </row>
    <row r="25" spans="1:10" ht="15.75" thickBot="1">
      <c r="A25" s="123">
        <v>21</v>
      </c>
      <c r="B25" s="151" t="s">
        <v>135</v>
      </c>
      <c r="C25" s="36">
        <v>40186</v>
      </c>
      <c r="D25" s="203" t="s">
        <v>28</v>
      </c>
      <c r="E25" s="64">
        <v>4</v>
      </c>
      <c r="F25" s="64">
        <v>3</v>
      </c>
      <c r="G25" s="191">
        <f>16093+2026+1632</f>
        <v>19751</v>
      </c>
      <c r="H25" s="168">
        <f>1351+257+325</f>
        <v>1933</v>
      </c>
      <c r="I25" s="172">
        <f>G25/H25</f>
        <v>10.21779617175375</v>
      </c>
      <c r="J25" s="166"/>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r:id="rId1"/>
  <ignoredErrors>
    <ignoredError sqref="K7 G25:H25 G8:H24 I8:I11" unlockedFormula="1"/>
    <ignoredError sqref="I12:I24" formula="1" unlockedFormula="1"/>
  </ignoredErrors>
</worksheet>
</file>

<file path=xl/worksheets/sheet3.xml><?xml version="1.0" encoding="utf-8"?>
<worksheet xmlns="http://schemas.openxmlformats.org/spreadsheetml/2006/main" xmlns:r="http://schemas.openxmlformats.org/officeDocument/2006/relationships">
  <dimension ref="A1:T211"/>
  <sheetViews>
    <sheetView zoomScale="90" zoomScaleNormal="90" zoomScalePageLayoutView="0" workbookViewId="0" topLeftCell="A1">
      <selection activeCell="B2" sqref="B2:B3"/>
    </sheetView>
  </sheetViews>
  <sheetFormatPr defaultColWidth="4.00390625" defaultRowHeight="12.75"/>
  <cols>
    <col min="1" max="1" width="5.140625" style="108" bestFit="1" customWidth="1"/>
    <col min="2" max="2" width="65.57421875" style="59" bestFit="1" customWidth="1"/>
    <col min="3" max="3" width="7.00390625" style="104" bestFit="1" customWidth="1"/>
    <col min="4" max="4" width="13.7109375" style="56" bestFit="1" customWidth="1"/>
    <col min="5" max="5" width="5.7109375" style="113" bestFit="1" customWidth="1"/>
    <col min="6" max="6" width="6.28125" style="114" bestFit="1" customWidth="1"/>
    <col min="7" max="7" width="8.57421875" style="68" customWidth="1"/>
    <col min="8" max="8" width="15.28125" style="105" bestFit="1" customWidth="1"/>
    <col min="9" max="9" width="9.7109375" style="106" customWidth="1"/>
    <col min="10" max="10" width="10.00390625" style="117" bestFit="1" customWidth="1"/>
    <col min="11" max="11" width="6.140625" style="118" bestFit="1" customWidth="1"/>
    <col min="12" max="12" width="14.421875" style="119" bestFit="1" customWidth="1"/>
    <col min="13" max="13" width="10.28125" style="117" bestFit="1" customWidth="1"/>
    <col min="14" max="14" width="6.140625" style="118" bestFit="1" customWidth="1"/>
    <col min="15" max="15" width="2.421875" style="157" bestFit="1" customWidth="1"/>
    <col min="16" max="16" width="4.00390625" style="26" customWidth="1"/>
    <col min="17" max="18" width="4.00390625" style="0" customWidth="1"/>
    <col min="19" max="19" width="9.7109375" style="0" bestFit="1" customWidth="1"/>
    <col min="20" max="20" width="6.00390625" style="0" bestFit="1" customWidth="1"/>
  </cols>
  <sheetData>
    <row r="1" spans="1:14" ht="34.5" thickBot="1">
      <c r="A1" s="370" t="s">
        <v>161</v>
      </c>
      <c r="B1" s="371"/>
      <c r="C1" s="371"/>
      <c r="D1" s="371"/>
      <c r="E1" s="371"/>
      <c r="F1" s="371"/>
      <c r="G1" s="372"/>
      <c r="H1" s="372"/>
      <c r="I1" s="372"/>
      <c r="J1" s="372"/>
      <c r="K1" s="372"/>
      <c r="L1" s="372"/>
      <c r="M1" s="372"/>
      <c r="N1" s="372"/>
    </row>
    <row r="2" spans="1:16" s="55" customFormat="1" ht="12.75">
      <c r="A2" s="72"/>
      <c r="B2" s="373" t="s">
        <v>2</v>
      </c>
      <c r="C2" s="375" t="s">
        <v>14</v>
      </c>
      <c r="D2" s="377" t="s">
        <v>25</v>
      </c>
      <c r="E2" s="368" t="s">
        <v>15</v>
      </c>
      <c r="F2" s="368" t="s">
        <v>22</v>
      </c>
      <c r="G2" s="342" t="s">
        <v>23</v>
      </c>
      <c r="H2" s="379" t="s">
        <v>16</v>
      </c>
      <c r="I2" s="379"/>
      <c r="J2" s="379"/>
      <c r="K2" s="379"/>
      <c r="L2" s="379" t="s">
        <v>17</v>
      </c>
      <c r="M2" s="379"/>
      <c r="N2" s="380"/>
      <c r="O2" s="173"/>
      <c r="P2" s="73"/>
    </row>
    <row r="3" spans="1:16" s="55" customFormat="1" ht="48" customHeight="1" thickBot="1">
      <c r="A3" s="74"/>
      <c r="B3" s="374"/>
      <c r="C3" s="376"/>
      <c r="D3" s="369"/>
      <c r="E3" s="369"/>
      <c r="F3" s="369"/>
      <c r="G3" s="378"/>
      <c r="H3" s="109" t="s">
        <v>18</v>
      </c>
      <c r="I3" s="110" t="s">
        <v>19</v>
      </c>
      <c r="J3" s="110" t="s">
        <v>8</v>
      </c>
      <c r="K3" s="111" t="s">
        <v>20</v>
      </c>
      <c r="L3" s="109" t="s">
        <v>18</v>
      </c>
      <c r="M3" s="110" t="s">
        <v>19</v>
      </c>
      <c r="N3" s="102" t="s">
        <v>21</v>
      </c>
      <c r="O3" s="173"/>
      <c r="P3" s="73"/>
    </row>
    <row r="4" spans="1:15" ht="15">
      <c r="A4" s="107">
        <v>1</v>
      </c>
      <c r="B4" s="283">
        <v>2012</v>
      </c>
      <c r="C4" s="284">
        <v>40130</v>
      </c>
      <c r="D4" s="285" t="s">
        <v>26</v>
      </c>
      <c r="E4" s="286">
        <v>178</v>
      </c>
      <c r="F4" s="286">
        <v>37</v>
      </c>
      <c r="G4" s="286">
        <v>8</v>
      </c>
      <c r="H4" s="287">
        <f>48622+283</f>
        <v>48905</v>
      </c>
      <c r="I4" s="288">
        <f>7403+116</f>
        <v>7519</v>
      </c>
      <c r="J4" s="289">
        <f>I4/F4</f>
        <v>203.21621621621622</v>
      </c>
      <c r="K4" s="290">
        <f aca="true" t="shared" si="0" ref="K4:K12">H4/I4</f>
        <v>6.504189386886554</v>
      </c>
      <c r="L4" s="291">
        <f>13107603+48622+283</f>
        <v>13156508</v>
      </c>
      <c r="M4" s="292">
        <f>1468855+7403+116</f>
        <v>1476374</v>
      </c>
      <c r="N4" s="293">
        <f>+L4/M4</f>
        <v>8.91136527736197</v>
      </c>
      <c r="O4" s="153"/>
    </row>
    <row r="5" spans="1:15" ht="15">
      <c r="A5" s="174">
        <v>2</v>
      </c>
      <c r="B5" s="294">
        <v>2012</v>
      </c>
      <c r="C5" s="204">
        <v>40130</v>
      </c>
      <c r="D5" s="213" t="s">
        <v>26</v>
      </c>
      <c r="E5" s="206">
        <v>178</v>
      </c>
      <c r="F5" s="206">
        <v>25</v>
      </c>
      <c r="G5" s="206">
        <v>9</v>
      </c>
      <c r="H5" s="207">
        <v>29270</v>
      </c>
      <c r="I5" s="208">
        <v>4996</v>
      </c>
      <c r="J5" s="209">
        <f>I5/F5</f>
        <v>199.84</v>
      </c>
      <c r="K5" s="214">
        <f t="shared" si="0"/>
        <v>5.858686949559647</v>
      </c>
      <c r="L5" s="211">
        <f>13107603+48622+283+29270</f>
        <v>13185778</v>
      </c>
      <c r="M5" s="212">
        <f>1468855+7403+116+4996</f>
        <v>1481370</v>
      </c>
      <c r="N5" s="295">
        <f>+L5/M5</f>
        <v>8.901069955514153</v>
      </c>
      <c r="O5" s="152"/>
    </row>
    <row r="6" spans="1:15" ht="15">
      <c r="A6" s="175">
        <v>3</v>
      </c>
      <c r="B6" s="294">
        <v>2012</v>
      </c>
      <c r="C6" s="204">
        <v>40130</v>
      </c>
      <c r="D6" s="215" t="s">
        <v>26</v>
      </c>
      <c r="E6" s="206">
        <v>178</v>
      </c>
      <c r="F6" s="206">
        <v>18</v>
      </c>
      <c r="G6" s="206">
        <v>10</v>
      </c>
      <c r="H6" s="207">
        <v>25563</v>
      </c>
      <c r="I6" s="216">
        <v>4175</v>
      </c>
      <c r="J6" s="217">
        <f>I6/F6</f>
        <v>231.94444444444446</v>
      </c>
      <c r="K6" s="210">
        <f t="shared" si="0"/>
        <v>6.122874251497006</v>
      </c>
      <c r="L6" s="211">
        <f>13107603+48622+283+29270+25563</f>
        <v>13211341</v>
      </c>
      <c r="M6" s="218">
        <f>1468855+7403+116+4996+4175</f>
        <v>1485545</v>
      </c>
      <c r="N6" s="296">
        <f>+L6/M6</f>
        <v>8.893262068803033</v>
      </c>
      <c r="O6" s="166"/>
    </row>
    <row r="7" spans="1:15" ht="15">
      <c r="A7" s="107">
        <v>4</v>
      </c>
      <c r="B7" s="294">
        <v>2012</v>
      </c>
      <c r="C7" s="204">
        <v>40130</v>
      </c>
      <c r="D7" s="219" t="s">
        <v>26</v>
      </c>
      <c r="E7" s="206">
        <v>178</v>
      </c>
      <c r="F7" s="206">
        <v>7</v>
      </c>
      <c r="G7" s="206">
        <v>11</v>
      </c>
      <c r="H7" s="220">
        <v>11036</v>
      </c>
      <c r="I7" s="216">
        <v>2539</v>
      </c>
      <c r="J7" s="217">
        <f>I7/F7</f>
        <v>362.7142857142857</v>
      </c>
      <c r="K7" s="210">
        <f t="shared" si="0"/>
        <v>4.346593146908232</v>
      </c>
      <c r="L7" s="221">
        <f>13107603+48622+283+29270+25563+11036</f>
        <v>13222377</v>
      </c>
      <c r="M7" s="218">
        <f>1468855+7403+116+4996+4175+2539</f>
        <v>1488084</v>
      </c>
      <c r="N7" s="296">
        <f>+L7/M7</f>
        <v>8.885504447329586</v>
      </c>
      <c r="O7" s="166"/>
    </row>
    <row r="8" spans="1:15" ht="15">
      <c r="A8" s="107">
        <v>5</v>
      </c>
      <c r="B8" s="297" t="s">
        <v>37</v>
      </c>
      <c r="C8" s="222">
        <v>40095</v>
      </c>
      <c r="D8" s="223" t="s">
        <v>28</v>
      </c>
      <c r="E8" s="224">
        <v>22</v>
      </c>
      <c r="F8" s="224">
        <v>3</v>
      </c>
      <c r="G8" s="224">
        <v>10</v>
      </c>
      <c r="H8" s="207">
        <v>3158</v>
      </c>
      <c r="I8" s="208">
        <v>596</v>
      </c>
      <c r="J8" s="209">
        <f>(I8/F8)</f>
        <v>198.66666666666666</v>
      </c>
      <c r="K8" s="214">
        <f t="shared" si="0"/>
        <v>5.298657718120805</v>
      </c>
      <c r="L8" s="211">
        <f>158809.5+140713.25+103696.25+38523+19360+17458+1188+196+2484+3158</f>
        <v>485586</v>
      </c>
      <c r="M8" s="212">
        <f>14214+13110+10683+4685+3074+2645+297+16+571+596</f>
        <v>49891</v>
      </c>
      <c r="N8" s="295">
        <f>L8/M8</f>
        <v>9.732937804413622</v>
      </c>
      <c r="O8" s="153"/>
    </row>
    <row r="9" spans="1:15" ht="15">
      <c r="A9" s="107">
        <v>6</v>
      </c>
      <c r="B9" s="298" t="s">
        <v>37</v>
      </c>
      <c r="C9" s="222">
        <v>40095</v>
      </c>
      <c r="D9" s="225" t="s">
        <v>28</v>
      </c>
      <c r="E9" s="224">
        <v>22</v>
      </c>
      <c r="F9" s="224">
        <v>2</v>
      </c>
      <c r="G9" s="224">
        <v>9</v>
      </c>
      <c r="H9" s="207">
        <v>2484</v>
      </c>
      <c r="I9" s="208">
        <v>571</v>
      </c>
      <c r="J9" s="209">
        <f>(I9/F9)</f>
        <v>285.5</v>
      </c>
      <c r="K9" s="210">
        <f t="shared" si="0"/>
        <v>4.350262697022767</v>
      </c>
      <c r="L9" s="211">
        <f>158809.5+140713.25+103696.25+38523+19360+17458+1188+196+2484</f>
        <v>482428</v>
      </c>
      <c r="M9" s="212">
        <f>14214+13110+10683+4685+3074+2645+297+16+571</f>
        <v>49295</v>
      </c>
      <c r="N9" s="296">
        <f>L9/M9</f>
        <v>9.786550360077086</v>
      </c>
      <c r="O9" s="153"/>
    </row>
    <row r="10" spans="1:15" ht="15">
      <c r="A10" s="107">
        <v>7</v>
      </c>
      <c r="B10" s="298" t="s">
        <v>64</v>
      </c>
      <c r="C10" s="222">
        <v>40137</v>
      </c>
      <c r="D10" s="225" t="s">
        <v>51</v>
      </c>
      <c r="E10" s="224">
        <v>149</v>
      </c>
      <c r="F10" s="224">
        <v>9</v>
      </c>
      <c r="G10" s="224">
        <v>7</v>
      </c>
      <c r="H10" s="226">
        <v>27101.5</v>
      </c>
      <c r="I10" s="227">
        <v>4448</v>
      </c>
      <c r="J10" s="228">
        <f>I10/F10</f>
        <v>494.22222222222223</v>
      </c>
      <c r="K10" s="229">
        <f t="shared" si="0"/>
        <v>6.092963129496403</v>
      </c>
      <c r="L10" s="230">
        <v>3103393</v>
      </c>
      <c r="M10" s="228">
        <v>360904</v>
      </c>
      <c r="N10" s="299">
        <f>L10/M10</f>
        <v>8.598943209274488</v>
      </c>
      <c r="O10" s="153">
        <v>1</v>
      </c>
    </row>
    <row r="11" spans="1:15" ht="15">
      <c r="A11" s="107">
        <v>8</v>
      </c>
      <c r="B11" s="298" t="s">
        <v>64</v>
      </c>
      <c r="C11" s="222">
        <v>40137</v>
      </c>
      <c r="D11" s="225" t="s">
        <v>51</v>
      </c>
      <c r="E11" s="224">
        <v>149</v>
      </c>
      <c r="F11" s="224">
        <v>9</v>
      </c>
      <c r="G11" s="224">
        <v>8</v>
      </c>
      <c r="H11" s="226">
        <v>9904.5</v>
      </c>
      <c r="I11" s="227">
        <v>2118</v>
      </c>
      <c r="J11" s="228">
        <f>I11/F11</f>
        <v>235.33333333333334</v>
      </c>
      <c r="K11" s="231">
        <f t="shared" si="0"/>
        <v>4.676345609065156</v>
      </c>
      <c r="L11" s="230">
        <v>3113297.5</v>
      </c>
      <c r="M11" s="228">
        <v>363022</v>
      </c>
      <c r="N11" s="300">
        <f>L11/M11</f>
        <v>8.57605737393326</v>
      </c>
      <c r="O11" s="153">
        <v>1</v>
      </c>
    </row>
    <row r="12" spans="1:20" ht="15">
      <c r="A12" s="107">
        <v>9</v>
      </c>
      <c r="B12" s="298" t="s">
        <v>64</v>
      </c>
      <c r="C12" s="222">
        <v>40137</v>
      </c>
      <c r="D12" s="225" t="s">
        <v>51</v>
      </c>
      <c r="E12" s="224">
        <v>149</v>
      </c>
      <c r="F12" s="224">
        <v>10</v>
      </c>
      <c r="G12" s="224">
        <v>9</v>
      </c>
      <c r="H12" s="226">
        <v>17098.5</v>
      </c>
      <c r="I12" s="227">
        <v>3701</v>
      </c>
      <c r="J12" s="228">
        <f>I12/F12</f>
        <v>370.1</v>
      </c>
      <c r="K12" s="231">
        <f t="shared" si="0"/>
        <v>4.619967576330722</v>
      </c>
      <c r="L12" s="230">
        <v>3130396</v>
      </c>
      <c r="M12" s="228">
        <v>366723</v>
      </c>
      <c r="N12" s="300">
        <f>L12/M12</f>
        <v>8.536132176056588</v>
      </c>
      <c r="O12" s="153"/>
      <c r="S12" s="330"/>
      <c r="T12" s="331"/>
    </row>
    <row r="13" spans="1:15" ht="15">
      <c r="A13" s="107">
        <v>10</v>
      </c>
      <c r="B13" s="294" t="s">
        <v>126</v>
      </c>
      <c r="C13" s="204">
        <v>40151</v>
      </c>
      <c r="D13" s="213" t="s">
        <v>30</v>
      </c>
      <c r="E13" s="206">
        <v>140</v>
      </c>
      <c r="F13" s="206">
        <v>19</v>
      </c>
      <c r="G13" s="206">
        <v>7</v>
      </c>
      <c r="H13" s="232">
        <v>16570</v>
      </c>
      <c r="I13" s="233">
        <v>2937</v>
      </c>
      <c r="J13" s="234">
        <f>IF(H13&lt;&gt;0,I13/F13,"")</f>
        <v>154.57894736842104</v>
      </c>
      <c r="K13" s="235">
        <f>IF(H13&lt;&gt;0,H13/I13,"")</f>
        <v>5.64181137214845</v>
      </c>
      <c r="L13" s="236">
        <v>1036414</v>
      </c>
      <c r="M13" s="237">
        <v>132115</v>
      </c>
      <c r="N13" s="301">
        <f>IF(L13&lt;&gt;0,L13/M13,"")</f>
        <v>7.844786738826023</v>
      </c>
      <c r="O13" s="166">
        <v>1</v>
      </c>
    </row>
    <row r="14" spans="1:15" ht="15">
      <c r="A14" s="107">
        <v>11</v>
      </c>
      <c r="B14" s="294" t="s">
        <v>95</v>
      </c>
      <c r="C14" s="204">
        <v>40151</v>
      </c>
      <c r="D14" s="213" t="s">
        <v>30</v>
      </c>
      <c r="E14" s="206">
        <v>140</v>
      </c>
      <c r="F14" s="206">
        <v>18</v>
      </c>
      <c r="G14" s="206">
        <v>6</v>
      </c>
      <c r="H14" s="232">
        <v>9901</v>
      </c>
      <c r="I14" s="238">
        <v>1541</v>
      </c>
      <c r="J14" s="239">
        <f>IF(H14&lt;&gt;0,I14/F14,"")</f>
        <v>85.61111111111111</v>
      </c>
      <c r="K14" s="240">
        <f>IF(H14&lt;&gt;0,H14/I14,"")</f>
        <v>6.425048669695003</v>
      </c>
      <c r="L14" s="236">
        <v>1019844</v>
      </c>
      <c r="M14" s="228">
        <v>129178</v>
      </c>
      <c r="N14" s="302">
        <f>IF(L14&lt;&gt;0,L14/M14,"")</f>
        <v>7.894873740110545</v>
      </c>
      <c r="O14" s="152">
        <v>1</v>
      </c>
    </row>
    <row r="15" spans="1:15" ht="15">
      <c r="A15" s="107">
        <v>12</v>
      </c>
      <c r="B15" s="303" t="s">
        <v>67</v>
      </c>
      <c r="C15" s="204">
        <v>40151</v>
      </c>
      <c r="D15" s="219" t="s">
        <v>30</v>
      </c>
      <c r="E15" s="206">
        <v>140</v>
      </c>
      <c r="F15" s="206">
        <v>15</v>
      </c>
      <c r="G15" s="206">
        <v>5</v>
      </c>
      <c r="H15" s="232">
        <v>6903</v>
      </c>
      <c r="I15" s="238">
        <v>1187</v>
      </c>
      <c r="J15" s="239">
        <f>IF(H15&lt;&gt;0,I15/F15,"")</f>
        <v>79.13333333333334</v>
      </c>
      <c r="K15" s="235">
        <f>IF(H15&lt;&gt;0,H15/I15,"")</f>
        <v>5.815501263689975</v>
      </c>
      <c r="L15" s="236">
        <v>1009943</v>
      </c>
      <c r="M15" s="228">
        <v>127637</v>
      </c>
      <c r="N15" s="301">
        <f>IF(L15&lt;&gt;0,L15/M15,"")</f>
        <v>7.9126193815273</v>
      </c>
      <c r="O15" s="153">
        <v>1</v>
      </c>
    </row>
    <row r="16" spans="1:15" ht="15">
      <c r="A16" s="107">
        <v>13</v>
      </c>
      <c r="B16" s="297" t="s">
        <v>95</v>
      </c>
      <c r="C16" s="222">
        <v>40151</v>
      </c>
      <c r="D16" s="225" t="s">
        <v>30</v>
      </c>
      <c r="E16" s="224">
        <v>140</v>
      </c>
      <c r="F16" s="224">
        <v>3</v>
      </c>
      <c r="G16" s="224">
        <v>8</v>
      </c>
      <c r="H16" s="220">
        <v>946</v>
      </c>
      <c r="I16" s="216">
        <v>174</v>
      </c>
      <c r="J16" s="217">
        <f>IF(H16&lt;&gt;0,I16/F16,"")</f>
        <v>58</v>
      </c>
      <c r="K16" s="210">
        <f>IF(H16&lt;&gt;0,H16/I16,"")</f>
        <v>5.436781609195402</v>
      </c>
      <c r="L16" s="221">
        <v>1037360</v>
      </c>
      <c r="M16" s="218">
        <v>132289</v>
      </c>
      <c r="N16" s="296">
        <f>IF(L16&lt;&gt;0,L16/M16,"")</f>
        <v>7.841619484613233</v>
      </c>
      <c r="O16" s="166">
        <v>1</v>
      </c>
    </row>
    <row r="17" spans="1:15" ht="15">
      <c r="A17" s="107">
        <v>14</v>
      </c>
      <c r="B17" s="298" t="s">
        <v>60</v>
      </c>
      <c r="C17" s="222">
        <v>40165</v>
      </c>
      <c r="D17" s="225" t="s">
        <v>28</v>
      </c>
      <c r="E17" s="224">
        <v>74</v>
      </c>
      <c r="F17" s="224">
        <v>63</v>
      </c>
      <c r="G17" s="224">
        <v>3</v>
      </c>
      <c r="H17" s="207">
        <v>124291.75</v>
      </c>
      <c r="I17" s="208">
        <v>14864</v>
      </c>
      <c r="J17" s="209">
        <f>(I17/F17)</f>
        <v>235.93650793650792</v>
      </c>
      <c r="K17" s="210">
        <f aca="true" t="shared" si="1" ref="K17:K38">H17/I17</f>
        <v>8.361931512378902</v>
      </c>
      <c r="L17" s="211">
        <f>507128.25+345268.5+124291.75</f>
        <v>976688.5</v>
      </c>
      <c r="M17" s="212">
        <f>53408+37346+14864</f>
        <v>105618</v>
      </c>
      <c r="N17" s="296">
        <f>L17/M17</f>
        <v>9.247367872900453</v>
      </c>
      <c r="O17" s="153">
        <v>1</v>
      </c>
    </row>
    <row r="18" spans="1:15" ht="15">
      <c r="A18" s="107">
        <v>15</v>
      </c>
      <c r="B18" s="297" t="s">
        <v>83</v>
      </c>
      <c r="C18" s="222">
        <v>40165</v>
      </c>
      <c r="D18" s="223" t="s">
        <v>28</v>
      </c>
      <c r="E18" s="224">
        <v>74</v>
      </c>
      <c r="F18" s="224">
        <v>74</v>
      </c>
      <c r="G18" s="224">
        <v>4</v>
      </c>
      <c r="H18" s="207">
        <v>100787</v>
      </c>
      <c r="I18" s="208">
        <v>15043</v>
      </c>
      <c r="J18" s="209">
        <f>(I18/F18)</f>
        <v>203.28378378378378</v>
      </c>
      <c r="K18" s="214">
        <f t="shared" si="1"/>
        <v>6.699926876287974</v>
      </c>
      <c r="L18" s="211">
        <f>507128.25+345268.5+124291.75+100787</f>
        <v>1077475.5</v>
      </c>
      <c r="M18" s="212">
        <f>53408+37346+14864+15043</f>
        <v>120661</v>
      </c>
      <c r="N18" s="295">
        <f>L18/M18</f>
        <v>8.929774326418643</v>
      </c>
      <c r="O18" s="153">
        <v>1</v>
      </c>
    </row>
    <row r="19" spans="1:15" ht="15">
      <c r="A19" s="107">
        <v>16</v>
      </c>
      <c r="B19" s="304" t="s">
        <v>83</v>
      </c>
      <c r="C19" s="241">
        <v>40165</v>
      </c>
      <c r="D19" s="242" t="s">
        <v>28</v>
      </c>
      <c r="E19" s="243">
        <v>74</v>
      </c>
      <c r="F19" s="243">
        <v>53</v>
      </c>
      <c r="G19" s="243">
        <v>5</v>
      </c>
      <c r="H19" s="207">
        <v>70944</v>
      </c>
      <c r="I19" s="216">
        <v>11010</v>
      </c>
      <c r="J19" s="217">
        <f>(I19/F19)</f>
        <v>207.73584905660377</v>
      </c>
      <c r="K19" s="210">
        <f t="shared" si="1"/>
        <v>6.443596730245232</v>
      </c>
      <c r="L19" s="211">
        <f>507128.25+345268.5+124291.75+100787+70944</f>
        <v>1148419.5</v>
      </c>
      <c r="M19" s="218">
        <f>53408+37346+14864+15043+11010</f>
        <v>131671</v>
      </c>
      <c r="N19" s="296">
        <f>L19/M19</f>
        <v>8.72188636829674</v>
      </c>
      <c r="O19" s="166">
        <v>1</v>
      </c>
    </row>
    <row r="20" spans="1:15" ht="15">
      <c r="A20" s="107">
        <v>17</v>
      </c>
      <c r="B20" s="297" t="s">
        <v>170</v>
      </c>
      <c r="C20" s="222">
        <v>40165</v>
      </c>
      <c r="D20" s="225" t="s">
        <v>28</v>
      </c>
      <c r="E20" s="224">
        <v>74</v>
      </c>
      <c r="F20" s="224">
        <v>21</v>
      </c>
      <c r="G20" s="224">
        <v>6</v>
      </c>
      <c r="H20" s="220">
        <v>12241</v>
      </c>
      <c r="I20" s="216">
        <v>2268</v>
      </c>
      <c r="J20" s="217">
        <f>(I20/F20)</f>
        <v>108</v>
      </c>
      <c r="K20" s="210">
        <f t="shared" si="1"/>
        <v>5.39726631393298</v>
      </c>
      <c r="L20" s="221">
        <f>507128.25+345268.5+124291.75+100787+70944+12241</f>
        <v>1160660.5</v>
      </c>
      <c r="M20" s="218">
        <f>53408+37346+14864+15043+11010+2268</f>
        <v>133939</v>
      </c>
      <c r="N20" s="296">
        <f>L20/M20</f>
        <v>8.665590306034836</v>
      </c>
      <c r="O20" s="166">
        <v>1</v>
      </c>
    </row>
    <row r="21" spans="1:15" ht="15">
      <c r="A21" s="107">
        <v>18</v>
      </c>
      <c r="B21" s="305" t="s">
        <v>66</v>
      </c>
      <c r="C21" s="204">
        <v>40151</v>
      </c>
      <c r="D21" s="244" t="s">
        <v>5</v>
      </c>
      <c r="E21" s="245">
        <v>128</v>
      </c>
      <c r="F21" s="245">
        <v>14</v>
      </c>
      <c r="G21" s="245">
        <v>5</v>
      </c>
      <c r="H21" s="246">
        <v>10820.5</v>
      </c>
      <c r="I21" s="247">
        <v>2203</v>
      </c>
      <c r="J21" s="248">
        <f>I21/F21</f>
        <v>157.35714285714286</v>
      </c>
      <c r="K21" s="249">
        <f t="shared" si="1"/>
        <v>4.911711302768952</v>
      </c>
      <c r="L21" s="250">
        <v>1602521</v>
      </c>
      <c r="M21" s="251">
        <v>185512</v>
      </c>
      <c r="N21" s="306">
        <f>+L21/M21</f>
        <v>8.638368407434559</v>
      </c>
      <c r="O21" s="153">
        <v>1</v>
      </c>
    </row>
    <row r="22" spans="1:15" ht="15">
      <c r="A22" s="107">
        <v>19</v>
      </c>
      <c r="B22" s="307" t="s">
        <v>90</v>
      </c>
      <c r="C22" s="204">
        <v>40151</v>
      </c>
      <c r="D22" s="252" t="s">
        <v>5</v>
      </c>
      <c r="E22" s="245">
        <v>128</v>
      </c>
      <c r="F22" s="245">
        <v>13</v>
      </c>
      <c r="G22" s="245">
        <v>6</v>
      </c>
      <c r="H22" s="246">
        <v>10811</v>
      </c>
      <c r="I22" s="247">
        <v>1908</v>
      </c>
      <c r="J22" s="248">
        <f>I22/F22</f>
        <v>146.76923076923077</v>
      </c>
      <c r="K22" s="253">
        <f t="shared" si="1"/>
        <v>5.666142557651992</v>
      </c>
      <c r="L22" s="250">
        <v>1613332</v>
      </c>
      <c r="M22" s="251">
        <v>187420</v>
      </c>
      <c r="N22" s="302">
        <f>IF(L22&lt;&gt;0,L22/M22,"")</f>
        <v>8.608110126987516</v>
      </c>
      <c r="O22" s="152">
        <v>1</v>
      </c>
    </row>
    <row r="23" spans="1:15" ht="15">
      <c r="A23" s="107">
        <v>20</v>
      </c>
      <c r="B23" s="307" t="s">
        <v>128</v>
      </c>
      <c r="C23" s="204">
        <v>40151</v>
      </c>
      <c r="D23" s="252" t="s">
        <v>5</v>
      </c>
      <c r="E23" s="245">
        <v>128</v>
      </c>
      <c r="F23" s="245">
        <v>7</v>
      </c>
      <c r="G23" s="245">
        <v>7</v>
      </c>
      <c r="H23" s="246">
        <v>8704</v>
      </c>
      <c r="I23" s="254">
        <v>1365</v>
      </c>
      <c r="J23" s="255">
        <f>I23/F23</f>
        <v>195</v>
      </c>
      <c r="K23" s="249">
        <f t="shared" si="1"/>
        <v>6.376556776556777</v>
      </c>
      <c r="L23" s="250">
        <v>1622035.5</v>
      </c>
      <c r="M23" s="256">
        <v>188785</v>
      </c>
      <c r="N23" s="301">
        <f>IF(L23&lt;&gt;0,L23/M23,"")</f>
        <v>8.591972349498107</v>
      </c>
      <c r="O23" s="166">
        <v>1</v>
      </c>
    </row>
    <row r="24" spans="1:15" ht="15">
      <c r="A24" s="107">
        <v>21</v>
      </c>
      <c r="B24" s="297" t="s">
        <v>128</v>
      </c>
      <c r="C24" s="222">
        <v>40151</v>
      </c>
      <c r="D24" s="219" t="s">
        <v>5</v>
      </c>
      <c r="E24" s="224">
        <v>128</v>
      </c>
      <c r="F24" s="224">
        <v>6</v>
      </c>
      <c r="G24" s="224">
        <v>8</v>
      </c>
      <c r="H24" s="257">
        <v>5193</v>
      </c>
      <c r="I24" s="258">
        <v>1233</v>
      </c>
      <c r="J24" s="217">
        <f>I24/F24</f>
        <v>205.5</v>
      </c>
      <c r="K24" s="210">
        <f t="shared" si="1"/>
        <v>4.211678832116788</v>
      </c>
      <c r="L24" s="259">
        <v>1627228.5</v>
      </c>
      <c r="M24" s="237">
        <v>190018</v>
      </c>
      <c r="N24" s="296">
        <f>+L24/M24</f>
        <v>8.563549242703322</v>
      </c>
      <c r="O24" s="166">
        <v>1</v>
      </c>
    </row>
    <row r="25" spans="1:15" ht="15">
      <c r="A25" s="107">
        <v>22</v>
      </c>
      <c r="B25" s="297" t="s">
        <v>35</v>
      </c>
      <c r="C25" s="222">
        <v>40067</v>
      </c>
      <c r="D25" s="223" t="s">
        <v>28</v>
      </c>
      <c r="E25" s="224">
        <v>51</v>
      </c>
      <c r="F25" s="224">
        <v>1</v>
      </c>
      <c r="G25" s="224">
        <v>18</v>
      </c>
      <c r="H25" s="207">
        <v>1663</v>
      </c>
      <c r="I25" s="216">
        <v>244</v>
      </c>
      <c r="J25" s="217">
        <f aca="true" t="shared" si="2" ref="J25:J38">(I25/F25)</f>
        <v>244</v>
      </c>
      <c r="K25" s="210">
        <f t="shared" si="1"/>
        <v>6.815573770491803</v>
      </c>
      <c r="L25" s="211">
        <f>182949+180053+29827+20114+26140.5+10395.5+4671+3342+2340+5520+249.5+165+3602+91+952+1264+44+1663</f>
        <v>473382.5</v>
      </c>
      <c r="M25" s="218">
        <f>18625+17802+3355+2859+3903+1800+782+594+465+1366+90+60+905+15+238+316+11+244</f>
        <v>53430</v>
      </c>
      <c r="N25" s="296">
        <f aca="true" t="shared" si="3" ref="N25:N38">L25/M25</f>
        <v>8.859863372637095</v>
      </c>
      <c r="O25" s="166"/>
    </row>
    <row r="26" spans="1:15" ht="15">
      <c r="A26" s="107">
        <v>23</v>
      </c>
      <c r="B26" s="298" t="s">
        <v>35</v>
      </c>
      <c r="C26" s="222">
        <v>40067</v>
      </c>
      <c r="D26" s="225" t="s">
        <v>28</v>
      </c>
      <c r="E26" s="224">
        <v>51</v>
      </c>
      <c r="F26" s="224">
        <v>2</v>
      </c>
      <c r="G26" s="224">
        <v>16</v>
      </c>
      <c r="H26" s="207">
        <v>1264</v>
      </c>
      <c r="I26" s="208">
        <v>316</v>
      </c>
      <c r="J26" s="209">
        <f t="shared" si="2"/>
        <v>158</v>
      </c>
      <c r="K26" s="210">
        <f t="shared" si="1"/>
        <v>4</v>
      </c>
      <c r="L26" s="211">
        <f>182949+180053+29827+20114+26140.5+10395.5+4671+3342+2340+5520+249.5+165+3602+91+952+1264</f>
        <v>471675.5</v>
      </c>
      <c r="M26" s="212">
        <f>18625+17802+3355+2859+3903+1800+782+594+465+1366+90+60+905+15+238+316</f>
        <v>53175</v>
      </c>
      <c r="N26" s="296">
        <f t="shared" si="3"/>
        <v>8.870249177244945</v>
      </c>
      <c r="O26" s="153"/>
    </row>
    <row r="27" spans="1:15" ht="15">
      <c r="A27" s="107">
        <v>24</v>
      </c>
      <c r="B27" s="297" t="s">
        <v>35</v>
      </c>
      <c r="C27" s="222">
        <v>40067</v>
      </c>
      <c r="D27" s="225" t="s">
        <v>28</v>
      </c>
      <c r="E27" s="224">
        <v>51</v>
      </c>
      <c r="F27" s="224">
        <v>1</v>
      </c>
      <c r="G27" s="224">
        <v>19</v>
      </c>
      <c r="H27" s="220">
        <v>1188</v>
      </c>
      <c r="I27" s="216">
        <v>297</v>
      </c>
      <c r="J27" s="217">
        <f t="shared" si="2"/>
        <v>297</v>
      </c>
      <c r="K27" s="210">
        <f t="shared" si="1"/>
        <v>4</v>
      </c>
      <c r="L27" s="221">
        <f>182949+180053+29827+20114+26140.5+10395.5+4671+3342+2340+5520+249.5+165+3602+91+952+1264+44+1663+1188</f>
        <v>474570.5</v>
      </c>
      <c r="M27" s="218">
        <f>18625+17802+3355+2859+3903+1800+782+594+465+1366+90+60+905+15+238+316+11+244+297</f>
        <v>53727</v>
      </c>
      <c r="N27" s="296">
        <f t="shared" si="3"/>
        <v>8.832998306251978</v>
      </c>
      <c r="O27" s="166"/>
    </row>
    <row r="28" spans="1:15" ht="15">
      <c r="A28" s="107">
        <v>25</v>
      </c>
      <c r="B28" s="297" t="s">
        <v>35</v>
      </c>
      <c r="C28" s="222">
        <v>40067</v>
      </c>
      <c r="D28" s="223" t="s">
        <v>28</v>
      </c>
      <c r="E28" s="224">
        <v>51</v>
      </c>
      <c r="F28" s="224">
        <v>1</v>
      </c>
      <c r="G28" s="224">
        <v>17</v>
      </c>
      <c r="H28" s="207">
        <v>44</v>
      </c>
      <c r="I28" s="208">
        <v>11</v>
      </c>
      <c r="J28" s="209">
        <f t="shared" si="2"/>
        <v>11</v>
      </c>
      <c r="K28" s="214">
        <f t="shared" si="1"/>
        <v>4</v>
      </c>
      <c r="L28" s="211">
        <f>182949+180053+29827+20114+26140.5+10395.5+4671+3342+2340+5520+249.5+165+3602+91+952+1264+44</f>
        <v>471719.5</v>
      </c>
      <c r="M28" s="212">
        <f>18625+17802+3355+2859+3903+1800+782+594+465+1366+90+60+905+15+238+316+11</f>
        <v>53186</v>
      </c>
      <c r="N28" s="295">
        <f t="shared" si="3"/>
        <v>8.869241905764675</v>
      </c>
      <c r="O28" s="153"/>
    </row>
    <row r="29" spans="1:15" ht="15">
      <c r="A29" s="107">
        <v>26</v>
      </c>
      <c r="B29" s="298" t="s">
        <v>55</v>
      </c>
      <c r="C29" s="222">
        <v>40172</v>
      </c>
      <c r="D29" s="225" t="s">
        <v>28</v>
      </c>
      <c r="E29" s="224">
        <v>60</v>
      </c>
      <c r="F29" s="224">
        <v>60</v>
      </c>
      <c r="G29" s="224">
        <v>2</v>
      </c>
      <c r="H29" s="207">
        <v>397159.5</v>
      </c>
      <c r="I29" s="208">
        <v>40733</v>
      </c>
      <c r="J29" s="209">
        <f t="shared" si="2"/>
        <v>678.8833333333333</v>
      </c>
      <c r="K29" s="210">
        <f t="shared" si="1"/>
        <v>9.750313014018118</v>
      </c>
      <c r="L29" s="211">
        <f>421775.5+397159.5</f>
        <v>818935</v>
      </c>
      <c r="M29" s="212">
        <f>43739+40733</f>
        <v>84472</v>
      </c>
      <c r="N29" s="296">
        <f t="shared" si="3"/>
        <v>9.694750923382896</v>
      </c>
      <c r="O29" s="153"/>
    </row>
    <row r="30" spans="1:15" ht="15">
      <c r="A30" s="107">
        <v>27</v>
      </c>
      <c r="B30" s="298" t="s">
        <v>55</v>
      </c>
      <c r="C30" s="222">
        <v>40172</v>
      </c>
      <c r="D30" s="225" t="s">
        <v>28</v>
      </c>
      <c r="E30" s="224">
        <v>60</v>
      </c>
      <c r="F30" s="224">
        <v>60</v>
      </c>
      <c r="G30" s="224">
        <v>3</v>
      </c>
      <c r="H30" s="207">
        <v>287050</v>
      </c>
      <c r="I30" s="208">
        <v>31780</v>
      </c>
      <c r="J30" s="209">
        <f t="shared" si="2"/>
        <v>529.6666666666666</v>
      </c>
      <c r="K30" s="214">
        <f t="shared" si="1"/>
        <v>9.032410320956576</v>
      </c>
      <c r="L30" s="211">
        <f>421775.5+397095.5+287050</f>
        <v>1105921</v>
      </c>
      <c r="M30" s="212">
        <f>43739+40732+31780</f>
        <v>116251</v>
      </c>
      <c r="N30" s="295">
        <f t="shared" si="3"/>
        <v>9.513217090605671</v>
      </c>
      <c r="O30" s="153"/>
    </row>
    <row r="31" spans="1:15" ht="15">
      <c r="A31" s="107">
        <v>28</v>
      </c>
      <c r="B31" s="297" t="s">
        <v>89</v>
      </c>
      <c r="C31" s="222">
        <v>40123</v>
      </c>
      <c r="D31" s="223" t="s">
        <v>28</v>
      </c>
      <c r="E31" s="224">
        <v>144</v>
      </c>
      <c r="F31" s="224">
        <v>8</v>
      </c>
      <c r="G31" s="224">
        <v>10</v>
      </c>
      <c r="H31" s="207">
        <v>13616</v>
      </c>
      <c r="I31" s="208">
        <v>2381</v>
      </c>
      <c r="J31" s="209">
        <f t="shared" si="2"/>
        <v>297.625</v>
      </c>
      <c r="K31" s="214">
        <f t="shared" si="1"/>
        <v>5.718605627887443</v>
      </c>
      <c r="L31" s="211">
        <f>909778+593215.5+203934.5+91391+32233.5+29451.5+14597.5+12123.5+12906+13616</f>
        <v>1913247</v>
      </c>
      <c r="M31" s="212">
        <f>103944+67300+25860+13426+5611+5689+2739+1975+2803+2381</f>
        <v>231728</v>
      </c>
      <c r="N31" s="295">
        <f t="shared" si="3"/>
        <v>8.256434267762204</v>
      </c>
      <c r="O31" s="153">
        <v>1</v>
      </c>
    </row>
    <row r="32" spans="1:15" ht="15">
      <c r="A32" s="107">
        <v>29</v>
      </c>
      <c r="B32" s="298" t="s">
        <v>65</v>
      </c>
      <c r="C32" s="222">
        <v>40123</v>
      </c>
      <c r="D32" s="225" t="s">
        <v>28</v>
      </c>
      <c r="E32" s="224">
        <v>144</v>
      </c>
      <c r="F32" s="224">
        <v>12</v>
      </c>
      <c r="G32" s="224">
        <v>9</v>
      </c>
      <c r="H32" s="207">
        <v>12906</v>
      </c>
      <c r="I32" s="208">
        <v>2803</v>
      </c>
      <c r="J32" s="209">
        <f t="shared" si="2"/>
        <v>233.58333333333334</v>
      </c>
      <c r="K32" s="210">
        <f t="shared" si="1"/>
        <v>4.6043524794862645</v>
      </c>
      <c r="L32" s="211">
        <f>909778+593215.5+203934.5+91391+32233.5+29451.5+14597.5+12123.5+12906</f>
        <v>1899631</v>
      </c>
      <c r="M32" s="212">
        <f>103944+67300+25860+13426+5611+5689+2739+1975+2803</f>
        <v>229347</v>
      </c>
      <c r="N32" s="296">
        <f t="shared" si="3"/>
        <v>8.282781113334815</v>
      </c>
      <c r="O32" s="153">
        <v>1</v>
      </c>
    </row>
    <row r="33" spans="1:15" ht="15">
      <c r="A33" s="107">
        <v>30</v>
      </c>
      <c r="B33" s="297" t="s">
        <v>89</v>
      </c>
      <c r="C33" s="222">
        <v>40123</v>
      </c>
      <c r="D33" s="225" t="s">
        <v>28</v>
      </c>
      <c r="E33" s="224">
        <v>144</v>
      </c>
      <c r="F33" s="224">
        <v>7</v>
      </c>
      <c r="G33" s="224">
        <v>12</v>
      </c>
      <c r="H33" s="220">
        <v>7885.5</v>
      </c>
      <c r="I33" s="216">
        <v>1755</v>
      </c>
      <c r="J33" s="217">
        <f t="shared" si="2"/>
        <v>250.71428571428572</v>
      </c>
      <c r="K33" s="210">
        <f t="shared" si="1"/>
        <v>4.493162393162393</v>
      </c>
      <c r="L33" s="221">
        <f>909778+593215.5+203934.5+91391+32233.5+29451.5+14597.5+12123.5+12906+13616+5350+7885.5</f>
        <v>1926482.5</v>
      </c>
      <c r="M33" s="218">
        <f>103944+67300+25860+13426+5611+5689+2739+1975+2803+2381+1177+1755</f>
        <v>234660</v>
      </c>
      <c r="N33" s="296">
        <f t="shared" si="3"/>
        <v>8.209675701014234</v>
      </c>
      <c r="O33" s="166">
        <v>1</v>
      </c>
    </row>
    <row r="34" spans="1:15" ht="15">
      <c r="A34" s="107">
        <v>31</v>
      </c>
      <c r="B34" s="304" t="s">
        <v>89</v>
      </c>
      <c r="C34" s="241">
        <v>40123</v>
      </c>
      <c r="D34" s="242" t="s">
        <v>28</v>
      </c>
      <c r="E34" s="243">
        <v>144</v>
      </c>
      <c r="F34" s="243">
        <v>2</v>
      </c>
      <c r="G34" s="243">
        <v>11</v>
      </c>
      <c r="H34" s="207">
        <v>5350</v>
      </c>
      <c r="I34" s="216">
        <v>1177</v>
      </c>
      <c r="J34" s="217">
        <f t="shared" si="2"/>
        <v>588.5</v>
      </c>
      <c r="K34" s="210">
        <f t="shared" si="1"/>
        <v>4.545454545454546</v>
      </c>
      <c r="L34" s="211">
        <f>909778+593215.5+203934.5+91391+32233.5+29451.5+14597.5+12123.5+12906+13616+5350</f>
        <v>1918597</v>
      </c>
      <c r="M34" s="218">
        <f>103944+67300+25860+13426+5611+5689+2739+1975+2803+2381+1177</f>
        <v>232905</v>
      </c>
      <c r="N34" s="296">
        <f t="shared" si="3"/>
        <v>8.237680599386016</v>
      </c>
      <c r="O34" s="166">
        <v>1</v>
      </c>
    </row>
    <row r="35" spans="1:15" ht="15">
      <c r="A35" s="107">
        <v>32</v>
      </c>
      <c r="B35" s="298" t="s">
        <v>52</v>
      </c>
      <c r="C35" s="222">
        <v>40165</v>
      </c>
      <c r="D35" s="225" t="s">
        <v>28</v>
      </c>
      <c r="E35" s="224">
        <v>125</v>
      </c>
      <c r="F35" s="224">
        <v>156</v>
      </c>
      <c r="G35" s="224">
        <v>3</v>
      </c>
      <c r="H35" s="207">
        <v>3469556.5</v>
      </c>
      <c r="I35" s="208">
        <v>309119</v>
      </c>
      <c r="J35" s="209">
        <f t="shared" si="2"/>
        <v>1981.5320512820513</v>
      </c>
      <c r="K35" s="210">
        <f t="shared" si="1"/>
        <v>11.224015670340549</v>
      </c>
      <c r="L35" s="211">
        <f>4033069.5+3582182.5+3469556.5</f>
        <v>11084808.5</v>
      </c>
      <c r="M35" s="212">
        <f>383242+338340+309119</f>
        <v>1030701</v>
      </c>
      <c r="N35" s="296">
        <f t="shared" si="3"/>
        <v>10.754630586367918</v>
      </c>
      <c r="O35" s="153"/>
    </row>
    <row r="36" spans="1:15" ht="15">
      <c r="A36" s="107">
        <v>33</v>
      </c>
      <c r="B36" s="304" t="s">
        <v>52</v>
      </c>
      <c r="C36" s="241">
        <v>40165</v>
      </c>
      <c r="D36" s="242" t="s">
        <v>28</v>
      </c>
      <c r="E36" s="243">
        <v>125</v>
      </c>
      <c r="F36" s="243">
        <v>156</v>
      </c>
      <c r="G36" s="243">
        <v>5</v>
      </c>
      <c r="H36" s="207">
        <v>3107541.5</v>
      </c>
      <c r="I36" s="216">
        <v>290779</v>
      </c>
      <c r="J36" s="217">
        <f t="shared" si="2"/>
        <v>1863.9679487179487</v>
      </c>
      <c r="K36" s="210">
        <f t="shared" si="1"/>
        <v>10.686952978034865</v>
      </c>
      <c r="L36" s="211">
        <f>4033069.5+3582182.5+3469556.5+3099545+3107541.5</f>
        <v>17291895</v>
      </c>
      <c r="M36" s="218">
        <f>383242+338340+309119+280170+290779</f>
        <v>1601650</v>
      </c>
      <c r="N36" s="296">
        <f t="shared" si="3"/>
        <v>10.796300689913526</v>
      </c>
      <c r="O36" s="166"/>
    </row>
    <row r="37" spans="1:15" ht="15">
      <c r="A37" s="107">
        <v>34</v>
      </c>
      <c r="B37" s="297" t="s">
        <v>52</v>
      </c>
      <c r="C37" s="222">
        <v>40165</v>
      </c>
      <c r="D37" s="223" t="s">
        <v>28</v>
      </c>
      <c r="E37" s="224">
        <v>125</v>
      </c>
      <c r="F37" s="224">
        <v>158</v>
      </c>
      <c r="G37" s="224">
        <v>4</v>
      </c>
      <c r="H37" s="207">
        <v>3099545</v>
      </c>
      <c r="I37" s="208">
        <v>280170</v>
      </c>
      <c r="J37" s="209">
        <f t="shared" si="2"/>
        <v>1773.2278481012659</v>
      </c>
      <c r="K37" s="214">
        <f t="shared" si="1"/>
        <v>11.063086697362316</v>
      </c>
      <c r="L37" s="211">
        <f>4033069.5+3582182.5+3469556.5+3099545</f>
        <v>14184353.5</v>
      </c>
      <c r="M37" s="212">
        <f>383242+338340+309119+280170</f>
        <v>1310871</v>
      </c>
      <c r="N37" s="295">
        <f t="shared" si="3"/>
        <v>10.820556332392737</v>
      </c>
      <c r="O37" s="153"/>
    </row>
    <row r="38" spans="1:15" ht="15">
      <c r="A38" s="107">
        <v>35</v>
      </c>
      <c r="B38" s="297" t="s">
        <v>52</v>
      </c>
      <c r="C38" s="222">
        <v>40165</v>
      </c>
      <c r="D38" s="225" t="s">
        <v>28</v>
      </c>
      <c r="E38" s="224">
        <v>125</v>
      </c>
      <c r="F38" s="224">
        <v>146</v>
      </c>
      <c r="G38" s="224">
        <v>6</v>
      </c>
      <c r="H38" s="220">
        <v>2751160</v>
      </c>
      <c r="I38" s="216">
        <v>261753</v>
      </c>
      <c r="J38" s="217">
        <f t="shared" si="2"/>
        <v>1792.8287671232877</v>
      </c>
      <c r="K38" s="210">
        <f t="shared" si="1"/>
        <v>10.510519459184804</v>
      </c>
      <c r="L38" s="221">
        <f>4033069.5+3582182.5+3469556.5+3099545+3107521.5+2751160</f>
        <v>20043035</v>
      </c>
      <c r="M38" s="218">
        <f>383242+338340+309119+280170+290777+261753</f>
        <v>1863401</v>
      </c>
      <c r="N38" s="296">
        <f t="shared" si="3"/>
        <v>10.756157692305628</v>
      </c>
      <c r="O38" s="166"/>
    </row>
    <row r="39" spans="1:15" ht="15">
      <c r="A39" s="107">
        <v>36</v>
      </c>
      <c r="B39" s="294" t="s">
        <v>82</v>
      </c>
      <c r="C39" s="204">
        <v>40165</v>
      </c>
      <c r="D39" s="213" t="s">
        <v>30</v>
      </c>
      <c r="E39" s="206">
        <v>38</v>
      </c>
      <c r="F39" s="206">
        <v>40</v>
      </c>
      <c r="G39" s="206">
        <v>4</v>
      </c>
      <c r="H39" s="232">
        <v>118129</v>
      </c>
      <c r="I39" s="238">
        <v>14601</v>
      </c>
      <c r="J39" s="239">
        <f>IF(H39&lt;&gt;0,I39/F39,"")</f>
        <v>365.025</v>
      </c>
      <c r="K39" s="240">
        <f>IF(H39&lt;&gt;0,H39/I39,"")</f>
        <v>8.090473255256489</v>
      </c>
      <c r="L39" s="236">
        <v>736893.5</v>
      </c>
      <c r="M39" s="228">
        <v>81207</v>
      </c>
      <c r="N39" s="302">
        <f>IF(L39&lt;&gt;0,L39/M39,"")</f>
        <v>9.074260839582795</v>
      </c>
      <c r="O39" s="152">
        <v>1</v>
      </c>
    </row>
    <row r="40" spans="1:15" ht="15">
      <c r="A40" s="107">
        <v>37</v>
      </c>
      <c r="B40" s="294" t="s">
        <v>122</v>
      </c>
      <c r="C40" s="204">
        <v>40165</v>
      </c>
      <c r="D40" s="213" t="s">
        <v>30</v>
      </c>
      <c r="E40" s="206">
        <v>38</v>
      </c>
      <c r="F40" s="206">
        <v>39</v>
      </c>
      <c r="G40" s="206">
        <v>5</v>
      </c>
      <c r="H40" s="232">
        <v>117691</v>
      </c>
      <c r="I40" s="233">
        <v>16123</v>
      </c>
      <c r="J40" s="234">
        <f>IF(H40&lt;&gt;0,I40/F40,"")</f>
        <v>413.4102564102564</v>
      </c>
      <c r="K40" s="235">
        <f>IF(H40&lt;&gt;0,H40/I40,"")</f>
        <v>7.299572039942938</v>
      </c>
      <c r="L40" s="236">
        <v>854584.5</v>
      </c>
      <c r="M40" s="237">
        <v>97330</v>
      </c>
      <c r="N40" s="301">
        <f>IF(L40&lt;&gt;0,L40/M40,"")</f>
        <v>8.780278434192951</v>
      </c>
      <c r="O40" s="166">
        <v>1</v>
      </c>
    </row>
    <row r="41" spans="1:15" ht="15">
      <c r="A41" s="107">
        <v>38</v>
      </c>
      <c r="B41" s="303" t="s">
        <v>62</v>
      </c>
      <c r="C41" s="204">
        <v>40165</v>
      </c>
      <c r="D41" s="219" t="s">
        <v>30</v>
      </c>
      <c r="E41" s="206">
        <v>38</v>
      </c>
      <c r="F41" s="206">
        <v>29</v>
      </c>
      <c r="G41" s="206">
        <v>3</v>
      </c>
      <c r="H41" s="232">
        <v>96495.25</v>
      </c>
      <c r="I41" s="238">
        <v>11131</v>
      </c>
      <c r="J41" s="239">
        <f>IF(H41&lt;&gt;0,I41/F41,"")</f>
        <v>383.82758620689657</v>
      </c>
      <c r="K41" s="235">
        <f>IF(H41&lt;&gt;0,H41/I41,"")</f>
        <v>8.669054891743778</v>
      </c>
      <c r="L41" s="236">
        <v>618764.5</v>
      </c>
      <c r="M41" s="228">
        <v>66606</v>
      </c>
      <c r="N41" s="301">
        <f>IF(L41&lt;&gt;0,L41/M41,"")</f>
        <v>9.289921328408852</v>
      </c>
      <c r="O41" s="153">
        <v>1</v>
      </c>
    </row>
    <row r="42" spans="1:15" ht="15">
      <c r="A42" s="107">
        <v>39</v>
      </c>
      <c r="B42" s="297" t="s">
        <v>82</v>
      </c>
      <c r="C42" s="222">
        <v>40165</v>
      </c>
      <c r="D42" s="225" t="s">
        <v>30</v>
      </c>
      <c r="E42" s="224">
        <v>38</v>
      </c>
      <c r="F42" s="224">
        <v>40</v>
      </c>
      <c r="G42" s="224">
        <v>6</v>
      </c>
      <c r="H42" s="220">
        <v>67039.5</v>
      </c>
      <c r="I42" s="216">
        <v>9209</v>
      </c>
      <c r="J42" s="217">
        <f>IF(H42&lt;&gt;0,I42/F42,"")</f>
        <v>230.225</v>
      </c>
      <c r="K42" s="210">
        <f>IF(H42&lt;&gt;0,H42/I42,"")</f>
        <v>7.279780649364752</v>
      </c>
      <c r="L42" s="221">
        <v>921624</v>
      </c>
      <c r="M42" s="218">
        <v>106539</v>
      </c>
      <c r="N42" s="296">
        <f>IF(L42&lt;&gt;0,L42/M42,"")</f>
        <v>8.650578661335286</v>
      </c>
      <c r="O42" s="166">
        <v>1</v>
      </c>
    </row>
    <row r="43" spans="1:15" ht="15">
      <c r="A43" s="107">
        <v>40</v>
      </c>
      <c r="B43" s="308" t="s">
        <v>154</v>
      </c>
      <c r="C43" s="222">
        <v>39850</v>
      </c>
      <c r="D43" s="260" t="s">
        <v>27</v>
      </c>
      <c r="E43" s="224">
        <v>78</v>
      </c>
      <c r="F43" s="224">
        <v>1</v>
      </c>
      <c r="G43" s="224">
        <v>48</v>
      </c>
      <c r="H43" s="226">
        <v>609</v>
      </c>
      <c r="I43" s="227">
        <v>280</v>
      </c>
      <c r="J43" s="228">
        <f>I43/F43</f>
        <v>280</v>
      </c>
      <c r="K43" s="231">
        <f>+H43/I43</f>
        <v>2.175</v>
      </c>
      <c r="L43" s="230">
        <v>905076</v>
      </c>
      <c r="M43" s="228">
        <v>98834</v>
      </c>
      <c r="N43" s="300">
        <f>+L43/M43</f>
        <v>9.157536880021045</v>
      </c>
      <c r="O43" s="152"/>
    </row>
    <row r="44" spans="1:15" ht="15">
      <c r="A44" s="107">
        <v>41</v>
      </c>
      <c r="B44" s="297" t="s">
        <v>102</v>
      </c>
      <c r="C44" s="222">
        <v>40130</v>
      </c>
      <c r="D44" s="223" t="s">
        <v>28</v>
      </c>
      <c r="E44" s="224">
        <v>13</v>
      </c>
      <c r="F44" s="224">
        <v>4</v>
      </c>
      <c r="G44" s="224">
        <v>9</v>
      </c>
      <c r="H44" s="207">
        <v>1678.5</v>
      </c>
      <c r="I44" s="208">
        <v>334</v>
      </c>
      <c r="J44" s="209">
        <f>(I44/F44)</f>
        <v>83.5</v>
      </c>
      <c r="K44" s="214">
        <f>H44/I44</f>
        <v>5.025449101796407</v>
      </c>
      <c r="L44" s="211">
        <f>61012+24426+6122+10040+4081+228+2698+1216+1678.5</f>
        <v>111501.5</v>
      </c>
      <c r="M44" s="212">
        <f>5982+2401+678+1620+879+42+433+305+334</f>
        <v>12674</v>
      </c>
      <c r="N44" s="295">
        <f>L44/M44</f>
        <v>8.797656619851665</v>
      </c>
      <c r="O44" s="153">
        <v>1</v>
      </c>
    </row>
    <row r="45" spans="1:15" ht="15">
      <c r="A45" s="107">
        <v>42</v>
      </c>
      <c r="B45" s="304" t="s">
        <v>102</v>
      </c>
      <c r="C45" s="241">
        <v>40130</v>
      </c>
      <c r="D45" s="242" t="s">
        <v>28</v>
      </c>
      <c r="E45" s="243">
        <v>13</v>
      </c>
      <c r="F45" s="243">
        <v>2</v>
      </c>
      <c r="G45" s="243">
        <v>10</v>
      </c>
      <c r="H45" s="207">
        <v>1457</v>
      </c>
      <c r="I45" s="216">
        <v>339</v>
      </c>
      <c r="J45" s="217">
        <f>(I45/F45)</f>
        <v>169.5</v>
      </c>
      <c r="K45" s="210">
        <f>H45/I45</f>
        <v>4.297935103244837</v>
      </c>
      <c r="L45" s="211">
        <f>61012+24426+6122+10040+4081+228+2698+1216+1678.5+1457</f>
        <v>112958.5</v>
      </c>
      <c r="M45" s="218">
        <f>5982+2401+678+1620+879+42+433+305+334+339</f>
        <v>13013</v>
      </c>
      <c r="N45" s="296">
        <f>L45/M45</f>
        <v>8.680434949665718</v>
      </c>
      <c r="O45" s="166">
        <v>1</v>
      </c>
    </row>
    <row r="46" spans="1:15" ht="15">
      <c r="A46" s="107">
        <v>43</v>
      </c>
      <c r="B46" s="298" t="s">
        <v>75</v>
      </c>
      <c r="C46" s="222">
        <v>40130</v>
      </c>
      <c r="D46" s="225" t="s">
        <v>28</v>
      </c>
      <c r="E46" s="224">
        <v>13</v>
      </c>
      <c r="F46" s="224">
        <v>2</v>
      </c>
      <c r="G46" s="224">
        <v>8</v>
      </c>
      <c r="H46" s="207">
        <v>1216</v>
      </c>
      <c r="I46" s="208">
        <v>305</v>
      </c>
      <c r="J46" s="209">
        <f>(I46/F46)</f>
        <v>152.5</v>
      </c>
      <c r="K46" s="210">
        <f>H46/I46</f>
        <v>3.9868852459016395</v>
      </c>
      <c r="L46" s="211">
        <f>61012+24426+6122+10040+4081+228+2698+1216</f>
        <v>109823</v>
      </c>
      <c r="M46" s="212">
        <f>5982+2401+678+1620+879+42+433+305</f>
        <v>12340</v>
      </c>
      <c r="N46" s="296">
        <f>L46/M46</f>
        <v>8.899756888168557</v>
      </c>
      <c r="O46" s="153">
        <v>1</v>
      </c>
    </row>
    <row r="47" spans="1:15" ht="15">
      <c r="A47" s="107">
        <v>44</v>
      </c>
      <c r="B47" s="297" t="s">
        <v>102</v>
      </c>
      <c r="C47" s="222">
        <v>40130</v>
      </c>
      <c r="D47" s="225" t="s">
        <v>28</v>
      </c>
      <c r="E47" s="224">
        <v>13</v>
      </c>
      <c r="F47" s="224">
        <v>1</v>
      </c>
      <c r="G47" s="224">
        <v>11</v>
      </c>
      <c r="H47" s="220">
        <v>452</v>
      </c>
      <c r="I47" s="216">
        <v>195</v>
      </c>
      <c r="J47" s="217">
        <f>(I47/F47)</f>
        <v>195</v>
      </c>
      <c r="K47" s="210">
        <f>H47/I47</f>
        <v>2.317948717948718</v>
      </c>
      <c r="L47" s="221">
        <f>61012+24426+6122+10040+4081+228+2698+1216+1678.5+1457+452</f>
        <v>113410.5</v>
      </c>
      <c r="M47" s="218">
        <f>5982+2401+678+1620+879+42+433+305+334+339+195</f>
        <v>13208</v>
      </c>
      <c r="N47" s="296">
        <f>L47/M47</f>
        <v>8.58650060569352</v>
      </c>
      <c r="O47" s="166">
        <v>1</v>
      </c>
    </row>
    <row r="48" spans="1:15" ht="15">
      <c r="A48" s="107">
        <v>45</v>
      </c>
      <c r="B48" s="294" t="s">
        <v>109</v>
      </c>
      <c r="C48" s="204">
        <v>40158</v>
      </c>
      <c r="D48" s="213" t="s">
        <v>30</v>
      </c>
      <c r="E48" s="206">
        <v>6</v>
      </c>
      <c r="F48" s="206">
        <v>3</v>
      </c>
      <c r="G48" s="206">
        <v>4</v>
      </c>
      <c r="H48" s="232">
        <v>1098</v>
      </c>
      <c r="I48" s="238">
        <v>177</v>
      </c>
      <c r="J48" s="239">
        <f>IF(H48&lt;&gt;0,I48/F48,"")</f>
        <v>59</v>
      </c>
      <c r="K48" s="240">
        <f>IF(H48&lt;&gt;0,H48/I48,"")</f>
        <v>6.203389830508475</v>
      </c>
      <c r="L48" s="236">
        <v>48973</v>
      </c>
      <c r="M48" s="228">
        <v>4330</v>
      </c>
      <c r="N48" s="302">
        <f>IF(L48&lt;&gt;0,L48/M48,"")</f>
        <v>11.310161662817553</v>
      </c>
      <c r="O48" s="152"/>
    </row>
    <row r="49" spans="1:15" ht="15">
      <c r="A49" s="107">
        <v>46</v>
      </c>
      <c r="B49" s="294" t="s">
        <v>109</v>
      </c>
      <c r="C49" s="204">
        <v>40158</v>
      </c>
      <c r="D49" s="213" t="s">
        <v>30</v>
      </c>
      <c r="E49" s="206">
        <v>6</v>
      </c>
      <c r="F49" s="206">
        <v>4</v>
      </c>
      <c r="G49" s="206">
        <v>5</v>
      </c>
      <c r="H49" s="232">
        <v>442</v>
      </c>
      <c r="I49" s="233">
        <v>69</v>
      </c>
      <c r="J49" s="234">
        <f>IF(H49&lt;&gt;0,I49/F49,"")</f>
        <v>17.25</v>
      </c>
      <c r="K49" s="235">
        <f>IF(H49&lt;&gt;0,H49/I49,"")</f>
        <v>6.405797101449275</v>
      </c>
      <c r="L49" s="236">
        <v>49415</v>
      </c>
      <c r="M49" s="237">
        <v>4399</v>
      </c>
      <c r="N49" s="301">
        <f>IF(L49&lt;&gt;0,L49/M49,"")</f>
        <v>11.23323482609684</v>
      </c>
      <c r="O49" s="166"/>
    </row>
    <row r="50" spans="1:15" ht="15">
      <c r="A50" s="107">
        <v>47</v>
      </c>
      <c r="B50" s="294" t="s">
        <v>149</v>
      </c>
      <c r="C50" s="204">
        <v>40074</v>
      </c>
      <c r="D50" s="213" t="s">
        <v>30</v>
      </c>
      <c r="E50" s="206">
        <v>65</v>
      </c>
      <c r="F50" s="206">
        <v>2</v>
      </c>
      <c r="G50" s="206">
        <v>11</v>
      </c>
      <c r="H50" s="232">
        <v>448</v>
      </c>
      <c r="I50" s="233">
        <v>83</v>
      </c>
      <c r="J50" s="234">
        <f>IF(H50&lt;&gt;0,I50/F50,"")</f>
        <v>41.5</v>
      </c>
      <c r="K50" s="235">
        <f>IF(H50&lt;&gt;0,H50/I50,"")</f>
        <v>5.397590361445783</v>
      </c>
      <c r="L50" s="236">
        <v>558893</v>
      </c>
      <c r="M50" s="237">
        <v>62285</v>
      </c>
      <c r="N50" s="301">
        <f>IF(L50&lt;&gt;0,L50/M50,"")</f>
        <v>8.973155655454764</v>
      </c>
      <c r="O50" s="166"/>
    </row>
    <row r="51" spans="1:15" ht="15">
      <c r="A51" s="107">
        <v>48</v>
      </c>
      <c r="B51" s="308" t="s">
        <v>46</v>
      </c>
      <c r="C51" s="222">
        <v>40137</v>
      </c>
      <c r="D51" s="260" t="s">
        <v>27</v>
      </c>
      <c r="E51" s="224">
        <v>61</v>
      </c>
      <c r="F51" s="224">
        <v>4</v>
      </c>
      <c r="G51" s="224">
        <v>8</v>
      </c>
      <c r="H51" s="226">
        <v>2148</v>
      </c>
      <c r="I51" s="227">
        <v>594</v>
      </c>
      <c r="J51" s="228">
        <f aca="true" t="shared" si="4" ref="J51:J57">I51/F51</f>
        <v>148.5</v>
      </c>
      <c r="K51" s="231">
        <f>+H51/I51</f>
        <v>3.6161616161616164</v>
      </c>
      <c r="L51" s="230">
        <v>458401</v>
      </c>
      <c r="M51" s="228">
        <v>42433</v>
      </c>
      <c r="N51" s="300">
        <f aca="true" t="shared" si="5" ref="N51:N57">+L51/M51</f>
        <v>10.802936393844414</v>
      </c>
      <c r="O51" s="152"/>
    </row>
    <row r="52" spans="1:15" ht="15">
      <c r="A52" s="107">
        <v>49</v>
      </c>
      <c r="B52" s="308" t="s">
        <v>46</v>
      </c>
      <c r="C52" s="222">
        <v>40137</v>
      </c>
      <c r="D52" s="260" t="s">
        <v>27</v>
      </c>
      <c r="E52" s="224">
        <v>61</v>
      </c>
      <c r="F52" s="224">
        <v>1</v>
      </c>
      <c r="G52" s="224">
        <v>9</v>
      </c>
      <c r="H52" s="226">
        <v>989</v>
      </c>
      <c r="I52" s="258">
        <v>157</v>
      </c>
      <c r="J52" s="237">
        <f t="shared" si="4"/>
        <v>157</v>
      </c>
      <c r="K52" s="229">
        <f>+H52/I52</f>
        <v>6.2993630573248405</v>
      </c>
      <c r="L52" s="230">
        <v>459390</v>
      </c>
      <c r="M52" s="237">
        <v>42590</v>
      </c>
      <c r="N52" s="299">
        <f t="shared" si="5"/>
        <v>10.786334820380372</v>
      </c>
      <c r="O52" s="166"/>
    </row>
    <row r="53" spans="1:15" ht="15">
      <c r="A53" s="107">
        <v>50</v>
      </c>
      <c r="B53" s="309" t="s">
        <v>46</v>
      </c>
      <c r="C53" s="261">
        <v>40137</v>
      </c>
      <c r="D53" s="262" t="s">
        <v>27</v>
      </c>
      <c r="E53" s="263">
        <v>61</v>
      </c>
      <c r="F53" s="263">
        <v>1</v>
      </c>
      <c r="G53" s="263">
        <v>7</v>
      </c>
      <c r="H53" s="264">
        <v>768</v>
      </c>
      <c r="I53" s="265">
        <v>63</v>
      </c>
      <c r="J53" s="266">
        <f t="shared" si="4"/>
        <v>63</v>
      </c>
      <c r="K53" s="267">
        <f>+H53/I53</f>
        <v>12.19047619047619</v>
      </c>
      <c r="L53" s="268">
        <v>456253</v>
      </c>
      <c r="M53" s="266">
        <v>41839</v>
      </c>
      <c r="N53" s="310">
        <f t="shared" si="5"/>
        <v>10.9049690480174</v>
      </c>
      <c r="O53" s="153"/>
    </row>
    <row r="54" spans="1:15" ht="15">
      <c r="A54" s="107">
        <v>51</v>
      </c>
      <c r="B54" s="294" t="s">
        <v>47</v>
      </c>
      <c r="C54" s="204">
        <v>40137</v>
      </c>
      <c r="D54" s="215" t="s">
        <v>26</v>
      </c>
      <c r="E54" s="206">
        <v>20</v>
      </c>
      <c r="F54" s="206">
        <v>2</v>
      </c>
      <c r="G54" s="206">
        <v>9</v>
      </c>
      <c r="H54" s="207">
        <v>10063</v>
      </c>
      <c r="I54" s="216">
        <v>1265</v>
      </c>
      <c r="J54" s="217">
        <f t="shared" si="4"/>
        <v>632.5</v>
      </c>
      <c r="K54" s="210">
        <f aca="true" t="shared" si="6" ref="K54:K59">H54/I54</f>
        <v>7.95494071146245</v>
      </c>
      <c r="L54" s="211">
        <f>997860+4193+617+10063</f>
        <v>1012733</v>
      </c>
      <c r="M54" s="218">
        <f>81544+595+106+1265</f>
        <v>83510</v>
      </c>
      <c r="N54" s="296">
        <f t="shared" si="5"/>
        <v>12.12708657645791</v>
      </c>
      <c r="O54" s="166"/>
    </row>
    <row r="55" spans="1:15" ht="15">
      <c r="A55" s="107">
        <v>52</v>
      </c>
      <c r="B55" s="294" t="s">
        <v>47</v>
      </c>
      <c r="C55" s="204">
        <v>40137</v>
      </c>
      <c r="D55" s="219" t="s">
        <v>26</v>
      </c>
      <c r="E55" s="206">
        <v>20</v>
      </c>
      <c r="F55" s="206">
        <v>2</v>
      </c>
      <c r="G55" s="206">
        <v>10</v>
      </c>
      <c r="H55" s="220">
        <v>7010</v>
      </c>
      <c r="I55" s="216">
        <v>874</v>
      </c>
      <c r="J55" s="217">
        <f t="shared" si="4"/>
        <v>437</v>
      </c>
      <c r="K55" s="210">
        <f t="shared" si="6"/>
        <v>8.020594965675057</v>
      </c>
      <c r="L55" s="221">
        <f>997860+4193+617+10063+7010</f>
        <v>1019743</v>
      </c>
      <c r="M55" s="218">
        <f>81544+595+106+1265+874</f>
        <v>84384</v>
      </c>
      <c r="N55" s="296">
        <f t="shared" si="5"/>
        <v>12.084553943875616</v>
      </c>
      <c r="O55" s="166"/>
    </row>
    <row r="56" spans="1:15" ht="15">
      <c r="A56" s="107">
        <v>53</v>
      </c>
      <c r="B56" s="303" t="s">
        <v>47</v>
      </c>
      <c r="C56" s="204">
        <v>40137</v>
      </c>
      <c r="D56" s="205" t="s">
        <v>26</v>
      </c>
      <c r="E56" s="206">
        <v>20</v>
      </c>
      <c r="F56" s="206">
        <v>1</v>
      </c>
      <c r="G56" s="206">
        <v>7</v>
      </c>
      <c r="H56" s="207">
        <v>4193</v>
      </c>
      <c r="I56" s="208">
        <v>595</v>
      </c>
      <c r="J56" s="209">
        <f t="shared" si="4"/>
        <v>595</v>
      </c>
      <c r="K56" s="210">
        <f t="shared" si="6"/>
        <v>7.047058823529412</v>
      </c>
      <c r="L56" s="211">
        <f>997860+4193</f>
        <v>1002053</v>
      </c>
      <c r="M56" s="212">
        <f>81544+595</f>
        <v>82139</v>
      </c>
      <c r="N56" s="296">
        <f t="shared" si="5"/>
        <v>12.1994789320542</v>
      </c>
      <c r="O56" s="153"/>
    </row>
    <row r="57" spans="1:15" ht="15">
      <c r="A57" s="107">
        <v>54</v>
      </c>
      <c r="B57" s="294" t="s">
        <v>47</v>
      </c>
      <c r="C57" s="204">
        <v>40137</v>
      </c>
      <c r="D57" s="213" t="s">
        <v>26</v>
      </c>
      <c r="E57" s="206">
        <v>20</v>
      </c>
      <c r="F57" s="206">
        <v>1</v>
      </c>
      <c r="G57" s="206">
        <v>8</v>
      </c>
      <c r="H57" s="207">
        <v>617</v>
      </c>
      <c r="I57" s="208">
        <v>106</v>
      </c>
      <c r="J57" s="209">
        <f t="shared" si="4"/>
        <v>106</v>
      </c>
      <c r="K57" s="214">
        <f t="shared" si="6"/>
        <v>5.820754716981132</v>
      </c>
      <c r="L57" s="211">
        <f>997860+4193+617</f>
        <v>1002670</v>
      </c>
      <c r="M57" s="212">
        <f>81544+595+106</f>
        <v>82245</v>
      </c>
      <c r="N57" s="295">
        <f t="shared" si="5"/>
        <v>12.19125782722354</v>
      </c>
      <c r="O57" s="152"/>
    </row>
    <row r="58" spans="1:15" ht="15">
      <c r="A58" s="107">
        <v>55</v>
      </c>
      <c r="B58" s="297" t="s">
        <v>111</v>
      </c>
      <c r="C58" s="222">
        <v>40102</v>
      </c>
      <c r="D58" s="223" t="s">
        <v>28</v>
      </c>
      <c r="E58" s="224">
        <v>22</v>
      </c>
      <c r="F58" s="224">
        <v>1</v>
      </c>
      <c r="G58" s="224">
        <v>6</v>
      </c>
      <c r="H58" s="207">
        <v>1081.5</v>
      </c>
      <c r="I58" s="208">
        <v>369</v>
      </c>
      <c r="J58" s="209">
        <f>(I58/F58)</f>
        <v>369</v>
      </c>
      <c r="K58" s="214">
        <f t="shared" si="6"/>
        <v>2.930894308943089</v>
      </c>
      <c r="L58" s="211">
        <f>129717.5+110957+18478+6527+6853.5+1081.5</f>
        <v>273614.5</v>
      </c>
      <c r="M58" s="212">
        <f>10402+8975+1885+691+1109+369</f>
        <v>23431</v>
      </c>
      <c r="N58" s="295">
        <f>L58/M58</f>
        <v>11.677457214800905</v>
      </c>
      <c r="O58" s="153"/>
    </row>
    <row r="59" spans="1:15" ht="15">
      <c r="A59" s="107">
        <v>56</v>
      </c>
      <c r="B59" s="304" t="s">
        <v>111</v>
      </c>
      <c r="C59" s="241">
        <v>40102</v>
      </c>
      <c r="D59" s="242" t="s">
        <v>28</v>
      </c>
      <c r="E59" s="243">
        <v>22</v>
      </c>
      <c r="F59" s="243">
        <v>2</v>
      </c>
      <c r="G59" s="243">
        <v>7</v>
      </c>
      <c r="H59" s="207">
        <v>738.5</v>
      </c>
      <c r="I59" s="216">
        <v>262</v>
      </c>
      <c r="J59" s="217">
        <f>(I59/F59)</f>
        <v>131</v>
      </c>
      <c r="K59" s="210">
        <f t="shared" si="6"/>
        <v>2.818702290076336</v>
      </c>
      <c r="L59" s="211">
        <f>129717.5+110957+18478+6527+6853.5+1081.5+738.5</f>
        <v>274353</v>
      </c>
      <c r="M59" s="218">
        <f>10402+8975+1885+691+1109+369+262</f>
        <v>23693</v>
      </c>
      <c r="N59" s="296">
        <f>L59/M59</f>
        <v>11.579496053686743</v>
      </c>
      <c r="O59" s="166"/>
    </row>
    <row r="60" spans="1:15" ht="15">
      <c r="A60" s="107">
        <v>57</v>
      </c>
      <c r="B60" s="309" t="s">
        <v>53</v>
      </c>
      <c r="C60" s="261">
        <v>40172</v>
      </c>
      <c r="D60" s="262" t="s">
        <v>27</v>
      </c>
      <c r="E60" s="263">
        <v>51</v>
      </c>
      <c r="F60" s="263">
        <v>51</v>
      </c>
      <c r="G60" s="263">
        <v>2</v>
      </c>
      <c r="H60" s="264">
        <v>175309</v>
      </c>
      <c r="I60" s="265">
        <v>14721</v>
      </c>
      <c r="J60" s="266">
        <f>I60/F60</f>
        <v>288.6470588235294</v>
      </c>
      <c r="K60" s="267">
        <f>+H60/I60</f>
        <v>11.908769784661368</v>
      </c>
      <c r="L60" s="268">
        <v>448889</v>
      </c>
      <c r="M60" s="266">
        <v>39522</v>
      </c>
      <c r="N60" s="310">
        <f>+L60/M60</f>
        <v>11.35795253276656</v>
      </c>
      <c r="O60" s="153"/>
    </row>
    <row r="61" spans="1:15" ht="15">
      <c r="A61" s="107">
        <v>58</v>
      </c>
      <c r="B61" s="308" t="s">
        <v>53</v>
      </c>
      <c r="C61" s="222">
        <v>40172</v>
      </c>
      <c r="D61" s="260" t="s">
        <v>27</v>
      </c>
      <c r="E61" s="224">
        <v>51</v>
      </c>
      <c r="F61" s="224">
        <v>38</v>
      </c>
      <c r="G61" s="224">
        <v>3</v>
      </c>
      <c r="H61" s="226">
        <v>69657</v>
      </c>
      <c r="I61" s="227">
        <v>6224</v>
      </c>
      <c r="J61" s="228">
        <f>I61/F61</f>
        <v>163.78947368421052</v>
      </c>
      <c r="K61" s="231">
        <f>+H61/I61</f>
        <v>11.19167737789203</v>
      </c>
      <c r="L61" s="230">
        <v>518546</v>
      </c>
      <c r="M61" s="228">
        <v>45746</v>
      </c>
      <c r="N61" s="300">
        <f>+L61/M61</f>
        <v>11.335329864906221</v>
      </c>
      <c r="O61" s="152"/>
    </row>
    <row r="62" spans="1:15" ht="15">
      <c r="A62" s="107">
        <v>59</v>
      </c>
      <c r="B62" s="311" t="s">
        <v>53</v>
      </c>
      <c r="C62" s="222">
        <v>40172</v>
      </c>
      <c r="D62" s="260" t="s">
        <v>27</v>
      </c>
      <c r="E62" s="224">
        <v>51</v>
      </c>
      <c r="F62" s="224">
        <v>12</v>
      </c>
      <c r="G62" s="224">
        <v>4</v>
      </c>
      <c r="H62" s="226">
        <v>8478</v>
      </c>
      <c r="I62" s="258">
        <v>1260</v>
      </c>
      <c r="J62" s="237">
        <f>I62/F62</f>
        <v>105</v>
      </c>
      <c r="K62" s="229">
        <f>+H62/I62</f>
        <v>6.728571428571429</v>
      </c>
      <c r="L62" s="230">
        <v>527024</v>
      </c>
      <c r="M62" s="237">
        <v>47006</v>
      </c>
      <c r="N62" s="299">
        <f>+L62/M62</f>
        <v>11.211845296345148</v>
      </c>
      <c r="O62" s="166"/>
    </row>
    <row r="63" spans="1:15" ht="15">
      <c r="A63" s="107">
        <v>60</v>
      </c>
      <c r="B63" s="308" t="s">
        <v>53</v>
      </c>
      <c r="C63" s="222">
        <v>40172</v>
      </c>
      <c r="D63" s="269" t="s">
        <v>27</v>
      </c>
      <c r="E63" s="224">
        <v>51</v>
      </c>
      <c r="F63" s="224">
        <v>1</v>
      </c>
      <c r="G63" s="224">
        <v>5</v>
      </c>
      <c r="H63" s="257">
        <v>1239</v>
      </c>
      <c r="I63" s="258">
        <v>177</v>
      </c>
      <c r="J63" s="237">
        <f>I63/F63</f>
        <v>177</v>
      </c>
      <c r="K63" s="229">
        <f>+H63/I63</f>
        <v>7</v>
      </c>
      <c r="L63" s="259">
        <v>528263</v>
      </c>
      <c r="M63" s="237">
        <v>47183</v>
      </c>
      <c r="N63" s="299">
        <f>+L63/M63</f>
        <v>11.19604518576606</v>
      </c>
      <c r="O63" s="166"/>
    </row>
    <row r="64" spans="1:15" ht="15">
      <c r="A64" s="107">
        <v>61</v>
      </c>
      <c r="B64" s="298" t="s">
        <v>57</v>
      </c>
      <c r="C64" s="222">
        <v>40172</v>
      </c>
      <c r="D64" s="225" t="s">
        <v>41</v>
      </c>
      <c r="E64" s="224">
        <v>196</v>
      </c>
      <c r="F64" s="224">
        <v>196</v>
      </c>
      <c r="G64" s="224">
        <v>2</v>
      </c>
      <c r="H64" s="226">
        <v>546264.5</v>
      </c>
      <c r="I64" s="227">
        <v>66898</v>
      </c>
      <c r="J64" s="239">
        <f>IF(H64&lt;&gt;0,I64/F64,"")</f>
        <v>341.31632653061223</v>
      </c>
      <c r="K64" s="235">
        <f>IF(H64&lt;&gt;0,H64/I64,"")</f>
        <v>8.165632754342433</v>
      </c>
      <c r="L64" s="230">
        <f>821982.75+546264.5</f>
        <v>1368247.25</v>
      </c>
      <c r="M64" s="228">
        <f>109740+66898</f>
        <v>176638</v>
      </c>
      <c r="N64" s="301">
        <f>IF(L64&lt;&gt;0,L64/M64,"")</f>
        <v>7.746052661375242</v>
      </c>
      <c r="O64" s="153">
        <v>1</v>
      </c>
    </row>
    <row r="65" spans="1:15" ht="15">
      <c r="A65" s="107">
        <v>62</v>
      </c>
      <c r="B65" s="297" t="s">
        <v>78</v>
      </c>
      <c r="C65" s="222">
        <v>40172</v>
      </c>
      <c r="D65" s="223" t="s">
        <v>41</v>
      </c>
      <c r="E65" s="224">
        <v>196</v>
      </c>
      <c r="F65" s="224">
        <v>183</v>
      </c>
      <c r="G65" s="224">
        <v>3</v>
      </c>
      <c r="H65" s="226">
        <v>300546.5</v>
      </c>
      <c r="I65" s="227">
        <v>39464</v>
      </c>
      <c r="J65" s="228">
        <f>I65/F65</f>
        <v>215.65027322404373</v>
      </c>
      <c r="K65" s="231">
        <f>+H65/I65</f>
        <v>7.615713054936144</v>
      </c>
      <c r="L65" s="230">
        <f>821982.75+546264.5+300546.5</f>
        <v>1668793.75</v>
      </c>
      <c r="M65" s="228">
        <f>109740+66898+39464</f>
        <v>216102</v>
      </c>
      <c r="N65" s="300">
        <f>+L65/M65</f>
        <v>7.722250372509278</v>
      </c>
      <c r="O65" s="152">
        <v>1</v>
      </c>
    </row>
    <row r="66" spans="1:15" ht="15">
      <c r="A66" s="107">
        <v>63</v>
      </c>
      <c r="B66" s="297" t="s">
        <v>121</v>
      </c>
      <c r="C66" s="222">
        <v>40172</v>
      </c>
      <c r="D66" s="223" t="s">
        <v>41</v>
      </c>
      <c r="E66" s="224">
        <v>196</v>
      </c>
      <c r="F66" s="224">
        <v>148</v>
      </c>
      <c r="G66" s="224">
        <v>4</v>
      </c>
      <c r="H66" s="226">
        <v>218412</v>
      </c>
      <c r="I66" s="258">
        <v>31918</v>
      </c>
      <c r="J66" s="234">
        <f>+I66/F66</f>
        <v>215.66216216216216</v>
      </c>
      <c r="K66" s="235">
        <f>+H66/I66</f>
        <v>6.842909956764208</v>
      </c>
      <c r="L66" s="230">
        <f>821982.75+546264.5+300546.5+218412</f>
        <v>1887205.75</v>
      </c>
      <c r="M66" s="237">
        <f>109740+66898+39464+31918</f>
        <v>248020</v>
      </c>
      <c r="N66" s="299">
        <f>+L66/M66</f>
        <v>7.609086968792839</v>
      </c>
      <c r="O66" s="166">
        <v>1</v>
      </c>
    </row>
    <row r="67" spans="1:15" ht="15">
      <c r="A67" s="107">
        <v>64</v>
      </c>
      <c r="B67" s="297" t="s">
        <v>121</v>
      </c>
      <c r="C67" s="222">
        <v>40172</v>
      </c>
      <c r="D67" s="219" t="s">
        <v>41</v>
      </c>
      <c r="E67" s="224">
        <v>196</v>
      </c>
      <c r="F67" s="224">
        <v>25</v>
      </c>
      <c r="G67" s="224">
        <v>5</v>
      </c>
      <c r="H67" s="257">
        <v>49105</v>
      </c>
      <c r="I67" s="258">
        <v>7919</v>
      </c>
      <c r="J67" s="217">
        <f>I67/F67</f>
        <v>316.76</v>
      </c>
      <c r="K67" s="210">
        <f>H67/I67</f>
        <v>6.2009092057077915</v>
      </c>
      <c r="L67" s="259">
        <f>821982.75+546264.5+300546.5+218412+49105</f>
        <v>1936310.75</v>
      </c>
      <c r="M67" s="237">
        <f>109740+66898+39464+31918+7910</f>
        <v>255930</v>
      </c>
      <c r="N67" s="296">
        <f>+L67/M67</f>
        <v>7.565782635876998</v>
      </c>
      <c r="O67" s="166">
        <v>1</v>
      </c>
    </row>
    <row r="68" spans="1:15" ht="15">
      <c r="A68" s="107">
        <v>65</v>
      </c>
      <c r="B68" s="307" t="s">
        <v>133</v>
      </c>
      <c r="C68" s="204">
        <v>39920</v>
      </c>
      <c r="D68" s="270" t="s">
        <v>3</v>
      </c>
      <c r="E68" s="245">
        <v>132</v>
      </c>
      <c r="F68" s="245">
        <v>3</v>
      </c>
      <c r="G68" s="245">
        <v>19</v>
      </c>
      <c r="H68" s="271">
        <v>2655</v>
      </c>
      <c r="I68" s="272">
        <v>531</v>
      </c>
      <c r="J68" s="234">
        <f>+I68/F68</f>
        <v>177</v>
      </c>
      <c r="K68" s="235">
        <f>+H68/I68</f>
        <v>5</v>
      </c>
      <c r="L68" s="273">
        <v>914710</v>
      </c>
      <c r="M68" s="274">
        <v>117082</v>
      </c>
      <c r="N68" s="301">
        <f>+L68/M68</f>
        <v>7.812558719529902</v>
      </c>
      <c r="O68" s="166">
        <v>1</v>
      </c>
    </row>
    <row r="69" spans="1:15" ht="15">
      <c r="A69" s="107">
        <v>66</v>
      </c>
      <c r="B69" s="297" t="s">
        <v>150</v>
      </c>
      <c r="C69" s="222">
        <v>39926</v>
      </c>
      <c r="D69" s="270" t="s">
        <v>28</v>
      </c>
      <c r="E69" s="224">
        <v>40</v>
      </c>
      <c r="F69" s="224">
        <v>1</v>
      </c>
      <c r="G69" s="224">
        <v>32</v>
      </c>
      <c r="H69" s="207">
        <v>256</v>
      </c>
      <c r="I69" s="216">
        <v>64</v>
      </c>
      <c r="J69" s="217">
        <f>(I69/F69)</f>
        <v>64</v>
      </c>
      <c r="K69" s="210">
        <f>H69/I69</f>
        <v>4</v>
      </c>
      <c r="L69" s="211">
        <f>35864.5+53058.5+35303.5+15734.5+12778.5+9687.5+8045+13953.5+10307+6140.75+1296+667+231+755+1970+2246+752.5+591.5+130+445+2051+750+1477+2060+1816+47+72+84+378+2301+1280+700+256</f>
        <v>223229.25</v>
      </c>
      <c r="M69" s="218">
        <f>3971+5771+3969+2398+2257+2131+1634+2509+1783+912+230+126+48+181+472+311+114+91+20+78+493+183+365+462+452+9+24+28+94+494+182+115+64</f>
        <v>31971</v>
      </c>
      <c r="N69" s="296">
        <f>L69/M69</f>
        <v>6.982241719057896</v>
      </c>
      <c r="O69" s="166"/>
    </row>
    <row r="70" spans="1:15" ht="15">
      <c r="A70" s="107">
        <v>67</v>
      </c>
      <c r="B70" s="294" t="s">
        <v>43</v>
      </c>
      <c r="C70" s="204">
        <v>40123</v>
      </c>
      <c r="D70" s="213" t="s">
        <v>30</v>
      </c>
      <c r="E70" s="206">
        <v>58</v>
      </c>
      <c r="F70" s="206">
        <v>7</v>
      </c>
      <c r="G70" s="206">
        <v>9</v>
      </c>
      <c r="H70" s="232">
        <v>2843</v>
      </c>
      <c r="I70" s="238">
        <v>406</v>
      </c>
      <c r="J70" s="239">
        <f>IF(H70&lt;&gt;0,I70/F70,"")</f>
        <v>58</v>
      </c>
      <c r="K70" s="240">
        <f>IF(H70&lt;&gt;0,H70/I70,"")</f>
        <v>7.002463054187192</v>
      </c>
      <c r="L70" s="236">
        <v>471356.75</v>
      </c>
      <c r="M70" s="228">
        <v>45156</v>
      </c>
      <c r="N70" s="302">
        <f>IF(L70&lt;&gt;0,L70/M70,"")</f>
        <v>10.438407963504297</v>
      </c>
      <c r="O70" s="152"/>
    </row>
    <row r="71" spans="1:15" ht="15">
      <c r="A71" s="107">
        <v>68</v>
      </c>
      <c r="B71" s="294" t="s">
        <v>43</v>
      </c>
      <c r="C71" s="204">
        <v>40123</v>
      </c>
      <c r="D71" s="213" t="s">
        <v>30</v>
      </c>
      <c r="E71" s="206">
        <v>58</v>
      </c>
      <c r="F71" s="206">
        <v>4</v>
      </c>
      <c r="G71" s="206">
        <v>10</v>
      </c>
      <c r="H71" s="232">
        <v>1180</v>
      </c>
      <c r="I71" s="233">
        <v>202</v>
      </c>
      <c r="J71" s="234">
        <f>IF(H71&lt;&gt;0,I71/F71,"")</f>
        <v>50.5</v>
      </c>
      <c r="K71" s="235">
        <f>IF(H71&lt;&gt;0,H71/I71,"")</f>
        <v>5.841584158415841</v>
      </c>
      <c r="L71" s="236">
        <v>472536.75</v>
      </c>
      <c r="M71" s="237">
        <v>45358</v>
      </c>
      <c r="N71" s="301">
        <f>IF(L71&lt;&gt;0,L71/M71,"")</f>
        <v>10.417936196481326</v>
      </c>
      <c r="O71" s="166"/>
    </row>
    <row r="72" spans="1:15" ht="15">
      <c r="A72" s="107">
        <v>69</v>
      </c>
      <c r="B72" s="303" t="s">
        <v>43</v>
      </c>
      <c r="C72" s="204">
        <v>40123</v>
      </c>
      <c r="D72" s="219" t="s">
        <v>30</v>
      </c>
      <c r="E72" s="206">
        <v>58</v>
      </c>
      <c r="F72" s="206">
        <v>1</v>
      </c>
      <c r="G72" s="206">
        <v>8</v>
      </c>
      <c r="H72" s="232">
        <v>414</v>
      </c>
      <c r="I72" s="238">
        <v>83</v>
      </c>
      <c r="J72" s="239">
        <f>IF(H72&lt;&gt;0,I72/F72,"")</f>
        <v>83</v>
      </c>
      <c r="K72" s="235">
        <f>IF(H72&lt;&gt;0,H72/I72,"")</f>
        <v>4.9879518072289155</v>
      </c>
      <c r="L72" s="236">
        <v>468513.75</v>
      </c>
      <c r="M72" s="228">
        <v>44750</v>
      </c>
      <c r="N72" s="301">
        <f>IF(L72&lt;&gt;0,L72/M72,"")</f>
        <v>10.469581005586592</v>
      </c>
      <c r="O72" s="153"/>
    </row>
    <row r="73" spans="1:15" ht="15">
      <c r="A73" s="107">
        <v>70</v>
      </c>
      <c r="B73" s="297" t="s">
        <v>43</v>
      </c>
      <c r="C73" s="222">
        <v>40123</v>
      </c>
      <c r="D73" s="225" t="s">
        <v>30</v>
      </c>
      <c r="E73" s="224">
        <v>58</v>
      </c>
      <c r="F73" s="224">
        <v>4</v>
      </c>
      <c r="G73" s="224">
        <v>11</v>
      </c>
      <c r="H73" s="220">
        <v>370</v>
      </c>
      <c r="I73" s="216">
        <v>74</v>
      </c>
      <c r="J73" s="217">
        <f>IF(H73&lt;&gt;0,I73/F73,"")</f>
        <v>18.5</v>
      </c>
      <c r="K73" s="210">
        <f>IF(H73&lt;&gt;0,H73/I73,"")</f>
        <v>5</v>
      </c>
      <c r="L73" s="221">
        <v>472906.75</v>
      </c>
      <c r="M73" s="218">
        <v>45432</v>
      </c>
      <c r="N73" s="296">
        <f>IF(L73&lt;&gt;0,L73/M73,"")</f>
        <v>10.409111419263954</v>
      </c>
      <c r="O73" s="166"/>
    </row>
    <row r="74" spans="1:15" ht="15">
      <c r="A74" s="107">
        <v>71</v>
      </c>
      <c r="B74" s="297" t="s">
        <v>48</v>
      </c>
      <c r="C74" s="222">
        <v>40151</v>
      </c>
      <c r="D74" s="223" t="s">
        <v>28</v>
      </c>
      <c r="E74" s="224">
        <v>8</v>
      </c>
      <c r="F74" s="224">
        <v>7</v>
      </c>
      <c r="G74" s="224">
        <v>6</v>
      </c>
      <c r="H74" s="207">
        <v>4958.5</v>
      </c>
      <c r="I74" s="208">
        <v>693</v>
      </c>
      <c r="J74" s="209">
        <f>(I74/F74)</f>
        <v>99</v>
      </c>
      <c r="K74" s="214">
        <f>H74/I74</f>
        <v>7.155122655122655</v>
      </c>
      <c r="L74" s="211">
        <f>69195.5+29540+2797+8009+1473.5+4958.5</f>
        <v>115973.5</v>
      </c>
      <c r="M74" s="212">
        <f>5170+2208+292+904+296+693</f>
        <v>9563</v>
      </c>
      <c r="N74" s="295">
        <f>L74/M74</f>
        <v>12.127313604517411</v>
      </c>
      <c r="O74" s="153"/>
    </row>
    <row r="75" spans="1:15" ht="15">
      <c r="A75" s="107">
        <v>72</v>
      </c>
      <c r="B75" s="304" t="s">
        <v>48</v>
      </c>
      <c r="C75" s="241">
        <v>40151</v>
      </c>
      <c r="D75" s="242" t="s">
        <v>28</v>
      </c>
      <c r="E75" s="243">
        <v>8</v>
      </c>
      <c r="F75" s="243">
        <v>6</v>
      </c>
      <c r="G75" s="243">
        <v>7</v>
      </c>
      <c r="H75" s="207">
        <v>4691.5</v>
      </c>
      <c r="I75" s="216">
        <v>949</v>
      </c>
      <c r="J75" s="217">
        <f>(I75/F75)</f>
        <v>158.16666666666666</v>
      </c>
      <c r="K75" s="210">
        <f>H75/I75</f>
        <v>4.943624868282402</v>
      </c>
      <c r="L75" s="211">
        <f>69195.5+29540+2797+8009+1473.5+4958.5+4691.5</f>
        <v>120665</v>
      </c>
      <c r="M75" s="218">
        <f>5170+2208+292+904+296+693+949</f>
        <v>10512</v>
      </c>
      <c r="N75" s="296">
        <f>L75/M75</f>
        <v>11.478786149162861</v>
      </c>
      <c r="O75" s="166"/>
    </row>
    <row r="76" spans="1:15" ht="15">
      <c r="A76" s="107">
        <v>73</v>
      </c>
      <c r="B76" s="298" t="s">
        <v>48</v>
      </c>
      <c r="C76" s="222">
        <v>40151</v>
      </c>
      <c r="D76" s="225" t="s">
        <v>28</v>
      </c>
      <c r="E76" s="224">
        <v>8</v>
      </c>
      <c r="F76" s="224">
        <v>3</v>
      </c>
      <c r="G76" s="224">
        <v>5</v>
      </c>
      <c r="H76" s="207">
        <v>1473.5</v>
      </c>
      <c r="I76" s="208">
        <v>296</v>
      </c>
      <c r="J76" s="209">
        <f>(I76/F76)</f>
        <v>98.66666666666667</v>
      </c>
      <c r="K76" s="210">
        <f>H76/I76</f>
        <v>4.97804054054054</v>
      </c>
      <c r="L76" s="211">
        <f>69195.5+29540+2797+8009+1473.5</f>
        <v>111015</v>
      </c>
      <c r="M76" s="212">
        <f>5170+2208+292+904+296</f>
        <v>8870</v>
      </c>
      <c r="N76" s="296">
        <f>L76/M76</f>
        <v>12.515783540022548</v>
      </c>
      <c r="O76" s="153"/>
    </row>
    <row r="77" spans="1:15" ht="15">
      <c r="A77" s="107">
        <v>74</v>
      </c>
      <c r="B77" s="297" t="s">
        <v>48</v>
      </c>
      <c r="C77" s="222">
        <v>40151</v>
      </c>
      <c r="D77" s="225" t="s">
        <v>28</v>
      </c>
      <c r="E77" s="224">
        <v>8</v>
      </c>
      <c r="F77" s="224">
        <v>1</v>
      </c>
      <c r="G77" s="224">
        <v>8</v>
      </c>
      <c r="H77" s="220">
        <v>45</v>
      </c>
      <c r="I77" s="216">
        <v>9</v>
      </c>
      <c r="J77" s="217">
        <f>(I77/F77)</f>
        <v>9</v>
      </c>
      <c r="K77" s="210">
        <f>H77/I77</f>
        <v>5</v>
      </c>
      <c r="L77" s="221">
        <f>69195.5+29540+2797+8009+1473.5+4958.5+4691.5+45</f>
        <v>120710</v>
      </c>
      <c r="M77" s="218">
        <f>5170+2208+292+904+296+693+949+9</f>
        <v>10521</v>
      </c>
      <c r="N77" s="296">
        <f>L77/M77</f>
        <v>11.473243988214048</v>
      </c>
      <c r="O77" s="166"/>
    </row>
    <row r="78" spans="1:15" ht="15">
      <c r="A78" s="107">
        <v>75</v>
      </c>
      <c r="B78" s="308" t="s">
        <v>108</v>
      </c>
      <c r="C78" s="222">
        <v>40102</v>
      </c>
      <c r="D78" s="260" t="s">
        <v>27</v>
      </c>
      <c r="E78" s="224">
        <v>62</v>
      </c>
      <c r="F78" s="224">
        <v>2</v>
      </c>
      <c r="G78" s="224">
        <v>13</v>
      </c>
      <c r="H78" s="226">
        <v>3422</v>
      </c>
      <c r="I78" s="258">
        <v>491</v>
      </c>
      <c r="J78" s="237">
        <f>I78/F78</f>
        <v>245.5</v>
      </c>
      <c r="K78" s="229">
        <f>+H78/I78</f>
        <v>6.969450101832994</v>
      </c>
      <c r="L78" s="230">
        <v>493437</v>
      </c>
      <c r="M78" s="237">
        <v>56198</v>
      </c>
      <c r="N78" s="299">
        <f>+L78/M78</f>
        <v>8.780330260863376</v>
      </c>
      <c r="O78" s="166"/>
    </row>
    <row r="79" spans="1:15" ht="15">
      <c r="A79" s="107">
        <v>76</v>
      </c>
      <c r="B79" s="308" t="s">
        <v>108</v>
      </c>
      <c r="C79" s="222">
        <v>40102</v>
      </c>
      <c r="D79" s="260" t="s">
        <v>27</v>
      </c>
      <c r="E79" s="224">
        <v>62</v>
      </c>
      <c r="F79" s="224">
        <v>1</v>
      </c>
      <c r="G79" s="224">
        <v>12</v>
      </c>
      <c r="H79" s="226">
        <v>1258</v>
      </c>
      <c r="I79" s="227">
        <v>177</v>
      </c>
      <c r="J79" s="228">
        <f>I79/F79</f>
        <v>177</v>
      </c>
      <c r="K79" s="231">
        <f>+H79/I79</f>
        <v>7.107344632768362</v>
      </c>
      <c r="L79" s="230">
        <v>490015</v>
      </c>
      <c r="M79" s="228">
        <v>55707</v>
      </c>
      <c r="N79" s="300">
        <f>+L79/M79</f>
        <v>8.796291309889241</v>
      </c>
      <c r="O79" s="152"/>
    </row>
    <row r="80" spans="1:15" ht="15">
      <c r="A80" s="107">
        <v>77</v>
      </c>
      <c r="B80" s="308" t="s">
        <v>108</v>
      </c>
      <c r="C80" s="222">
        <v>40102</v>
      </c>
      <c r="D80" s="269" t="s">
        <v>27</v>
      </c>
      <c r="E80" s="224">
        <v>62</v>
      </c>
      <c r="F80" s="224">
        <v>1</v>
      </c>
      <c r="G80" s="224">
        <v>14</v>
      </c>
      <c r="H80" s="257">
        <v>297</v>
      </c>
      <c r="I80" s="258">
        <v>42</v>
      </c>
      <c r="J80" s="237">
        <f>I80/F80</f>
        <v>42</v>
      </c>
      <c r="K80" s="229">
        <f>+H80/I80</f>
        <v>7.071428571428571</v>
      </c>
      <c r="L80" s="259">
        <v>493734</v>
      </c>
      <c r="M80" s="237">
        <v>56240</v>
      </c>
      <c r="N80" s="299">
        <f>+L80/M80</f>
        <v>8.779054054054054</v>
      </c>
      <c r="O80" s="166"/>
    </row>
    <row r="81" spans="1:15" ht="15">
      <c r="A81" s="107">
        <v>78</v>
      </c>
      <c r="B81" s="298" t="s">
        <v>42</v>
      </c>
      <c r="C81" s="222">
        <v>40116</v>
      </c>
      <c r="D81" s="225" t="s">
        <v>12</v>
      </c>
      <c r="E81" s="224">
        <v>24</v>
      </c>
      <c r="F81" s="224">
        <v>1</v>
      </c>
      <c r="G81" s="224">
        <v>8</v>
      </c>
      <c r="H81" s="226">
        <v>497</v>
      </c>
      <c r="I81" s="227">
        <v>81</v>
      </c>
      <c r="J81" s="239">
        <f>IF(H81&lt;&gt;0,I81/F81,"")</f>
        <v>81</v>
      </c>
      <c r="K81" s="235">
        <f>IF(H81&lt;&gt;0,H81/I81,"")</f>
        <v>6.135802469135802</v>
      </c>
      <c r="L81" s="230">
        <f>87403.25+34862.75+15508.5+2797+944+915+1620+497</f>
        <v>144547.5</v>
      </c>
      <c r="M81" s="228">
        <f>14575+405+81</f>
        <v>15061</v>
      </c>
      <c r="N81" s="301">
        <f>IF(L81&lt;&gt;0,L81/M81,"")</f>
        <v>9.59747028749751</v>
      </c>
      <c r="O81" s="153"/>
    </row>
    <row r="82" spans="1:15" ht="15">
      <c r="A82" s="107">
        <v>79</v>
      </c>
      <c r="B82" s="298" t="s">
        <v>49</v>
      </c>
      <c r="C82" s="222">
        <v>40151</v>
      </c>
      <c r="D82" s="225" t="s">
        <v>28</v>
      </c>
      <c r="E82" s="224">
        <v>2</v>
      </c>
      <c r="F82" s="224">
        <v>2</v>
      </c>
      <c r="G82" s="224">
        <v>5</v>
      </c>
      <c r="H82" s="207">
        <v>2853</v>
      </c>
      <c r="I82" s="208">
        <v>502</v>
      </c>
      <c r="J82" s="209">
        <f>(I82/F82)</f>
        <v>251</v>
      </c>
      <c r="K82" s="210">
        <f>H82/I82</f>
        <v>5.683266932270916</v>
      </c>
      <c r="L82" s="211">
        <f>14952+6112+2196+2975+2853</f>
        <v>29088</v>
      </c>
      <c r="M82" s="212">
        <f>1468+666+254+478+502</f>
        <v>3368</v>
      </c>
      <c r="N82" s="296">
        <f>L82/M82</f>
        <v>8.636579572446555</v>
      </c>
      <c r="O82" s="153"/>
    </row>
    <row r="83" spans="1:15" ht="15">
      <c r="A83" s="107">
        <v>80</v>
      </c>
      <c r="B83" s="297" t="s">
        <v>49</v>
      </c>
      <c r="C83" s="222">
        <v>40151</v>
      </c>
      <c r="D83" s="223" t="s">
        <v>28</v>
      </c>
      <c r="E83" s="224">
        <v>2</v>
      </c>
      <c r="F83" s="224">
        <v>2</v>
      </c>
      <c r="G83" s="224">
        <v>6</v>
      </c>
      <c r="H83" s="207">
        <v>674</v>
      </c>
      <c r="I83" s="208">
        <v>81</v>
      </c>
      <c r="J83" s="209">
        <f>(I83/F83)</f>
        <v>40.5</v>
      </c>
      <c r="K83" s="214">
        <f>H83/I83</f>
        <v>8.320987654320987</v>
      </c>
      <c r="L83" s="211">
        <f>14952+6112+2196+2975+2853+674</f>
        <v>29762</v>
      </c>
      <c r="M83" s="212">
        <f>1468+666+254+478+502+81</f>
        <v>3449</v>
      </c>
      <c r="N83" s="295">
        <f>L83/M83</f>
        <v>8.629167874746303</v>
      </c>
      <c r="O83" s="153"/>
    </row>
    <row r="84" spans="1:15" ht="15">
      <c r="A84" s="107">
        <v>81</v>
      </c>
      <c r="B84" s="294" t="s">
        <v>181</v>
      </c>
      <c r="C84" s="204">
        <v>40109</v>
      </c>
      <c r="D84" s="219" t="s">
        <v>3</v>
      </c>
      <c r="E84" s="206">
        <v>27</v>
      </c>
      <c r="F84" s="206">
        <v>1</v>
      </c>
      <c r="G84" s="206">
        <v>6</v>
      </c>
      <c r="H84" s="220">
        <v>189</v>
      </c>
      <c r="I84" s="216">
        <v>26</v>
      </c>
      <c r="J84" s="217">
        <f>I84/F84</f>
        <v>26</v>
      </c>
      <c r="K84" s="210">
        <f>H84/I84</f>
        <v>7.269230769230769</v>
      </c>
      <c r="L84" s="221">
        <v>142817</v>
      </c>
      <c r="M84" s="218">
        <v>11768</v>
      </c>
      <c r="N84" s="296">
        <f>+L84/M84</f>
        <v>12.136046906866078</v>
      </c>
      <c r="O84" s="166"/>
    </row>
    <row r="85" spans="1:15" ht="15">
      <c r="A85" s="107">
        <v>82</v>
      </c>
      <c r="B85" s="312" t="s">
        <v>141</v>
      </c>
      <c r="C85" s="204">
        <v>40074</v>
      </c>
      <c r="D85" s="270" t="s">
        <v>92</v>
      </c>
      <c r="E85" s="275" t="s">
        <v>104</v>
      </c>
      <c r="F85" s="275" t="s">
        <v>105</v>
      </c>
      <c r="G85" s="275" t="s">
        <v>106</v>
      </c>
      <c r="H85" s="271">
        <v>1385</v>
      </c>
      <c r="I85" s="276">
        <v>222</v>
      </c>
      <c r="J85" s="277">
        <f>+I85/F85</f>
        <v>222</v>
      </c>
      <c r="K85" s="240">
        <f>IF(H85&lt;&gt;0,H85/I85,"")</f>
        <v>6.238738738738738</v>
      </c>
      <c r="L85" s="273">
        <v>176398</v>
      </c>
      <c r="M85" s="278">
        <v>21849</v>
      </c>
      <c r="N85" s="302">
        <f>IF(L85&lt;&gt;0,L85/M85,"")</f>
        <v>8.073504508215478</v>
      </c>
      <c r="O85" s="152"/>
    </row>
    <row r="86" spans="1:15" ht="15">
      <c r="A86" s="107">
        <v>83</v>
      </c>
      <c r="B86" s="312" t="s">
        <v>141</v>
      </c>
      <c r="C86" s="204">
        <v>40074</v>
      </c>
      <c r="D86" s="270" t="s">
        <v>92</v>
      </c>
      <c r="E86" s="275" t="s">
        <v>104</v>
      </c>
      <c r="F86" s="275" t="s">
        <v>105</v>
      </c>
      <c r="G86" s="275" t="s">
        <v>142</v>
      </c>
      <c r="H86" s="271">
        <v>1145</v>
      </c>
      <c r="I86" s="272">
        <v>203</v>
      </c>
      <c r="J86" s="279">
        <f>+I86/F86</f>
        <v>203</v>
      </c>
      <c r="K86" s="280"/>
      <c r="L86" s="273">
        <v>177543</v>
      </c>
      <c r="M86" s="274">
        <v>22052</v>
      </c>
      <c r="N86" s="301">
        <f>IF(L86&lt;&gt;0,L86/M86,"")</f>
        <v>8.05110647560312</v>
      </c>
      <c r="O86" s="166"/>
    </row>
    <row r="87" spans="1:15" ht="15">
      <c r="A87" s="107">
        <v>84</v>
      </c>
      <c r="B87" s="297" t="s">
        <v>151</v>
      </c>
      <c r="C87" s="222">
        <v>39962</v>
      </c>
      <c r="D87" s="223" t="s">
        <v>28</v>
      </c>
      <c r="E87" s="224">
        <v>1</v>
      </c>
      <c r="F87" s="224">
        <v>1</v>
      </c>
      <c r="G87" s="224">
        <v>16</v>
      </c>
      <c r="H87" s="207">
        <v>84</v>
      </c>
      <c r="I87" s="216">
        <v>20</v>
      </c>
      <c r="J87" s="217">
        <f>(I87/F87)</f>
        <v>20</v>
      </c>
      <c r="K87" s="210">
        <f>H87/I87</f>
        <v>4.2</v>
      </c>
      <c r="L87" s="211">
        <f>2055+1340+750+709+604+925+1270+1220+776+981+343+858+383+597+2376+84</f>
        <v>15271</v>
      </c>
      <c r="M87" s="218">
        <f>411+268+150+85+70+118+161+152+99+144+47+143+48+95+594+20</f>
        <v>2605</v>
      </c>
      <c r="N87" s="296">
        <f>L87/M87</f>
        <v>5.862188099808061</v>
      </c>
      <c r="O87" s="166"/>
    </row>
    <row r="88" spans="1:15" ht="15">
      <c r="A88" s="107">
        <v>85</v>
      </c>
      <c r="B88" s="297" t="s">
        <v>151</v>
      </c>
      <c r="C88" s="222">
        <v>39962</v>
      </c>
      <c r="D88" s="225" t="s">
        <v>28</v>
      </c>
      <c r="E88" s="224">
        <v>1</v>
      </c>
      <c r="F88" s="224">
        <v>1</v>
      </c>
      <c r="G88" s="224">
        <v>17</v>
      </c>
      <c r="H88" s="220">
        <v>51</v>
      </c>
      <c r="I88" s="216">
        <v>17</v>
      </c>
      <c r="J88" s="217">
        <f>(I88/F88)</f>
        <v>17</v>
      </c>
      <c r="K88" s="210">
        <f>H88/I88</f>
        <v>3</v>
      </c>
      <c r="L88" s="221">
        <f>2055+1340+750+709+604+925+1270+1220+776+981+343+858+383+597+2376+84+51</f>
        <v>15322</v>
      </c>
      <c r="M88" s="218">
        <f>411+268+150+85+70+118+161+152+99+144+47+143+48+95+594+20+17</f>
        <v>2622</v>
      </c>
      <c r="N88" s="296">
        <f>L88/M88</f>
        <v>5.843630816170862</v>
      </c>
      <c r="O88" s="166"/>
    </row>
    <row r="89" spans="1:15" ht="15">
      <c r="A89" s="107">
        <v>86</v>
      </c>
      <c r="B89" s="294" t="s">
        <v>180</v>
      </c>
      <c r="C89" s="204">
        <v>40088</v>
      </c>
      <c r="D89" s="219" t="s">
        <v>3</v>
      </c>
      <c r="E89" s="206">
        <v>53</v>
      </c>
      <c r="F89" s="206">
        <v>2</v>
      </c>
      <c r="G89" s="206">
        <v>12</v>
      </c>
      <c r="H89" s="220">
        <v>206</v>
      </c>
      <c r="I89" s="216">
        <v>33</v>
      </c>
      <c r="J89" s="217">
        <f>I89/F89</f>
        <v>16.5</v>
      </c>
      <c r="K89" s="210">
        <f>H89/I89</f>
        <v>6.242424242424242</v>
      </c>
      <c r="L89" s="221">
        <v>520501</v>
      </c>
      <c r="M89" s="218">
        <v>51318</v>
      </c>
      <c r="N89" s="296">
        <f aca="true" t="shared" si="7" ref="N89:N96">+L89/M89</f>
        <v>10.142659495693518</v>
      </c>
      <c r="O89" s="166"/>
    </row>
    <row r="90" spans="1:15" ht="15">
      <c r="A90" s="107">
        <v>87</v>
      </c>
      <c r="B90" s="305" t="s">
        <v>61</v>
      </c>
      <c r="C90" s="204">
        <v>40158</v>
      </c>
      <c r="D90" s="281" t="s">
        <v>3</v>
      </c>
      <c r="E90" s="245">
        <v>148</v>
      </c>
      <c r="F90" s="245">
        <v>91</v>
      </c>
      <c r="G90" s="245">
        <v>4</v>
      </c>
      <c r="H90" s="271">
        <v>119681</v>
      </c>
      <c r="I90" s="276">
        <v>17048</v>
      </c>
      <c r="J90" s="239">
        <f>+I90/F90</f>
        <v>187.34065934065933</v>
      </c>
      <c r="K90" s="235">
        <f>+H90/I90</f>
        <v>7.020236977944627</v>
      </c>
      <c r="L90" s="273">
        <v>2757217</v>
      </c>
      <c r="M90" s="278">
        <v>323709</v>
      </c>
      <c r="N90" s="301">
        <f t="shared" si="7"/>
        <v>8.517579060205307</v>
      </c>
      <c r="O90" s="153">
        <v>1</v>
      </c>
    </row>
    <row r="91" spans="1:15" ht="15">
      <c r="A91" s="107">
        <v>88</v>
      </c>
      <c r="B91" s="307" t="s">
        <v>84</v>
      </c>
      <c r="C91" s="204">
        <v>40158</v>
      </c>
      <c r="D91" s="270" t="s">
        <v>3</v>
      </c>
      <c r="E91" s="245">
        <v>148</v>
      </c>
      <c r="F91" s="245">
        <v>77</v>
      </c>
      <c r="G91" s="245">
        <v>5</v>
      </c>
      <c r="H91" s="271">
        <v>62188</v>
      </c>
      <c r="I91" s="276">
        <v>9495</v>
      </c>
      <c r="J91" s="239">
        <f>+I91/F91</f>
        <v>123.31168831168831</v>
      </c>
      <c r="K91" s="240">
        <f>+H91/I91</f>
        <v>6.549552395997893</v>
      </c>
      <c r="L91" s="273">
        <v>2819404</v>
      </c>
      <c r="M91" s="278">
        <v>333204</v>
      </c>
      <c r="N91" s="302">
        <f t="shared" si="7"/>
        <v>8.461495060083312</v>
      </c>
      <c r="O91" s="152">
        <v>1</v>
      </c>
    </row>
    <row r="92" spans="1:15" ht="15">
      <c r="A92" s="107">
        <v>89</v>
      </c>
      <c r="B92" s="307" t="s">
        <v>125</v>
      </c>
      <c r="C92" s="204">
        <v>40158</v>
      </c>
      <c r="D92" s="270" t="s">
        <v>3</v>
      </c>
      <c r="E92" s="245">
        <v>148</v>
      </c>
      <c r="F92" s="245">
        <v>39</v>
      </c>
      <c r="G92" s="245">
        <v>6</v>
      </c>
      <c r="H92" s="271">
        <v>28359</v>
      </c>
      <c r="I92" s="272">
        <v>4830</v>
      </c>
      <c r="J92" s="234">
        <f>+I92/F92</f>
        <v>123.84615384615384</v>
      </c>
      <c r="K92" s="235">
        <f>+H92/I92</f>
        <v>5.871428571428571</v>
      </c>
      <c r="L92" s="273">
        <v>2847763</v>
      </c>
      <c r="M92" s="274">
        <v>338034</v>
      </c>
      <c r="N92" s="301">
        <f t="shared" si="7"/>
        <v>8.42448688593455</v>
      </c>
      <c r="O92" s="166">
        <v>1</v>
      </c>
    </row>
    <row r="93" spans="1:15" ht="15">
      <c r="A93" s="107">
        <v>90</v>
      </c>
      <c r="B93" s="294" t="s">
        <v>84</v>
      </c>
      <c r="C93" s="204">
        <v>40158</v>
      </c>
      <c r="D93" s="219" t="s">
        <v>3</v>
      </c>
      <c r="E93" s="206">
        <v>148</v>
      </c>
      <c r="F93" s="206">
        <v>16</v>
      </c>
      <c r="G93" s="206">
        <v>7</v>
      </c>
      <c r="H93" s="220">
        <v>12514</v>
      </c>
      <c r="I93" s="216">
        <v>2441</v>
      </c>
      <c r="J93" s="217">
        <f>I93/F93</f>
        <v>152.5625</v>
      </c>
      <c r="K93" s="210">
        <f>H93/I93</f>
        <v>5.126587464154035</v>
      </c>
      <c r="L93" s="221">
        <v>2860277</v>
      </c>
      <c r="M93" s="218">
        <v>340475</v>
      </c>
      <c r="N93" s="296">
        <f t="shared" si="7"/>
        <v>8.40084294001028</v>
      </c>
      <c r="O93" s="166">
        <v>1</v>
      </c>
    </row>
    <row r="94" spans="1:15" ht="15">
      <c r="A94" s="107">
        <v>91</v>
      </c>
      <c r="B94" s="309" t="s">
        <v>36</v>
      </c>
      <c r="C94" s="261">
        <v>40074</v>
      </c>
      <c r="D94" s="262" t="s">
        <v>27</v>
      </c>
      <c r="E94" s="263">
        <v>61</v>
      </c>
      <c r="F94" s="263">
        <v>1</v>
      </c>
      <c r="G94" s="263">
        <v>15</v>
      </c>
      <c r="H94" s="264">
        <v>1521</v>
      </c>
      <c r="I94" s="265">
        <v>408</v>
      </c>
      <c r="J94" s="266">
        <f>I94/F94</f>
        <v>408</v>
      </c>
      <c r="K94" s="267">
        <f>+H94/I94</f>
        <v>3.7279411764705883</v>
      </c>
      <c r="L94" s="268">
        <v>1027374</v>
      </c>
      <c r="M94" s="266">
        <v>103387</v>
      </c>
      <c r="N94" s="310">
        <f t="shared" si="7"/>
        <v>9.937168115913993</v>
      </c>
      <c r="O94" s="153"/>
    </row>
    <row r="95" spans="1:15" ht="15">
      <c r="A95" s="107">
        <v>92</v>
      </c>
      <c r="B95" s="308" t="s">
        <v>36</v>
      </c>
      <c r="C95" s="222">
        <v>40074</v>
      </c>
      <c r="D95" s="260" t="s">
        <v>27</v>
      </c>
      <c r="E95" s="224">
        <v>61</v>
      </c>
      <c r="F95" s="224">
        <v>2</v>
      </c>
      <c r="G95" s="224">
        <v>17</v>
      </c>
      <c r="H95" s="226">
        <v>1503</v>
      </c>
      <c r="I95" s="258">
        <v>241</v>
      </c>
      <c r="J95" s="237">
        <f>I95/F95</f>
        <v>120.5</v>
      </c>
      <c r="K95" s="229">
        <f>+H95/I95</f>
        <v>6.236514522821577</v>
      </c>
      <c r="L95" s="230">
        <v>1028993</v>
      </c>
      <c r="M95" s="237">
        <v>103644</v>
      </c>
      <c r="N95" s="299">
        <f t="shared" si="7"/>
        <v>9.92814827679364</v>
      </c>
      <c r="O95" s="166"/>
    </row>
    <row r="96" spans="1:15" ht="15">
      <c r="A96" s="107">
        <v>93</v>
      </c>
      <c r="B96" s="308" t="s">
        <v>36</v>
      </c>
      <c r="C96" s="222">
        <v>40074</v>
      </c>
      <c r="D96" s="260" t="s">
        <v>27</v>
      </c>
      <c r="E96" s="224">
        <v>61</v>
      </c>
      <c r="F96" s="224">
        <v>1</v>
      </c>
      <c r="G96" s="224">
        <v>16</v>
      </c>
      <c r="H96" s="226">
        <v>116</v>
      </c>
      <c r="I96" s="227">
        <v>16</v>
      </c>
      <c r="J96" s="228">
        <f>I96/F96</f>
        <v>16</v>
      </c>
      <c r="K96" s="231">
        <f>+H96/I96</f>
        <v>7.25</v>
      </c>
      <c r="L96" s="230">
        <v>1027490</v>
      </c>
      <c r="M96" s="228">
        <v>103403</v>
      </c>
      <c r="N96" s="300">
        <f t="shared" si="7"/>
        <v>9.936752318598106</v>
      </c>
      <c r="O96" s="152"/>
    </row>
    <row r="97" spans="1:15" ht="15">
      <c r="A97" s="107">
        <v>94</v>
      </c>
      <c r="B97" s="297" t="s">
        <v>179</v>
      </c>
      <c r="C97" s="222">
        <v>40046</v>
      </c>
      <c r="D97" s="225" t="s">
        <v>28</v>
      </c>
      <c r="E97" s="224">
        <v>5</v>
      </c>
      <c r="F97" s="224">
        <v>1</v>
      </c>
      <c r="G97" s="224">
        <v>19</v>
      </c>
      <c r="H97" s="220">
        <v>468</v>
      </c>
      <c r="I97" s="216">
        <v>76</v>
      </c>
      <c r="J97" s="217">
        <f aca="true" t="shared" si="8" ref="J97:J102">(I97/F97)</f>
        <v>76</v>
      </c>
      <c r="K97" s="210">
        <f aca="true" t="shared" si="9" ref="K97:K102">H97/I97</f>
        <v>6.157894736842105</v>
      </c>
      <c r="L97" s="221">
        <f>29266.75+13116.25+9279.25+8463+18147.5+3121+4110+6763+926+5173.5+9461.5+192+486+2002+382+72+487.5+555+468</f>
        <v>112472.25</v>
      </c>
      <c r="M97" s="218">
        <f>2425+1257+1223+1013+2360+455+662+1253+138+745+1554+44+79+353+69+18+78+90+76</f>
        <v>13892</v>
      </c>
      <c r="N97" s="296">
        <f aca="true" t="shared" si="10" ref="N97:N102">L97/M97</f>
        <v>8.096188453786352</v>
      </c>
      <c r="O97" s="166"/>
    </row>
    <row r="98" spans="1:15" ht="15">
      <c r="A98" s="107">
        <v>95</v>
      </c>
      <c r="B98" s="304" t="s">
        <v>143</v>
      </c>
      <c r="C98" s="241">
        <v>40151</v>
      </c>
      <c r="D98" s="242" t="s">
        <v>28</v>
      </c>
      <c r="E98" s="243">
        <v>2</v>
      </c>
      <c r="F98" s="243">
        <v>2</v>
      </c>
      <c r="G98" s="243">
        <v>7</v>
      </c>
      <c r="H98" s="207">
        <v>1006</v>
      </c>
      <c r="I98" s="216">
        <v>130</v>
      </c>
      <c r="J98" s="217">
        <f t="shared" si="8"/>
        <v>65</v>
      </c>
      <c r="K98" s="210">
        <f t="shared" si="9"/>
        <v>7.7384615384615385</v>
      </c>
      <c r="L98" s="211">
        <f>14952+6112+2196+2975+2853+674+1006</f>
        <v>30768</v>
      </c>
      <c r="M98" s="218">
        <f>1468+666+254+478+502+81+130</f>
        <v>3579</v>
      </c>
      <c r="N98" s="296">
        <f t="shared" si="10"/>
        <v>8.596814752724224</v>
      </c>
      <c r="O98" s="166"/>
    </row>
    <row r="99" spans="1:15" ht="15">
      <c r="A99" s="107">
        <v>96</v>
      </c>
      <c r="B99" s="304" t="s">
        <v>33</v>
      </c>
      <c r="C99" s="241">
        <v>39995</v>
      </c>
      <c r="D99" s="242" t="s">
        <v>28</v>
      </c>
      <c r="E99" s="243">
        <v>209</v>
      </c>
      <c r="F99" s="243">
        <v>4</v>
      </c>
      <c r="G99" s="243">
        <v>29</v>
      </c>
      <c r="H99" s="207">
        <v>5898</v>
      </c>
      <c r="I99" s="216">
        <v>1381</v>
      </c>
      <c r="J99" s="217">
        <f t="shared" si="8"/>
        <v>345.25</v>
      </c>
      <c r="K99" s="210">
        <f t="shared" si="9"/>
        <v>4.270818247646633</v>
      </c>
      <c r="L99" s="211">
        <f>872160.5+3062686.25+2016658.5+1330226.25+943221.5+742732+516667.5+450351.5+331944.75+238834+191406+133484.5+252388.75+88483.5+54821.5+50455.5+10393.5+13219.5+4551+15537+5404+869+4082+1834+3805+1635+750+1385+2821+5898</f>
        <v>11348706.5</v>
      </c>
      <c r="M99" s="218">
        <f>115039+364710+241056+162109+115810+90639+66180+59650+44695+33272+25508+18324+32600+11489+6695+7353+1723+3013+920+3530+1123+138+968+454+919+396+210+249+551+1381</f>
        <v>1410704</v>
      </c>
      <c r="N99" s="296">
        <f t="shared" si="10"/>
        <v>8.044711363971464</v>
      </c>
      <c r="O99" s="166"/>
    </row>
    <row r="100" spans="1:15" ht="15">
      <c r="A100" s="107">
        <v>97</v>
      </c>
      <c r="B100" s="297" t="s">
        <v>33</v>
      </c>
      <c r="C100" s="222">
        <v>39995</v>
      </c>
      <c r="D100" s="225" t="s">
        <v>28</v>
      </c>
      <c r="E100" s="224">
        <v>209</v>
      </c>
      <c r="F100" s="224">
        <v>6</v>
      </c>
      <c r="G100" s="224">
        <v>30</v>
      </c>
      <c r="H100" s="220">
        <v>4584.5</v>
      </c>
      <c r="I100" s="216">
        <v>976</v>
      </c>
      <c r="J100" s="217">
        <f t="shared" si="8"/>
        <v>162.66666666666666</v>
      </c>
      <c r="K100" s="210">
        <f t="shared" si="9"/>
        <v>4.697233606557377</v>
      </c>
      <c r="L100" s="221">
        <f>872160.5+3062686.25+2016658.5+1330226.25+943221.5+742732+516667.5+450351.5+331944.75+238834+191406+133484.5+252388.75+88483.5+54821.5+50455.5+10393.5+13219.5+4551+15537+5404+869+4082+1834+3805+1635+750+1385+2821+5898+4584.5</f>
        <v>11353291</v>
      </c>
      <c r="M100" s="218">
        <f>115039+364710+241056+162109+115810+90639+66180+59650+44695+33272+25508+18324+32600+11489+6695+7353+1723+3013+920+3530+1123+138+968+454+919+396+210+249+551+1381+976</f>
        <v>1411680</v>
      </c>
      <c r="N100" s="296">
        <f t="shared" si="10"/>
        <v>8.042397002153463</v>
      </c>
      <c r="O100" s="166"/>
    </row>
    <row r="101" spans="1:15" ht="15">
      <c r="A101" s="107">
        <v>98</v>
      </c>
      <c r="B101" s="297" t="s">
        <v>33</v>
      </c>
      <c r="C101" s="222">
        <v>39995</v>
      </c>
      <c r="D101" s="223" t="s">
        <v>28</v>
      </c>
      <c r="E101" s="224">
        <v>209</v>
      </c>
      <c r="F101" s="224">
        <v>3</v>
      </c>
      <c r="G101" s="224">
        <v>28</v>
      </c>
      <c r="H101" s="207">
        <v>2821</v>
      </c>
      <c r="I101" s="208">
        <v>551</v>
      </c>
      <c r="J101" s="209">
        <f t="shared" si="8"/>
        <v>183.66666666666666</v>
      </c>
      <c r="K101" s="214">
        <f t="shared" si="9"/>
        <v>5.11978221415608</v>
      </c>
      <c r="L101" s="211">
        <f>872160.5+3062686.25+2016658.5+1330226.25+943221.5+742732+516667.5+450351.5+331944.75+238834+191406+133484.5+252388.75+88483.5+54821.5+50455.5+10393.5+13219.5+4551+15537+5404+869+4082+1834+3805+1635+750+1385+2821</f>
        <v>11342808.5</v>
      </c>
      <c r="M101" s="212">
        <f>115039+364710+241056+162109+115810+90639+66180+59650+44695+33272+25508+18324+32600+11489+6695+7353+1723+3013+920+3530+1123+138+968+454+919+396+210+249+551</f>
        <v>1409323</v>
      </c>
      <c r="N101" s="295">
        <f t="shared" si="10"/>
        <v>8.048409413597877</v>
      </c>
      <c r="O101" s="153"/>
    </row>
    <row r="102" spans="1:15" ht="15">
      <c r="A102" s="107">
        <v>99</v>
      </c>
      <c r="B102" s="298" t="s">
        <v>33</v>
      </c>
      <c r="C102" s="222">
        <v>39995</v>
      </c>
      <c r="D102" s="225" t="s">
        <v>28</v>
      </c>
      <c r="E102" s="224">
        <v>209</v>
      </c>
      <c r="F102" s="224">
        <v>2</v>
      </c>
      <c r="G102" s="224">
        <v>27</v>
      </c>
      <c r="H102" s="207">
        <v>1385</v>
      </c>
      <c r="I102" s="208">
        <v>249</v>
      </c>
      <c r="J102" s="209">
        <f t="shared" si="8"/>
        <v>124.5</v>
      </c>
      <c r="K102" s="210">
        <f t="shared" si="9"/>
        <v>5.562248995983936</v>
      </c>
      <c r="L102" s="211">
        <f>872160.5+3062686.25+2016658.5+1330226.25+943221.5+742732+516667.5+450351.5+331944.75+238834+191406+133484.5+252388.75+88483.5+54821.5+50455.5+10393.5+13219.5+4551+15537+5404+869+4082+1834+3805+1635+750+1385</f>
        <v>11339987.5</v>
      </c>
      <c r="M102" s="212">
        <f>115039+364710+241056+162109+115810+90639+66180+59650+44695+33272+25508+18324+32600+11489+6695+7353+1723+3013+920+3530+1123+138+968+454+919+396+210+249</f>
        <v>1408772</v>
      </c>
      <c r="N102" s="296">
        <f t="shared" si="10"/>
        <v>8.049554860545213</v>
      </c>
      <c r="O102" s="153"/>
    </row>
    <row r="103" spans="1:15" ht="15">
      <c r="A103" s="107">
        <v>100</v>
      </c>
      <c r="B103" s="308" t="s">
        <v>176</v>
      </c>
      <c r="C103" s="222">
        <v>40046</v>
      </c>
      <c r="D103" s="269" t="s">
        <v>27</v>
      </c>
      <c r="E103" s="224">
        <v>55</v>
      </c>
      <c r="F103" s="224">
        <v>1</v>
      </c>
      <c r="G103" s="224">
        <v>20</v>
      </c>
      <c r="H103" s="257">
        <v>609</v>
      </c>
      <c r="I103" s="258">
        <v>280</v>
      </c>
      <c r="J103" s="237">
        <f>I103/F103</f>
        <v>280</v>
      </c>
      <c r="K103" s="229">
        <f>+H103/I103</f>
        <v>2.175</v>
      </c>
      <c r="L103" s="259">
        <v>2895934</v>
      </c>
      <c r="M103" s="237">
        <v>289454</v>
      </c>
      <c r="N103" s="299">
        <f>+L103/M103</f>
        <v>10.004815963849179</v>
      </c>
      <c r="O103" s="166"/>
    </row>
    <row r="104" spans="1:15" ht="15">
      <c r="A104" s="107">
        <v>101</v>
      </c>
      <c r="B104" s="297" t="s">
        <v>173</v>
      </c>
      <c r="C104" s="222">
        <v>39836</v>
      </c>
      <c r="D104" s="225" t="s">
        <v>30</v>
      </c>
      <c r="E104" s="224">
        <v>86</v>
      </c>
      <c r="F104" s="224">
        <v>1</v>
      </c>
      <c r="G104" s="224">
        <v>20</v>
      </c>
      <c r="H104" s="220">
        <v>2941</v>
      </c>
      <c r="I104" s="216">
        <v>588</v>
      </c>
      <c r="J104" s="217">
        <f>IF(H104&lt;&gt;0,I104/F104,"")</f>
        <v>588</v>
      </c>
      <c r="K104" s="210">
        <f>IF(H104&lt;&gt;0,H104/I104,"")</f>
        <v>5.0017006802721085</v>
      </c>
      <c r="L104" s="221">
        <v>1450591.5</v>
      </c>
      <c r="M104" s="218">
        <v>167594</v>
      </c>
      <c r="N104" s="296">
        <f>IF(L104&lt;&gt;0,L104/M104,"")</f>
        <v>8.655390407771161</v>
      </c>
      <c r="O104" s="166"/>
    </row>
    <row r="105" spans="1:15" ht="15">
      <c r="A105" s="107">
        <v>102</v>
      </c>
      <c r="B105" s="297" t="s">
        <v>88</v>
      </c>
      <c r="C105" s="222">
        <v>40109</v>
      </c>
      <c r="D105" s="223" t="s">
        <v>28</v>
      </c>
      <c r="E105" s="224">
        <v>25</v>
      </c>
      <c r="F105" s="224">
        <v>8</v>
      </c>
      <c r="G105" s="224">
        <v>12</v>
      </c>
      <c r="H105" s="207">
        <v>13931</v>
      </c>
      <c r="I105" s="208">
        <v>2457</v>
      </c>
      <c r="J105" s="209">
        <f>(I105/F105)</f>
        <v>307.125</v>
      </c>
      <c r="K105" s="214">
        <f>H105/I105</f>
        <v>5.66992266992267</v>
      </c>
      <c r="L105" s="211">
        <f>198009+121514.5+95148.5+66495+23091+12092+17648.5+7279+6352.5+7838.5+3895+13931</f>
        <v>573294.5</v>
      </c>
      <c r="M105" s="212">
        <f>27092+16078+14204+10980+3903+1664+3329+1236+1212+1399+730+2457</f>
        <v>84284</v>
      </c>
      <c r="N105" s="295">
        <f>L105/M105</f>
        <v>6.801937497033838</v>
      </c>
      <c r="O105" s="153">
        <v>1</v>
      </c>
    </row>
    <row r="106" spans="1:15" ht="15">
      <c r="A106" s="107">
        <v>103</v>
      </c>
      <c r="B106" s="304" t="s">
        <v>88</v>
      </c>
      <c r="C106" s="241">
        <v>40109</v>
      </c>
      <c r="D106" s="242" t="s">
        <v>28</v>
      </c>
      <c r="E106" s="243">
        <v>25</v>
      </c>
      <c r="F106" s="243">
        <v>7</v>
      </c>
      <c r="G106" s="243">
        <v>13</v>
      </c>
      <c r="H106" s="207">
        <v>9467.5</v>
      </c>
      <c r="I106" s="216">
        <v>1694</v>
      </c>
      <c r="J106" s="217">
        <f>(I106/F106)</f>
        <v>242</v>
      </c>
      <c r="K106" s="210">
        <f>H106/I106</f>
        <v>5.588842975206612</v>
      </c>
      <c r="L106" s="211">
        <f>198009+121514.5+95148.5+66495+23091+12092+17648.5+7279+6352.5+7838.5+3895+13931+9467.5</f>
        <v>582762</v>
      </c>
      <c r="M106" s="218">
        <f>27092+16078+14204+10980+3903+1664+3329+1236+1212+1399+730+2457+1694</f>
        <v>85978</v>
      </c>
      <c r="N106" s="296">
        <f>L106/M106</f>
        <v>6.778036241829305</v>
      </c>
      <c r="O106" s="166">
        <v>1</v>
      </c>
    </row>
    <row r="107" spans="1:15" ht="15">
      <c r="A107" s="107">
        <v>104</v>
      </c>
      <c r="B107" s="298" t="s">
        <v>69</v>
      </c>
      <c r="C107" s="222">
        <v>40109</v>
      </c>
      <c r="D107" s="225" t="s">
        <v>28</v>
      </c>
      <c r="E107" s="224">
        <v>25</v>
      </c>
      <c r="F107" s="224">
        <v>5</v>
      </c>
      <c r="G107" s="224">
        <v>11</v>
      </c>
      <c r="H107" s="207">
        <v>3895</v>
      </c>
      <c r="I107" s="208">
        <v>730</v>
      </c>
      <c r="J107" s="209">
        <f>(I107/F107)</f>
        <v>146</v>
      </c>
      <c r="K107" s="210">
        <f>H107/I107</f>
        <v>5.335616438356165</v>
      </c>
      <c r="L107" s="211">
        <f>198009+121514.5+95148.5+66495+23091+12092+17648.5+7279+6352.5+7838.5+3895</f>
        <v>559363.5</v>
      </c>
      <c r="M107" s="212">
        <f>27092+16078+14204+10980+3903+1664+3329+1236+1212+1399+730</f>
        <v>81827</v>
      </c>
      <c r="N107" s="296">
        <f>L107/M107</f>
        <v>6.835928238845369</v>
      </c>
      <c r="O107" s="153">
        <v>1</v>
      </c>
    </row>
    <row r="108" spans="1:15" ht="15">
      <c r="A108" s="107">
        <v>105</v>
      </c>
      <c r="B108" s="297" t="s">
        <v>171</v>
      </c>
      <c r="C108" s="222">
        <v>40109</v>
      </c>
      <c r="D108" s="225" t="s">
        <v>28</v>
      </c>
      <c r="E108" s="224">
        <v>25</v>
      </c>
      <c r="F108" s="224">
        <v>3</v>
      </c>
      <c r="G108" s="224">
        <v>14</v>
      </c>
      <c r="H108" s="220">
        <v>3364</v>
      </c>
      <c r="I108" s="216">
        <v>753</v>
      </c>
      <c r="J108" s="217">
        <f>(I108/F108)</f>
        <v>251</v>
      </c>
      <c r="K108" s="210">
        <f>H108/I108</f>
        <v>4.46746347941567</v>
      </c>
      <c r="L108" s="221">
        <f>198009+121514.5+95148.5+66495+23091+12092+17648.5+7279+6352.5+7838.5+3895+13931+9479.5+3364</f>
        <v>586138</v>
      </c>
      <c r="M108" s="218">
        <f>27092+16078+14204+10980+3903+1664+3329+1236+1212+1399+730+2457+1696+753</f>
        <v>86733</v>
      </c>
      <c r="N108" s="296">
        <f>L108/M108</f>
        <v>6.757958331892128</v>
      </c>
      <c r="O108" s="166">
        <v>1</v>
      </c>
    </row>
    <row r="109" spans="1:15" ht="15">
      <c r="A109" s="107">
        <v>106</v>
      </c>
      <c r="B109" s="297" t="s">
        <v>116</v>
      </c>
      <c r="C109" s="222">
        <v>40074</v>
      </c>
      <c r="D109" s="223" t="s">
        <v>41</v>
      </c>
      <c r="E109" s="224">
        <v>20</v>
      </c>
      <c r="F109" s="224">
        <v>1</v>
      </c>
      <c r="G109" s="224">
        <v>8</v>
      </c>
      <c r="H109" s="226">
        <v>622</v>
      </c>
      <c r="I109" s="227">
        <v>104</v>
      </c>
      <c r="J109" s="228">
        <f>I109/F109</f>
        <v>104</v>
      </c>
      <c r="K109" s="231">
        <f>+H109/I109</f>
        <v>5.980769230769231</v>
      </c>
      <c r="L109" s="230">
        <f>29605.75+13687.5+1715.5+10167+0.5+1482+874+865+622</f>
        <v>59019.25</v>
      </c>
      <c r="M109" s="228">
        <f>2984+1583+274+1724+229+164+167+104</f>
        <v>7229</v>
      </c>
      <c r="N109" s="300">
        <f>+L109/M109</f>
        <v>8.164234333932772</v>
      </c>
      <c r="O109" s="152">
        <v>1</v>
      </c>
    </row>
    <row r="110" spans="1:15" ht="15">
      <c r="A110" s="107">
        <v>107</v>
      </c>
      <c r="B110" s="297" t="s">
        <v>152</v>
      </c>
      <c r="C110" s="222">
        <v>40074</v>
      </c>
      <c r="D110" s="223" t="s">
        <v>41</v>
      </c>
      <c r="E110" s="224">
        <v>20</v>
      </c>
      <c r="F110" s="224">
        <v>1</v>
      </c>
      <c r="G110" s="224">
        <v>9</v>
      </c>
      <c r="H110" s="226">
        <v>52</v>
      </c>
      <c r="I110" s="258">
        <v>12</v>
      </c>
      <c r="J110" s="234">
        <f>+I110/F110</f>
        <v>12</v>
      </c>
      <c r="K110" s="235">
        <f>+H110/I110</f>
        <v>4.333333333333333</v>
      </c>
      <c r="L110" s="230">
        <f>29605.75+13687.5+1715.5+10167+0.5+1482+874+865+622+52</f>
        <v>59071.25</v>
      </c>
      <c r="M110" s="237">
        <f>2984+1583+274+1724+229+164+167+104+12</f>
        <v>7241</v>
      </c>
      <c r="N110" s="301">
        <f>+L110/M110</f>
        <v>8.157885651153155</v>
      </c>
      <c r="O110" s="166">
        <v>1</v>
      </c>
    </row>
    <row r="111" spans="1:15" ht="15">
      <c r="A111" s="107">
        <v>108</v>
      </c>
      <c r="B111" s="297" t="s">
        <v>39</v>
      </c>
      <c r="C111" s="222">
        <v>40109</v>
      </c>
      <c r="D111" s="223" t="s">
        <v>28</v>
      </c>
      <c r="E111" s="224">
        <v>35</v>
      </c>
      <c r="F111" s="224">
        <v>4</v>
      </c>
      <c r="G111" s="224">
        <v>10</v>
      </c>
      <c r="H111" s="207">
        <v>2698</v>
      </c>
      <c r="I111" s="208">
        <v>403</v>
      </c>
      <c r="J111" s="209">
        <f>(I111/F111)</f>
        <v>100.75</v>
      </c>
      <c r="K111" s="214">
        <f>H111/I111</f>
        <v>6.694789081885856</v>
      </c>
      <c r="L111" s="211">
        <f>138311.75+79345.25+13093+10041+3739+971+1340+254+1082+2698</f>
        <v>250875</v>
      </c>
      <c r="M111" s="212">
        <f>12918+7558+2061+1540+644+195+252+48+177+403</f>
        <v>25796</v>
      </c>
      <c r="N111" s="295">
        <f>L111/M111</f>
        <v>9.725345014730966</v>
      </c>
      <c r="O111" s="153"/>
    </row>
    <row r="112" spans="1:15" ht="15">
      <c r="A112" s="107">
        <v>109</v>
      </c>
      <c r="B112" s="304" t="s">
        <v>39</v>
      </c>
      <c r="C112" s="241">
        <v>40109</v>
      </c>
      <c r="D112" s="242" t="s">
        <v>28</v>
      </c>
      <c r="E112" s="243">
        <v>35</v>
      </c>
      <c r="F112" s="243">
        <v>2</v>
      </c>
      <c r="G112" s="243">
        <v>11</v>
      </c>
      <c r="H112" s="207">
        <v>1314</v>
      </c>
      <c r="I112" s="216">
        <v>212</v>
      </c>
      <c r="J112" s="217">
        <f>(I112/F112)</f>
        <v>106</v>
      </c>
      <c r="K112" s="210">
        <f>H112/I112</f>
        <v>6.19811320754717</v>
      </c>
      <c r="L112" s="211">
        <f>138311.75+79345.25+13093+10041+3739+971+1340+254+1082+2698+1314</f>
        <v>252189</v>
      </c>
      <c r="M112" s="218">
        <f>12918+7558+2061+1540+644+195+252+48+177+403+212</f>
        <v>26008</v>
      </c>
      <c r="N112" s="296">
        <f>L112/M112</f>
        <v>9.696593355890496</v>
      </c>
      <c r="O112" s="166"/>
    </row>
    <row r="113" spans="1:15" ht="15">
      <c r="A113" s="107">
        <v>110</v>
      </c>
      <c r="B113" s="298" t="s">
        <v>39</v>
      </c>
      <c r="C113" s="222">
        <v>40109</v>
      </c>
      <c r="D113" s="225" t="s">
        <v>28</v>
      </c>
      <c r="E113" s="224">
        <v>35</v>
      </c>
      <c r="F113" s="224">
        <v>1</v>
      </c>
      <c r="G113" s="224">
        <v>9</v>
      </c>
      <c r="H113" s="207">
        <v>1082</v>
      </c>
      <c r="I113" s="208">
        <v>177</v>
      </c>
      <c r="J113" s="209">
        <f>(I113/F113)</f>
        <v>177</v>
      </c>
      <c r="K113" s="210">
        <f>H113/I113</f>
        <v>6.112994350282486</v>
      </c>
      <c r="L113" s="211">
        <f>138311.75+79345.25+13093+10041+3739+971+1340+254+1082</f>
        <v>248177</v>
      </c>
      <c r="M113" s="212">
        <f>12918+7558+2061+1540+644+195+252+48+177</f>
        <v>25393</v>
      </c>
      <c r="N113" s="296">
        <f>L113/M113</f>
        <v>9.77344149962588</v>
      </c>
      <c r="O113" s="153"/>
    </row>
    <row r="114" spans="1:15" ht="15">
      <c r="A114" s="107">
        <v>111</v>
      </c>
      <c r="B114" s="297" t="s">
        <v>39</v>
      </c>
      <c r="C114" s="222">
        <v>40109</v>
      </c>
      <c r="D114" s="225" t="s">
        <v>28</v>
      </c>
      <c r="E114" s="224">
        <v>35</v>
      </c>
      <c r="F114" s="224">
        <v>2</v>
      </c>
      <c r="G114" s="224">
        <v>12</v>
      </c>
      <c r="H114" s="220">
        <v>676</v>
      </c>
      <c r="I114" s="216">
        <v>110</v>
      </c>
      <c r="J114" s="217">
        <f>(I114/F114)</f>
        <v>55</v>
      </c>
      <c r="K114" s="210">
        <f>H114/I114</f>
        <v>6.1454545454545455</v>
      </c>
      <c r="L114" s="221">
        <f>138311.75+79345.25+13093+10041+3739+971+1340+254+1082+2698+1314+676</f>
        <v>252865</v>
      </c>
      <c r="M114" s="218">
        <f>12918+7558+2061+1540+644+195+252+48+177+403+212+110</f>
        <v>26118</v>
      </c>
      <c r="N114" s="296">
        <f>L114/M114</f>
        <v>9.681637185083085</v>
      </c>
      <c r="O114" s="166"/>
    </row>
    <row r="115" spans="1:15" ht="15">
      <c r="A115" s="107">
        <v>112</v>
      </c>
      <c r="B115" s="294" t="s">
        <v>147</v>
      </c>
      <c r="C115" s="204">
        <v>40088</v>
      </c>
      <c r="D115" s="213" t="s">
        <v>30</v>
      </c>
      <c r="E115" s="206">
        <v>55</v>
      </c>
      <c r="F115" s="206">
        <v>1</v>
      </c>
      <c r="G115" s="206">
        <v>11</v>
      </c>
      <c r="H115" s="232">
        <v>653</v>
      </c>
      <c r="I115" s="233">
        <v>131</v>
      </c>
      <c r="J115" s="234">
        <f>IF(H115&lt;&gt;0,I115/F115,"")</f>
        <v>131</v>
      </c>
      <c r="K115" s="235">
        <f>IF(H115&lt;&gt;0,H115/I115,"")</f>
        <v>4.984732824427481</v>
      </c>
      <c r="L115" s="236">
        <v>148114</v>
      </c>
      <c r="M115" s="237">
        <v>18332</v>
      </c>
      <c r="N115" s="301">
        <f>IF(L115&lt;&gt;0,L115/M115,"")</f>
        <v>8.079533056949597</v>
      </c>
      <c r="O115" s="166">
        <v>1</v>
      </c>
    </row>
    <row r="116" spans="1:15" ht="15">
      <c r="A116" s="107">
        <v>113</v>
      </c>
      <c r="B116" s="297" t="s">
        <v>147</v>
      </c>
      <c r="C116" s="222">
        <v>40088</v>
      </c>
      <c r="D116" s="225" t="s">
        <v>30</v>
      </c>
      <c r="E116" s="224">
        <v>55</v>
      </c>
      <c r="F116" s="224">
        <v>1</v>
      </c>
      <c r="G116" s="224">
        <v>12</v>
      </c>
      <c r="H116" s="220">
        <v>270</v>
      </c>
      <c r="I116" s="216">
        <v>38</v>
      </c>
      <c r="J116" s="217">
        <f>IF(H116&lt;&gt;0,I116/F116,"")</f>
        <v>38</v>
      </c>
      <c r="K116" s="210">
        <f>IF(H116&lt;&gt;0,H116/I116,"")</f>
        <v>7.105263157894737</v>
      </c>
      <c r="L116" s="221">
        <v>148384</v>
      </c>
      <c r="M116" s="218">
        <v>18370</v>
      </c>
      <c r="N116" s="296">
        <f>IF(L116&lt;&gt;0,L116/M116,"")</f>
        <v>8.07751769188895</v>
      </c>
      <c r="O116" s="166">
        <v>1</v>
      </c>
    </row>
    <row r="117" spans="1:15" ht="15">
      <c r="A117" s="107">
        <v>114</v>
      </c>
      <c r="B117" s="294" t="s">
        <v>117</v>
      </c>
      <c r="C117" s="204">
        <v>40088</v>
      </c>
      <c r="D117" s="213" t="s">
        <v>118</v>
      </c>
      <c r="E117" s="206">
        <v>55</v>
      </c>
      <c r="F117" s="206">
        <v>1</v>
      </c>
      <c r="G117" s="206">
        <v>10</v>
      </c>
      <c r="H117" s="232">
        <v>210</v>
      </c>
      <c r="I117" s="238">
        <v>42</v>
      </c>
      <c r="J117" s="239">
        <f>IF(H117&lt;&gt;0,I117/F117,"")</f>
        <v>42</v>
      </c>
      <c r="K117" s="240">
        <f>IF(H117&lt;&gt;0,H117/I117,"")</f>
        <v>5</v>
      </c>
      <c r="L117" s="236">
        <v>147461</v>
      </c>
      <c r="M117" s="228">
        <v>18201</v>
      </c>
      <c r="N117" s="302">
        <f>IF(L117&lt;&gt;0,L117/M117,"")</f>
        <v>8.101807592989395</v>
      </c>
      <c r="O117" s="152">
        <v>1</v>
      </c>
    </row>
    <row r="118" spans="1:15" ht="15">
      <c r="A118" s="107">
        <v>115</v>
      </c>
      <c r="B118" s="304" t="s">
        <v>137</v>
      </c>
      <c r="C118" s="241">
        <v>40109</v>
      </c>
      <c r="D118" s="242" t="s">
        <v>28</v>
      </c>
      <c r="E118" s="243">
        <v>179</v>
      </c>
      <c r="F118" s="243">
        <v>1</v>
      </c>
      <c r="G118" s="243">
        <v>12</v>
      </c>
      <c r="H118" s="207">
        <v>1563</v>
      </c>
      <c r="I118" s="216">
        <v>274</v>
      </c>
      <c r="J118" s="217">
        <f>(I118/F118)</f>
        <v>274</v>
      </c>
      <c r="K118" s="210">
        <f>H118/I118</f>
        <v>5.704379562043796</v>
      </c>
      <c r="L118" s="211">
        <f>1128559+561773+266735+93447+7005+1818+273+24520+599+3199+564+1563</f>
        <v>2090055</v>
      </c>
      <c r="M118" s="218">
        <f>129422+68620+41591+19064+1291+300+35+6130+81+717+91+274</f>
        <v>267616</v>
      </c>
      <c r="N118" s="296">
        <f>L118/M118</f>
        <v>7.809902995336602</v>
      </c>
      <c r="O118" s="166">
        <v>1</v>
      </c>
    </row>
    <row r="119" spans="1:15" ht="15">
      <c r="A119" s="107">
        <v>116</v>
      </c>
      <c r="B119" s="298" t="s">
        <v>77</v>
      </c>
      <c r="C119" s="222">
        <v>40109</v>
      </c>
      <c r="D119" s="225" t="s">
        <v>28</v>
      </c>
      <c r="E119" s="224">
        <v>179</v>
      </c>
      <c r="F119" s="224">
        <v>2</v>
      </c>
      <c r="G119" s="224">
        <v>11</v>
      </c>
      <c r="H119" s="207">
        <v>564</v>
      </c>
      <c r="I119" s="208">
        <v>91</v>
      </c>
      <c r="J119" s="209">
        <f>(I119/F119)</f>
        <v>45.5</v>
      </c>
      <c r="K119" s="210">
        <f>H119/I119</f>
        <v>6.197802197802198</v>
      </c>
      <c r="L119" s="211">
        <f>1128559+561773+266735+93447+7005+1818+273+24520+599+3199+564</f>
        <v>2088492</v>
      </c>
      <c r="M119" s="212">
        <f>129422+68620+41591+19064+1291+300+35+6130+81+717+91</f>
        <v>267342</v>
      </c>
      <c r="N119" s="296">
        <f>L119/M119</f>
        <v>7.8120609556298675</v>
      </c>
      <c r="O119" s="153">
        <v>1</v>
      </c>
    </row>
    <row r="120" spans="1:15" ht="15">
      <c r="A120" s="107">
        <v>117</v>
      </c>
      <c r="B120" s="297" t="s">
        <v>110</v>
      </c>
      <c r="C120" s="222">
        <v>39934</v>
      </c>
      <c r="D120" s="223" t="s">
        <v>41</v>
      </c>
      <c r="E120" s="224">
        <v>125</v>
      </c>
      <c r="F120" s="224">
        <v>1</v>
      </c>
      <c r="G120" s="224">
        <v>11</v>
      </c>
      <c r="H120" s="226">
        <v>1085</v>
      </c>
      <c r="I120" s="227">
        <v>217</v>
      </c>
      <c r="J120" s="228">
        <f>I120/F120</f>
        <v>217</v>
      </c>
      <c r="K120" s="231">
        <f>+H120/I120</f>
        <v>5</v>
      </c>
      <c r="L120" s="230">
        <f>114460.75+42138+22420+8194+3259+329+823+25444.5+546+3853+1085</f>
        <v>222552.25</v>
      </c>
      <c r="M120" s="228">
        <f>15343+6534+4108+1491+680+62+130+4241+100+770+217</f>
        <v>33676</v>
      </c>
      <c r="N120" s="300">
        <f>+L120/M120</f>
        <v>6.608630775626559</v>
      </c>
      <c r="O120" s="152">
        <v>1</v>
      </c>
    </row>
    <row r="121" spans="1:15" ht="15">
      <c r="A121" s="107">
        <v>118</v>
      </c>
      <c r="B121" s="297" t="s">
        <v>145</v>
      </c>
      <c r="C121" s="222">
        <v>39934</v>
      </c>
      <c r="D121" s="223" t="s">
        <v>41</v>
      </c>
      <c r="E121" s="224">
        <v>125</v>
      </c>
      <c r="F121" s="224">
        <v>1</v>
      </c>
      <c r="G121" s="224">
        <v>12</v>
      </c>
      <c r="H121" s="226">
        <v>700</v>
      </c>
      <c r="I121" s="258">
        <v>140</v>
      </c>
      <c r="J121" s="234">
        <f>+I121/F121</f>
        <v>140</v>
      </c>
      <c r="K121" s="235">
        <f>+H121/I121</f>
        <v>5</v>
      </c>
      <c r="L121" s="230">
        <f>114460.75+42138+22420+8194+3259+329+823+25444.5+546+3853+1085+700</f>
        <v>223252.25</v>
      </c>
      <c r="M121" s="237">
        <f>15343+6534+4108+1491+680+62+130+4241+100+770+217+140</f>
        <v>33816</v>
      </c>
      <c r="N121" s="299">
        <f>+L121/M121</f>
        <v>6.601970960492075</v>
      </c>
      <c r="O121" s="166">
        <v>1</v>
      </c>
    </row>
    <row r="122" spans="1:15" ht="15">
      <c r="A122" s="107">
        <v>119</v>
      </c>
      <c r="B122" s="303" t="s">
        <v>72</v>
      </c>
      <c r="C122" s="204">
        <v>40123</v>
      </c>
      <c r="D122" s="219" t="s">
        <v>30</v>
      </c>
      <c r="E122" s="206">
        <v>40</v>
      </c>
      <c r="F122" s="206">
        <v>3</v>
      </c>
      <c r="G122" s="206">
        <v>8</v>
      </c>
      <c r="H122" s="232">
        <v>2876</v>
      </c>
      <c r="I122" s="238">
        <v>477</v>
      </c>
      <c r="J122" s="239">
        <f>IF(H122&lt;&gt;0,I122/F122,"")</f>
        <v>159</v>
      </c>
      <c r="K122" s="235">
        <f>IF(H122&lt;&gt;0,H122/I122,"")</f>
        <v>6.029350104821803</v>
      </c>
      <c r="L122" s="236">
        <v>260364.25</v>
      </c>
      <c r="M122" s="228">
        <v>26330</v>
      </c>
      <c r="N122" s="301">
        <f>IF(L122&lt;&gt;0,L122/M122,"")</f>
        <v>9.888501709077099</v>
      </c>
      <c r="O122" s="153">
        <v>1</v>
      </c>
    </row>
    <row r="123" spans="1:15" ht="15">
      <c r="A123" s="107">
        <v>120</v>
      </c>
      <c r="B123" s="294" t="s">
        <v>136</v>
      </c>
      <c r="C123" s="204">
        <v>40123</v>
      </c>
      <c r="D123" s="213" t="s">
        <v>30</v>
      </c>
      <c r="E123" s="206">
        <v>40</v>
      </c>
      <c r="F123" s="206">
        <v>5</v>
      </c>
      <c r="G123" s="206">
        <v>10</v>
      </c>
      <c r="H123" s="232">
        <v>1905</v>
      </c>
      <c r="I123" s="233">
        <v>315</v>
      </c>
      <c r="J123" s="234">
        <f>IF(H123&lt;&gt;0,I123/F123,"")</f>
        <v>63</v>
      </c>
      <c r="K123" s="235">
        <f>IF(H123&lt;&gt;0,H123/I123,"")</f>
        <v>6.0476190476190474</v>
      </c>
      <c r="L123" s="236">
        <v>263941.25</v>
      </c>
      <c r="M123" s="237">
        <v>26959</v>
      </c>
      <c r="N123" s="301">
        <f>IF(L123&lt;&gt;0,L123/M123,"")</f>
        <v>9.790468860120924</v>
      </c>
      <c r="O123" s="166">
        <v>1</v>
      </c>
    </row>
    <row r="124" spans="1:15" ht="15">
      <c r="A124" s="107">
        <v>121</v>
      </c>
      <c r="B124" s="294" t="s">
        <v>103</v>
      </c>
      <c r="C124" s="204">
        <v>40123</v>
      </c>
      <c r="D124" s="213" t="s">
        <v>30</v>
      </c>
      <c r="E124" s="206">
        <v>40</v>
      </c>
      <c r="F124" s="206">
        <v>4</v>
      </c>
      <c r="G124" s="206">
        <v>9</v>
      </c>
      <c r="H124" s="232">
        <v>1672</v>
      </c>
      <c r="I124" s="238">
        <v>314</v>
      </c>
      <c r="J124" s="239">
        <f>IF(H124&lt;&gt;0,I124/F124,"")</f>
        <v>78.5</v>
      </c>
      <c r="K124" s="240">
        <f>IF(H124&lt;&gt;0,H124/I124,"")</f>
        <v>5.32484076433121</v>
      </c>
      <c r="L124" s="236">
        <v>262036.25</v>
      </c>
      <c r="M124" s="228">
        <v>26644</v>
      </c>
      <c r="N124" s="302">
        <f>IF(L124&lt;&gt;0,L124/M124,"")</f>
        <v>9.834718886053146</v>
      </c>
      <c r="O124" s="152">
        <v>1</v>
      </c>
    </row>
    <row r="125" spans="1:15" ht="15">
      <c r="A125" s="107">
        <v>122</v>
      </c>
      <c r="B125" s="297" t="s">
        <v>103</v>
      </c>
      <c r="C125" s="222">
        <v>40123</v>
      </c>
      <c r="D125" s="225" t="s">
        <v>30</v>
      </c>
      <c r="E125" s="224">
        <v>40</v>
      </c>
      <c r="F125" s="224">
        <v>4</v>
      </c>
      <c r="G125" s="224">
        <v>11</v>
      </c>
      <c r="H125" s="220">
        <v>1018</v>
      </c>
      <c r="I125" s="216">
        <v>176</v>
      </c>
      <c r="J125" s="217">
        <f>IF(H125&lt;&gt;0,I125/F125,"")</f>
        <v>44</v>
      </c>
      <c r="K125" s="210">
        <f>IF(H125&lt;&gt;0,H125/I125,"")</f>
        <v>5.784090909090909</v>
      </c>
      <c r="L125" s="221">
        <v>264959.25</v>
      </c>
      <c r="M125" s="218">
        <v>27135</v>
      </c>
      <c r="N125" s="296">
        <f>IF(L125&lt;&gt;0,L125/M125,"")</f>
        <v>9.764483139856274</v>
      </c>
      <c r="O125" s="166">
        <v>1</v>
      </c>
    </row>
    <row r="126" spans="1:15" ht="15">
      <c r="A126" s="107">
        <v>123</v>
      </c>
      <c r="B126" s="298" t="s">
        <v>70</v>
      </c>
      <c r="C126" s="222">
        <v>40116</v>
      </c>
      <c r="D126" s="225" t="s">
        <v>41</v>
      </c>
      <c r="E126" s="224">
        <v>252</v>
      </c>
      <c r="F126" s="224">
        <v>3</v>
      </c>
      <c r="G126" s="224">
        <v>10</v>
      </c>
      <c r="H126" s="226">
        <v>3546</v>
      </c>
      <c r="I126" s="227">
        <v>675</v>
      </c>
      <c r="J126" s="239">
        <f>IF(H126&lt;&gt;0,I126/F126,"")</f>
        <v>225</v>
      </c>
      <c r="K126" s="235">
        <f>IF(H126&lt;&gt;0,H126/I126,"")</f>
        <v>5.253333333333333</v>
      </c>
      <c r="L126" s="230">
        <f>1669127.75+948082.25+584112.75-1430.5+253635+167357+9936+0.5+7987+1963+4065+3546</f>
        <v>3648381.75</v>
      </c>
      <c r="M126" s="228">
        <f>200044+117374+72700-112+36636+25117+1706+1163+472+1036+675</f>
        <v>456811</v>
      </c>
      <c r="N126" s="301">
        <f>IF(L126&lt;&gt;0,L126/M126,"")</f>
        <v>7.986632874427279</v>
      </c>
      <c r="O126" s="153">
        <v>1</v>
      </c>
    </row>
    <row r="127" spans="1:15" ht="15">
      <c r="A127" s="107">
        <v>124</v>
      </c>
      <c r="B127" s="297" t="s">
        <v>138</v>
      </c>
      <c r="C127" s="222">
        <v>40116</v>
      </c>
      <c r="D127" s="223" t="s">
        <v>41</v>
      </c>
      <c r="E127" s="224">
        <v>252</v>
      </c>
      <c r="F127" s="224">
        <v>3</v>
      </c>
      <c r="G127" s="224">
        <v>12</v>
      </c>
      <c r="H127" s="226">
        <v>1470</v>
      </c>
      <c r="I127" s="258">
        <v>234</v>
      </c>
      <c r="J127" s="234">
        <f>+I127/F127</f>
        <v>78</v>
      </c>
      <c r="K127" s="235">
        <f>+H127/I127</f>
        <v>6.282051282051282</v>
      </c>
      <c r="L127" s="230">
        <f>1669127.75+948082.25+584112.75-1430.5+253635+167357+9936+0.5+7987+1963+4065+3546+1275+1470</f>
        <v>3651126.75</v>
      </c>
      <c r="M127" s="237">
        <f>200044+117374+72700-112+36636+25117+1706+1163+472+1036+675+224+234</f>
        <v>457269</v>
      </c>
      <c r="N127" s="299">
        <f>+L127/M127</f>
        <v>7.984636504989404</v>
      </c>
      <c r="O127" s="166">
        <v>1</v>
      </c>
    </row>
    <row r="128" spans="1:15" ht="15">
      <c r="A128" s="107">
        <v>125</v>
      </c>
      <c r="B128" s="297" t="s">
        <v>107</v>
      </c>
      <c r="C128" s="222">
        <v>40116</v>
      </c>
      <c r="D128" s="223" t="s">
        <v>41</v>
      </c>
      <c r="E128" s="224">
        <v>252</v>
      </c>
      <c r="F128" s="224">
        <v>2</v>
      </c>
      <c r="G128" s="224">
        <v>11</v>
      </c>
      <c r="H128" s="226">
        <v>1275</v>
      </c>
      <c r="I128" s="227">
        <v>224</v>
      </c>
      <c r="J128" s="228">
        <f>I128/F128</f>
        <v>112</v>
      </c>
      <c r="K128" s="231">
        <f>+H128/I128</f>
        <v>5.691964285714286</v>
      </c>
      <c r="L128" s="230">
        <f>1669127.75+948082.25+584112.75-1430.5+253635+167357+9936+0.5+7987+1963+4065+3546+1275</f>
        <v>3649656.75</v>
      </c>
      <c r="M128" s="228">
        <f>200044+117374+72700-112+36636+25117+1706+1163+472+1036+675+224</f>
        <v>457035</v>
      </c>
      <c r="N128" s="300">
        <f>+L128/M128</f>
        <v>7.985508221471004</v>
      </c>
      <c r="O128" s="152">
        <v>1</v>
      </c>
    </row>
    <row r="129" spans="1:15" ht="15">
      <c r="A129" s="107">
        <v>126</v>
      </c>
      <c r="B129" s="297" t="s">
        <v>146</v>
      </c>
      <c r="C129" s="222">
        <v>40116</v>
      </c>
      <c r="D129" s="225" t="s">
        <v>30</v>
      </c>
      <c r="E129" s="224">
        <v>88</v>
      </c>
      <c r="F129" s="224">
        <v>2</v>
      </c>
      <c r="G129" s="224">
        <v>12</v>
      </c>
      <c r="H129" s="220">
        <v>1492</v>
      </c>
      <c r="I129" s="216">
        <v>303</v>
      </c>
      <c r="J129" s="217">
        <f>IF(H129&lt;&gt;0,I129/F129,"")</f>
        <v>151.5</v>
      </c>
      <c r="K129" s="210">
        <f>IF(H129&lt;&gt;0,H129/I129,"")</f>
        <v>4.924092409240924</v>
      </c>
      <c r="L129" s="221">
        <v>279977</v>
      </c>
      <c r="M129" s="218">
        <v>37673</v>
      </c>
      <c r="N129" s="296">
        <f>IF(L129&lt;&gt;0,L129/M129,"")</f>
        <v>7.43176810978685</v>
      </c>
      <c r="O129" s="166">
        <v>1</v>
      </c>
    </row>
    <row r="130" spans="1:15" ht="15">
      <c r="A130" s="107">
        <v>127</v>
      </c>
      <c r="B130" s="294" t="s">
        <v>114</v>
      </c>
      <c r="C130" s="204">
        <v>40116</v>
      </c>
      <c r="D130" s="213" t="s">
        <v>30</v>
      </c>
      <c r="E130" s="206">
        <v>88</v>
      </c>
      <c r="F130" s="206">
        <v>3</v>
      </c>
      <c r="G130" s="206">
        <v>10</v>
      </c>
      <c r="H130" s="232">
        <v>720</v>
      </c>
      <c r="I130" s="238">
        <v>126</v>
      </c>
      <c r="J130" s="239">
        <f>IF(H130&lt;&gt;0,I130/F130,"")</f>
        <v>42</v>
      </c>
      <c r="K130" s="240">
        <f>IF(H130&lt;&gt;0,H130/I130,"")</f>
        <v>5.714285714285714</v>
      </c>
      <c r="L130" s="236">
        <v>277792</v>
      </c>
      <c r="M130" s="228">
        <v>37243</v>
      </c>
      <c r="N130" s="302">
        <f>IF(L130&lt;&gt;0,L130/M130,"")</f>
        <v>7.458905029132992</v>
      </c>
      <c r="O130" s="152">
        <v>1</v>
      </c>
    </row>
    <row r="131" spans="1:15" ht="15">
      <c r="A131" s="107">
        <v>128</v>
      </c>
      <c r="B131" s="294" t="s">
        <v>146</v>
      </c>
      <c r="C131" s="204">
        <v>40116</v>
      </c>
      <c r="D131" s="213" t="s">
        <v>30</v>
      </c>
      <c r="E131" s="206">
        <v>88</v>
      </c>
      <c r="F131" s="206">
        <v>1</v>
      </c>
      <c r="G131" s="206">
        <v>11</v>
      </c>
      <c r="H131" s="232">
        <v>693</v>
      </c>
      <c r="I131" s="233">
        <v>127</v>
      </c>
      <c r="J131" s="234">
        <f>IF(H131&lt;&gt;0,I131/F131,"")</f>
        <v>127</v>
      </c>
      <c r="K131" s="235">
        <f>IF(H131&lt;&gt;0,H131/I131,"")</f>
        <v>5.456692913385827</v>
      </c>
      <c r="L131" s="236">
        <v>278485</v>
      </c>
      <c r="M131" s="237">
        <v>37370</v>
      </c>
      <c r="N131" s="301">
        <f>IF(L131&lt;&gt;0,L131/M131,"")</f>
        <v>7.452100615466952</v>
      </c>
      <c r="O131" s="166">
        <v>1</v>
      </c>
    </row>
    <row r="132" spans="1:15" ht="15">
      <c r="A132" s="107">
        <v>129</v>
      </c>
      <c r="B132" s="298" t="s">
        <v>63</v>
      </c>
      <c r="C132" s="222">
        <v>40137</v>
      </c>
      <c r="D132" s="225" t="s">
        <v>41</v>
      </c>
      <c r="E132" s="224">
        <v>311</v>
      </c>
      <c r="F132" s="224">
        <v>3</v>
      </c>
      <c r="G132" s="224">
        <v>7</v>
      </c>
      <c r="H132" s="226">
        <v>39718</v>
      </c>
      <c r="I132" s="227">
        <v>6551</v>
      </c>
      <c r="J132" s="239">
        <f>IF(H132&lt;&gt;0,I132/F132,"")</f>
        <v>2183.6666666666665</v>
      </c>
      <c r="K132" s="235">
        <f>IF(H132&lt;&gt;0,H132/I132,"")</f>
        <v>6.06289116165471</v>
      </c>
      <c r="L132" s="230">
        <f>3304754.25+2499078+631694+23+231806.5+262+75092+83827.5+39718+180</f>
        <v>6866435.25</v>
      </c>
      <c r="M132" s="228">
        <f>413699+312050+80320+31253+42+12537-15+13061+6551+45</f>
        <v>869543</v>
      </c>
      <c r="N132" s="301">
        <f>IF(L132&lt;&gt;0,L132/M132,"")</f>
        <v>7.896602295688655</v>
      </c>
      <c r="O132" s="153">
        <v>1</v>
      </c>
    </row>
    <row r="133" spans="1:15" ht="15">
      <c r="A133" s="107">
        <v>130</v>
      </c>
      <c r="B133" s="297" t="s">
        <v>119</v>
      </c>
      <c r="C133" s="222">
        <v>40137</v>
      </c>
      <c r="D133" s="223" t="s">
        <v>41</v>
      </c>
      <c r="E133" s="224">
        <v>311</v>
      </c>
      <c r="F133" s="224">
        <v>2</v>
      </c>
      <c r="G133" s="224">
        <v>9</v>
      </c>
      <c r="H133" s="226">
        <v>8500.5</v>
      </c>
      <c r="I133" s="258">
        <v>1409</v>
      </c>
      <c r="J133" s="234">
        <f>+I133/F133</f>
        <v>704.5</v>
      </c>
      <c r="K133" s="235">
        <f>+H133/I133</f>
        <v>6.033002129169624</v>
      </c>
      <c r="L133" s="230">
        <f>3304754.25+2499078+631694+23+231806.5+262+75092+83827.5+39718+180+150+8500+0.5</f>
        <v>6875085.75</v>
      </c>
      <c r="M133" s="237">
        <f>413699+312050+80320+31253+42+12537-15+13061+6551+45+15+1409</f>
        <v>870967</v>
      </c>
      <c r="N133" s="299">
        <f>+L133/M133</f>
        <v>7.893623696420186</v>
      </c>
      <c r="O133" s="166">
        <v>1</v>
      </c>
    </row>
    <row r="134" spans="1:15" ht="15">
      <c r="A134" s="107">
        <v>131</v>
      </c>
      <c r="B134" s="297" t="s">
        <v>119</v>
      </c>
      <c r="C134" s="222">
        <v>40137</v>
      </c>
      <c r="D134" s="223" t="s">
        <v>41</v>
      </c>
      <c r="E134" s="224">
        <v>311</v>
      </c>
      <c r="F134" s="224">
        <v>1</v>
      </c>
      <c r="G134" s="224">
        <v>8</v>
      </c>
      <c r="H134" s="226">
        <v>150</v>
      </c>
      <c r="I134" s="227">
        <v>15</v>
      </c>
      <c r="J134" s="228">
        <f>I134/F134</f>
        <v>15</v>
      </c>
      <c r="K134" s="231">
        <f>+H134/I134</f>
        <v>10</v>
      </c>
      <c r="L134" s="230">
        <f>3304754.25+2499078+631694+23+231806.5+262+75092+83827.5+39718+180+150</f>
        <v>6866585.25</v>
      </c>
      <c r="M134" s="228">
        <f>413699+312050+80320+31253+42+12537-15+13061+6551+45+15</f>
        <v>869558</v>
      </c>
      <c r="N134" s="300">
        <f>+L134/M134</f>
        <v>7.896638579600211</v>
      </c>
      <c r="O134" s="152">
        <v>1</v>
      </c>
    </row>
    <row r="135" spans="1:15" ht="15">
      <c r="A135" s="107">
        <v>132</v>
      </c>
      <c r="B135" s="294" t="s">
        <v>34</v>
      </c>
      <c r="C135" s="204">
        <v>40067</v>
      </c>
      <c r="D135" s="213" t="s">
        <v>30</v>
      </c>
      <c r="E135" s="206">
        <v>105</v>
      </c>
      <c r="F135" s="206">
        <v>10</v>
      </c>
      <c r="G135" s="206">
        <v>19</v>
      </c>
      <c r="H135" s="232">
        <v>7181.5</v>
      </c>
      <c r="I135" s="233">
        <v>1825</v>
      </c>
      <c r="J135" s="234">
        <f>IF(H135&lt;&gt;0,I135/F135,"")</f>
        <v>182.5</v>
      </c>
      <c r="K135" s="235">
        <f>IF(H135&lt;&gt;0,H135/I135,"")</f>
        <v>3.935068493150685</v>
      </c>
      <c r="L135" s="236">
        <v>621501</v>
      </c>
      <c r="M135" s="237">
        <v>73921</v>
      </c>
      <c r="N135" s="301">
        <f>IF(L135&lt;&gt;0,L135/M135,"")</f>
        <v>8.407637883686638</v>
      </c>
      <c r="O135" s="166"/>
    </row>
    <row r="136" spans="1:15" ht="15">
      <c r="A136" s="107">
        <v>133</v>
      </c>
      <c r="B136" s="294" t="s">
        <v>34</v>
      </c>
      <c r="C136" s="204">
        <v>40067</v>
      </c>
      <c r="D136" s="213" t="s">
        <v>30</v>
      </c>
      <c r="E136" s="206">
        <v>105</v>
      </c>
      <c r="F136" s="206">
        <v>9</v>
      </c>
      <c r="G136" s="206">
        <v>18</v>
      </c>
      <c r="H136" s="232">
        <v>4342.75</v>
      </c>
      <c r="I136" s="238">
        <v>845</v>
      </c>
      <c r="J136" s="239">
        <f>IF(H136&lt;&gt;0,I136/F136,"")</f>
        <v>93.88888888888889</v>
      </c>
      <c r="K136" s="240">
        <f>IF(H136&lt;&gt;0,H136/I136,"")</f>
        <v>5.139349112426036</v>
      </c>
      <c r="L136" s="236">
        <v>614319.5</v>
      </c>
      <c r="M136" s="228">
        <v>72096</v>
      </c>
      <c r="N136" s="302">
        <f>IF(L136&lt;&gt;0,L136/M136,"")</f>
        <v>8.520854138925877</v>
      </c>
      <c r="O136" s="152"/>
    </row>
    <row r="137" spans="1:15" ht="15">
      <c r="A137" s="107">
        <v>134</v>
      </c>
      <c r="B137" s="297" t="s">
        <v>34</v>
      </c>
      <c r="C137" s="222">
        <v>40067</v>
      </c>
      <c r="D137" s="225" t="s">
        <v>30</v>
      </c>
      <c r="E137" s="224">
        <v>105</v>
      </c>
      <c r="F137" s="224">
        <v>8</v>
      </c>
      <c r="G137" s="224">
        <v>20</v>
      </c>
      <c r="H137" s="220">
        <v>2029</v>
      </c>
      <c r="I137" s="216">
        <v>418</v>
      </c>
      <c r="J137" s="217">
        <f>IF(H137&lt;&gt;0,I137/F137,"")</f>
        <v>52.25</v>
      </c>
      <c r="K137" s="210">
        <f>IF(H137&lt;&gt;0,H137/I137,"")</f>
        <v>4.854066985645933</v>
      </c>
      <c r="L137" s="221">
        <v>623530</v>
      </c>
      <c r="M137" s="218">
        <v>74339</v>
      </c>
      <c r="N137" s="296">
        <f>IF(L137&lt;&gt;0,L137/M137,"")</f>
        <v>8.387656546361937</v>
      </c>
      <c r="O137" s="166"/>
    </row>
    <row r="138" spans="1:15" ht="15">
      <c r="A138" s="107">
        <v>135</v>
      </c>
      <c r="B138" s="303" t="s">
        <v>34</v>
      </c>
      <c r="C138" s="204">
        <v>40067</v>
      </c>
      <c r="D138" s="219" t="s">
        <v>30</v>
      </c>
      <c r="E138" s="206">
        <v>105</v>
      </c>
      <c r="F138" s="206">
        <v>7</v>
      </c>
      <c r="G138" s="206">
        <v>17</v>
      </c>
      <c r="H138" s="232">
        <v>810</v>
      </c>
      <c r="I138" s="238">
        <v>154</v>
      </c>
      <c r="J138" s="239">
        <f>IF(H138&lt;&gt;0,I138/F138,"")</f>
        <v>22</v>
      </c>
      <c r="K138" s="235">
        <f>IF(H138&lt;&gt;0,H138/I138,"")</f>
        <v>5.259740259740259</v>
      </c>
      <c r="L138" s="236">
        <v>609976.75</v>
      </c>
      <c r="M138" s="228">
        <v>71251</v>
      </c>
      <c r="N138" s="301">
        <f>IF(L138&lt;&gt;0,L138/M138,"")</f>
        <v>8.56095703919945</v>
      </c>
      <c r="O138" s="153"/>
    </row>
    <row r="139" spans="1:15" ht="15">
      <c r="A139" s="107">
        <v>136</v>
      </c>
      <c r="B139" s="298" t="s">
        <v>32</v>
      </c>
      <c r="C139" s="222">
        <v>39871</v>
      </c>
      <c r="D139" s="281" t="s">
        <v>28</v>
      </c>
      <c r="E139" s="224">
        <v>1</v>
      </c>
      <c r="F139" s="224">
        <v>1</v>
      </c>
      <c r="G139" s="224">
        <v>21</v>
      </c>
      <c r="H139" s="207">
        <v>1780</v>
      </c>
      <c r="I139" s="208">
        <v>445</v>
      </c>
      <c r="J139" s="209">
        <f>(I139/F139)</f>
        <v>445</v>
      </c>
      <c r="K139" s="210">
        <f>H139/I139</f>
        <v>4</v>
      </c>
      <c r="L139" s="211">
        <f>1088+1510+1304+856+387+214+424+106+162+130+476+60.5+118+96+1664+1780+454+259.5+1188+119.5+1188+1780</f>
        <v>15364.5</v>
      </c>
      <c r="M139" s="212">
        <f>267+175+155+102+46+26+51+12+18+16+57+8+22+16+416+445+57+31+297+19+297+445</f>
        <v>2978</v>
      </c>
      <c r="N139" s="296">
        <f>L139/M139</f>
        <v>5.15933512424446</v>
      </c>
      <c r="O139" s="153"/>
    </row>
    <row r="140" spans="1:15" ht="15">
      <c r="A140" s="107">
        <v>137</v>
      </c>
      <c r="B140" s="297" t="s">
        <v>32</v>
      </c>
      <c r="C140" s="222">
        <v>39871</v>
      </c>
      <c r="D140" s="270" t="s">
        <v>28</v>
      </c>
      <c r="E140" s="224">
        <v>1</v>
      </c>
      <c r="F140" s="224">
        <v>1</v>
      </c>
      <c r="G140" s="224">
        <v>22</v>
      </c>
      <c r="H140" s="207">
        <v>1780</v>
      </c>
      <c r="I140" s="208">
        <v>445</v>
      </c>
      <c r="J140" s="209">
        <f>(I140/F140)</f>
        <v>445</v>
      </c>
      <c r="K140" s="214">
        <f>H140/I140</f>
        <v>4</v>
      </c>
      <c r="L140" s="211">
        <f>1088+1510+1304+856+387+214+424+106+162+130+476+60.5+118+96+1664+1780+454+259.5+1188+119.5+1188+1780+1780</f>
        <v>17144.5</v>
      </c>
      <c r="M140" s="212">
        <f>267+175+155+102+46+26+51+12+18+16+57+8+22+16+416+445+57+31+297+19+297+445+445</f>
        <v>3423</v>
      </c>
      <c r="N140" s="295">
        <f>L140/M140</f>
        <v>5.0086181711948585</v>
      </c>
      <c r="O140" s="153"/>
    </row>
    <row r="141" spans="1:15" ht="15">
      <c r="A141" s="107">
        <v>138</v>
      </c>
      <c r="B141" s="312" t="s">
        <v>91</v>
      </c>
      <c r="C141" s="204">
        <v>40158</v>
      </c>
      <c r="D141" s="270" t="s">
        <v>92</v>
      </c>
      <c r="E141" s="275" t="s">
        <v>93</v>
      </c>
      <c r="F141" s="275" t="s">
        <v>93</v>
      </c>
      <c r="G141" s="275" t="s">
        <v>94</v>
      </c>
      <c r="H141" s="271">
        <v>10169</v>
      </c>
      <c r="I141" s="276">
        <v>1579</v>
      </c>
      <c r="J141" s="277">
        <f>+I141/F141</f>
        <v>157.9</v>
      </c>
      <c r="K141" s="240">
        <f>IF(H141&lt;&gt;0,H141/I141,"")</f>
        <v>6.440151994933502</v>
      </c>
      <c r="L141" s="273">
        <v>104779</v>
      </c>
      <c r="M141" s="278">
        <v>9582</v>
      </c>
      <c r="N141" s="302">
        <f>IF(L141&lt;&gt;0,L141/M141,"")</f>
        <v>10.934982258401169</v>
      </c>
      <c r="O141" s="152"/>
    </row>
    <row r="142" spans="1:15" ht="15">
      <c r="A142" s="107">
        <v>139</v>
      </c>
      <c r="B142" s="312" t="s">
        <v>91</v>
      </c>
      <c r="C142" s="204">
        <v>40158</v>
      </c>
      <c r="D142" s="270" t="s">
        <v>92</v>
      </c>
      <c r="E142" s="275" t="s">
        <v>93</v>
      </c>
      <c r="F142" s="275" t="s">
        <v>93</v>
      </c>
      <c r="G142" s="275" t="s">
        <v>127</v>
      </c>
      <c r="H142" s="271">
        <v>9421</v>
      </c>
      <c r="I142" s="272">
        <v>1421</v>
      </c>
      <c r="J142" s="279">
        <f>+I142/F142</f>
        <v>142.1</v>
      </c>
      <c r="K142" s="280"/>
      <c r="L142" s="273">
        <v>114200</v>
      </c>
      <c r="M142" s="274">
        <v>11003</v>
      </c>
      <c r="N142" s="301">
        <f>IF(L142&lt;&gt;0,L142/M142,"")</f>
        <v>10.378987548850313</v>
      </c>
      <c r="O142" s="166"/>
    </row>
    <row r="143" spans="1:15" ht="15">
      <c r="A143" s="107">
        <v>140</v>
      </c>
      <c r="B143" s="297" t="s">
        <v>139</v>
      </c>
      <c r="C143" s="222">
        <v>39920</v>
      </c>
      <c r="D143" s="223" t="s">
        <v>28</v>
      </c>
      <c r="E143" s="224">
        <v>43</v>
      </c>
      <c r="F143" s="224">
        <v>1</v>
      </c>
      <c r="G143" s="224">
        <v>26</v>
      </c>
      <c r="H143" s="207">
        <v>1188</v>
      </c>
      <c r="I143" s="216">
        <v>297</v>
      </c>
      <c r="J143" s="217">
        <f>(I143/F143)</f>
        <v>297</v>
      </c>
      <c r="K143" s="210">
        <f>H143/I143</f>
        <v>4</v>
      </c>
      <c r="L143" s="211">
        <f>71921.5+55489+28896+23842.5+13474.5+19552.5+14027+10409+7091.5+1088.5+1046+1608+982+3368+433+2156+3870+2362+588+3564+2376+1424+1780+1424+1512+1188</f>
        <v>275473</v>
      </c>
      <c r="M143" s="218">
        <f>9131+7791+4520+4728+2735+3857+3026+2110+1463+203+226+324+239+809+81+469+941+537+95+891+594+356+445+356+378+297</f>
        <v>46602</v>
      </c>
      <c r="N143" s="296">
        <f>L143/M143</f>
        <v>5.911184069353246</v>
      </c>
      <c r="O143" s="166">
        <v>1</v>
      </c>
    </row>
    <row r="144" spans="1:15" ht="15">
      <c r="A144" s="107">
        <v>141</v>
      </c>
      <c r="B144" s="303" t="s">
        <v>68</v>
      </c>
      <c r="C144" s="204">
        <v>40102</v>
      </c>
      <c r="D144" s="219" t="s">
        <v>30</v>
      </c>
      <c r="E144" s="206">
        <v>319</v>
      </c>
      <c r="F144" s="206">
        <v>13</v>
      </c>
      <c r="G144" s="206">
        <v>12</v>
      </c>
      <c r="H144" s="232">
        <v>6659</v>
      </c>
      <c r="I144" s="238">
        <v>990</v>
      </c>
      <c r="J144" s="239">
        <f>IF(H144&lt;&gt;0,I144/F144,"")</f>
        <v>76.15384615384616</v>
      </c>
      <c r="K144" s="235">
        <f>IF(H144&lt;&gt;0,H144/I144,"")</f>
        <v>6.726262626262626</v>
      </c>
      <c r="L144" s="236">
        <v>19727039.25</v>
      </c>
      <c r="M144" s="228">
        <v>2420126</v>
      </c>
      <c r="N144" s="301">
        <f>IF(L144&lt;&gt;0,L144/M144,"")</f>
        <v>8.151244707920165</v>
      </c>
      <c r="O144" s="153">
        <v>1</v>
      </c>
    </row>
    <row r="145" spans="1:15" ht="15">
      <c r="A145" s="107">
        <v>142</v>
      </c>
      <c r="B145" s="297" t="s">
        <v>100</v>
      </c>
      <c r="C145" s="222">
        <v>40102</v>
      </c>
      <c r="D145" s="225" t="s">
        <v>30</v>
      </c>
      <c r="E145" s="224">
        <v>319</v>
      </c>
      <c r="F145" s="224">
        <v>4</v>
      </c>
      <c r="G145" s="224">
        <v>15</v>
      </c>
      <c r="H145" s="220">
        <v>5067</v>
      </c>
      <c r="I145" s="216">
        <v>1028</v>
      </c>
      <c r="J145" s="217">
        <f>IF(H145&lt;&gt;0,I145/F145,"")</f>
        <v>257</v>
      </c>
      <c r="K145" s="210">
        <f>IF(H145&lt;&gt;0,H145/I145,"")</f>
        <v>4.928988326848249</v>
      </c>
      <c r="L145" s="221">
        <v>19737820.25</v>
      </c>
      <c r="M145" s="218">
        <v>2422173</v>
      </c>
      <c r="N145" s="296">
        <f>IF(L145&lt;&gt;0,L145/M145,"")</f>
        <v>8.148806980343684</v>
      </c>
      <c r="O145" s="166">
        <v>1</v>
      </c>
    </row>
    <row r="146" spans="1:15" ht="15">
      <c r="A146" s="107">
        <v>143</v>
      </c>
      <c r="B146" s="294" t="s">
        <v>132</v>
      </c>
      <c r="C146" s="204">
        <v>40102</v>
      </c>
      <c r="D146" s="213" t="s">
        <v>30</v>
      </c>
      <c r="E146" s="206">
        <v>319</v>
      </c>
      <c r="F146" s="206">
        <v>6</v>
      </c>
      <c r="G146" s="206">
        <v>14</v>
      </c>
      <c r="H146" s="232">
        <v>3814</v>
      </c>
      <c r="I146" s="233">
        <v>755</v>
      </c>
      <c r="J146" s="234">
        <f>IF(H146&lt;&gt;0,I146/F146,"")</f>
        <v>125.83333333333333</v>
      </c>
      <c r="K146" s="235">
        <f>IF(H146&lt;&gt;0,H146/I146,"")</f>
        <v>5.051655629139073</v>
      </c>
      <c r="L146" s="236">
        <v>19732753.25</v>
      </c>
      <c r="M146" s="237">
        <v>2421145</v>
      </c>
      <c r="N146" s="301">
        <f>IF(L146&lt;&gt;0,L146/M146,"")</f>
        <v>8.15017409118413</v>
      </c>
      <c r="O146" s="166">
        <v>1</v>
      </c>
    </row>
    <row r="147" spans="1:15" ht="15">
      <c r="A147" s="107">
        <v>144</v>
      </c>
      <c r="B147" s="294" t="s">
        <v>100</v>
      </c>
      <c r="C147" s="204">
        <v>40102</v>
      </c>
      <c r="D147" s="213" t="s">
        <v>30</v>
      </c>
      <c r="E147" s="206">
        <v>319</v>
      </c>
      <c r="F147" s="206">
        <v>7</v>
      </c>
      <c r="G147" s="206">
        <v>13</v>
      </c>
      <c r="H147" s="232">
        <v>1900</v>
      </c>
      <c r="I147" s="238">
        <v>264</v>
      </c>
      <c r="J147" s="239">
        <f>IF(H147&lt;&gt;0,I147/F147,"")</f>
        <v>37.714285714285715</v>
      </c>
      <c r="K147" s="240">
        <f>IF(H147&lt;&gt;0,H147/I147,"")</f>
        <v>7.196969696969697</v>
      </c>
      <c r="L147" s="236">
        <v>19728939.25</v>
      </c>
      <c r="M147" s="228">
        <v>2420390</v>
      </c>
      <c r="N147" s="302">
        <f>IF(L147&lt;&gt;0,L147/M147,"")</f>
        <v>8.151140621965881</v>
      </c>
      <c r="O147" s="152">
        <v>1</v>
      </c>
    </row>
    <row r="148" spans="1:15" ht="15">
      <c r="A148" s="107">
        <v>145</v>
      </c>
      <c r="B148" s="305" t="s">
        <v>58</v>
      </c>
      <c r="C148" s="204">
        <v>40144</v>
      </c>
      <c r="D148" s="244" t="s">
        <v>5</v>
      </c>
      <c r="E148" s="245">
        <v>258</v>
      </c>
      <c r="F148" s="245">
        <v>176</v>
      </c>
      <c r="G148" s="245">
        <v>6</v>
      </c>
      <c r="H148" s="246">
        <v>225694.5</v>
      </c>
      <c r="I148" s="247">
        <v>35788</v>
      </c>
      <c r="J148" s="248">
        <f>I148/F148</f>
        <v>203.3409090909091</v>
      </c>
      <c r="K148" s="249">
        <f aca="true" t="shared" si="11" ref="K148:K154">H148/I148</f>
        <v>6.306429529451212</v>
      </c>
      <c r="L148" s="250">
        <v>9551615.25</v>
      </c>
      <c r="M148" s="251">
        <v>1107368</v>
      </c>
      <c r="N148" s="306">
        <f>+L148/M148</f>
        <v>8.625511347627889</v>
      </c>
      <c r="O148" s="153">
        <v>1</v>
      </c>
    </row>
    <row r="149" spans="1:15" ht="15">
      <c r="A149" s="107">
        <v>146</v>
      </c>
      <c r="B149" s="307" t="s">
        <v>85</v>
      </c>
      <c r="C149" s="204">
        <v>40144</v>
      </c>
      <c r="D149" s="252" t="s">
        <v>5</v>
      </c>
      <c r="E149" s="245">
        <v>258</v>
      </c>
      <c r="F149" s="245">
        <v>55</v>
      </c>
      <c r="G149" s="245">
        <v>7</v>
      </c>
      <c r="H149" s="246">
        <v>58586</v>
      </c>
      <c r="I149" s="247">
        <v>9274</v>
      </c>
      <c r="J149" s="248">
        <f>I149/F149</f>
        <v>168.61818181818182</v>
      </c>
      <c r="K149" s="253">
        <f t="shared" si="11"/>
        <v>6.317230968298468</v>
      </c>
      <c r="L149" s="250">
        <v>9610201.25</v>
      </c>
      <c r="M149" s="251">
        <v>1116642</v>
      </c>
      <c r="N149" s="302">
        <f>IF(L149&lt;&gt;0,L149/M149,"")</f>
        <v>8.60634048334202</v>
      </c>
      <c r="O149" s="152">
        <v>1</v>
      </c>
    </row>
    <row r="150" spans="1:15" ht="15">
      <c r="A150" s="107">
        <v>147</v>
      </c>
      <c r="B150" s="307" t="s">
        <v>124</v>
      </c>
      <c r="C150" s="204">
        <v>40144</v>
      </c>
      <c r="D150" s="252" t="s">
        <v>5</v>
      </c>
      <c r="E150" s="245">
        <v>258</v>
      </c>
      <c r="F150" s="245">
        <v>27</v>
      </c>
      <c r="G150" s="245">
        <v>8</v>
      </c>
      <c r="H150" s="246">
        <v>33984.5</v>
      </c>
      <c r="I150" s="254">
        <v>5492</v>
      </c>
      <c r="J150" s="255">
        <f>I150/F150</f>
        <v>203.40740740740742</v>
      </c>
      <c r="K150" s="249">
        <f t="shared" si="11"/>
        <v>6.18800072833212</v>
      </c>
      <c r="L150" s="250">
        <v>9644185.75</v>
      </c>
      <c r="M150" s="256">
        <v>1122134</v>
      </c>
      <c r="N150" s="301">
        <f>IF(L150&lt;&gt;0,L150/M150,"")</f>
        <v>8.59450453332668</v>
      </c>
      <c r="O150" s="166">
        <v>1</v>
      </c>
    </row>
    <row r="151" spans="1:15" ht="15">
      <c r="A151" s="107">
        <v>148</v>
      </c>
      <c r="B151" s="297" t="s">
        <v>124</v>
      </c>
      <c r="C151" s="222">
        <v>40144</v>
      </c>
      <c r="D151" s="219" t="s">
        <v>5</v>
      </c>
      <c r="E151" s="224">
        <v>258</v>
      </c>
      <c r="F151" s="224">
        <v>13</v>
      </c>
      <c r="G151" s="224">
        <v>9</v>
      </c>
      <c r="H151" s="257">
        <v>9270</v>
      </c>
      <c r="I151" s="258">
        <v>2067</v>
      </c>
      <c r="J151" s="217">
        <f>I151/F151</f>
        <v>159</v>
      </c>
      <c r="K151" s="210">
        <f t="shared" si="11"/>
        <v>4.484760522496371</v>
      </c>
      <c r="L151" s="259">
        <v>9653455.75</v>
      </c>
      <c r="M151" s="237">
        <v>1124201</v>
      </c>
      <c r="N151" s="296">
        <f>+L151/M151</f>
        <v>8.586948196986127</v>
      </c>
      <c r="O151" s="166">
        <v>1</v>
      </c>
    </row>
    <row r="152" spans="1:15" ht="15">
      <c r="A152" s="107">
        <v>149</v>
      </c>
      <c r="B152" s="297" t="s">
        <v>175</v>
      </c>
      <c r="C152" s="222">
        <v>39955</v>
      </c>
      <c r="D152" s="225" t="s">
        <v>28</v>
      </c>
      <c r="E152" s="224">
        <v>88</v>
      </c>
      <c r="F152" s="224">
        <v>1</v>
      </c>
      <c r="G152" s="224">
        <v>25</v>
      </c>
      <c r="H152" s="220">
        <v>1188</v>
      </c>
      <c r="I152" s="216">
        <v>297</v>
      </c>
      <c r="J152" s="217">
        <f>(I152/F152)</f>
        <v>297</v>
      </c>
      <c r="K152" s="210">
        <f t="shared" si="11"/>
        <v>4</v>
      </c>
      <c r="L152" s="221">
        <f>253985.25+197941+176827+129137.25+73306.5+36496.5+20735+12653+3137+3974+3108+6704.75+3312+1885+643+108556.75+31027+8660.5+1196.5+2137+5262+2140+4040+1780+1188</f>
        <v>1089833</v>
      </c>
      <c r="M152" s="218">
        <f>26929+21325+23241+17550+10624+6388+4049+2644+577+882+663+1354+764+460+116+14641+4967+986+117+181+1185+535+1010+445+297</f>
        <v>141930</v>
      </c>
      <c r="N152" s="296">
        <f>L152/M152</f>
        <v>7.678665539350384</v>
      </c>
      <c r="O152" s="166"/>
    </row>
    <row r="153" spans="1:15" ht="15">
      <c r="A153" s="107">
        <v>150</v>
      </c>
      <c r="B153" s="298" t="s">
        <v>74</v>
      </c>
      <c r="C153" s="222">
        <v>39941</v>
      </c>
      <c r="D153" s="281" t="s">
        <v>28</v>
      </c>
      <c r="E153" s="224">
        <v>26</v>
      </c>
      <c r="F153" s="224">
        <v>1</v>
      </c>
      <c r="G153" s="224">
        <v>21</v>
      </c>
      <c r="H153" s="207">
        <v>1780</v>
      </c>
      <c r="I153" s="208">
        <v>445</v>
      </c>
      <c r="J153" s="209">
        <f>(I153/F153)</f>
        <v>445</v>
      </c>
      <c r="K153" s="210">
        <f t="shared" si="11"/>
        <v>4</v>
      </c>
      <c r="L153" s="211">
        <f>36482.75+16583.5+5922.75+3249+4769+4925+4199.5+5525+366+924+414+2215+2444+33+1987+838+1440+537+604+3792+2376+1780</f>
        <v>101406.5</v>
      </c>
      <c r="M153" s="212">
        <f>4495+1934+744+517+1003+1215+722+968+65+193+83+369+384+5+336+159+238+83+151+948+594+445</f>
        <v>15651</v>
      </c>
      <c r="N153" s="296">
        <f>L153/M153</f>
        <v>6.479234553702639</v>
      </c>
      <c r="O153" s="153">
        <v>1</v>
      </c>
    </row>
    <row r="154" spans="1:15" ht="15">
      <c r="A154" s="107">
        <v>151</v>
      </c>
      <c r="B154" s="311" t="s">
        <v>101</v>
      </c>
      <c r="C154" s="222">
        <v>39829</v>
      </c>
      <c r="D154" s="270" t="s">
        <v>28</v>
      </c>
      <c r="E154" s="224">
        <v>65</v>
      </c>
      <c r="F154" s="224">
        <v>1</v>
      </c>
      <c r="G154" s="224">
        <v>34</v>
      </c>
      <c r="H154" s="207">
        <v>1780</v>
      </c>
      <c r="I154" s="208">
        <v>445</v>
      </c>
      <c r="J154" s="209">
        <f>(I154/F154)</f>
        <v>445</v>
      </c>
      <c r="K154" s="214">
        <f t="shared" si="11"/>
        <v>4</v>
      </c>
      <c r="L154" s="211">
        <f>237023+244842+160469+47021+21536+18820+18020.5+26440+10695+9162.5+9870+6322+1787+2032+757+348+420.5+158+4053+339.5+3161.5+1729.5+752+1417+1780+64+1208+952+552+139.5+544+40+8072+1780</f>
        <v>842307.5</v>
      </c>
      <c r="M154" s="212">
        <f>25678+28966+21290+6590+4890+3520+3479+4786+1907+1716+2388+1533+368+541+126+70+67+48+991+81+743+414+155+169+445+16+302+238+117+23+48+12+2018+445</f>
        <v>114180</v>
      </c>
      <c r="N154" s="295">
        <f>L154/M154</f>
        <v>7.377014363286039</v>
      </c>
      <c r="O154" s="153"/>
    </row>
    <row r="155" spans="1:15" ht="15">
      <c r="A155" s="107">
        <v>152</v>
      </c>
      <c r="B155" s="297" t="s">
        <v>98</v>
      </c>
      <c r="C155" s="222">
        <v>40172</v>
      </c>
      <c r="D155" s="223" t="s">
        <v>41</v>
      </c>
      <c r="E155" s="224">
        <v>10</v>
      </c>
      <c r="F155" s="224">
        <v>9</v>
      </c>
      <c r="G155" s="224">
        <v>3</v>
      </c>
      <c r="H155" s="226">
        <v>3129.5</v>
      </c>
      <c r="I155" s="227">
        <v>431</v>
      </c>
      <c r="J155" s="228">
        <f>I155/F155</f>
        <v>47.888888888888886</v>
      </c>
      <c r="K155" s="231">
        <f>+H155/I155</f>
        <v>7.261020881670533</v>
      </c>
      <c r="L155" s="230">
        <f>9917+0.75+3107+3129+0.5</f>
        <v>16154.25</v>
      </c>
      <c r="M155" s="228">
        <f>987+335+431</f>
        <v>1753</v>
      </c>
      <c r="N155" s="300">
        <f>+L155/M155</f>
        <v>9.215202509982886</v>
      </c>
      <c r="O155" s="152">
        <v>1</v>
      </c>
    </row>
    <row r="156" spans="1:15" ht="15">
      <c r="A156" s="107">
        <v>153</v>
      </c>
      <c r="B156" s="298" t="s">
        <v>71</v>
      </c>
      <c r="C156" s="222">
        <v>40172</v>
      </c>
      <c r="D156" s="225" t="s">
        <v>41</v>
      </c>
      <c r="E156" s="224">
        <v>10</v>
      </c>
      <c r="F156" s="224">
        <v>9</v>
      </c>
      <c r="G156" s="224">
        <v>2</v>
      </c>
      <c r="H156" s="226">
        <v>3107</v>
      </c>
      <c r="I156" s="227">
        <v>335</v>
      </c>
      <c r="J156" s="239">
        <f>IF(H156&lt;&gt;0,I156/F156,"")</f>
        <v>37.22222222222222</v>
      </c>
      <c r="K156" s="235">
        <f>IF(H156&lt;&gt;0,H156/I156,"")</f>
        <v>9.274626865671642</v>
      </c>
      <c r="L156" s="230">
        <f>9917+0.75+3107</f>
        <v>13024.75</v>
      </c>
      <c r="M156" s="228">
        <f>987+335</f>
        <v>1322</v>
      </c>
      <c r="N156" s="301">
        <f>IF(L156&lt;&gt;0,L156/M156,"")</f>
        <v>9.85230711043873</v>
      </c>
      <c r="O156" s="153">
        <v>1</v>
      </c>
    </row>
    <row r="157" spans="1:15" ht="15">
      <c r="A157" s="107">
        <v>154</v>
      </c>
      <c r="B157" s="297" t="s">
        <v>134</v>
      </c>
      <c r="C157" s="222">
        <v>40172</v>
      </c>
      <c r="D157" s="223" t="s">
        <v>41</v>
      </c>
      <c r="E157" s="224">
        <v>10</v>
      </c>
      <c r="F157" s="224">
        <v>5</v>
      </c>
      <c r="G157" s="224">
        <v>4</v>
      </c>
      <c r="H157" s="226">
        <v>2355</v>
      </c>
      <c r="I157" s="258">
        <v>415</v>
      </c>
      <c r="J157" s="234">
        <f>+I157/F157</f>
        <v>83</v>
      </c>
      <c r="K157" s="235">
        <f>+H157/I157</f>
        <v>5.674698795180723</v>
      </c>
      <c r="L157" s="230">
        <f>9917+0.75+3107+3129+0.5+2355</f>
        <v>18509.25</v>
      </c>
      <c r="M157" s="237">
        <f>987+335+431+415</f>
        <v>2168</v>
      </c>
      <c r="N157" s="301">
        <f>+L157/M157</f>
        <v>8.537476937269373</v>
      </c>
      <c r="O157" s="166">
        <v>1</v>
      </c>
    </row>
    <row r="158" spans="1:15" ht="15">
      <c r="A158" s="107">
        <v>155</v>
      </c>
      <c r="B158" s="297" t="s">
        <v>134</v>
      </c>
      <c r="C158" s="222">
        <v>40172</v>
      </c>
      <c r="D158" s="219" t="s">
        <v>41</v>
      </c>
      <c r="E158" s="224">
        <v>10</v>
      </c>
      <c r="F158" s="224">
        <v>4</v>
      </c>
      <c r="G158" s="224">
        <v>5</v>
      </c>
      <c r="H158" s="257">
        <v>1019</v>
      </c>
      <c r="I158" s="258">
        <v>152</v>
      </c>
      <c r="J158" s="217">
        <f>I158/F158</f>
        <v>38</v>
      </c>
      <c r="K158" s="210">
        <f>H158/I158</f>
        <v>6.703947368421052</v>
      </c>
      <c r="L158" s="259">
        <f>9917+0.75+3107+3129+0.5+2355+1019</f>
        <v>19528.25</v>
      </c>
      <c r="M158" s="237">
        <f>987+335+431+415+152</f>
        <v>2320</v>
      </c>
      <c r="N158" s="296">
        <f>+L158/M158</f>
        <v>8.417349137931035</v>
      </c>
      <c r="O158" s="166">
        <v>1</v>
      </c>
    </row>
    <row r="159" spans="1:15" ht="15">
      <c r="A159" s="107">
        <v>156</v>
      </c>
      <c r="B159" s="298" t="s">
        <v>4</v>
      </c>
      <c r="C159" s="222">
        <v>39745</v>
      </c>
      <c r="D159" s="225" t="s">
        <v>28</v>
      </c>
      <c r="E159" s="224">
        <v>7</v>
      </c>
      <c r="F159" s="224">
        <v>1</v>
      </c>
      <c r="G159" s="224">
        <v>17</v>
      </c>
      <c r="H159" s="271">
        <v>87</v>
      </c>
      <c r="I159" s="276">
        <v>29</v>
      </c>
      <c r="J159" s="277">
        <f>(I159/F159)</f>
        <v>29</v>
      </c>
      <c r="K159" s="280">
        <f>H159/I159</f>
        <v>3</v>
      </c>
      <c r="L159" s="273">
        <f>31758.5+8225.5+1958+2180+395+7254.5+494+2046+429+128+135+1066+1003+620+20+120+87</f>
        <v>57919.5</v>
      </c>
      <c r="M159" s="278">
        <f>2732+851+288+247+46+761+52+333+72+22+23+258+223+133+2+12+29</f>
        <v>6084</v>
      </c>
      <c r="N159" s="313">
        <f>L159/M159</f>
        <v>9.519970414201184</v>
      </c>
      <c r="O159" s="153"/>
    </row>
    <row r="160" spans="1:15" ht="15">
      <c r="A160" s="107">
        <v>157</v>
      </c>
      <c r="B160" s="297" t="s">
        <v>4</v>
      </c>
      <c r="C160" s="222">
        <v>39745</v>
      </c>
      <c r="D160" s="223" t="s">
        <v>28</v>
      </c>
      <c r="E160" s="224">
        <v>7</v>
      </c>
      <c r="F160" s="224">
        <v>1</v>
      </c>
      <c r="G160" s="224">
        <v>18</v>
      </c>
      <c r="H160" s="271">
        <v>45</v>
      </c>
      <c r="I160" s="276">
        <v>15</v>
      </c>
      <c r="J160" s="277">
        <f>(I160/F160)</f>
        <v>15</v>
      </c>
      <c r="K160" s="282">
        <f>H160/I160</f>
        <v>3</v>
      </c>
      <c r="L160" s="273">
        <f>31758.5+8225.5+1958+2180+395+7254.5+494+2046+429+128+135+1066+1003+620+20+120+87+45</f>
        <v>57964.5</v>
      </c>
      <c r="M160" s="278">
        <f>2732+851+288+247+46+761+52+333+72+22+23+258+223+133+2+12+29+15</f>
        <v>6099</v>
      </c>
      <c r="N160" s="314">
        <f>L160/M160</f>
        <v>9.503935071323168</v>
      </c>
      <c r="O160" s="153"/>
    </row>
    <row r="161" spans="1:15" ht="15">
      <c r="A161" s="107">
        <v>158</v>
      </c>
      <c r="B161" s="297" t="s">
        <v>183</v>
      </c>
      <c r="C161" s="222">
        <v>40074</v>
      </c>
      <c r="D161" s="225" t="s">
        <v>28</v>
      </c>
      <c r="E161" s="224">
        <v>7</v>
      </c>
      <c r="F161" s="224">
        <v>1</v>
      </c>
      <c r="G161" s="224">
        <v>11</v>
      </c>
      <c r="H161" s="220">
        <v>136</v>
      </c>
      <c r="I161" s="216">
        <v>34</v>
      </c>
      <c r="J161" s="217">
        <f>(I161/F161)</f>
        <v>34</v>
      </c>
      <c r="K161" s="210">
        <f>H161/I161</f>
        <v>4</v>
      </c>
      <c r="L161" s="221">
        <f>24901+4873+3754+4238+1794.5+1565+1393.5+1381.5+1482+240+136</f>
        <v>45758.5</v>
      </c>
      <c r="M161" s="218">
        <f>2240+626+482+732+293+342+244+327+247+37+34</f>
        <v>5604</v>
      </c>
      <c r="N161" s="296">
        <f>L161/M161</f>
        <v>8.165328336902213</v>
      </c>
      <c r="O161" s="166"/>
    </row>
    <row r="162" spans="1:15" ht="15">
      <c r="A162" s="107">
        <v>159</v>
      </c>
      <c r="B162" s="308" t="s">
        <v>177</v>
      </c>
      <c r="C162" s="222">
        <v>40004</v>
      </c>
      <c r="D162" s="269" t="s">
        <v>27</v>
      </c>
      <c r="E162" s="224">
        <v>68</v>
      </c>
      <c r="F162" s="224">
        <v>1</v>
      </c>
      <c r="G162" s="224">
        <v>26</v>
      </c>
      <c r="H162" s="257">
        <v>609</v>
      </c>
      <c r="I162" s="258">
        <v>280</v>
      </c>
      <c r="J162" s="237">
        <f aca="true" t="shared" si="12" ref="J162:J167">I162/F162</f>
        <v>280</v>
      </c>
      <c r="K162" s="229">
        <f>+H162/I162</f>
        <v>2.175</v>
      </c>
      <c r="L162" s="259">
        <v>1217628</v>
      </c>
      <c r="M162" s="237">
        <v>132046</v>
      </c>
      <c r="N162" s="299">
        <f aca="true" t="shared" si="13" ref="N162:N167">+L162/M162</f>
        <v>9.221241082653014</v>
      </c>
      <c r="O162" s="166"/>
    </row>
    <row r="163" spans="1:15" ht="15">
      <c r="A163" s="107">
        <v>160</v>
      </c>
      <c r="B163" s="294" t="s">
        <v>178</v>
      </c>
      <c r="C163" s="204">
        <v>39962</v>
      </c>
      <c r="D163" s="219" t="s">
        <v>3</v>
      </c>
      <c r="E163" s="206">
        <v>72</v>
      </c>
      <c r="F163" s="206">
        <v>1</v>
      </c>
      <c r="G163" s="206">
        <v>23</v>
      </c>
      <c r="H163" s="220">
        <v>516</v>
      </c>
      <c r="I163" s="216">
        <v>158</v>
      </c>
      <c r="J163" s="217">
        <f t="shared" si="12"/>
        <v>158</v>
      </c>
      <c r="K163" s="210">
        <f>H163/I163</f>
        <v>3.2658227848101267</v>
      </c>
      <c r="L163" s="221">
        <v>276947</v>
      </c>
      <c r="M163" s="218">
        <v>37748</v>
      </c>
      <c r="N163" s="296">
        <f t="shared" si="13"/>
        <v>7.336733071950832</v>
      </c>
      <c r="O163" s="166"/>
    </row>
    <row r="164" spans="1:15" ht="15">
      <c r="A164" s="107">
        <v>161</v>
      </c>
      <c r="B164" s="294" t="s">
        <v>50</v>
      </c>
      <c r="C164" s="204">
        <v>40158</v>
      </c>
      <c r="D164" s="213" t="s">
        <v>26</v>
      </c>
      <c r="E164" s="206">
        <v>141</v>
      </c>
      <c r="F164" s="206">
        <v>34</v>
      </c>
      <c r="G164" s="206">
        <v>5</v>
      </c>
      <c r="H164" s="207">
        <v>32443</v>
      </c>
      <c r="I164" s="208">
        <v>5335</v>
      </c>
      <c r="J164" s="209">
        <f t="shared" si="12"/>
        <v>156.91176470588235</v>
      </c>
      <c r="K164" s="214">
        <f>H164/I164</f>
        <v>6.08116213683224</v>
      </c>
      <c r="L164" s="211">
        <f>1607914+23244+32443</f>
        <v>1663601</v>
      </c>
      <c r="M164" s="212">
        <f>183968+3818+5335</f>
        <v>193121</v>
      </c>
      <c r="N164" s="295">
        <f t="shared" si="13"/>
        <v>8.614293629382615</v>
      </c>
      <c r="O164" s="152"/>
    </row>
    <row r="165" spans="1:15" ht="15">
      <c r="A165" s="107">
        <v>162</v>
      </c>
      <c r="B165" s="294" t="s">
        <v>50</v>
      </c>
      <c r="C165" s="204">
        <v>40158</v>
      </c>
      <c r="D165" s="215" t="s">
        <v>26</v>
      </c>
      <c r="E165" s="206">
        <v>141</v>
      </c>
      <c r="F165" s="206">
        <v>21</v>
      </c>
      <c r="G165" s="206">
        <v>6</v>
      </c>
      <c r="H165" s="207">
        <v>25994</v>
      </c>
      <c r="I165" s="216">
        <v>4998</v>
      </c>
      <c r="J165" s="217">
        <f t="shared" si="12"/>
        <v>238</v>
      </c>
      <c r="K165" s="210">
        <f>H165/I165</f>
        <v>5.200880352140857</v>
      </c>
      <c r="L165" s="211">
        <f>1607914+23244+32443+25994</f>
        <v>1689595</v>
      </c>
      <c r="M165" s="218">
        <f>183968+3818+5335+4998</f>
        <v>198119</v>
      </c>
      <c r="N165" s="296">
        <f t="shared" si="13"/>
        <v>8.528182556948098</v>
      </c>
      <c r="O165" s="166"/>
    </row>
    <row r="166" spans="1:15" ht="15">
      <c r="A166" s="107">
        <v>163</v>
      </c>
      <c r="B166" s="303" t="s">
        <v>50</v>
      </c>
      <c r="C166" s="204">
        <v>40158</v>
      </c>
      <c r="D166" s="205" t="s">
        <v>26</v>
      </c>
      <c r="E166" s="206">
        <v>141</v>
      </c>
      <c r="F166" s="206">
        <v>27</v>
      </c>
      <c r="G166" s="206">
        <v>4</v>
      </c>
      <c r="H166" s="207">
        <v>23244</v>
      </c>
      <c r="I166" s="208">
        <v>3818</v>
      </c>
      <c r="J166" s="209">
        <f t="shared" si="12"/>
        <v>141.40740740740742</v>
      </c>
      <c r="K166" s="210">
        <f>H166/I166</f>
        <v>6.088004190675746</v>
      </c>
      <c r="L166" s="211">
        <f>1607914+23244</f>
        <v>1631158</v>
      </c>
      <c r="M166" s="212">
        <f>183968+3818</f>
        <v>187786</v>
      </c>
      <c r="N166" s="296">
        <f t="shared" si="13"/>
        <v>8.686259891578713</v>
      </c>
      <c r="O166" s="153"/>
    </row>
    <row r="167" spans="1:15" ht="15">
      <c r="A167" s="107">
        <v>164</v>
      </c>
      <c r="B167" s="294" t="s">
        <v>50</v>
      </c>
      <c r="C167" s="204">
        <v>40158</v>
      </c>
      <c r="D167" s="219" t="s">
        <v>26</v>
      </c>
      <c r="E167" s="206">
        <v>141</v>
      </c>
      <c r="F167" s="206">
        <v>8</v>
      </c>
      <c r="G167" s="206">
        <v>7</v>
      </c>
      <c r="H167" s="220">
        <v>8150</v>
      </c>
      <c r="I167" s="216">
        <v>1502</v>
      </c>
      <c r="J167" s="217">
        <f t="shared" si="12"/>
        <v>187.75</v>
      </c>
      <c r="K167" s="210">
        <f>H167/I167</f>
        <v>5.426098535286285</v>
      </c>
      <c r="L167" s="221">
        <f>1607914+23244+32443+25994+8150</f>
        <v>1697745</v>
      </c>
      <c r="M167" s="218">
        <f>183968+3818+5335+4998+1502</f>
        <v>199621</v>
      </c>
      <c r="N167" s="296">
        <f t="shared" si="13"/>
        <v>8.504841674974076</v>
      </c>
      <c r="O167" s="166"/>
    </row>
    <row r="168" spans="1:15" ht="15">
      <c r="A168" s="107">
        <v>165</v>
      </c>
      <c r="B168" s="294" t="s">
        <v>153</v>
      </c>
      <c r="C168" s="204">
        <v>40074</v>
      </c>
      <c r="D168" s="213" t="s">
        <v>30</v>
      </c>
      <c r="E168" s="206">
        <v>142</v>
      </c>
      <c r="F168" s="206">
        <v>1</v>
      </c>
      <c r="G168" s="206">
        <v>11</v>
      </c>
      <c r="H168" s="232">
        <v>203</v>
      </c>
      <c r="I168" s="233">
        <v>35</v>
      </c>
      <c r="J168" s="234">
        <f>IF(H168&lt;&gt;0,I168/F168,"")</f>
        <v>35</v>
      </c>
      <c r="K168" s="235">
        <f>IF(H168&lt;&gt;0,H168/I168,"")</f>
        <v>5.8</v>
      </c>
      <c r="L168" s="236">
        <v>810656.5</v>
      </c>
      <c r="M168" s="237">
        <v>102391</v>
      </c>
      <c r="N168" s="301">
        <f>IF(L168&lt;&gt;0,L168/M168,"")</f>
        <v>7.917263236026604</v>
      </c>
      <c r="O168" s="166">
        <v>1</v>
      </c>
    </row>
    <row r="169" spans="1:15" ht="15">
      <c r="A169" s="107">
        <v>166</v>
      </c>
      <c r="B169" s="298" t="s">
        <v>56</v>
      </c>
      <c r="C169" s="222">
        <v>39926</v>
      </c>
      <c r="D169" s="281" t="s">
        <v>28</v>
      </c>
      <c r="E169" s="224">
        <v>40</v>
      </c>
      <c r="F169" s="224">
        <v>2</v>
      </c>
      <c r="G169" s="224">
        <v>30</v>
      </c>
      <c r="H169" s="207">
        <v>1280</v>
      </c>
      <c r="I169" s="208">
        <v>182</v>
      </c>
      <c r="J169" s="209">
        <f>(I169/F169)</f>
        <v>91</v>
      </c>
      <c r="K169" s="210">
        <f>H169/I169</f>
        <v>7.032967032967033</v>
      </c>
      <c r="L169" s="211">
        <f>35864.5+53058.5+35303.5+15734.5+12778.5+9687.5+8045+13953.5+10307+6140.75+1296+667+231+755+1970+2246+752.5+591.5+130+445+2051+750+1477+2060+1816+47+72+84+378+2301+1280</f>
        <v>222273.25</v>
      </c>
      <c r="M169" s="212">
        <f>3971+5771+3969+2398+2257+2131+1634+2509+1783+912+230+126+48+181+472+311+114+91+20+78+493+183+365+462+452+9+24+28+94+494+182</f>
        <v>31792</v>
      </c>
      <c r="N169" s="296">
        <f>L169/M169</f>
        <v>6.991483706592853</v>
      </c>
      <c r="O169" s="153"/>
    </row>
    <row r="170" spans="1:15" ht="15">
      <c r="A170" s="107">
        <v>167</v>
      </c>
      <c r="B170" s="297" t="s">
        <v>115</v>
      </c>
      <c r="C170" s="222">
        <v>39926</v>
      </c>
      <c r="D170" s="270" t="s">
        <v>28</v>
      </c>
      <c r="E170" s="224">
        <v>40</v>
      </c>
      <c r="F170" s="224">
        <v>2</v>
      </c>
      <c r="G170" s="224">
        <v>31</v>
      </c>
      <c r="H170" s="207">
        <v>700</v>
      </c>
      <c r="I170" s="208">
        <v>115</v>
      </c>
      <c r="J170" s="209">
        <f>(I170/F170)</f>
        <v>57.5</v>
      </c>
      <c r="K170" s="214">
        <f>H170/I170</f>
        <v>6.086956521739131</v>
      </c>
      <c r="L170" s="211">
        <f>35864.5+53058.5+35303.5+15734.5+12778.5+9687.5+8045+13953.5+10307+6140.75+1296+667+231+755+1970+2246+752.5+591.5+130+445+2051+750+1477+2060+1816+47+72+84+378+2301+1280+700</f>
        <v>222973.25</v>
      </c>
      <c r="M170" s="212">
        <f>3971+5771+3969+2398+2257+2131+1634+2509+1783+912+230+126+48+181+472+311+114+91+20+78+493+183+365+462+452+9+24+28+94+494+182+115</f>
        <v>31907</v>
      </c>
      <c r="N170" s="295">
        <f>L170/M170</f>
        <v>6.988223587300593</v>
      </c>
      <c r="O170" s="154"/>
    </row>
    <row r="171" spans="1:15" ht="15">
      <c r="A171" s="107">
        <v>168</v>
      </c>
      <c r="B171" s="294" t="s">
        <v>129</v>
      </c>
      <c r="C171" s="204">
        <v>40165</v>
      </c>
      <c r="D171" s="215" t="s">
        <v>26</v>
      </c>
      <c r="E171" s="206">
        <v>36</v>
      </c>
      <c r="F171" s="206">
        <v>8</v>
      </c>
      <c r="G171" s="206">
        <v>4</v>
      </c>
      <c r="H171" s="207">
        <v>7119</v>
      </c>
      <c r="I171" s="216">
        <v>1206</v>
      </c>
      <c r="J171" s="217">
        <f aca="true" t="shared" si="14" ref="J171:J176">I171/F171</f>
        <v>150.75</v>
      </c>
      <c r="K171" s="210">
        <f>H171/I171</f>
        <v>5.902985074626866</v>
      </c>
      <c r="L171" s="211">
        <f>119500+7119</f>
        <v>126619</v>
      </c>
      <c r="M171" s="218">
        <f>13046+1206</f>
        <v>14252</v>
      </c>
      <c r="N171" s="296">
        <f aca="true" t="shared" si="15" ref="N171:N184">+L171/M171</f>
        <v>8.884296940780242</v>
      </c>
      <c r="O171" s="166">
        <v>1</v>
      </c>
    </row>
    <row r="172" spans="1:15" ht="15">
      <c r="A172" s="107">
        <v>169</v>
      </c>
      <c r="B172" s="294" t="s">
        <v>129</v>
      </c>
      <c r="C172" s="204">
        <v>40165</v>
      </c>
      <c r="D172" s="219" t="s">
        <v>26</v>
      </c>
      <c r="E172" s="206">
        <v>36</v>
      </c>
      <c r="F172" s="206">
        <v>5</v>
      </c>
      <c r="G172" s="206">
        <v>5</v>
      </c>
      <c r="H172" s="220">
        <v>1825</v>
      </c>
      <c r="I172" s="216">
        <v>307</v>
      </c>
      <c r="J172" s="217">
        <f t="shared" si="14"/>
        <v>61.4</v>
      </c>
      <c r="K172" s="210">
        <f>H172/I172</f>
        <v>5.944625407166124</v>
      </c>
      <c r="L172" s="221">
        <f>119500+7119+1825</f>
        <v>128444</v>
      </c>
      <c r="M172" s="218">
        <f>13046+1206+307</f>
        <v>14559</v>
      </c>
      <c r="N172" s="296">
        <f t="shared" si="15"/>
        <v>8.822309224534653</v>
      </c>
      <c r="O172" s="166">
        <v>1</v>
      </c>
    </row>
    <row r="173" spans="1:15" ht="15">
      <c r="A173" s="107">
        <v>170</v>
      </c>
      <c r="B173" s="303" t="s">
        <v>76</v>
      </c>
      <c r="C173" s="204">
        <v>40165</v>
      </c>
      <c r="D173" s="205" t="s">
        <v>26</v>
      </c>
      <c r="E173" s="206">
        <v>36</v>
      </c>
      <c r="F173" s="206">
        <v>1</v>
      </c>
      <c r="G173" s="206">
        <v>3</v>
      </c>
      <c r="H173" s="207">
        <v>852</v>
      </c>
      <c r="I173" s="208">
        <v>142</v>
      </c>
      <c r="J173" s="209">
        <f t="shared" si="14"/>
        <v>142</v>
      </c>
      <c r="K173" s="210">
        <f>H173/I173</f>
        <v>6</v>
      </c>
      <c r="L173" s="211">
        <v>119500</v>
      </c>
      <c r="M173" s="212">
        <v>13046</v>
      </c>
      <c r="N173" s="296">
        <f t="shared" si="15"/>
        <v>9.159895753487659</v>
      </c>
      <c r="O173" s="153">
        <v>1</v>
      </c>
    </row>
    <row r="174" spans="1:15" ht="15">
      <c r="A174" s="107">
        <v>171</v>
      </c>
      <c r="B174" s="308" t="s">
        <v>40</v>
      </c>
      <c r="C174" s="222">
        <v>40046</v>
      </c>
      <c r="D174" s="260" t="s">
        <v>27</v>
      </c>
      <c r="E174" s="224">
        <v>55</v>
      </c>
      <c r="F174" s="224">
        <v>2</v>
      </c>
      <c r="G174" s="224">
        <v>12</v>
      </c>
      <c r="H174" s="226">
        <v>2059</v>
      </c>
      <c r="I174" s="227">
        <v>466</v>
      </c>
      <c r="J174" s="228">
        <f t="shared" si="14"/>
        <v>233</v>
      </c>
      <c r="K174" s="231">
        <f aca="true" t="shared" si="16" ref="K174:K179">+H174/I174</f>
        <v>4.418454935622318</v>
      </c>
      <c r="L174" s="230">
        <v>189359</v>
      </c>
      <c r="M174" s="228">
        <v>19405</v>
      </c>
      <c r="N174" s="300">
        <f t="shared" si="15"/>
        <v>9.758258180881215</v>
      </c>
      <c r="O174" s="152"/>
    </row>
    <row r="175" spans="1:15" ht="15">
      <c r="A175" s="107">
        <v>172</v>
      </c>
      <c r="B175" s="309" t="s">
        <v>40</v>
      </c>
      <c r="C175" s="261">
        <v>40046</v>
      </c>
      <c r="D175" s="262" t="s">
        <v>27</v>
      </c>
      <c r="E175" s="263">
        <v>55</v>
      </c>
      <c r="F175" s="263">
        <v>1</v>
      </c>
      <c r="G175" s="263">
        <v>11</v>
      </c>
      <c r="H175" s="264">
        <v>650</v>
      </c>
      <c r="I175" s="265">
        <v>100</v>
      </c>
      <c r="J175" s="266">
        <f t="shared" si="14"/>
        <v>100</v>
      </c>
      <c r="K175" s="267">
        <f t="shared" si="16"/>
        <v>6.5</v>
      </c>
      <c r="L175" s="268">
        <v>187300</v>
      </c>
      <c r="M175" s="266">
        <v>18939</v>
      </c>
      <c r="N175" s="310">
        <f t="shared" si="15"/>
        <v>9.889645704630656</v>
      </c>
      <c r="O175" s="153"/>
    </row>
    <row r="176" spans="1:15" ht="15">
      <c r="A176" s="107">
        <v>173</v>
      </c>
      <c r="B176" s="308" t="s">
        <v>40</v>
      </c>
      <c r="C176" s="222">
        <v>40046</v>
      </c>
      <c r="D176" s="260" t="s">
        <v>27</v>
      </c>
      <c r="E176" s="224">
        <v>55</v>
      </c>
      <c r="F176" s="224">
        <v>1</v>
      </c>
      <c r="G176" s="224">
        <v>13</v>
      </c>
      <c r="H176" s="226">
        <v>146</v>
      </c>
      <c r="I176" s="258">
        <v>19</v>
      </c>
      <c r="J176" s="237">
        <f t="shared" si="14"/>
        <v>19</v>
      </c>
      <c r="K176" s="229">
        <f t="shared" si="16"/>
        <v>7.684210526315789</v>
      </c>
      <c r="L176" s="230">
        <v>189505</v>
      </c>
      <c r="M176" s="237">
        <v>19424</v>
      </c>
      <c r="N176" s="299">
        <f t="shared" si="15"/>
        <v>9.756229406919275</v>
      </c>
      <c r="O176" s="166"/>
    </row>
    <row r="177" spans="1:15" ht="15">
      <c r="A177" s="107">
        <v>174</v>
      </c>
      <c r="B177" s="307" t="s">
        <v>44</v>
      </c>
      <c r="C177" s="204">
        <v>40130</v>
      </c>
      <c r="D177" s="270" t="s">
        <v>3</v>
      </c>
      <c r="E177" s="245">
        <v>17</v>
      </c>
      <c r="F177" s="245">
        <v>10</v>
      </c>
      <c r="G177" s="245">
        <v>9</v>
      </c>
      <c r="H177" s="271">
        <v>5776</v>
      </c>
      <c r="I177" s="272">
        <v>991</v>
      </c>
      <c r="J177" s="234">
        <f>+I177/F177</f>
        <v>99.1</v>
      </c>
      <c r="K177" s="235">
        <f t="shared" si="16"/>
        <v>5.8284561049445</v>
      </c>
      <c r="L177" s="273">
        <v>60978</v>
      </c>
      <c r="M177" s="274">
        <v>5997</v>
      </c>
      <c r="N177" s="299">
        <f t="shared" si="15"/>
        <v>10.168084042021011</v>
      </c>
      <c r="O177" s="166"/>
    </row>
    <row r="178" spans="1:15" ht="15">
      <c r="A178" s="107">
        <v>175</v>
      </c>
      <c r="B178" s="307" t="s">
        <v>44</v>
      </c>
      <c r="C178" s="204">
        <v>40130</v>
      </c>
      <c r="D178" s="270" t="s">
        <v>3</v>
      </c>
      <c r="E178" s="245">
        <v>17</v>
      </c>
      <c r="F178" s="245">
        <v>8</v>
      </c>
      <c r="G178" s="245">
        <v>8</v>
      </c>
      <c r="H178" s="271">
        <v>3794</v>
      </c>
      <c r="I178" s="276">
        <v>543</v>
      </c>
      <c r="J178" s="239">
        <f>+I178/F178</f>
        <v>67.875</v>
      </c>
      <c r="K178" s="240">
        <f t="shared" si="16"/>
        <v>6.987108655616943</v>
      </c>
      <c r="L178" s="273">
        <v>55202</v>
      </c>
      <c r="M178" s="278">
        <v>5006</v>
      </c>
      <c r="N178" s="302">
        <f t="shared" si="15"/>
        <v>11.027167399121055</v>
      </c>
      <c r="O178" s="152"/>
    </row>
    <row r="179" spans="1:15" ht="15">
      <c r="A179" s="107">
        <v>176</v>
      </c>
      <c r="B179" s="305" t="s">
        <v>44</v>
      </c>
      <c r="C179" s="204">
        <v>40130</v>
      </c>
      <c r="D179" s="281" t="s">
        <v>3</v>
      </c>
      <c r="E179" s="245">
        <v>17</v>
      </c>
      <c r="F179" s="245">
        <v>2</v>
      </c>
      <c r="G179" s="245">
        <v>7</v>
      </c>
      <c r="H179" s="271">
        <v>254</v>
      </c>
      <c r="I179" s="276">
        <v>41</v>
      </c>
      <c r="J179" s="239">
        <f>+I179/F179</f>
        <v>20.5</v>
      </c>
      <c r="K179" s="235">
        <f t="shared" si="16"/>
        <v>6.195121951219512</v>
      </c>
      <c r="L179" s="273">
        <v>51408</v>
      </c>
      <c r="M179" s="278">
        <v>4463</v>
      </c>
      <c r="N179" s="301">
        <f t="shared" si="15"/>
        <v>11.518709388303831</v>
      </c>
      <c r="O179" s="153"/>
    </row>
    <row r="180" spans="1:15" ht="15">
      <c r="A180" s="107">
        <v>177</v>
      </c>
      <c r="B180" s="294" t="s">
        <v>182</v>
      </c>
      <c r="C180" s="204">
        <v>40130</v>
      </c>
      <c r="D180" s="219" t="s">
        <v>3</v>
      </c>
      <c r="E180" s="206">
        <v>17</v>
      </c>
      <c r="F180" s="206">
        <v>1</v>
      </c>
      <c r="G180" s="206">
        <v>10</v>
      </c>
      <c r="H180" s="220">
        <v>141</v>
      </c>
      <c r="I180" s="216">
        <v>38</v>
      </c>
      <c r="J180" s="217">
        <f>I180/F180</f>
        <v>38</v>
      </c>
      <c r="K180" s="210">
        <f>H180/I180</f>
        <v>3.710526315789474</v>
      </c>
      <c r="L180" s="221">
        <v>61119</v>
      </c>
      <c r="M180" s="218">
        <v>6035</v>
      </c>
      <c r="N180" s="296">
        <f t="shared" si="15"/>
        <v>10.127423363711682</v>
      </c>
      <c r="O180" s="166"/>
    </row>
    <row r="181" spans="1:15" ht="15">
      <c r="A181" s="107">
        <v>178</v>
      </c>
      <c r="B181" s="308" t="s">
        <v>99</v>
      </c>
      <c r="C181" s="222">
        <v>40144</v>
      </c>
      <c r="D181" s="260" t="s">
        <v>27</v>
      </c>
      <c r="E181" s="224">
        <v>128</v>
      </c>
      <c r="F181" s="224">
        <v>6</v>
      </c>
      <c r="G181" s="224">
        <v>8</v>
      </c>
      <c r="H181" s="226">
        <v>4834</v>
      </c>
      <c r="I181" s="258">
        <v>783</v>
      </c>
      <c r="J181" s="237">
        <f>I181/F181</f>
        <v>130.5</v>
      </c>
      <c r="K181" s="229">
        <f>+H181/I181</f>
        <v>6.173690932311622</v>
      </c>
      <c r="L181" s="230">
        <v>2577332</v>
      </c>
      <c r="M181" s="237">
        <v>308696</v>
      </c>
      <c r="N181" s="299">
        <f t="shared" si="15"/>
        <v>8.349094254541685</v>
      </c>
      <c r="O181" s="166">
        <v>1</v>
      </c>
    </row>
    <row r="182" spans="1:15" ht="15">
      <c r="A182" s="107">
        <v>179</v>
      </c>
      <c r="B182" s="308" t="s">
        <v>99</v>
      </c>
      <c r="C182" s="222">
        <v>40144</v>
      </c>
      <c r="D182" s="260" t="s">
        <v>27</v>
      </c>
      <c r="E182" s="224">
        <v>128</v>
      </c>
      <c r="F182" s="224">
        <v>5</v>
      </c>
      <c r="G182" s="224">
        <v>7</v>
      </c>
      <c r="H182" s="226">
        <v>2478</v>
      </c>
      <c r="I182" s="227">
        <v>419</v>
      </c>
      <c r="J182" s="228">
        <f>I182/F182</f>
        <v>83.8</v>
      </c>
      <c r="K182" s="231">
        <f>+H182/I182</f>
        <v>5.914081145584726</v>
      </c>
      <c r="L182" s="230">
        <v>2572498</v>
      </c>
      <c r="M182" s="228">
        <v>307913</v>
      </c>
      <c r="N182" s="300">
        <f t="shared" si="15"/>
        <v>8.35462614439793</v>
      </c>
      <c r="O182" s="152">
        <v>1</v>
      </c>
    </row>
    <row r="183" spans="1:15" ht="15">
      <c r="A183" s="107">
        <v>180</v>
      </c>
      <c r="B183" s="309" t="s">
        <v>73</v>
      </c>
      <c r="C183" s="261">
        <v>40144</v>
      </c>
      <c r="D183" s="262" t="s">
        <v>27</v>
      </c>
      <c r="E183" s="263">
        <v>128</v>
      </c>
      <c r="F183" s="263">
        <v>7</v>
      </c>
      <c r="G183" s="263">
        <v>6</v>
      </c>
      <c r="H183" s="264">
        <v>1964</v>
      </c>
      <c r="I183" s="265">
        <v>269</v>
      </c>
      <c r="J183" s="266">
        <f>I183/F183</f>
        <v>38.42857142857143</v>
      </c>
      <c r="K183" s="267">
        <f>+H183/I183</f>
        <v>7.301115241635688</v>
      </c>
      <c r="L183" s="268">
        <v>2570020</v>
      </c>
      <c r="M183" s="266">
        <v>307494</v>
      </c>
      <c r="N183" s="310">
        <f t="shared" si="15"/>
        <v>8.357951699870567</v>
      </c>
      <c r="O183" s="153">
        <v>1</v>
      </c>
    </row>
    <row r="184" spans="1:15" ht="15">
      <c r="A184" s="107">
        <v>181</v>
      </c>
      <c r="B184" s="308" t="s">
        <v>99</v>
      </c>
      <c r="C184" s="222">
        <v>40144</v>
      </c>
      <c r="D184" s="269" t="s">
        <v>27</v>
      </c>
      <c r="E184" s="224">
        <v>128</v>
      </c>
      <c r="F184" s="224">
        <v>4</v>
      </c>
      <c r="G184" s="224">
        <v>9</v>
      </c>
      <c r="H184" s="257">
        <v>1890</v>
      </c>
      <c r="I184" s="258">
        <v>334</v>
      </c>
      <c r="J184" s="237">
        <f>I184/F184</f>
        <v>83.5</v>
      </c>
      <c r="K184" s="229">
        <f>+H184/I184</f>
        <v>5.658682634730539</v>
      </c>
      <c r="L184" s="259">
        <v>2579222</v>
      </c>
      <c r="M184" s="237">
        <v>309030</v>
      </c>
      <c r="N184" s="299">
        <f t="shared" si="15"/>
        <v>8.346186454389542</v>
      </c>
      <c r="O184" s="166">
        <v>1</v>
      </c>
    </row>
    <row r="185" spans="1:15" ht="15">
      <c r="A185" s="107">
        <v>182</v>
      </c>
      <c r="B185" s="298" t="s">
        <v>45</v>
      </c>
      <c r="C185" s="222">
        <v>40137</v>
      </c>
      <c r="D185" s="225" t="s">
        <v>28</v>
      </c>
      <c r="E185" s="224">
        <v>147</v>
      </c>
      <c r="F185" s="224">
        <v>57</v>
      </c>
      <c r="G185" s="224">
        <v>7</v>
      </c>
      <c r="H185" s="207">
        <v>87796</v>
      </c>
      <c r="I185" s="208">
        <v>15922</v>
      </c>
      <c r="J185" s="209">
        <f>(I185/F185)</f>
        <v>279.3333333333333</v>
      </c>
      <c r="K185" s="210">
        <f aca="true" t="shared" si="17" ref="K185:K190">H185/I185</f>
        <v>5.514131390528828</v>
      </c>
      <c r="L185" s="211">
        <f>4499732.5+3362984.5+1262292.25+664013.75+490740.5+244990+87796</f>
        <v>10612549.5</v>
      </c>
      <c r="M185" s="212">
        <f>493806+365411+142937+78728+74756+40294+15922</f>
        <v>1211854</v>
      </c>
      <c r="N185" s="296">
        <f>L185/M185</f>
        <v>8.757283880731507</v>
      </c>
      <c r="O185" s="153"/>
    </row>
    <row r="186" spans="1:15" ht="15">
      <c r="A186" s="107">
        <v>183</v>
      </c>
      <c r="B186" s="297" t="s">
        <v>45</v>
      </c>
      <c r="C186" s="222">
        <v>40137</v>
      </c>
      <c r="D186" s="223" t="s">
        <v>28</v>
      </c>
      <c r="E186" s="224">
        <v>147</v>
      </c>
      <c r="F186" s="224">
        <v>32</v>
      </c>
      <c r="G186" s="224">
        <v>8</v>
      </c>
      <c r="H186" s="207">
        <v>33908</v>
      </c>
      <c r="I186" s="208">
        <v>6247</v>
      </c>
      <c r="J186" s="209">
        <f>(I186/F186)</f>
        <v>195.21875</v>
      </c>
      <c r="K186" s="214">
        <f t="shared" si="17"/>
        <v>5.427885384984792</v>
      </c>
      <c r="L186" s="211">
        <f>4499732.5+3362984.5+1262292.25+664013.75+490740.5+244990+87796+33908</f>
        <v>10646457.5</v>
      </c>
      <c r="M186" s="212">
        <f>493806+365411+142937+78728+74756+40294+15922+6247</f>
        <v>1218101</v>
      </c>
      <c r="N186" s="295">
        <f>L186/M186</f>
        <v>8.740209145218664</v>
      </c>
      <c r="O186" s="153"/>
    </row>
    <row r="187" spans="1:15" ht="15">
      <c r="A187" s="107">
        <v>184</v>
      </c>
      <c r="B187" s="304" t="s">
        <v>45</v>
      </c>
      <c r="C187" s="241">
        <v>40137</v>
      </c>
      <c r="D187" s="242" t="s">
        <v>28</v>
      </c>
      <c r="E187" s="243">
        <v>147</v>
      </c>
      <c r="F187" s="243">
        <v>18</v>
      </c>
      <c r="G187" s="243">
        <v>9</v>
      </c>
      <c r="H187" s="207">
        <v>25213</v>
      </c>
      <c r="I187" s="216">
        <v>4692</v>
      </c>
      <c r="J187" s="217">
        <f>(I187/F187)</f>
        <v>260.6666666666667</v>
      </c>
      <c r="K187" s="210">
        <f t="shared" si="17"/>
        <v>5.373614663256607</v>
      </c>
      <c r="L187" s="211">
        <f>4499732.5+3362984.5+1262292.25+664013.75+490740.5+244990+87796+33908+25213</f>
        <v>10671670.5</v>
      </c>
      <c r="M187" s="218">
        <f>493806+365411+142937+78728+74756+40294+15922+6247+4692</f>
        <v>1222793</v>
      </c>
      <c r="N187" s="296">
        <f>L187/M187</f>
        <v>8.727291127770604</v>
      </c>
      <c r="O187" s="166"/>
    </row>
    <row r="188" spans="1:15" ht="15">
      <c r="A188" s="107">
        <v>185</v>
      </c>
      <c r="B188" s="297" t="s">
        <v>45</v>
      </c>
      <c r="C188" s="222">
        <v>40137</v>
      </c>
      <c r="D188" s="225" t="s">
        <v>28</v>
      </c>
      <c r="E188" s="224">
        <v>147</v>
      </c>
      <c r="F188" s="224">
        <v>10</v>
      </c>
      <c r="G188" s="224">
        <v>10</v>
      </c>
      <c r="H188" s="220">
        <v>8908</v>
      </c>
      <c r="I188" s="216">
        <v>1746</v>
      </c>
      <c r="J188" s="217">
        <f>(I188/F188)</f>
        <v>174.6</v>
      </c>
      <c r="K188" s="210">
        <f t="shared" si="17"/>
        <v>5.101947308132875</v>
      </c>
      <c r="L188" s="221">
        <f>4499732.5+3362984.5+1262292.25+664013.75+490740.5+244990+87796+33908+25213+8908</f>
        <v>10680578.5</v>
      </c>
      <c r="M188" s="218">
        <f>493806+365411+142937+78728+74756+40294+15922+6247+4692+1746</f>
        <v>1224539</v>
      </c>
      <c r="N188" s="296">
        <f>L188/M188</f>
        <v>8.722121957732664</v>
      </c>
      <c r="O188" s="166"/>
    </row>
    <row r="189" spans="1:15" ht="15">
      <c r="A189" s="107">
        <v>186</v>
      </c>
      <c r="B189" s="294" t="s">
        <v>113</v>
      </c>
      <c r="C189" s="204">
        <v>40081</v>
      </c>
      <c r="D189" s="215" t="s">
        <v>26</v>
      </c>
      <c r="E189" s="206">
        <v>70</v>
      </c>
      <c r="F189" s="206">
        <v>1</v>
      </c>
      <c r="G189" s="206">
        <v>13</v>
      </c>
      <c r="H189" s="207">
        <v>1671</v>
      </c>
      <c r="I189" s="216">
        <v>278</v>
      </c>
      <c r="J189" s="217">
        <f aca="true" t="shared" si="18" ref="J189:J194">I189/F189</f>
        <v>278</v>
      </c>
      <c r="K189" s="210">
        <f t="shared" si="17"/>
        <v>6.010791366906475</v>
      </c>
      <c r="L189" s="211">
        <f>1392975+803+1671</f>
        <v>1395449</v>
      </c>
      <c r="M189" s="218">
        <f>137156+132+278</f>
        <v>137566</v>
      </c>
      <c r="N189" s="296">
        <f aca="true" t="shared" si="19" ref="N189:N194">+L189/M189</f>
        <v>10.143850951543259</v>
      </c>
      <c r="O189" s="166"/>
    </row>
    <row r="190" spans="1:15" ht="15">
      <c r="A190" s="107">
        <v>187</v>
      </c>
      <c r="B190" s="294" t="s">
        <v>113</v>
      </c>
      <c r="C190" s="204">
        <v>40081</v>
      </c>
      <c r="D190" s="213" t="s">
        <v>26</v>
      </c>
      <c r="E190" s="206">
        <v>70</v>
      </c>
      <c r="F190" s="206">
        <v>1</v>
      </c>
      <c r="G190" s="206">
        <v>12</v>
      </c>
      <c r="H190" s="207">
        <v>803</v>
      </c>
      <c r="I190" s="208">
        <v>132</v>
      </c>
      <c r="J190" s="209">
        <f t="shared" si="18"/>
        <v>132</v>
      </c>
      <c r="K190" s="214">
        <f t="shared" si="17"/>
        <v>6.083333333333333</v>
      </c>
      <c r="L190" s="211">
        <f>1392975+803</f>
        <v>1393778</v>
      </c>
      <c r="M190" s="212">
        <f>137156+132</f>
        <v>137288</v>
      </c>
      <c r="N190" s="295">
        <f t="shared" si="19"/>
        <v>10.15222015034089</v>
      </c>
      <c r="O190" s="152"/>
    </row>
    <row r="191" spans="1:15" ht="15">
      <c r="A191" s="107">
        <v>188</v>
      </c>
      <c r="B191" s="308" t="s">
        <v>38</v>
      </c>
      <c r="C191" s="222">
        <v>40102</v>
      </c>
      <c r="D191" s="269" t="s">
        <v>27</v>
      </c>
      <c r="E191" s="224">
        <v>99</v>
      </c>
      <c r="F191" s="224">
        <v>8</v>
      </c>
      <c r="G191" s="224">
        <v>15</v>
      </c>
      <c r="H191" s="257">
        <v>4479</v>
      </c>
      <c r="I191" s="258">
        <v>839</v>
      </c>
      <c r="J191" s="237">
        <f t="shared" si="18"/>
        <v>104.875</v>
      </c>
      <c r="K191" s="229">
        <f>+H191/I191</f>
        <v>5.33849821215733</v>
      </c>
      <c r="L191" s="259">
        <v>2584656</v>
      </c>
      <c r="M191" s="237">
        <v>273934</v>
      </c>
      <c r="N191" s="299">
        <f t="shared" si="19"/>
        <v>9.435323837128651</v>
      </c>
      <c r="O191" s="166"/>
    </row>
    <row r="192" spans="1:15" ht="15">
      <c r="A192" s="107">
        <v>189</v>
      </c>
      <c r="B192" s="308" t="s">
        <v>38</v>
      </c>
      <c r="C192" s="222">
        <v>40102</v>
      </c>
      <c r="D192" s="260" t="s">
        <v>27</v>
      </c>
      <c r="E192" s="224">
        <v>99</v>
      </c>
      <c r="F192" s="224">
        <v>9</v>
      </c>
      <c r="G192" s="224">
        <v>14</v>
      </c>
      <c r="H192" s="226">
        <v>3375</v>
      </c>
      <c r="I192" s="258">
        <v>911</v>
      </c>
      <c r="J192" s="237">
        <f t="shared" si="18"/>
        <v>101.22222222222223</v>
      </c>
      <c r="K192" s="229">
        <f>+H192/I192</f>
        <v>3.7047200878155873</v>
      </c>
      <c r="L192" s="230">
        <v>2580177</v>
      </c>
      <c r="M192" s="237">
        <v>273095</v>
      </c>
      <c r="N192" s="299">
        <f t="shared" si="19"/>
        <v>9.447910067925081</v>
      </c>
      <c r="O192" s="166"/>
    </row>
    <row r="193" spans="1:15" ht="15">
      <c r="A193" s="107">
        <v>190</v>
      </c>
      <c r="B193" s="309" t="s">
        <v>38</v>
      </c>
      <c r="C193" s="261">
        <v>40102</v>
      </c>
      <c r="D193" s="262" t="s">
        <v>27</v>
      </c>
      <c r="E193" s="263">
        <v>99</v>
      </c>
      <c r="F193" s="263">
        <v>15</v>
      </c>
      <c r="G193" s="263">
        <v>12</v>
      </c>
      <c r="H193" s="264">
        <v>2194</v>
      </c>
      <c r="I193" s="265">
        <v>315</v>
      </c>
      <c r="J193" s="266">
        <f t="shared" si="18"/>
        <v>21</v>
      </c>
      <c r="K193" s="267">
        <f>+H193/I193</f>
        <v>6.965079365079365</v>
      </c>
      <c r="L193" s="268">
        <v>2575565</v>
      </c>
      <c r="M193" s="266">
        <v>271966</v>
      </c>
      <c r="N193" s="310">
        <f t="shared" si="19"/>
        <v>9.470172742181008</v>
      </c>
      <c r="O193" s="153"/>
    </row>
    <row r="194" spans="1:15" ht="15">
      <c r="A194" s="107">
        <v>191</v>
      </c>
      <c r="B194" s="308" t="s">
        <v>38</v>
      </c>
      <c r="C194" s="222">
        <v>40102</v>
      </c>
      <c r="D194" s="260" t="s">
        <v>27</v>
      </c>
      <c r="E194" s="224">
        <v>99</v>
      </c>
      <c r="F194" s="224">
        <v>5</v>
      </c>
      <c r="G194" s="224">
        <v>13</v>
      </c>
      <c r="H194" s="226">
        <v>1237</v>
      </c>
      <c r="I194" s="227">
        <v>218</v>
      </c>
      <c r="J194" s="228">
        <f t="shared" si="18"/>
        <v>43.6</v>
      </c>
      <c r="K194" s="231">
        <f>+H194/I194</f>
        <v>5.674311926605505</v>
      </c>
      <c r="L194" s="230">
        <v>2576802</v>
      </c>
      <c r="M194" s="228">
        <v>272184</v>
      </c>
      <c r="N194" s="300">
        <f t="shared" si="19"/>
        <v>9.467132527995767</v>
      </c>
      <c r="O194" s="152"/>
    </row>
    <row r="195" spans="1:15" ht="15">
      <c r="A195" s="107">
        <v>192</v>
      </c>
      <c r="B195" s="297" t="s">
        <v>140</v>
      </c>
      <c r="C195" s="222">
        <v>40095</v>
      </c>
      <c r="D195" s="223" t="s">
        <v>28</v>
      </c>
      <c r="E195" s="224">
        <v>52</v>
      </c>
      <c r="F195" s="224">
        <v>1</v>
      </c>
      <c r="G195" s="224">
        <v>7</v>
      </c>
      <c r="H195" s="207">
        <v>1188</v>
      </c>
      <c r="I195" s="216">
        <v>297</v>
      </c>
      <c r="J195" s="217">
        <f>(I195/F195)</f>
        <v>297</v>
      </c>
      <c r="K195" s="210">
        <f>H195/I195</f>
        <v>4</v>
      </c>
      <c r="L195" s="211">
        <f>108013.25+68864+27976+10214+2402+2209+1188</f>
        <v>220866.25</v>
      </c>
      <c r="M195" s="218">
        <f>12202+8144+4339+1841+481+460+297</f>
        <v>27764</v>
      </c>
      <c r="N195" s="296">
        <f>L195/M195</f>
        <v>7.955130744849446</v>
      </c>
      <c r="O195" s="166">
        <v>1</v>
      </c>
    </row>
    <row r="196" spans="1:15" ht="15">
      <c r="A196" s="107">
        <v>193</v>
      </c>
      <c r="B196" s="297" t="s">
        <v>172</v>
      </c>
      <c r="C196" s="222">
        <v>40095</v>
      </c>
      <c r="D196" s="225" t="s">
        <v>28</v>
      </c>
      <c r="E196" s="224">
        <v>52</v>
      </c>
      <c r="F196" s="224">
        <v>2</v>
      </c>
      <c r="G196" s="224">
        <v>8</v>
      </c>
      <c r="H196" s="220">
        <v>2968</v>
      </c>
      <c r="I196" s="216">
        <v>742</v>
      </c>
      <c r="J196" s="217">
        <f>(I196/F196)</f>
        <v>371</v>
      </c>
      <c r="K196" s="210">
        <f>H196/I196</f>
        <v>4</v>
      </c>
      <c r="L196" s="221">
        <f>108013.25+68864+27976+10214+2402+2209+1188+2968</f>
        <v>223834.25</v>
      </c>
      <c r="M196" s="218">
        <f>12202+8144+4339+1841+481+460+297+742</f>
        <v>28506</v>
      </c>
      <c r="N196" s="296">
        <f>L196/M196</f>
        <v>7.852180242755911</v>
      </c>
      <c r="O196" s="166">
        <v>1</v>
      </c>
    </row>
    <row r="197" spans="1:15" ht="15">
      <c r="A197" s="107">
        <v>194</v>
      </c>
      <c r="B197" s="297" t="s">
        <v>168</v>
      </c>
      <c r="C197" s="222">
        <v>39822</v>
      </c>
      <c r="D197" s="225" t="s">
        <v>30</v>
      </c>
      <c r="E197" s="224">
        <v>175</v>
      </c>
      <c r="F197" s="224">
        <v>1</v>
      </c>
      <c r="G197" s="224">
        <v>25</v>
      </c>
      <c r="H197" s="220">
        <v>30203</v>
      </c>
      <c r="I197" s="216">
        <v>6041</v>
      </c>
      <c r="J197" s="217">
        <f>IF(H197&lt;&gt;0,I197/F197,"")</f>
        <v>6041</v>
      </c>
      <c r="K197" s="210">
        <f>IF(H197&lt;&gt;0,H197/I197,"")</f>
        <v>4.999668928985267</v>
      </c>
      <c r="L197" s="221">
        <v>3549661</v>
      </c>
      <c r="M197" s="218">
        <v>486849</v>
      </c>
      <c r="N197" s="296">
        <f>IF(L197&lt;&gt;0,L197/M197,"")</f>
        <v>7.291092309935935</v>
      </c>
      <c r="O197" s="166">
        <v>1</v>
      </c>
    </row>
    <row r="198" spans="1:15" ht="15">
      <c r="A198" s="107">
        <v>195</v>
      </c>
      <c r="B198" s="309" t="s">
        <v>59</v>
      </c>
      <c r="C198" s="261">
        <v>40165</v>
      </c>
      <c r="D198" s="262" t="s">
        <v>27</v>
      </c>
      <c r="E198" s="263">
        <v>109</v>
      </c>
      <c r="F198" s="263">
        <v>70</v>
      </c>
      <c r="G198" s="263">
        <v>3</v>
      </c>
      <c r="H198" s="264">
        <v>175077</v>
      </c>
      <c r="I198" s="265">
        <v>16879</v>
      </c>
      <c r="J198" s="266">
        <f>I198/F198</f>
        <v>241.12857142857143</v>
      </c>
      <c r="K198" s="267">
        <f>+H198/I198</f>
        <v>10.372474672670181</v>
      </c>
      <c r="L198" s="268">
        <v>1207284</v>
      </c>
      <c r="M198" s="266">
        <v>120991</v>
      </c>
      <c r="N198" s="310">
        <f>+L198/M198</f>
        <v>9.97829590630708</v>
      </c>
      <c r="O198" s="153">
        <v>1</v>
      </c>
    </row>
    <row r="199" spans="1:15" ht="15">
      <c r="A199" s="107">
        <v>196</v>
      </c>
      <c r="B199" s="308" t="s">
        <v>86</v>
      </c>
      <c r="C199" s="222">
        <v>40165</v>
      </c>
      <c r="D199" s="260" t="s">
        <v>27</v>
      </c>
      <c r="E199" s="224">
        <v>109</v>
      </c>
      <c r="F199" s="224">
        <v>39</v>
      </c>
      <c r="G199" s="224">
        <v>4</v>
      </c>
      <c r="H199" s="226">
        <v>54378</v>
      </c>
      <c r="I199" s="227">
        <v>5850</v>
      </c>
      <c r="J199" s="228">
        <f>I199/F199</f>
        <v>150</v>
      </c>
      <c r="K199" s="231">
        <f>+H199/I199</f>
        <v>9.295384615384615</v>
      </c>
      <c r="L199" s="230">
        <v>1261662</v>
      </c>
      <c r="M199" s="228">
        <v>126841</v>
      </c>
      <c r="N199" s="300">
        <f>+L199/M199</f>
        <v>9.946799536427497</v>
      </c>
      <c r="O199" s="152">
        <v>1</v>
      </c>
    </row>
    <row r="200" spans="1:15" ht="15">
      <c r="A200" s="107">
        <v>197</v>
      </c>
      <c r="B200" s="308" t="s">
        <v>86</v>
      </c>
      <c r="C200" s="222">
        <v>40165</v>
      </c>
      <c r="D200" s="260" t="s">
        <v>27</v>
      </c>
      <c r="E200" s="224">
        <v>109</v>
      </c>
      <c r="F200" s="224">
        <v>19</v>
      </c>
      <c r="G200" s="224">
        <v>5</v>
      </c>
      <c r="H200" s="226">
        <v>16797</v>
      </c>
      <c r="I200" s="258">
        <v>3103</v>
      </c>
      <c r="J200" s="237">
        <f>I200/F200</f>
        <v>163.31578947368422</v>
      </c>
      <c r="K200" s="229">
        <f>+H200/I200</f>
        <v>5.413148565903964</v>
      </c>
      <c r="L200" s="230">
        <v>1278459</v>
      </c>
      <c r="M200" s="237">
        <v>129944</v>
      </c>
      <c r="N200" s="299">
        <f>+L200/M200</f>
        <v>9.838538139506248</v>
      </c>
      <c r="O200" s="166">
        <v>1</v>
      </c>
    </row>
    <row r="201" spans="1:15" ht="15">
      <c r="A201" s="107">
        <v>198</v>
      </c>
      <c r="B201" s="308" t="s">
        <v>86</v>
      </c>
      <c r="C201" s="222">
        <v>40165</v>
      </c>
      <c r="D201" s="269" t="s">
        <v>27</v>
      </c>
      <c r="E201" s="224">
        <v>109</v>
      </c>
      <c r="F201" s="224">
        <v>5</v>
      </c>
      <c r="G201" s="224">
        <v>6</v>
      </c>
      <c r="H201" s="257">
        <v>3254</v>
      </c>
      <c r="I201" s="258">
        <v>483</v>
      </c>
      <c r="J201" s="237">
        <f>I201/F201</f>
        <v>96.6</v>
      </c>
      <c r="K201" s="229">
        <f>+H201/I201</f>
        <v>6.737060041407868</v>
      </c>
      <c r="L201" s="259">
        <v>1281713</v>
      </c>
      <c r="M201" s="237">
        <v>130427</v>
      </c>
      <c r="N201" s="299">
        <f>+L201/M201</f>
        <v>9.827052680809954</v>
      </c>
      <c r="O201" s="166">
        <v>1</v>
      </c>
    </row>
    <row r="202" spans="1:15" ht="15">
      <c r="A202" s="107">
        <v>199</v>
      </c>
      <c r="B202" s="304" t="s">
        <v>148</v>
      </c>
      <c r="C202" s="241">
        <v>40046</v>
      </c>
      <c r="D202" s="242" t="s">
        <v>28</v>
      </c>
      <c r="E202" s="243">
        <v>5</v>
      </c>
      <c r="F202" s="243">
        <v>1</v>
      </c>
      <c r="G202" s="243">
        <v>18</v>
      </c>
      <c r="H202" s="207">
        <v>555</v>
      </c>
      <c r="I202" s="216">
        <v>90</v>
      </c>
      <c r="J202" s="217">
        <f>(I202/F202)</f>
        <v>90</v>
      </c>
      <c r="K202" s="210">
        <f>H202/I202</f>
        <v>6.166666666666667</v>
      </c>
      <c r="L202" s="211">
        <f>29266.75+13116.25+9279.25+8463+18147.5+3121+4110+6763+926+5173.5+9461.5+192+486+2002+382+72+487.5+555</f>
        <v>112004.25</v>
      </c>
      <c r="M202" s="218">
        <f>2425+1257+1223+1013+2360+455+662+1253+138+745+1554+44+79+353+69+18+78+90</f>
        <v>13816</v>
      </c>
      <c r="N202" s="296">
        <f>L202/M202</f>
        <v>8.106850752750434</v>
      </c>
      <c r="O202" s="166"/>
    </row>
    <row r="203" spans="1:15" ht="15">
      <c r="A203" s="107">
        <v>200</v>
      </c>
      <c r="B203" s="297" t="s">
        <v>148</v>
      </c>
      <c r="C203" s="222">
        <v>40046</v>
      </c>
      <c r="D203" s="223" t="s">
        <v>28</v>
      </c>
      <c r="E203" s="224">
        <v>5</v>
      </c>
      <c r="F203" s="224">
        <v>1</v>
      </c>
      <c r="G203" s="224">
        <v>17</v>
      </c>
      <c r="H203" s="207">
        <v>487.5</v>
      </c>
      <c r="I203" s="208">
        <v>78</v>
      </c>
      <c r="J203" s="209">
        <f>(I203/F203)</f>
        <v>78</v>
      </c>
      <c r="K203" s="214">
        <f>H203/I203</f>
        <v>6.25</v>
      </c>
      <c r="L203" s="211">
        <f>29266.75+13116.25+9279.25+8463+18147.5+3121+4110+6763+926+5173.5+9461.5+192+486+2002+382+72+487.5</f>
        <v>111449.25</v>
      </c>
      <c r="M203" s="212">
        <f>2425+1257+1223+1013+2360+455+662+1253+138+745+1554+44+79+353+69+18+78</f>
        <v>13726</v>
      </c>
      <c r="N203" s="295">
        <f>L203/M203</f>
        <v>8.119572344455777</v>
      </c>
      <c r="O203" s="153"/>
    </row>
    <row r="204" spans="1:15" ht="15">
      <c r="A204" s="107">
        <v>201</v>
      </c>
      <c r="B204" s="297" t="s">
        <v>148</v>
      </c>
      <c r="C204" s="222">
        <v>40046</v>
      </c>
      <c r="D204" s="225" t="s">
        <v>28</v>
      </c>
      <c r="E204" s="224">
        <v>5</v>
      </c>
      <c r="F204" s="224">
        <v>1</v>
      </c>
      <c r="G204" s="224">
        <v>16</v>
      </c>
      <c r="H204" s="207">
        <v>72</v>
      </c>
      <c r="I204" s="208">
        <v>18</v>
      </c>
      <c r="J204" s="209">
        <f>(I204/F204)</f>
        <v>18</v>
      </c>
      <c r="K204" s="210">
        <f>H204/I204</f>
        <v>4</v>
      </c>
      <c r="L204" s="211">
        <f>29266.75+13116.25+9279.25+8463+18147.5+3121+4110+6763+926+5173.5+9461.5+192+486+2002+382+72</f>
        <v>110961.75</v>
      </c>
      <c r="M204" s="212">
        <f>2425+1257+1223+1013+2360+455+662+1253+138+745+1554+44+79+353+69+18</f>
        <v>13648</v>
      </c>
      <c r="N204" s="296">
        <f>L204/M204</f>
        <v>8.130257180539273</v>
      </c>
      <c r="O204" s="153"/>
    </row>
    <row r="205" spans="1:15" ht="15">
      <c r="A205" s="107">
        <v>202</v>
      </c>
      <c r="B205" s="297" t="s">
        <v>96</v>
      </c>
      <c r="C205" s="222">
        <v>40144</v>
      </c>
      <c r="D205" s="223" t="s">
        <v>97</v>
      </c>
      <c r="E205" s="224">
        <v>2</v>
      </c>
      <c r="F205" s="224">
        <v>1</v>
      </c>
      <c r="G205" s="224">
        <v>3</v>
      </c>
      <c r="H205" s="226">
        <v>6827</v>
      </c>
      <c r="I205" s="227">
        <v>1058</v>
      </c>
      <c r="J205" s="248">
        <f>I205/F205</f>
        <v>1058</v>
      </c>
      <c r="K205" s="253">
        <f>H205/I205</f>
        <v>6.452741020793951</v>
      </c>
      <c r="L205" s="230">
        <v>12004</v>
      </c>
      <c r="M205" s="228">
        <v>1817</v>
      </c>
      <c r="N205" s="302">
        <f>IF(L205&lt;&gt;0,L205/M205,"")</f>
        <v>6.606494221243809</v>
      </c>
      <c r="O205" s="152"/>
    </row>
    <row r="206" spans="1:15" ht="15">
      <c r="A206" s="107">
        <v>203</v>
      </c>
      <c r="B206" s="297" t="s">
        <v>96</v>
      </c>
      <c r="C206" s="222">
        <v>40144</v>
      </c>
      <c r="D206" s="223" t="s">
        <v>97</v>
      </c>
      <c r="E206" s="224">
        <v>2</v>
      </c>
      <c r="F206" s="224">
        <v>1</v>
      </c>
      <c r="G206" s="224">
        <v>4</v>
      </c>
      <c r="H206" s="226">
        <v>1199</v>
      </c>
      <c r="I206" s="227">
        <v>221</v>
      </c>
      <c r="J206" s="248">
        <f>I206/F206</f>
        <v>221</v>
      </c>
      <c r="K206" s="253">
        <f>H206/I206</f>
        <v>5.425339366515837</v>
      </c>
      <c r="L206" s="230">
        <v>13203</v>
      </c>
      <c r="M206" s="228">
        <v>2038</v>
      </c>
      <c r="N206" s="302">
        <f>IF(L206&lt;&gt;0,L206/M206,"")</f>
        <v>6.478410206084397</v>
      </c>
      <c r="O206" s="166"/>
    </row>
    <row r="207" spans="1:15" ht="15">
      <c r="A207" s="107">
        <v>204</v>
      </c>
      <c r="B207" s="307" t="s">
        <v>144</v>
      </c>
      <c r="C207" s="204">
        <v>40060</v>
      </c>
      <c r="D207" s="270" t="s">
        <v>3</v>
      </c>
      <c r="E207" s="245">
        <v>60</v>
      </c>
      <c r="F207" s="245">
        <v>1</v>
      </c>
      <c r="G207" s="245">
        <v>9</v>
      </c>
      <c r="H207" s="271">
        <v>722</v>
      </c>
      <c r="I207" s="272">
        <v>98</v>
      </c>
      <c r="J207" s="234">
        <f>+I207/F207</f>
        <v>98</v>
      </c>
      <c r="K207" s="235">
        <f>+H207/I207</f>
        <v>7.36734693877551</v>
      </c>
      <c r="L207" s="273">
        <v>31093</v>
      </c>
      <c r="M207" s="274">
        <v>4346</v>
      </c>
      <c r="N207" s="299">
        <f>+L207/M207</f>
        <v>7.154394845835251</v>
      </c>
      <c r="O207" s="166">
        <v>1</v>
      </c>
    </row>
    <row r="208" spans="1:15" ht="15">
      <c r="A208" s="107">
        <v>205</v>
      </c>
      <c r="B208" s="303" t="s">
        <v>54</v>
      </c>
      <c r="C208" s="204">
        <v>40172</v>
      </c>
      <c r="D208" s="205" t="s">
        <v>26</v>
      </c>
      <c r="E208" s="206">
        <v>40</v>
      </c>
      <c r="F208" s="206">
        <v>34</v>
      </c>
      <c r="G208" s="206">
        <v>2</v>
      </c>
      <c r="H208" s="207">
        <v>15275</v>
      </c>
      <c r="I208" s="208">
        <v>1524</v>
      </c>
      <c r="J208" s="209">
        <f>I208/F208</f>
        <v>44.8235294117647</v>
      </c>
      <c r="K208" s="210">
        <f>H208/I208</f>
        <v>10.022965879265092</v>
      </c>
      <c r="L208" s="211">
        <f>74576+15275</f>
        <v>89851</v>
      </c>
      <c r="M208" s="212">
        <f>7330+1524</f>
        <v>8854</v>
      </c>
      <c r="N208" s="296">
        <f>+L208/M208</f>
        <v>10.148068669527897</v>
      </c>
      <c r="O208" s="153"/>
    </row>
    <row r="209" spans="1:15" ht="15">
      <c r="A209" s="107">
        <v>206</v>
      </c>
      <c r="B209" s="294" t="s">
        <v>54</v>
      </c>
      <c r="C209" s="204">
        <v>40172</v>
      </c>
      <c r="D209" s="215" t="s">
        <v>26</v>
      </c>
      <c r="E209" s="206">
        <v>40</v>
      </c>
      <c r="F209" s="206">
        <v>8</v>
      </c>
      <c r="G209" s="206">
        <v>4</v>
      </c>
      <c r="H209" s="207">
        <v>5335</v>
      </c>
      <c r="I209" s="216">
        <v>870</v>
      </c>
      <c r="J209" s="217">
        <f>I209/F209</f>
        <v>108.75</v>
      </c>
      <c r="K209" s="210">
        <f>H209/I209</f>
        <v>6.132183908045977</v>
      </c>
      <c r="L209" s="211">
        <f>74576+15275+3431+38+5335</f>
        <v>98655</v>
      </c>
      <c r="M209" s="218">
        <f>7330+1524+499+4+870</f>
        <v>10227</v>
      </c>
      <c r="N209" s="296">
        <f>+L209/M209</f>
        <v>9.646523907304195</v>
      </c>
      <c r="O209" s="166"/>
    </row>
    <row r="210" spans="1:15" ht="15">
      <c r="A210" s="107">
        <v>207</v>
      </c>
      <c r="B210" s="294" t="s">
        <v>54</v>
      </c>
      <c r="C210" s="204">
        <v>40172</v>
      </c>
      <c r="D210" s="213" t="s">
        <v>26</v>
      </c>
      <c r="E210" s="206">
        <v>40</v>
      </c>
      <c r="F210" s="206">
        <v>10</v>
      </c>
      <c r="G210" s="206">
        <v>3</v>
      </c>
      <c r="H210" s="207">
        <f>3431+38</f>
        <v>3469</v>
      </c>
      <c r="I210" s="208">
        <f>499+4</f>
        <v>503</v>
      </c>
      <c r="J210" s="209">
        <f>I210/F210</f>
        <v>50.3</v>
      </c>
      <c r="K210" s="214">
        <f>H210/I210</f>
        <v>6.89662027833002</v>
      </c>
      <c r="L210" s="211">
        <f>74576+15275+3431+38</f>
        <v>93320</v>
      </c>
      <c r="M210" s="212">
        <f>7330+1524+499+4</f>
        <v>9357</v>
      </c>
      <c r="N210" s="295">
        <f>+L210/M210</f>
        <v>9.973282034840226</v>
      </c>
      <c r="O210" s="152"/>
    </row>
    <row r="211" spans="1:15" ht="15.75" thickBot="1">
      <c r="A211" s="107">
        <v>208</v>
      </c>
      <c r="B211" s="315" t="s">
        <v>54</v>
      </c>
      <c r="C211" s="316">
        <v>40172</v>
      </c>
      <c r="D211" s="317" t="s">
        <v>26</v>
      </c>
      <c r="E211" s="318">
        <v>40</v>
      </c>
      <c r="F211" s="318">
        <v>1</v>
      </c>
      <c r="G211" s="318">
        <v>5</v>
      </c>
      <c r="H211" s="319">
        <v>40</v>
      </c>
      <c r="I211" s="320">
        <v>8</v>
      </c>
      <c r="J211" s="321">
        <f>I211/F211</f>
        <v>8</v>
      </c>
      <c r="K211" s="322">
        <f>H211/I211</f>
        <v>5</v>
      </c>
      <c r="L211" s="323">
        <f>74576+15275+3431+38+5335+40</f>
        <v>98695</v>
      </c>
      <c r="M211" s="324">
        <f>7330+1524+499+4+870+8</f>
        <v>10235</v>
      </c>
      <c r="N211" s="325">
        <f>+L211/M211</f>
        <v>9.642892037127504</v>
      </c>
      <c r="O211" s="166"/>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r:id="rId1"/>
  <ignoredErrors>
    <ignoredError sqref="P53 P18:P19 P21:P52 L64:M88 N64 L97:M119 L185:M201 L211:L214 J210:K214 L210 L207:L209" formula="1" unlockedFormula="1"/>
    <ignoredError sqref="Q23:Q25 L53:N63 Q27:Q53 H13:N52 L89:M89 N65:N89 L120:M120 L139:M172 J215:L218 N210:N218 H210:I218 M202:M218 L202:L206 H4:N11" unlockedFormula="1"/>
    <ignoredError sqref="P7:P8 J64:K88 K93:K119 L93:M96 K156:K159 K160:K169 N143:O159 K180:K201 L180:M184 J207:K209" formula="1"/>
    <ignoredError sqref="E85:H93 E141:I15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2010-01-29T20:16:10Z</dcterms:modified>
  <cp:category/>
  <cp:version/>
  <cp:contentType/>
  <cp:contentStatus/>
</cp:coreProperties>
</file>