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26" yWindow="65416" windowWidth="20610" windowHeight="11640" tabRatio="867" activeTab="0"/>
  </bookViews>
  <sheets>
    <sheet name="18-24 Mar' 11 (WK 12)" sheetId="1" r:id="rId1"/>
    <sheet name="31 Dec 10'-24 Mar' 11 (Annual)" sheetId="2" r:id="rId2"/>
    <sheet name="Ex years releases (Annual)" sheetId="3" r:id="rId3"/>
  </sheets>
  <definedNames>
    <definedName name="HTML_CodePage" hidden="1">1254</definedName>
    <definedName name="HTML_Control" localSheetId="0" hidden="1">{"'WEEK 41'!$A$1:$K$25","'WEEK 41'!$C$3:$K$23"}</definedName>
    <definedName name="HTML_Control" hidden="1">{"'WEEK 41'!$A$1:$K$25","'WEEK 41'!$C$3:$K$23"}</definedName>
    <definedName name="HTML_Description" hidden="1">""</definedName>
    <definedName name="HTML_Email" hidden="1">"gelyetistiren@superonline.com"</definedName>
    <definedName name="HTML_Header" hidden="1">"WEEK 41"</definedName>
    <definedName name="HTML_LastUpdate" hidden="1">"25.05.2001"</definedName>
    <definedName name="HTML_LineAfter" hidden="1">TRUE</definedName>
    <definedName name="HTML_LineBefore" hidden="1">TRUE</definedName>
    <definedName name="HTML_Name" hidden="1">"Gökhan Elyetiştiren"</definedName>
    <definedName name="HTML_OBDlg2" hidden="1">TRUE</definedName>
    <definedName name="HTML_OBDlg3" hidden="1">TRUE</definedName>
    <definedName name="HTML_OBDlg4" hidden="1">TRUE</definedName>
    <definedName name="HTML_OS" hidden="1">0</definedName>
    <definedName name="HTML_PathFile" hidden="1">"C:\Belgelerim\MyHTML.htm"</definedName>
    <definedName name="HTML_PathTemplate" hidden="1">"C:\Belgelerim\MyHTML.htm"</definedName>
    <definedName name="HTML_Title" hidden="1">"WK - BO &amp; Adm"</definedName>
    <definedName name="_xlnm.Print_Area" localSheetId="0">'18-24 Mar'' 11 (WK 12)'!$A$1:$N$59</definedName>
    <definedName name="_xlnm.Print_Area" localSheetId="1">'31 Dec 10'-24 Mar' 11 (Annual)'!#REF!</definedName>
  </definedNames>
  <calcPr fullCalcOnLoad="1"/>
</workbook>
</file>

<file path=xl/sharedStrings.xml><?xml version="1.0" encoding="utf-8"?>
<sst xmlns="http://schemas.openxmlformats.org/spreadsheetml/2006/main" count="942" uniqueCount="246">
  <si>
    <t>RESIDENT EVIL: AFTERLIFE</t>
  </si>
  <si>
    <t>THE TOURIST</t>
  </si>
  <si>
    <t>THE CHRONICLES OF NARNIA: THE VOVAYE OF THE DAWN TREADER</t>
  </si>
  <si>
    <t>UNCLE BOONMEE WHO CAN RECALL HIS PAST LIVES</t>
  </si>
  <si>
    <t>BLACK HEAVEN</t>
  </si>
  <si>
    <t>Admission</t>
  </si>
  <si>
    <t>Title</t>
  </si>
  <si>
    <t>G.B.O. YTL</t>
  </si>
  <si>
    <t>TALE 52</t>
  </si>
  <si>
    <t>LE CONCERT</t>
  </si>
  <si>
    <t>EAT PRAY LOVE</t>
  </si>
  <si>
    <t>MY SOUL TO TAKE</t>
  </si>
  <si>
    <t>AYLA</t>
  </si>
  <si>
    <t>PARANORMAL ACTIVITY 2</t>
  </si>
  <si>
    <t>CENTURION</t>
  </si>
  <si>
    <t>L'AGE DE RAISON</t>
  </si>
  <si>
    <t>AFTER.LIFE</t>
  </si>
  <si>
    <t>MEDYAVİZYON</t>
  </si>
  <si>
    <t>HARRY POTTER 7a</t>
  </si>
  <si>
    <t>OPEN SEASON 3</t>
  </si>
  <si>
    <t>GARFIELD'S PET FORCE</t>
  </si>
  <si>
    <t>WINX CLUB 3D: MAGICAL ADVENTURE</t>
  </si>
  <si>
    <t>INHALE</t>
  </si>
  <si>
    <t>UIP TÜRKİYE</t>
  </si>
  <si>
    <t>WARNER BROS. TÜRKİYE</t>
  </si>
  <si>
    <t>CINE FILM</t>
  </si>
  <si>
    <t>ÖZEN FİLM</t>
  </si>
  <si>
    <t>PİNEMA</t>
  </si>
  <si>
    <t>"Turkey's Weekend Market Datas" chart which is given above displays the number of admissions and box offices of the films which are released in the  stated week by Turkish distributers. The chart and the attached pages is being prepared by Weekly Antrakt Cinema Newspaper as a common acknowledgement of all Turkish distributers. Weekly Antrakt Cinema Newspaper is preparing this chart as collecting all data from distributers and organizing them. It is not permitted to multiply or to sell these data which are displayed on this chart and attachments. It is necessary to ask approval of Weekly Antrakt Cinema Newspaper in order to quote, to copy or to publish.</t>
  </si>
  <si>
    <t>SAW 3D</t>
  </si>
  <si>
    <t>SAMMY'S ADVENTURES</t>
  </si>
  <si>
    <t>MFP-CINEGROUP</t>
  </si>
  <si>
    <t>Weeks in Release</t>
  </si>
  <si>
    <t>Distributor</t>
  </si>
  <si>
    <t>DUE DATE</t>
  </si>
  <si>
    <t>VAMPIRES SUCK</t>
  </si>
  <si>
    <t>YOU AGAIN</t>
  </si>
  <si>
    <t>THE LAST EXORCISM</t>
  </si>
  <si>
    <t>Screen Avg. (Adm.)</t>
  </si>
  <si>
    <t>Release Date</t>
  </si>
  <si>
    <t>Week in Release</t>
  </si>
  <si>
    <t>Avg. Ticket Price</t>
  </si>
  <si>
    <t>Türkiye Distributor</t>
  </si>
  <si>
    <t>Release
Date</t>
  </si>
  <si>
    <t># of
Prints</t>
  </si>
  <si>
    <t>Week</t>
  </si>
  <si>
    <t>Cumulative</t>
  </si>
  <si>
    <t>G.B.O.</t>
  </si>
  <si>
    <t>Adm.</t>
  </si>
  <si>
    <t>Avg.
Ticket</t>
  </si>
  <si>
    <t xml:space="preserve">Avg.
Ticket </t>
  </si>
  <si>
    <t># of
Screen</t>
  </si>
  <si>
    <t>SKYLINE</t>
  </si>
  <si>
    <t>UNSTOPPABLE</t>
  </si>
  <si>
    <r>
      <t>Yukarıdaki Turkey's Weekend Market Datas adlı tablo Türkiye'deki film da</t>
    </r>
    <r>
      <rPr>
        <i/>
        <sz val="9"/>
        <color indexed="23"/>
        <rFont val="Didot"/>
        <family val="0"/>
      </rPr>
      <t>ğ</t>
    </r>
    <r>
      <rPr>
        <i/>
        <sz val="9"/>
        <color indexed="23"/>
        <rFont val="Administer"/>
        <family val="0"/>
      </rPr>
      <t xml:space="preserve">ıtıcısı </t>
    </r>
    <r>
      <rPr>
        <i/>
        <sz val="9"/>
        <color indexed="23"/>
        <rFont val="Didot"/>
        <family val="0"/>
      </rPr>
      <t>ş</t>
    </r>
    <r>
      <rPr>
        <i/>
        <sz val="9"/>
        <color indexed="23"/>
        <rFont val="Administer"/>
        <family val="0"/>
      </rPr>
      <t>irketlerin ülkemizde yukarıda belirtilen haftalarda da</t>
    </r>
    <r>
      <rPr>
        <i/>
        <sz val="9"/>
        <color indexed="23"/>
        <rFont val="Didot"/>
        <family val="0"/>
      </rPr>
      <t>ğ</t>
    </r>
    <r>
      <rPr>
        <i/>
        <sz val="9"/>
        <color indexed="23"/>
        <rFont val="Administer"/>
        <family val="0"/>
      </rPr>
      <t>ıttıkları sinema filmlerinin gene yukarıda belirttikleri haftalarda ula</t>
    </r>
    <r>
      <rPr>
        <i/>
        <sz val="9"/>
        <color indexed="23"/>
        <rFont val="Didot"/>
        <family val="0"/>
      </rPr>
      <t>ş</t>
    </r>
    <r>
      <rPr>
        <i/>
        <sz val="9"/>
        <color indexed="23"/>
        <rFont val="Administer"/>
        <family val="0"/>
      </rPr>
      <t>tıkları seyirci sayısını ve yaptıkları hasılatı göstermektedir. Liste ve ekinde bulunan di</t>
    </r>
    <r>
      <rPr>
        <i/>
        <sz val="9"/>
        <color indexed="23"/>
        <rFont val="Didot"/>
        <family val="0"/>
      </rPr>
      <t>ğ</t>
    </r>
    <r>
      <rPr>
        <i/>
        <sz val="9"/>
        <color indexed="23"/>
        <rFont val="Administer"/>
        <family val="0"/>
      </rPr>
      <t>er sayfalar bütün da</t>
    </r>
    <r>
      <rPr>
        <i/>
        <sz val="9"/>
        <color indexed="23"/>
        <rFont val="Didot"/>
        <family val="0"/>
      </rPr>
      <t>ğ</t>
    </r>
    <r>
      <rPr>
        <i/>
        <sz val="9"/>
        <color indexed="23"/>
        <rFont val="Administer"/>
        <family val="0"/>
      </rPr>
      <t>ıtıcıların ortak görü</t>
    </r>
    <r>
      <rPr>
        <i/>
        <sz val="9"/>
        <color indexed="23"/>
        <rFont val="Didot"/>
        <family val="0"/>
      </rPr>
      <t>ş</t>
    </r>
    <r>
      <rPr>
        <i/>
        <sz val="9"/>
        <color indexed="23"/>
        <rFont val="Administer"/>
        <family val="0"/>
      </rPr>
      <t>ü sonucunda Haftalık Antrakt Sinema Gazetesi'ne hazırlattırılmaktadır. Haftalık Antrakt Sinema Gazetesi yukarıdaki ve ekindeki tabloları da</t>
    </r>
    <r>
      <rPr>
        <i/>
        <sz val="9"/>
        <color indexed="23"/>
        <rFont val="Didot"/>
        <family val="0"/>
      </rPr>
      <t>ğ</t>
    </r>
    <r>
      <rPr>
        <i/>
        <sz val="9"/>
        <color indexed="23"/>
        <rFont val="Administer"/>
        <family val="0"/>
      </rPr>
      <t>ıtımcı firmalardan gönderilen özel bilgileri bir araya getirerek olu</t>
    </r>
    <r>
      <rPr>
        <i/>
        <sz val="9"/>
        <color indexed="23"/>
        <rFont val="Didot"/>
        <family val="0"/>
      </rPr>
      <t>ş</t>
    </r>
    <r>
      <rPr>
        <i/>
        <sz val="9"/>
        <color indexed="23"/>
        <rFont val="Administer"/>
        <family val="0"/>
      </rPr>
      <t>turmaktadır. Yukarıdaki ve ekindeki tabloların içerdi</t>
    </r>
    <r>
      <rPr>
        <i/>
        <sz val="9"/>
        <color indexed="23"/>
        <rFont val="Didot"/>
        <family val="0"/>
      </rPr>
      <t>ğ</t>
    </r>
    <r>
      <rPr>
        <i/>
        <sz val="9"/>
        <color indexed="23"/>
        <rFont val="Administer"/>
        <family val="0"/>
      </rPr>
      <t>i veriler ço</t>
    </r>
    <r>
      <rPr>
        <i/>
        <sz val="9"/>
        <color indexed="23"/>
        <rFont val="Didot"/>
        <family val="0"/>
      </rPr>
      <t>ğ</t>
    </r>
    <r>
      <rPr>
        <i/>
        <sz val="9"/>
        <color indexed="23"/>
        <rFont val="Administer"/>
        <family val="0"/>
      </rPr>
      <t>altılamaz, satılamaz. Alıntı veya kopyalama yapılırken Haftalık Antrakt Sinema Gazetesi'nden izin alınmalıdır.</t>
    </r>
  </si>
  <si>
    <r>
      <t>*Sorted according to cumulative G.B.O. - Toplam hasılat sütununa göre sıralanmı</t>
    </r>
    <r>
      <rPr>
        <i/>
        <sz val="9"/>
        <color indexed="23"/>
        <rFont val="Didot"/>
        <family val="0"/>
      </rPr>
      <t>ş</t>
    </r>
    <r>
      <rPr>
        <i/>
        <sz val="9"/>
        <color indexed="23"/>
        <rFont val="Administer"/>
        <family val="0"/>
      </rPr>
      <t>tır.</t>
    </r>
  </si>
  <si>
    <r>
      <t>*Sorted according to Weekend Total G.B.O. - Haftalık toplam hasılat sütununa göre sıralanmı</t>
    </r>
    <r>
      <rPr>
        <i/>
        <sz val="9"/>
        <color indexed="23"/>
        <rFont val="Didot"/>
        <family val="0"/>
      </rPr>
      <t>ş</t>
    </r>
    <r>
      <rPr>
        <i/>
        <sz val="9"/>
        <color indexed="23"/>
        <rFont val="Administer"/>
        <family val="0"/>
      </rPr>
      <t>tır.</t>
    </r>
  </si>
  <si>
    <r>
      <t xml:space="preserve">ÇAKALLARLA DANS </t>
    </r>
    <r>
      <rPr>
        <b/>
        <sz val="10"/>
        <color indexed="10"/>
        <rFont val="Trebuchet MS"/>
        <family val="2"/>
      </rPr>
      <t>(LOCAL)</t>
    </r>
  </si>
  <si>
    <t>LIFE AS WE KNOW IT</t>
  </si>
  <si>
    <r>
      <t xml:space="preserve">SULTANIN SIRRI </t>
    </r>
    <r>
      <rPr>
        <b/>
        <sz val="10"/>
        <color indexed="10"/>
        <rFont val="Trebuchet MS"/>
        <family val="2"/>
      </rPr>
      <t>(LOCAL)</t>
    </r>
  </si>
  <si>
    <t>GULLIVER'S TRAVELS</t>
  </si>
  <si>
    <r>
      <t xml:space="preserve">MEMLEKETTE DEMOKRASİ VAR </t>
    </r>
    <r>
      <rPr>
        <b/>
        <sz val="10"/>
        <color indexed="10"/>
        <rFont val="Trebuchet MS"/>
        <family val="2"/>
      </rPr>
      <t>(LOCAL)</t>
    </r>
  </si>
  <si>
    <r>
      <t xml:space="preserve">ÇOĞUNLUK </t>
    </r>
    <r>
      <rPr>
        <b/>
        <sz val="10"/>
        <color indexed="10"/>
        <rFont val="Trebuchet MS"/>
        <family val="2"/>
      </rPr>
      <t>(LOCAL)</t>
    </r>
  </si>
  <si>
    <r>
      <t>TESLİMİYET</t>
    </r>
    <r>
      <rPr>
        <b/>
        <sz val="10"/>
        <color indexed="10"/>
        <rFont val="Trebuchet MS"/>
        <family val="2"/>
      </rPr>
      <t xml:space="preserve"> (LOCAL)</t>
    </r>
  </si>
  <si>
    <r>
      <t xml:space="preserve">CEHENNEM 3D </t>
    </r>
    <r>
      <rPr>
        <b/>
        <sz val="10"/>
        <color indexed="10"/>
        <rFont val="Trebuchet MS"/>
        <family val="2"/>
      </rPr>
      <t>(LOCAL)</t>
    </r>
  </si>
  <si>
    <r>
      <t xml:space="preserve">UÇAN MELEKLER </t>
    </r>
    <r>
      <rPr>
        <b/>
        <sz val="10"/>
        <color indexed="10"/>
        <rFont val="Trebuchet MS"/>
        <family val="2"/>
      </rPr>
      <t>(LOCAL)</t>
    </r>
  </si>
  <si>
    <r>
      <t xml:space="preserve">KAVŞAK </t>
    </r>
    <r>
      <rPr>
        <b/>
        <sz val="10"/>
        <color indexed="10"/>
        <rFont val="Trebuchet MS"/>
        <family val="2"/>
      </rPr>
      <t>(LOCAL)</t>
    </r>
  </si>
  <si>
    <r>
      <t xml:space="preserve">ÇAKAL </t>
    </r>
    <r>
      <rPr>
        <b/>
        <sz val="10"/>
        <color indexed="10"/>
        <rFont val="Trebuchet MS"/>
        <family val="2"/>
      </rPr>
      <t>(LOCAL)</t>
    </r>
  </si>
  <si>
    <r>
      <t xml:space="preserve">PRENSESİN UYKUSU </t>
    </r>
    <r>
      <rPr>
        <b/>
        <sz val="10"/>
        <color indexed="10"/>
        <rFont val="Trebuchet MS"/>
        <family val="2"/>
      </rPr>
      <t>(LOCAL)</t>
    </r>
  </si>
  <si>
    <r>
      <t xml:space="preserve">http://www.antraktsinema.com - </t>
    </r>
    <r>
      <rPr>
        <sz val="12"/>
        <color indexed="47"/>
        <rFont val="Gadget"/>
        <family val="0"/>
      </rPr>
      <t xml:space="preserve">Weekly Movie Magazine Antrakt presents - Haftalık Antrakt Sinema Gazetesi sunar </t>
    </r>
    <r>
      <rPr>
        <sz val="12"/>
        <color indexed="9"/>
        <rFont val="Gadget"/>
        <family val="0"/>
      </rPr>
      <t>- http://www.antraktsinema.com</t>
    </r>
  </si>
  <si>
    <r>
      <t>AV MEVSİMİ</t>
    </r>
    <r>
      <rPr>
        <b/>
        <sz val="10"/>
        <color indexed="10"/>
        <rFont val="Trebuchet MS"/>
        <family val="2"/>
      </rPr>
      <t xml:space="preserve"> (LOCAL)</t>
    </r>
  </si>
  <si>
    <t>TANGLED</t>
  </si>
  <si>
    <t>LITTLE FOCKERS</t>
  </si>
  <si>
    <t>THE TOWN</t>
  </si>
  <si>
    <t>23</t>
  </si>
  <si>
    <r>
      <t>NEW YORK'TA BEŞ MİNARE</t>
    </r>
    <r>
      <rPr>
        <b/>
        <sz val="10"/>
        <color indexed="10"/>
        <rFont val="Trebuchet MS"/>
        <family val="2"/>
      </rPr>
      <t xml:space="preserve"> (LOCAL)</t>
    </r>
  </si>
  <si>
    <r>
      <t xml:space="preserve">VAY ARKADAŞ </t>
    </r>
    <r>
      <rPr>
        <b/>
        <sz val="10"/>
        <color indexed="10"/>
        <rFont val="Trebuchet MS"/>
        <family val="2"/>
      </rPr>
      <t>(LOCAL)</t>
    </r>
  </si>
  <si>
    <r>
      <t xml:space="preserve">PAK PANTER </t>
    </r>
    <r>
      <rPr>
        <b/>
        <sz val="10"/>
        <color indexed="10"/>
        <rFont val="Trebuchet MS"/>
        <family val="2"/>
      </rPr>
      <t>(LOCAL)</t>
    </r>
  </si>
  <si>
    <r>
      <t xml:space="preserve">POLİS </t>
    </r>
    <r>
      <rPr>
        <b/>
        <sz val="10"/>
        <color indexed="10"/>
        <rFont val="Trebuchet MS"/>
        <family val="2"/>
      </rPr>
      <t>(LOCAL)</t>
    </r>
  </si>
  <si>
    <r>
      <t xml:space="preserve">AŞKIN İKİNCİ YARISI </t>
    </r>
    <r>
      <rPr>
        <b/>
        <sz val="10"/>
        <color indexed="10"/>
        <rFont val="Trebuchet MS"/>
        <family val="2"/>
      </rPr>
      <t>(LOCAL)</t>
    </r>
  </si>
  <si>
    <r>
      <t>NENE HATUN</t>
    </r>
    <r>
      <rPr>
        <b/>
        <sz val="10"/>
        <color indexed="10"/>
        <rFont val="Trebuchet MS"/>
        <family val="2"/>
      </rPr>
      <t xml:space="preserve"> (LOCAL)</t>
    </r>
  </si>
  <si>
    <r>
      <t xml:space="preserve">KUBİLAY </t>
    </r>
    <r>
      <rPr>
        <b/>
        <sz val="10"/>
        <color indexed="10"/>
        <rFont val="Trebuchet MS"/>
        <family val="2"/>
      </rPr>
      <t>(LOCAL)</t>
    </r>
  </si>
  <si>
    <r>
      <t xml:space="preserve">O KUL </t>
    </r>
    <r>
      <rPr>
        <b/>
        <sz val="10"/>
        <color indexed="10"/>
        <rFont val="Trebuchet MS"/>
        <family val="2"/>
      </rPr>
      <t>(LOCAL)</t>
    </r>
  </si>
  <si>
    <r>
      <t xml:space="preserve">http://www.antraktsinema.com - </t>
    </r>
    <r>
      <rPr>
        <sz val="12"/>
        <color indexed="47"/>
        <rFont val="Gadget"/>
        <family val="0"/>
      </rPr>
      <t>Weekly Movie Magazine Antrakt presents - Haftalık Antrakt Sinema Gazetesi sunar</t>
    </r>
  </si>
  <si>
    <r>
      <t xml:space="preserve">http://www.antraktsinema.com - </t>
    </r>
    <r>
      <rPr>
        <sz val="12"/>
        <color indexed="47"/>
        <rFont val="Gadget"/>
        <family val="0"/>
      </rPr>
      <t>Weekly Movie Magazine Antrakt presents - Haftalık Antrakt Sinema Gazetesi sunar</t>
    </r>
    <r>
      <rPr>
        <sz val="12"/>
        <color indexed="9"/>
        <rFont val="Gadget"/>
        <family val="0"/>
      </rPr>
      <t xml:space="preserve"> - http://www.antraktsinema.com</t>
    </r>
  </si>
  <si>
    <t>SPREAD</t>
  </si>
  <si>
    <t>CERTIFIED COPY</t>
  </si>
  <si>
    <r>
      <t xml:space="preserve">AV MEVSİMİ </t>
    </r>
    <r>
      <rPr>
        <b/>
        <sz val="10"/>
        <color indexed="10"/>
        <rFont val="Trebuchet MS"/>
        <family val="2"/>
      </rPr>
      <t>(LOCAL)</t>
    </r>
  </si>
  <si>
    <r>
      <t>ÇAKALLARLA DANS</t>
    </r>
    <r>
      <rPr>
        <b/>
        <sz val="10"/>
        <color indexed="10"/>
        <rFont val="Trebuchet MS"/>
        <family val="2"/>
      </rPr>
      <t xml:space="preserve"> (LOCAL)</t>
    </r>
  </si>
  <si>
    <t>THE EXPERIMENT</t>
  </si>
  <si>
    <t>M3 FİLM</t>
  </si>
  <si>
    <r>
      <t xml:space="preserve">NEW YORK'TA BEŞ MİNARE </t>
    </r>
    <r>
      <rPr>
        <b/>
        <sz val="10"/>
        <color indexed="10"/>
        <rFont val="Trebuchet MS"/>
        <family val="2"/>
      </rPr>
      <t>(LOCAL)</t>
    </r>
  </si>
  <si>
    <r>
      <t>SULTANIN SIRRI</t>
    </r>
    <r>
      <rPr>
        <b/>
        <sz val="10"/>
        <color indexed="10"/>
        <rFont val="Trebuchet MS"/>
        <family val="2"/>
      </rPr>
      <t xml:space="preserve"> (LOCAL)</t>
    </r>
  </si>
  <si>
    <t>PLANET 51</t>
  </si>
  <si>
    <t>STONE</t>
  </si>
  <si>
    <t>DIARY OF A WIMPY KID</t>
  </si>
  <si>
    <t>DESPICABLE ME</t>
  </si>
  <si>
    <t>JOHN RABE</t>
  </si>
  <si>
    <t>THE A TEAM</t>
  </si>
  <si>
    <r>
      <t>ÇOĞUNLUK</t>
    </r>
    <r>
      <rPr>
        <b/>
        <sz val="10"/>
        <color indexed="10"/>
        <rFont val="Trebuchet MS"/>
        <family val="2"/>
      </rPr>
      <t xml:space="preserve"> (LOCAL)</t>
    </r>
  </si>
  <si>
    <r>
      <t>ÜÇ HARFLİLER: MARİD</t>
    </r>
    <r>
      <rPr>
        <sz val="10"/>
        <color indexed="10"/>
        <rFont val="Trebuchet MS"/>
        <family val="2"/>
      </rPr>
      <t xml:space="preserve"> </t>
    </r>
    <r>
      <rPr>
        <b/>
        <sz val="10"/>
        <color indexed="10"/>
        <rFont val="Trebuchet MS"/>
        <family val="2"/>
      </rPr>
      <t>(LOCAL)</t>
    </r>
  </si>
  <si>
    <r>
      <t xml:space="preserve">ŞENLİKNAME: BİR İSTANBUL MASALI </t>
    </r>
    <r>
      <rPr>
        <b/>
        <sz val="10"/>
        <color indexed="10"/>
        <rFont val="Trebuchet MS"/>
        <family val="2"/>
      </rPr>
      <t>(LOCAL)</t>
    </r>
  </si>
  <si>
    <t>CIRKUS COLUMBIA</t>
  </si>
  <si>
    <t>CHANTIER FILMS</t>
  </si>
  <si>
    <t>DUKA FİLM</t>
  </si>
  <si>
    <t>THE GIRL WHO PLAYED WITH FIRE</t>
  </si>
  <si>
    <r>
      <t xml:space="preserve">AY LAV YU </t>
    </r>
    <r>
      <rPr>
        <b/>
        <sz val="10"/>
        <color indexed="10"/>
        <rFont val="Trebuchet MS"/>
        <family val="2"/>
      </rPr>
      <t>(LOCAL)</t>
    </r>
  </si>
  <si>
    <t>JOURNEY TO THE CENTER OF THE EARTH</t>
  </si>
  <si>
    <t>THE LAST EXORCİSM</t>
  </si>
  <si>
    <t>L'ILLUSIONNIST</t>
  </si>
  <si>
    <t>VAY ARKADAŞ</t>
  </si>
  <si>
    <t>MOTHER AND CHILD</t>
  </si>
  <si>
    <r>
      <t>PRENSESİN UYKUSU</t>
    </r>
    <r>
      <rPr>
        <b/>
        <sz val="10"/>
        <color indexed="10"/>
        <rFont val="Trebuchet MS"/>
        <family val="2"/>
      </rPr>
      <t xml:space="preserve"> (LOCAL)</t>
    </r>
  </si>
  <si>
    <t>AN EDUCATION</t>
  </si>
  <si>
    <t>THE KARATE KID</t>
  </si>
  <si>
    <t>DETOUR</t>
  </si>
  <si>
    <t>SEASON OF THE WITCH</t>
  </si>
  <si>
    <t>MEGAMIND</t>
  </si>
  <si>
    <t>LOVE &amp; OTHER DRUGS</t>
  </si>
  <si>
    <t>TİGLON</t>
  </si>
  <si>
    <t>I AM LOVE</t>
  </si>
  <si>
    <t>KITES</t>
  </si>
  <si>
    <t>CHANTEIR FILMS</t>
  </si>
  <si>
    <t>LITTLE NICHOLAS</t>
  </si>
  <si>
    <r>
      <t>VAY ARKADAŞ</t>
    </r>
    <r>
      <rPr>
        <b/>
        <sz val="10"/>
        <color indexed="10"/>
        <rFont val="Trebuchet MS"/>
        <family val="2"/>
      </rPr>
      <t xml:space="preserve"> (LOCAL)</t>
    </r>
  </si>
  <si>
    <r>
      <t>KAVŞAK</t>
    </r>
    <r>
      <rPr>
        <b/>
        <sz val="10"/>
        <color indexed="10"/>
        <rFont val="Trebuchet MS"/>
        <family val="2"/>
      </rPr>
      <t xml:space="preserve"> (LOCAL)</t>
    </r>
  </si>
  <si>
    <t>LOOKING FOR ERIC</t>
  </si>
  <si>
    <t>RED</t>
  </si>
  <si>
    <t>YOGI BEAR</t>
  </si>
  <si>
    <t>GET LOW</t>
  </si>
  <si>
    <t>ALVIN &amp; THE CHIPMUNKS: THE SQUEAKQUEL</t>
  </si>
  <si>
    <t>THE SOCIAL NETWORK</t>
  </si>
  <si>
    <r>
      <t xml:space="preserve">ÜÇ HARFLİLER: MARİD </t>
    </r>
    <r>
      <rPr>
        <b/>
        <sz val="10"/>
        <color indexed="10"/>
        <rFont val="Trebuchet MS"/>
        <family val="2"/>
      </rPr>
      <t>(LOCAL)</t>
    </r>
  </si>
  <si>
    <t>ICE AGE 3: DAWN OF THE DINOSAURS</t>
  </si>
  <si>
    <t>IMPY'S WONDERLAND</t>
  </si>
  <si>
    <r>
      <t xml:space="preserve">VEDA </t>
    </r>
    <r>
      <rPr>
        <b/>
        <sz val="10"/>
        <color indexed="10"/>
        <rFont val="Trebuchet MS"/>
        <family val="2"/>
      </rPr>
      <t>(LOCAL)</t>
    </r>
  </si>
  <si>
    <t>CHUGYEOGJA</t>
  </si>
  <si>
    <t>THE TREE</t>
  </si>
  <si>
    <t>BIUTIFUL</t>
  </si>
  <si>
    <r>
      <t>PRENSESİN UYKUSU</t>
    </r>
    <r>
      <rPr>
        <sz val="10"/>
        <color indexed="10"/>
        <rFont val="Trebuchet MS"/>
        <family val="2"/>
      </rPr>
      <t xml:space="preserve"> </t>
    </r>
    <r>
      <rPr>
        <b/>
        <sz val="10"/>
        <color indexed="10"/>
        <rFont val="Trebuchet MS"/>
        <family val="2"/>
      </rPr>
      <t>(LOCAL)</t>
    </r>
  </si>
  <si>
    <t>BRIGHT STAR</t>
  </si>
  <si>
    <t>SANCTUM</t>
  </si>
  <si>
    <t>MEMLEKET MESELESİ (LOCAL)</t>
  </si>
  <si>
    <t>LA VERITABLE HISTOIRE DU CHAT BOTTE</t>
  </si>
  <si>
    <r>
      <t xml:space="preserve">HAYAT VAR </t>
    </r>
    <r>
      <rPr>
        <b/>
        <sz val="10"/>
        <color indexed="10"/>
        <rFont val="Trebuchet MS"/>
        <family val="2"/>
      </rPr>
      <t>(LOCAL)</t>
    </r>
  </si>
  <si>
    <t>INCEPTION</t>
  </si>
  <si>
    <t>RICKY</t>
  </si>
  <si>
    <t>R.E.D.</t>
  </si>
  <si>
    <t>THE RITE</t>
  </si>
  <si>
    <t>THE FIGHTER</t>
  </si>
  <si>
    <t>SECRETARIAT</t>
  </si>
  <si>
    <t>the GIRL WHO PLAYED WITH FIRE</t>
  </si>
  <si>
    <r>
      <t>ŞENLİKNAME: BİR İSTANBUL MASALI</t>
    </r>
    <r>
      <rPr>
        <b/>
        <sz val="10"/>
        <color indexed="10"/>
        <rFont val="Trebuchet MS"/>
        <family val="2"/>
      </rPr>
      <t xml:space="preserve"> (LOCAL)</t>
    </r>
  </si>
  <si>
    <r>
      <t xml:space="preserve">İNCİR REÇELİ </t>
    </r>
    <r>
      <rPr>
        <b/>
        <sz val="10"/>
        <color indexed="10"/>
        <rFont val="Trebuchet MS"/>
        <family val="2"/>
      </rPr>
      <t>(LOCAL)</t>
    </r>
  </si>
  <si>
    <t>KNIGHT AND DAY</t>
  </si>
  <si>
    <t>(500) DAYS OF SUMMER</t>
  </si>
  <si>
    <t>COCO CHANEL &amp; IGOR STRAVINSKY</t>
  </si>
  <si>
    <t>HUNGER</t>
  </si>
  <si>
    <t>I'VE LOVED YOU SO LONG</t>
  </si>
  <si>
    <t>LEMON TREE</t>
  </si>
  <si>
    <t>PONYO ON THE CLIFF BY THE SEA</t>
  </si>
  <si>
    <t>SUNSHINE CLEANING</t>
  </si>
  <si>
    <t>THE CHOKE</t>
  </si>
  <si>
    <r>
      <t>ÜÇ HARFLİLER: MARİD</t>
    </r>
    <r>
      <rPr>
        <b/>
        <sz val="10"/>
        <color indexed="10"/>
        <rFont val="Trebuchet MS"/>
        <family val="2"/>
      </rPr>
      <t xml:space="preserve"> (LOCAL)</t>
    </r>
  </si>
  <si>
    <t>GREEN HORNET</t>
  </si>
  <si>
    <t>127 HOURS</t>
  </si>
  <si>
    <t>EDEN IS WEST</t>
  </si>
  <si>
    <t>THE WAVE</t>
  </si>
  <si>
    <t>UMUT SANAT</t>
  </si>
  <si>
    <r>
      <t>O KUL</t>
    </r>
    <r>
      <rPr>
        <b/>
        <sz val="10"/>
        <color indexed="10"/>
        <rFont val="Trebuchet MS"/>
        <family val="2"/>
      </rPr>
      <t xml:space="preserve"> (LOCAL)</t>
    </r>
  </si>
  <si>
    <t>IT'S A FREE WORLD</t>
  </si>
  <si>
    <t>M3 FILM</t>
  </si>
  <si>
    <t>BLACK SWAN</t>
  </si>
  <si>
    <t>THE NEXT THREE DAYS</t>
  </si>
  <si>
    <r>
      <t xml:space="preserve">YA SONRA </t>
    </r>
    <r>
      <rPr>
        <b/>
        <sz val="10"/>
        <color indexed="10"/>
        <rFont val="Trebuchet MS"/>
        <family val="2"/>
      </rPr>
      <t>(LOCAL)</t>
    </r>
  </si>
  <si>
    <t>THE KING'S SPEECH</t>
  </si>
  <si>
    <t>TRUE GRIT</t>
  </si>
  <si>
    <r>
      <t>AŞKIN İKİNCİ YARISI</t>
    </r>
    <r>
      <rPr>
        <b/>
        <sz val="10"/>
        <color indexed="10"/>
        <rFont val="Trebuchet MS"/>
        <family val="2"/>
      </rPr>
      <t xml:space="preserve"> (LOCAL)</t>
    </r>
  </si>
  <si>
    <t>TRON: LEGACY</t>
  </si>
  <si>
    <t>OCEAN WORLD 3D</t>
  </si>
  <si>
    <t>GNOMES AND TROLLS: THE SECRET CHAMBER</t>
  </si>
  <si>
    <r>
      <t>MEMLEKETTE DEMOKRASİ VAR</t>
    </r>
    <r>
      <rPr>
        <b/>
        <sz val="10"/>
        <color indexed="10"/>
        <rFont val="Trebuchet MS"/>
        <family val="2"/>
      </rPr>
      <t xml:space="preserve"> (LOCAL)</t>
    </r>
  </si>
  <si>
    <t>EYYVAH EYVAH 2 (LOCAL)</t>
  </si>
  <si>
    <t>AŞK TESADÜFLERİ SEVER (LOCAL)</t>
  </si>
  <si>
    <t>KURTLAR VADİSİ FİLİSTİN (LOCAL)</t>
  </si>
  <si>
    <t>HÜR ADAM (LOCAL)</t>
  </si>
  <si>
    <t>YA SONRA (LOCAL)</t>
  </si>
  <si>
    <t>GÜNAH KEÇİSİ (LOCAL)</t>
  </si>
  <si>
    <t>ÇALGI ÇENGİ (LOCAL)</t>
  </si>
  <si>
    <t>KUKURİKU: KADIN KRALLIĞI (LOCAL)</t>
  </si>
  <si>
    <t>KAĞIT (LOCAL)</t>
  </si>
  <si>
    <t>HAYDE BRE (LOCAL)</t>
  </si>
  <si>
    <t>7 AVLU (LOCAL)</t>
  </si>
  <si>
    <r>
      <t xml:space="preserve">KİR </t>
    </r>
    <r>
      <rPr>
        <b/>
        <sz val="10"/>
        <color indexed="10"/>
        <rFont val="Trebuchet MS"/>
        <family val="2"/>
      </rPr>
      <t>(LOCAL)</t>
    </r>
  </si>
  <si>
    <t>WINTER'S BONE</t>
  </si>
  <si>
    <r>
      <t>120</t>
    </r>
    <r>
      <rPr>
        <b/>
        <sz val="10"/>
        <color indexed="10"/>
        <rFont val="Trebuchet MS"/>
        <family val="2"/>
      </rPr>
      <t xml:space="preserve"> (LOCAL)</t>
    </r>
  </si>
  <si>
    <t>11</t>
  </si>
  <si>
    <r>
      <t>KOSMOS</t>
    </r>
    <r>
      <rPr>
        <b/>
        <sz val="10"/>
        <color indexed="10"/>
        <rFont val="Trebuchet MS"/>
        <family val="2"/>
      </rPr>
      <t xml:space="preserve"> (LOCAL)</t>
    </r>
  </si>
  <si>
    <t>THE SILENT ARMY</t>
  </si>
  <si>
    <r>
      <t>HÜR ADAM</t>
    </r>
    <r>
      <rPr>
        <b/>
        <sz val="10"/>
        <color indexed="10"/>
        <rFont val="Trebuchet MS"/>
        <family val="2"/>
      </rPr>
      <t xml:space="preserve"> (LOCAL)</t>
    </r>
  </si>
  <si>
    <r>
      <t xml:space="preserve">AŞK TESADÜFLERİ SEVER </t>
    </r>
    <r>
      <rPr>
        <b/>
        <sz val="10"/>
        <color indexed="10"/>
        <rFont val="Trebuchet MS"/>
        <family val="2"/>
      </rPr>
      <t>(LOCAL)</t>
    </r>
  </si>
  <si>
    <r>
      <t xml:space="preserve">72.KOĞUŞ </t>
    </r>
    <r>
      <rPr>
        <b/>
        <sz val="10"/>
        <color indexed="10"/>
        <rFont val="Trebuchet MS"/>
        <family val="2"/>
      </rPr>
      <t>(LOCAL)</t>
    </r>
  </si>
  <si>
    <t>RANGO</t>
  </si>
  <si>
    <t>STEP UP 3 3D</t>
  </si>
  <si>
    <r>
      <t xml:space="preserve">ÇALGI ÇENGİ </t>
    </r>
    <r>
      <rPr>
        <b/>
        <sz val="10"/>
        <color indexed="10"/>
        <rFont val="Trebuchet MS"/>
        <family val="2"/>
      </rPr>
      <t>(LOCAL)</t>
    </r>
  </si>
  <si>
    <t>THE ADJUSTMENT BREAU</t>
  </si>
  <si>
    <t>KUTSAL DAMACANA  DRACOOLA (LOCAL)</t>
  </si>
  <si>
    <t>72.KOĞUŞ (LOCAL)</t>
  </si>
  <si>
    <t>ANIMALS UNITED</t>
  </si>
  <si>
    <t>BİR AVUÇ DENİZ (LOCAL)</t>
  </si>
  <si>
    <t>THE KIDS ARE ALL RIGHT</t>
  </si>
  <si>
    <t>SAKLI HAYATLAR (LOCAL)</t>
  </si>
  <si>
    <t>GÖLGELER VE SURETLER (LOCAL)</t>
  </si>
  <si>
    <t>KİR (LOCAL)</t>
  </si>
  <si>
    <r>
      <t>KOLPACINO: BOMBA</t>
    </r>
    <r>
      <rPr>
        <b/>
        <sz val="10"/>
        <color indexed="10"/>
        <rFont val="Trebuchet MS"/>
        <family val="2"/>
      </rPr>
      <t xml:space="preserve"> (LOCAL)</t>
    </r>
  </si>
  <si>
    <r>
      <t>ÇINAR AĞACI</t>
    </r>
    <r>
      <rPr>
        <b/>
        <sz val="10"/>
        <color indexed="10"/>
        <rFont val="Trebuchet MS"/>
        <family val="2"/>
      </rPr>
      <t xml:space="preserve"> (LOCAL) </t>
    </r>
    <r>
      <rPr>
        <b/>
        <sz val="10"/>
        <color indexed="12"/>
        <rFont val="Trebuchet MS"/>
        <family val="2"/>
      </rPr>
      <t>(NEW)</t>
    </r>
  </si>
  <si>
    <r>
      <t>BATTLE: LA</t>
    </r>
    <r>
      <rPr>
        <b/>
        <sz val="10"/>
        <color indexed="12"/>
        <rFont val="Trebuchet MS"/>
        <family val="2"/>
      </rPr>
      <t xml:space="preserve"> (NEW)</t>
    </r>
  </si>
  <si>
    <r>
      <t xml:space="preserve">NO STRINGS ATTECHED </t>
    </r>
    <r>
      <rPr>
        <b/>
        <sz val="10"/>
        <color indexed="12"/>
        <rFont val="Trebuchet MS"/>
        <family val="2"/>
      </rPr>
      <t>(NEW)</t>
    </r>
  </si>
  <si>
    <r>
      <t>LIMITLESS</t>
    </r>
    <r>
      <rPr>
        <b/>
        <sz val="10"/>
        <color indexed="12"/>
        <rFont val="Trebuchet MS"/>
        <family val="2"/>
      </rPr>
      <t xml:space="preserve"> (NEW)</t>
    </r>
  </si>
  <si>
    <r>
      <t xml:space="preserve">BİR AVUÇ DENİZ </t>
    </r>
    <r>
      <rPr>
        <b/>
        <sz val="10"/>
        <color indexed="10"/>
        <rFont val="Trebuchet MS"/>
        <family val="2"/>
      </rPr>
      <t>(LOCAL)</t>
    </r>
  </si>
  <si>
    <t>ADJUSTMENT BREAU</t>
  </si>
  <si>
    <r>
      <t xml:space="preserve">GÖLGELER VE SURETLER </t>
    </r>
    <r>
      <rPr>
        <b/>
        <sz val="10"/>
        <color indexed="10"/>
        <rFont val="Trebuchet MS"/>
        <family val="2"/>
      </rPr>
      <t>(LOCAL)</t>
    </r>
  </si>
  <si>
    <r>
      <t>BARNEY'S VERSION</t>
    </r>
    <r>
      <rPr>
        <b/>
        <sz val="10"/>
        <color indexed="12"/>
        <rFont val="Trebuchet MS"/>
        <family val="2"/>
      </rPr>
      <t xml:space="preserve"> (NEW)</t>
    </r>
  </si>
  <si>
    <r>
      <t xml:space="preserve">SAKLI HAYATLAR </t>
    </r>
    <r>
      <rPr>
        <b/>
        <sz val="10"/>
        <color indexed="10"/>
        <rFont val="Trebuchet MS"/>
        <family val="2"/>
      </rPr>
      <t>(LOCAL)</t>
    </r>
  </si>
  <si>
    <r>
      <t xml:space="preserve">KURTLAR VADİSİ FİLİSTİN </t>
    </r>
    <r>
      <rPr>
        <b/>
        <sz val="10"/>
        <color indexed="10"/>
        <rFont val="Trebuchet MS"/>
        <family val="2"/>
      </rPr>
      <t>(LOCAL)</t>
    </r>
  </si>
  <si>
    <r>
      <t>PRESS</t>
    </r>
    <r>
      <rPr>
        <b/>
        <sz val="10"/>
        <color indexed="10"/>
        <rFont val="Trebuchet MS"/>
        <family val="2"/>
      </rPr>
      <t xml:space="preserve"> (LOCAL)</t>
    </r>
    <r>
      <rPr>
        <b/>
        <sz val="10"/>
        <color indexed="12"/>
        <rFont val="Trebuchet MS"/>
        <family val="2"/>
      </rPr>
      <t xml:space="preserve"> (NEW)</t>
    </r>
  </si>
  <si>
    <r>
      <t>YÜRÜGARİ İBRAM</t>
    </r>
    <r>
      <rPr>
        <sz val="10"/>
        <color indexed="10"/>
        <rFont val="Trebuchet MS"/>
        <family val="2"/>
      </rPr>
      <t xml:space="preserve"> </t>
    </r>
    <r>
      <rPr>
        <b/>
        <sz val="10"/>
        <color indexed="10"/>
        <rFont val="Trebuchet MS"/>
        <family val="2"/>
      </rPr>
      <t xml:space="preserve">(LOCAL) </t>
    </r>
    <r>
      <rPr>
        <b/>
        <sz val="10"/>
        <color indexed="12"/>
        <rFont val="Trebuchet MS"/>
        <family val="2"/>
      </rPr>
      <t>(NEW)</t>
    </r>
  </si>
  <si>
    <r>
      <t>EYYVAH EYVAH 2</t>
    </r>
    <r>
      <rPr>
        <b/>
        <sz val="10"/>
        <color indexed="10"/>
        <rFont val="Trebuchet MS"/>
        <family val="2"/>
      </rPr>
      <t xml:space="preserve"> (LOCAL)</t>
    </r>
  </si>
  <si>
    <t>THE STONING OF SORAYA M.</t>
  </si>
  <si>
    <t>THE DUST OF TIME</t>
  </si>
  <si>
    <r>
      <t xml:space="preserve">HAYDE BRE </t>
    </r>
    <r>
      <rPr>
        <b/>
        <sz val="10"/>
        <color indexed="10"/>
        <rFont val="Trebuchet MS"/>
        <family val="2"/>
      </rPr>
      <t>(LOCAL)</t>
    </r>
  </si>
  <si>
    <t>TENGRI: BLUE HEAVENS</t>
  </si>
  <si>
    <t>COCO AVANT CHANEL</t>
  </si>
  <si>
    <t>CARAMEL</t>
  </si>
  <si>
    <r>
      <t xml:space="preserve">GÜNAH KEÇİSİ </t>
    </r>
    <r>
      <rPr>
        <b/>
        <sz val="10"/>
        <color indexed="10"/>
        <rFont val="Trebuchet MS"/>
        <family val="2"/>
      </rPr>
      <t>(LOCAL)</t>
    </r>
  </si>
  <si>
    <r>
      <t xml:space="preserve">SINYORA ENRICA İLE İTALYAN OLMAK </t>
    </r>
    <r>
      <rPr>
        <b/>
        <sz val="10"/>
        <color indexed="10"/>
        <rFont val="Trebuchet MS"/>
        <family val="2"/>
      </rPr>
      <t>(LOCAL)</t>
    </r>
  </si>
  <si>
    <t>KOLPACINO: BOMBA (LOCAL)</t>
  </si>
  <si>
    <t>ÇINAR AĞACI (LOCAL)</t>
  </si>
  <si>
    <t>İNCİR REÇELİ(LOCAL)</t>
  </si>
  <si>
    <t>BATTLE: LA</t>
  </si>
  <si>
    <t>NO STRINGS ATTECHED</t>
  </si>
  <si>
    <t>LIMITLESS</t>
  </si>
  <si>
    <t>SINYORA ENRICA İLE İTALYAN OLMAK (LOCAL)</t>
  </si>
  <si>
    <t>BARNEY'S VERSION</t>
  </si>
  <si>
    <t>PRESS (LOCAL)</t>
  </si>
  <si>
    <t>YÜRÜGARİ İBRAM (LOCAL)</t>
  </si>
</sst>
</file>

<file path=xl/styles.xml><?xml version="1.0" encoding="utf-8"?>
<styleSheet xmlns="http://schemas.openxmlformats.org/spreadsheetml/2006/main">
  <numFmts count="58">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YTL&quot;;\-#,##0\ &quot;YTL&quot;"/>
    <numFmt numFmtId="173" formatCode="#,##0\ &quot;YTL&quot;;[Red]\-#,##0\ &quot;YTL&quot;"/>
    <numFmt numFmtId="174" formatCode="#,##0.00\ &quot;YTL&quot;;\-#,##0.00\ &quot;YTL&quot;"/>
    <numFmt numFmtId="175" formatCode="#,##0.00\ &quot;YTL&quot;;[Red]\-#,##0.00\ &quot;YTL&quot;"/>
    <numFmt numFmtId="176" formatCode="_-* #,##0\ &quot;YTL&quot;_-;\-* #,##0\ &quot;YTL&quot;_-;_-* &quot;-&quot;\ &quot;YTL&quot;_-;_-@_-"/>
    <numFmt numFmtId="177" formatCode="_-* #,##0\ _Y_T_L_-;\-* #,##0\ _Y_T_L_-;_-* &quot;-&quot;\ _Y_T_L_-;_-@_-"/>
    <numFmt numFmtId="178" formatCode="_-* #,##0.00\ &quot;YTL&quot;_-;\-* #,##0.00\ &quot;YTL&quot;_-;_-* &quot;-&quot;??\ &quot;YTL&quot;_-;_-@_-"/>
    <numFmt numFmtId="179" formatCode="_-* #,##0.00\ _Y_T_L_-;\-* #,##0.00\ _Y_T_L_-;_-* &quot;-&quot;??\ _Y_T_L_-;_-@_-"/>
    <numFmt numFmtId="180" formatCode="dd\-mmm\-yy"/>
    <numFmt numFmtId="181" formatCode="_(* #,##0_);_(* \(#,##0\);_(* &quot;-&quot;??_);_(@_)"/>
    <numFmt numFmtId="182" formatCode="_-* #,##0\ _T_L_-;\-* #,##0\ _T_L_-;_-* &quot;-&quot;??\ _T_L_-;_-@_-"/>
    <numFmt numFmtId="183" formatCode="mm/dd/yy"/>
    <numFmt numFmtId="184" formatCode="dd/mm/yy"/>
    <numFmt numFmtId="185" formatCode="#,##0\ \ "/>
    <numFmt numFmtId="186" formatCode="#,##0_ ;[Red]\-#,##0\ "/>
    <numFmt numFmtId="187" formatCode="#,##0.00\ \ "/>
    <numFmt numFmtId="188" formatCode="&quot;Yes&quot;;&quot;Yes&quot;;&quot;No&quot;"/>
    <numFmt numFmtId="189" formatCode="&quot;True&quot;;&quot;True&quot;;&quot;False&quot;"/>
    <numFmt numFmtId="190" formatCode="&quot;On&quot;;&quot;On&quot;;&quot;Off&quot;"/>
    <numFmt numFmtId="191" formatCode="[$€-2]\ #,##0.00_);[Red]\([$€-2]\ #,##0.00\)"/>
    <numFmt numFmtId="192" formatCode="0.00\ "/>
    <numFmt numFmtId="193" formatCode="#,##0\ "/>
    <numFmt numFmtId="194" formatCode="[$-41F]d\ mmmm\ yyyy;@"/>
    <numFmt numFmtId="195" formatCode="#,##0.00_ ;\-#,##0.00\ "/>
    <numFmt numFmtId="196" formatCode="#,##0.00\ &quot;YTL&quot;"/>
    <numFmt numFmtId="197" formatCode="dd/mm/yy;@"/>
    <numFmt numFmtId="198" formatCode="#,##0_-"/>
    <numFmt numFmtId="199" formatCode="#,##0.00;[Red]#,##0.00"/>
    <numFmt numFmtId="200" formatCode="#,##0.00\ "/>
    <numFmt numFmtId="201" formatCode="[$-41F]dd\ mmmm\ yyyy\ dddd"/>
    <numFmt numFmtId="202" formatCode="mmm/yyyy"/>
    <numFmt numFmtId="203" formatCode="[$-41F]d\ mmmm\ yy;@"/>
    <numFmt numFmtId="204" formatCode="[$-41F]d\ mmm\ yyyy;@"/>
    <numFmt numFmtId="205" formatCode="[$-41F]dd\ mmmm\ yy;@"/>
    <numFmt numFmtId="206" formatCode="m/d/yyyy"/>
    <numFmt numFmtId="207" formatCode="&quot;Evet&quot;;&quot;Evet&quot;;&quot;Hayır&quot;"/>
    <numFmt numFmtId="208" formatCode="&quot;Doğru&quot;;&quot;Doğru&quot;;&quot;Yanlış&quot;"/>
    <numFmt numFmtId="209" formatCode="&quot;Açık&quot;;&quot;Açık&quot;;&quot;Kapalı&quot;"/>
    <numFmt numFmtId="210" formatCode="#,##0.00\ _T_L"/>
    <numFmt numFmtId="211" formatCode="#,##0.00\ _Y_T_L"/>
    <numFmt numFmtId="212" formatCode="[$-F400]h:mm:ss\ AM/PM"/>
    <numFmt numFmtId="213" formatCode="#,##0.00\ &quot;TL&quot;"/>
  </numFmts>
  <fonts count="99">
    <font>
      <sz val="10"/>
      <name val="Arial"/>
      <family val="0"/>
    </font>
    <font>
      <u val="single"/>
      <sz val="8"/>
      <color indexed="36"/>
      <name val="Arial"/>
      <family val="2"/>
    </font>
    <font>
      <u val="single"/>
      <sz val="8"/>
      <color indexed="12"/>
      <name val="Arial"/>
      <family val="2"/>
    </font>
    <font>
      <sz val="14"/>
      <name val="Impact"/>
      <family val="2"/>
    </font>
    <font>
      <sz val="10"/>
      <name val="Impact"/>
      <family val="2"/>
    </font>
    <font>
      <sz val="14"/>
      <name val="Arial"/>
      <family val="2"/>
    </font>
    <font>
      <sz val="8"/>
      <name val="Trebuchet MS"/>
      <family val="0"/>
    </font>
    <font>
      <sz val="20"/>
      <name val="Impact"/>
      <family val="2"/>
    </font>
    <font>
      <sz val="10"/>
      <color indexed="9"/>
      <name val="Trebuchet MS"/>
      <family val="2"/>
    </font>
    <font>
      <sz val="10"/>
      <color indexed="9"/>
      <name val="Arial"/>
      <family val="0"/>
    </font>
    <font>
      <sz val="8"/>
      <name val="Arial"/>
      <family val="2"/>
    </font>
    <font>
      <sz val="10"/>
      <name val="Garamond"/>
      <family val="1"/>
    </font>
    <font>
      <b/>
      <sz val="10"/>
      <name val="Verdana"/>
      <family val="0"/>
    </font>
    <font>
      <sz val="10"/>
      <name val="Verdana"/>
      <family val="0"/>
    </font>
    <font>
      <sz val="8"/>
      <name val="Verdana"/>
      <family val="2"/>
    </font>
    <font>
      <b/>
      <sz val="8"/>
      <name val="Verdana"/>
      <family val="2"/>
    </font>
    <font>
      <b/>
      <sz val="14"/>
      <color indexed="18"/>
      <name val="Verdana"/>
      <family val="2"/>
    </font>
    <font>
      <b/>
      <sz val="10"/>
      <color indexed="9"/>
      <name val="Verdana"/>
      <family val="0"/>
    </font>
    <font>
      <b/>
      <sz val="8"/>
      <color indexed="18"/>
      <name val="Verdana"/>
      <family val="2"/>
    </font>
    <font>
      <b/>
      <sz val="14"/>
      <name val="Verdana"/>
      <family val="2"/>
    </font>
    <font>
      <sz val="10"/>
      <color indexed="9"/>
      <name val="Garamond"/>
      <family val="1"/>
    </font>
    <font>
      <sz val="14"/>
      <name val="Arial Black"/>
      <family val="2"/>
    </font>
    <font>
      <sz val="10"/>
      <name val="Arial Black"/>
      <family val="2"/>
    </font>
    <font>
      <sz val="8"/>
      <name val="Arial Black"/>
      <family val="2"/>
    </font>
    <font>
      <sz val="8"/>
      <color indexed="9"/>
      <name val="Verdana"/>
      <family val="2"/>
    </font>
    <font>
      <b/>
      <sz val="9"/>
      <name val="Verdana"/>
      <family val="2"/>
    </font>
    <font>
      <sz val="9"/>
      <name val="Verdana"/>
      <family val="2"/>
    </font>
    <font>
      <b/>
      <sz val="9"/>
      <color indexed="9"/>
      <name val="Verdana"/>
      <family val="2"/>
    </font>
    <font>
      <sz val="9"/>
      <color indexed="9"/>
      <name val="Verdana"/>
      <family val="2"/>
    </font>
    <font>
      <b/>
      <sz val="10"/>
      <color indexed="9"/>
      <name val="Arial"/>
      <family val="0"/>
    </font>
    <font>
      <sz val="8"/>
      <color indexed="9"/>
      <name val="Trebuchet MS"/>
      <family val="2"/>
    </font>
    <font>
      <sz val="14"/>
      <color indexed="9"/>
      <name val="Impact"/>
      <family val="2"/>
    </font>
    <font>
      <sz val="20"/>
      <color indexed="9"/>
      <name val="Impact"/>
      <family val="2"/>
    </font>
    <font>
      <sz val="14"/>
      <color indexed="9"/>
      <name val="Arial"/>
      <family val="2"/>
    </font>
    <font>
      <b/>
      <sz val="10"/>
      <name val="Arial"/>
      <family val="2"/>
    </font>
    <font>
      <b/>
      <sz val="9"/>
      <color indexed="9"/>
      <name val="Garamond"/>
      <family val="1"/>
    </font>
    <font>
      <sz val="12"/>
      <color indexed="47"/>
      <name val="Gadget"/>
      <family val="0"/>
    </font>
    <font>
      <sz val="10"/>
      <name val="Administer"/>
      <family val="0"/>
    </font>
    <font>
      <b/>
      <sz val="10"/>
      <name val="Administer"/>
      <family val="0"/>
    </font>
    <font>
      <b/>
      <sz val="10"/>
      <color indexed="9"/>
      <name val="Administer"/>
      <family val="0"/>
    </font>
    <font>
      <i/>
      <sz val="9"/>
      <color indexed="23"/>
      <name val="Administer"/>
      <family val="0"/>
    </font>
    <font>
      <i/>
      <sz val="9"/>
      <color indexed="23"/>
      <name val="Arial"/>
      <family val="0"/>
    </font>
    <font>
      <b/>
      <sz val="10"/>
      <color indexed="9"/>
      <name val="Trebuchet MS"/>
      <family val="2"/>
    </font>
    <font>
      <sz val="10"/>
      <color indexed="10"/>
      <name val="Administer"/>
      <family val="0"/>
    </font>
    <font>
      <sz val="10"/>
      <color indexed="10"/>
      <name val="Arial"/>
      <family val="0"/>
    </font>
    <font>
      <sz val="12"/>
      <color indexed="9"/>
      <name val="Impact"/>
      <family val="2"/>
    </font>
    <font>
      <i/>
      <sz val="9"/>
      <color indexed="9"/>
      <name val="Arial"/>
      <family val="0"/>
    </font>
    <font>
      <i/>
      <sz val="9"/>
      <color indexed="23"/>
      <name val="Didot"/>
      <family val="0"/>
    </font>
    <font>
      <b/>
      <sz val="10"/>
      <color indexed="12"/>
      <name val="Trebuchet MS"/>
      <family val="2"/>
    </font>
    <font>
      <sz val="12"/>
      <color indexed="9"/>
      <name val="Gadget"/>
      <family val="0"/>
    </font>
    <font>
      <sz val="10"/>
      <name val="Trebuchet MS"/>
      <family val="2"/>
    </font>
    <font>
      <b/>
      <sz val="10"/>
      <color indexed="10"/>
      <name val="Trebuchet MS"/>
      <family val="2"/>
    </font>
    <font>
      <b/>
      <sz val="10"/>
      <name val="Trebuchet MS"/>
      <family val="2"/>
    </font>
    <font>
      <sz val="10"/>
      <color indexed="10"/>
      <name val="Trebuchet MS"/>
      <family val="2"/>
    </font>
    <font>
      <sz val="11"/>
      <color indexed="8"/>
      <name val="Calibri"/>
      <family val="2"/>
    </font>
    <font>
      <sz val="11"/>
      <color indexed="9"/>
      <name val="Calibri"/>
      <family val="2"/>
    </font>
    <font>
      <i/>
      <sz val="11"/>
      <color indexed="23"/>
      <name val="Calibri"/>
      <family val="2"/>
    </font>
    <font>
      <b/>
      <sz val="18"/>
      <color indexed="62"/>
      <name val="Cambria"/>
      <family val="2"/>
    </font>
    <font>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14"/>
      <name val="Calibri"/>
      <family val="2"/>
    </font>
    <font>
      <sz val="11"/>
      <color indexed="60"/>
      <name val="Calibri"/>
      <family val="2"/>
    </font>
    <font>
      <b/>
      <sz val="11"/>
      <color indexed="8"/>
      <name val="Calibri"/>
      <family val="2"/>
    </font>
    <font>
      <sz val="11"/>
      <color indexed="10"/>
      <name val="Calibri"/>
      <family val="2"/>
    </font>
    <font>
      <b/>
      <sz val="24"/>
      <color indexed="8"/>
      <name val="AcidSansRegular"/>
      <family val="0"/>
    </font>
    <font>
      <b/>
      <sz val="24"/>
      <color indexed="8"/>
      <name val="Arial"/>
      <family val="0"/>
    </font>
    <font>
      <b/>
      <sz val="20"/>
      <color indexed="8"/>
      <name val="AcidSans-Light"/>
      <family val="0"/>
    </font>
    <font>
      <sz val="20"/>
      <color indexed="8"/>
      <name val="AcidSans-Regular"/>
      <family val="0"/>
    </font>
    <font>
      <b/>
      <sz val="20"/>
      <color indexed="16"/>
      <name val="Administer"/>
      <family val="0"/>
    </font>
    <font>
      <sz val="20"/>
      <color indexed="8"/>
      <name val="Administer"/>
      <family val="0"/>
    </font>
    <font>
      <b/>
      <sz val="20"/>
      <color indexed="8"/>
      <name val="AcidSansRegular"/>
      <family val="0"/>
    </font>
    <font>
      <b/>
      <sz val="20"/>
      <color indexed="8"/>
      <name val="Arial"/>
      <family val="0"/>
    </font>
    <font>
      <sz val="16"/>
      <color indexed="8"/>
      <name val="AcidSans-Regular"/>
      <family val="0"/>
    </font>
    <font>
      <sz val="20"/>
      <color indexed="16"/>
      <name val="Administer"/>
      <family val="0"/>
    </font>
    <font>
      <sz val="16"/>
      <color indexed="8"/>
      <name val="Administer"/>
      <family val="0"/>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8"/>
        <bgColor indexed="64"/>
      </patternFill>
    </fill>
    <fill>
      <patternFill patternType="solid">
        <fgColor indexed="9"/>
        <bgColor indexed="64"/>
      </patternFill>
    </fill>
  </fills>
  <borders count="58">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hair"/>
      <right style="hair"/>
      <top>
        <color indexed="63"/>
      </top>
      <bottom style="hair"/>
    </border>
    <border>
      <left style="hair"/>
      <right style="hair"/>
      <top style="hair"/>
      <bottom style="hair"/>
    </border>
    <border>
      <left style="hair"/>
      <right style="hair"/>
      <top style="medium"/>
      <bottom style="hair"/>
    </border>
    <border>
      <left style="hair"/>
      <right>
        <color indexed="63"/>
      </right>
      <top style="medium"/>
      <bottom style="hair"/>
    </border>
    <border>
      <left style="hair"/>
      <right>
        <color indexed="63"/>
      </right>
      <top>
        <color indexed="63"/>
      </top>
      <bottom style="hair"/>
    </border>
    <border>
      <left style="hair"/>
      <right>
        <color indexed="63"/>
      </right>
      <top style="hair"/>
      <bottom style="hair"/>
    </border>
    <border>
      <left style="medium"/>
      <right style="hair"/>
      <top style="medium"/>
      <bottom style="hair"/>
    </border>
    <border>
      <left style="medium"/>
      <right>
        <color indexed="63"/>
      </right>
      <top style="medium"/>
      <bottom style="hair"/>
    </border>
    <border>
      <left style="medium"/>
      <right>
        <color indexed="63"/>
      </right>
      <top style="hair"/>
      <bottom style="hair"/>
    </border>
    <border>
      <left style="thin"/>
      <right style="thin"/>
      <top style="thin"/>
      <bottom style="medium"/>
    </border>
    <border>
      <left style="thin"/>
      <right style="medium"/>
      <top style="thin"/>
      <bottom style="medium"/>
    </border>
    <border>
      <left style="medium"/>
      <right>
        <color indexed="63"/>
      </right>
      <top>
        <color indexed="63"/>
      </top>
      <bottom style="hair"/>
    </border>
    <border>
      <left style="medium"/>
      <right style="hair"/>
      <top style="medium"/>
      <bottom>
        <color indexed="63"/>
      </bottom>
    </border>
    <border>
      <left style="hair"/>
      <right style="hair"/>
      <top style="medium"/>
      <bottom>
        <color indexed="63"/>
      </bottom>
    </border>
    <border>
      <left style="hair"/>
      <right>
        <color indexed="63"/>
      </right>
      <top style="medium"/>
      <bottom>
        <color indexed="63"/>
      </bottom>
    </border>
    <border>
      <left style="medium"/>
      <right>
        <color indexed="63"/>
      </right>
      <top style="hair"/>
      <bottom>
        <color indexed="63"/>
      </bottom>
    </border>
    <border>
      <left style="medium"/>
      <right>
        <color indexed="63"/>
      </right>
      <top style="medium"/>
      <bottom>
        <color indexed="63"/>
      </bottom>
    </border>
    <border>
      <left style="medium"/>
      <right>
        <color indexed="63"/>
      </right>
      <top>
        <color indexed="63"/>
      </top>
      <bottom>
        <color indexed="63"/>
      </bottom>
    </border>
    <border>
      <left>
        <color indexed="63"/>
      </left>
      <right>
        <color indexed="63"/>
      </right>
      <top style="hair"/>
      <bottom style="hair"/>
    </border>
    <border>
      <left>
        <color indexed="63"/>
      </left>
      <right style="hair"/>
      <top style="hair"/>
      <bottom style="hair"/>
    </border>
    <border>
      <left>
        <color indexed="63"/>
      </left>
      <right style="hair"/>
      <top>
        <color indexed="63"/>
      </top>
      <bottom style="hair"/>
    </border>
    <border>
      <left style="hair"/>
      <right style="medium"/>
      <top style="hair"/>
      <bottom style="hair"/>
    </border>
    <border>
      <left style="medium"/>
      <right style="hair"/>
      <top style="hair"/>
      <bottom style="hair"/>
    </border>
    <border>
      <left style="thin"/>
      <right style="thin"/>
      <top style="thin"/>
      <bottom>
        <color indexed="63"/>
      </bottom>
    </border>
    <border>
      <left style="thin"/>
      <right style="medium"/>
      <top style="thin"/>
      <bottom>
        <color indexed="63"/>
      </bottom>
    </border>
    <border>
      <left style="hair"/>
      <right style="hair"/>
      <top style="hair"/>
      <bottom>
        <color indexed="63"/>
      </bottom>
    </border>
    <border>
      <left style="hair"/>
      <right style="hair"/>
      <top style="hair"/>
      <bottom style="medium"/>
    </border>
    <border>
      <left style="hair"/>
      <right style="medium"/>
      <top style="hair"/>
      <bottom style="medium"/>
    </border>
    <border>
      <left>
        <color indexed="63"/>
      </left>
      <right style="hair"/>
      <top style="hair"/>
      <bottom>
        <color indexed="63"/>
      </bottom>
    </border>
    <border>
      <left style="medium"/>
      <right style="hair"/>
      <top style="hair"/>
      <bottom style="medium"/>
    </border>
    <border>
      <left style="hair"/>
      <right style="medium"/>
      <top style="medium"/>
      <bottom style="hair"/>
    </border>
    <border>
      <left style="medium"/>
      <right>
        <color indexed="63"/>
      </right>
      <top style="hair"/>
      <bottom style="thin">
        <color indexed="10"/>
      </bottom>
    </border>
    <border>
      <left>
        <color indexed="63"/>
      </left>
      <right>
        <color indexed="63"/>
      </right>
      <top>
        <color indexed="63"/>
      </top>
      <bottom style="thin">
        <color indexed="10"/>
      </bottom>
    </border>
    <border>
      <left style="medium"/>
      <right style="hair"/>
      <top>
        <color indexed="63"/>
      </top>
      <bottom style="hair"/>
    </border>
    <border>
      <left style="hair"/>
      <right style="medium"/>
      <top>
        <color indexed="63"/>
      </top>
      <bottom style="hair"/>
    </border>
    <border>
      <left style="medium"/>
      <right style="hair"/>
      <top style="hair"/>
      <bottom style="thin">
        <color indexed="10"/>
      </bottom>
    </border>
    <border>
      <left style="hair"/>
      <right style="hair"/>
      <top style="hair"/>
      <bottom style="thin">
        <color indexed="10"/>
      </bottom>
    </border>
    <border>
      <left style="hair"/>
      <right style="medium"/>
      <top style="hair"/>
      <bottom style="thin">
        <color indexed="10"/>
      </bottom>
    </border>
    <border>
      <left style="medium"/>
      <right>
        <color indexed="63"/>
      </right>
      <top style="hair"/>
      <bottom style="medium"/>
    </border>
    <border>
      <left>
        <color indexed="63"/>
      </left>
      <right>
        <color indexed="63"/>
      </right>
      <top style="hair"/>
      <bottom style="medium"/>
    </border>
    <border>
      <left>
        <color indexed="63"/>
      </left>
      <right style="medium"/>
      <top style="hair"/>
      <bottom style="medium"/>
    </border>
    <border>
      <left style="thin"/>
      <right style="thin"/>
      <top style="medium"/>
      <bottom style="thin"/>
    </border>
    <border>
      <left style="thin"/>
      <right style="medium"/>
      <top style="medium"/>
      <bottom style="thin"/>
    </border>
    <border>
      <left style="medium"/>
      <right style="thin"/>
      <top style="medium"/>
      <bottom style="thin"/>
    </border>
    <border>
      <left style="medium"/>
      <right style="thin"/>
      <top style="thin"/>
      <bottom style="medium"/>
    </border>
    <border>
      <left>
        <color indexed="63"/>
      </left>
      <right style="medium"/>
      <top>
        <color indexed="63"/>
      </top>
      <bottom>
        <color indexed="63"/>
      </bottom>
    </border>
    <border>
      <left>
        <color indexed="63"/>
      </left>
      <right>
        <color indexed="63"/>
      </right>
      <top>
        <color indexed="63"/>
      </top>
      <bottom style="medium"/>
    </border>
    <border>
      <left style="medium"/>
      <right style="thin"/>
      <top style="thin"/>
      <bottom>
        <color indexed="63"/>
      </botto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2" fillId="2" borderId="0" applyNumberFormat="0" applyBorder="0" applyAlignment="0" applyProtection="0"/>
    <xf numFmtId="0" fontId="82" fillId="3" borderId="0" applyNumberFormat="0" applyBorder="0" applyAlignment="0" applyProtection="0"/>
    <xf numFmtId="0" fontId="82" fillId="4" borderId="0" applyNumberFormat="0" applyBorder="0" applyAlignment="0" applyProtection="0"/>
    <xf numFmtId="0" fontId="82" fillId="5" borderId="0" applyNumberFormat="0" applyBorder="0" applyAlignment="0" applyProtection="0"/>
    <xf numFmtId="0" fontId="82" fillId="6" borderId="0" applyNumberFormat="0" applyBorder="0" applyAlignment="0" applyProtection="0"/>
    <xf numFmtId="0" fontId="82" fillId="7" borderId="0" applyNumberFormat="0" applyBorder="0" applyAlignment="0" applyProtection="0"/>
    <xf numFmtId="0" fontId="82" fillId="8" borderId="0" applyNumberFormat="0" applyBorder="0" applyAlignment="0" applyProtection="0"/>
    <xf numFmtId="0" fontId="82" fillId="9" borderId="0" applyNumberFormat="0" applyBorder="0" applyAlignment="0" applyProtection="0"/>
    <xf numFmtId="0" fontId="82" fillId="10" borderId="0" applyNumberFormat="0" applyBorder="0" applyAlignment="0" applyProtection="0"/>
    <xf numFmtId="0" fontId="82" fillId="11" borderId="0" applyNumberFormat="0" applyBorder="0" applyAlignment="0" applyProtection="0"/>
    <xf numFmtId="0" fontId="82" fillId="12" borderId="0" applyNumberFormat="0" applyBorder="0" applyAlignment="0" applyProtection="0"/>
    <xf numFmtId="0" fontId="82" fillId="13" borderId="0" applyNumberFormat="0" applyBorder="0" applyAlignment="0" applyProtection="0"/>
    <xf numFmtId="0" fontId="83" fillId="14" borderId="0" applyNumberFormat="0" applyBorder="0" applyAlignment="0" applyProtection="0"/>
    <xf numFmtId="0" fontId="83" fillId="15" borderId="0" applyNumberFormat="0" applyBorder="0" applyAlignment="0" applyProtection="0"/>
    <xf numFmtId="0" fontId="83" fillId="16" borderId="0" applyNumberFormat="0" applyBorder="0" applyAlignment="0" applyProtection="0"/>
    <xf numFmtId="0" fontId="83" fillId="17" borderId="0" applyNumberFormat="0" applyBorder="0" applyAlignment="0" applyProtection="0"/>
    <xf numFmtId="0" fontId="83" fillId="18" borderId="0" applyNumberFormat="0" applyBorder="0" applyAlignment="0" applyProtection="0"/>
    <xf numFmtId="0" fontId="83" fillId="19" borderId="0" applyNumberFormat="0" applyBorder="0" applyAlignment="0" applyProtection="0"/>
    <xf numFmtId="0" fontId="84" fillId="0" borderId="0" applyNumberFormat="0" applyFill="0" applyBorder="0" applyAlignment="0" applyProtection="0"/>
    <xf numFmtId="0" fontId="85" fillId="0" borderId="0" applyNumberFormat="0" applyFill="0" applyBorder="0" applyAlignment="0" applyProtection="0"/>
    <xf numFmtId="0" fontId="86" fillId="0" borderId="1" applyNumberFormat="0" applyFill="0" applyAlignment="0" applyProtection="0"/>
    <xf numFmtId="0" fontId="87" fillId="0" borderId="2" applyNumberFormat="0" applyFill="0" applyAlignment="0" applyProtection="0"/>
    <xf numFmtId="0" fontId="88" fillId="0" borderId="3" applyNumberFormat="0" applyFill="0" applyAlignment="0" applyProtection="0"/>
    <xf numFmtId="0" fontId="89" fillId="0" borderId="4" applyNumberFormat="0" applyFill="0" applyAlignment="0" applyProtection="0"/>
    <xf numFmtId="0" fontId="8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90" fillId="20" borderId="5" applyNumberFormat="0" applyAlignment="0" applyProtection="0"/>
    <xf numFmtId="0" fontId="91" fillId="21" borderId="6" applyNumberFormat="0" applyAlignment="0" applyProtection="0"/>
    <xf numFmtId="0" fontId="92" fillId="20" borderId="6" applyNumberFormat="0" applyAlignment="0" applyProtection="0"/>
    <xf numFmtId="0" fontId="93" fillId="22" borderId="7" applyNumberFormat="0" applyAlignment="0" applyProtection="0"/>
    <xf numFmtId="0" fontId="94" fillId="23" borderId="0" applyNumberFormat="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95" fillId="2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25" borderId="8" applyNumberFormat="0" applyFont="0" applyAlignment="0" applyProtection="0"/>
    <xf numFmtId="0" fontId="96" fillId="26"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7" fillId="0" borderId="9" applyNumberFormat="0" applyFill="0" applyAlignment="0" applyProtection="0"/>
    <xf numFmtId="0" fontId="98" fillId="0" borderId="0" applyNumberFormat="0" applyFill="0" applyBorder="0" applyAlignment="0" applyProtection="0"/>
    <xf numFmtId="0" fontId="83" fillId="27" borderId="0" applyNumberFormat="0" applyBorder="0" applyAlignment="0" applyProtection="0"/>
    <xf numFmtId="0" fontId="83" fillId="28" borderId="0" applyNumberFormat="0" applyBorder="0" applyAlignment="0" applyProtection="0"/>
    <xf numFmtId="0" fontId="83" fillId="29" borderId="0" applyNumberFormat="0" applyBorder="0" applyAlignment="0" applyProtection="0"/>
    <xf numFmtId="0" fontId="83" fillId="30" borderId="0" applyNumberFormat="0" applyBorder="0" applyAlignment="0" applyProtection="0"/>
    <xf numFmtId="0" fontId="83" fillId="31" borderId="0" applyNumberFormat="0" applyBorder="0" applyAlignment="0" applyProtection="0"/>
    <xf numFmtId="0" fontId="83" fillId="32" borderId="0" applyNumberFormat="0" applyBorder="0" applyAlignment="0" applyProtection="0"/>
    <xf numFmtId="9" fontId="0" fillId="0" borderId="0" applyFont="0" applyFill="0" applyBorder="0" applyAlignment="0" applyProtection="0"/>
  </cellStyleXfs>
  <cellXfs count="557">
    <xf numFmtId="0" fontId="0" fillId="0" borderId="0" xfId="0" applyAlignment="1">
      <alignment/>
    </xf>
    <xf numFmtId="0" fontId="3" fillId="0" borderId="0" xfId="0" applyFont="1" applyFill="1" applyBorder="1" applyAlignment="1" applyProtection="1">
      <alignment vertical="center"/>
      <protection locked="0"/>
    </xf>
    <xf numFmtId="0" fontId="4" fillId="0" borderId="0" xfId="0" applyFont="1" applyFill="1" applyBorder="1" applyAlignment="1" applyProtection="1">
      <alignment horizontal="center" vertical="center"/>
      <protection locked="0"/>
    </xf>
    <xf numFmtId="0" fontId="5" fillId="0" borderId="0" xfId="0" applyFont="1" applyFill="1" applyBorder="1" applyAlignment="1" applyProtection="1">
      <alignment vertical="center"/>
      <protection locked="0"/>
    </xf>
    <xf numFmtId="0" fontId="6" fillId="0" borderId="0" xfId="0" applyFont="1" applyFill="1" applyBorder="1" applyAlignment="1" applyProtection="1">
      <alignment vertical="center"/>
      <protection locked="0"/>
    </xf>
    <xf numFmtId="0" fontId="7" fillId="0" borderId="0" xfId="0" applyFont="1" applyFill="1" applyBorder="1" applyAlignment="1" applyProtection="1">
      <alignment vertical="center"/>
      <protection locked="0"/>
    </xf>
    <xf numFmtId="184" fontId="8" fillId="33" borderId="10" xfId="0" applyNumberFormat="1" applyFont="1" applyFill="1" applyBorder="1" applyAlignment="1">
      <alignment horizontal="center" vertical="center"/>
    </xf>
    <xf numFmtId="0" fontId="8" fillId="33" borderId="10" xfId="0" applyFont="1" applyFill="1" applyBorder="1" applyAlignment="1">
      <alignment horizontal="left" vertical="center"/>
    </xf>
    <xf numFmtId="200" fontId="17" fillId="33" borderId="10" xfId="0" applyNumberFormat="1" applyFont="1" applyFill="1" applyBorder="1" applyAlignment="1">
      <alignment horizontal="right" vertical="center"/>
    </xf>
    <xf numFmtId="193" fontId="17" fillId="33" borderId="10" xfId="0" applyNumberFormat="1" applyFont="1" applyFill="1" applyBorder="1" applyAlignment="1">
      <alignment horizontal="right" vertical="center"/>
    </xf>
    <xf numFmtId="0" fontId="11" fillId="0" borderId="0" xfId="0" applyFont="1" applyAlignment="1">
      <alignment/>
    </xf>
    <xf numFmtId="0" fontId="22" fillId="0" borderId="0" xfId="0" applyFont="1" applyAlignment="1">
      <alignment/>
    </xf>
    <xf numFmtId="193" fontId="27" fillId="33" borderId="10" xfId="0" applyNumberFormat="1" applyFont="1" applyFill="1" applyBorder="1" applyAlignment="1">
      <alignment horizontal="right" vertical="center"/>
    </xf>
    <xf numFmtId="192" fontId="28" fillId="33" borderId="10" xfId="0" applyNumberFormat="1" applyFont="1" applyFill="1" applyBorder="1" applyAlignment="1">
      <alignment horizontal="right" vertical="center"/>
    </xf>
    <xf numFmtId="200" fontId="28" fillId="33" borderId="10" xfId="0" applyNumberFormat="1" applyFont="1" applyFill="1" applyBorder="1" applyAlignment="1">
      <alignment horizontal="right" vertical="center"/>
    </xf>
    <xf numFmtId="193" fontId="28" fillId="33" borderId="10" xfId="0" applyNumberFormat="1" applyFont="1" applyFill="1" applyBorder="1" applyAlignment="1">
      <alignment horizontal="right" vertical="center"/>
    </xf>
    <xf numFmtId="0" fontId="11" fillId="0" borderId="0" xfId="0" applyFont="1" applyAlignment="1">
      <alignment horizontal="center"/>
    </xf>
    <xf numFmtId="3" fontId="26" fillId="0" borderId="0" xfId="0" applyNumberFormat="1" applyFont="1" applyAlignment="1">
      <alignment horizontal="right"/>
    </xf>
    <xf numFmtId="2" fontId="26" fillId="0" borderId="0" xfId="0" applyNumberFormat="1" applyFont="1" applyAlignment="1">
      <alignment/>
    </xf>
    <xf numFmtId="4" fontId="26" fillId="0" borderId="0" xfId="0" applyNumberFormat="1" applyFont="1" applyAlignment="1">
      <alignment horizontal="right"/>
    </xf>
    <xf numFmtId="0" fontId="24" fillId="33" borderId="10" xfId="0" applyFont="1" applyFill="1" applyBorder="1" applyAlignment="1">
      <alignment horizontal="right" vertical="center"/>
    </xf>
    <xf numFmtId="3" fontId="24" fillId="33" borderId="10" xfId="0" applyNumberFormat="1" applyFont="1" applyFill="1" applyBorder="1" applyAlignment="1">
      <alignment horizontal="right" vertical="center"/>
    </xf>
    <xf numFmtId="0" fontId="14" fillId="0" borderId="11" xfId="0" applyFont="1" applyBorder="1" applyAlignment="1">
      <alignment horizontal="right" vertical="center"/>
    </xf>
    <xf numFmtId="0" fontId="23" fillId="0" borderId="11" xfId="0" applyFont="1" applyFill="1" applyBorder="1" applyAlignment="1" applyProtection="1">
      <alignment vertical="center"/>
      <protection locked="0"/>
    </xf>
    <xf numFmtId="184" fontId="6" fillId="0" borderId="11" xfId="0" applyNumberFormat="1" applyFont="1" applyFill="1" applyBorder="1" applyAlignment="1" applyProtection="1">
      <alignment horizontal="center" vertical="center"/>
      <protection locked="0"/>
    </xf>
    <xf numFmtId="0" fontId="6" fillId="0" borderId="11" xfId="0" applyFont="1" applyFill="1" applyBorder="1" applyAlignment="1" applyProtection="1">
      <alignment horizontal="left" vertical="center"/>
      <protection locked="0"/>
    </xf>
    <xf numFmtId="0" fontId="14" fillId="0" borderId="11" xfId="0" applyNumberFormat="1" applyFont="1" applyFill="1" applyBorder="1" applyAlignment="1" applyProtection="1">
      <alignment horizontal="right" vertical="center"/>
      <protection locked="0"/>
    </xf>
    <xf numFmtId="200" fontId="18" fillId="0" borderId="11" xfId="0" applyNumberFormat="1" applyFont="1" applyFill="1" applyBorder="1" applyAlignment="1" applyProtection="1">
      <alignment horizontal="right" vertical="center"/>
      <protection locked="0"/>
    </xf>
    <xf numFmtId="193" fontId="15" fillId="0" borderId="11" xfId="0" applyNumberFormat="1" applyFont="1" applyFill="1" applyBorder="1" applyAlignment="1" applyProtection="1">
      <alignment horizontal="right" vertical="center"/>
      <protection locked="0"/>
    </xf>
    <xf numFmtId="193" fontId="25" fillId="0" borderId="11" xfId="0" applyNumberFormat="1" applyFont="1" applyFill="1" applyBorder="1" applyAlignment="1" applyProtection="1">
      <alignment horizontal="right" vertical="center"/>
      <protection locked="0"/>
    </xf>
    <xf numFmtId="192" fontId="26" fillId="0" borderId="11" xfId="0" applyNumberFormat="1" applyFont="1" applyFill="1" applyBorder="1" applyAlignment="1" applyProtection="1">
      <alignment horizontal="right" vertical="center"/>
      <protection locked="0"/>
    </xf>
    <xf numFmtId="200" fontId="26" fillId="0" borderId="11" xfId="40" applyNumberFormat="1" applyFont="1" applyFill="1" applyBorder="1" applyAlignment="1" applyProtection="1">
      <alignment horizontal="right" vertical="center"/>
      <protection/>
    </xf>
    <xf numFmtId="193" fontId="26" fillId="0" borderId="11" xfId="0" applyNumberFormat="1" applyFont="1" applyFill="1" applyBorder="1" applyAlignment="1" applyProtection="1">
      <alignment horizontal="right" vertical="center"/>
      <protection locked="0"/>
    </xf>
    <xf numFmtId="0" fontId="22" fillId="0" borderId="11" xfId="0" applyFont="1" applyBorder="1" applyAlignment="1">
      <alignment vertical="center" readingOrder="1"/>
    </xf>
    <xf numFmtId="184" fontId="0" fillId="0" borderId="11" xfId="0" applyNumberFormat="1" applyBorder="1" applyAlignment="1">
      <alignment horizontal="center" vertical="center"/>
    </xf>
    <xf numFmtId="0" fontId="0" fillId="0" borderId="11" xfId="0" applyBorder="1" applyAlignment="1">
      <alignment horizontal="left" vertical="center"/>
    </xf>
    <xf numFmtId="200" fontId="12" fillId="0" borderId="11" xfId="0" applyNumberFormat="1" applyFont="1" applyBorder="1" applyAlignment="1">
      <alignment horizontal="right" vertical="center"/>
    </xf>
    <xf numFmtId="193" fontId="12" fillId="0" borderId="11" xfId="0" applyNumberFormat="1" applyFont="1" applyBorder="1" applyAlignment="1">
      <alignment horizontal="right" vertical="center"/>
    </xf>
    <xf numFmtId="193" fontId="25" fillId="0" borderId="11" xfId="0" applyNumberFormat="1" applyFont="1" applyBorder="1" applyAlignment="1">
      <alignment horizontal="right" vertical="center"/>
    </xf>
    <xf numFmtId="192" fontId="26" fillId="0" borderId="11" xfId="0" applyNumberFormat="1" applyFont="1" applyBorder="1" applyAlignment="1">
      <alignment horizontal="right" vertical="center"/>
    </xf>
    <xf numFmtId="200" fontId="26" fillId="0" borderId="11" xfId="0" applyNumberFormat="1" applyFont="1" applyBorder="1" applyAlignment="1">
      <alignment horizontal="right" vertical="center"/>
    </xf>
    <xf numFmtId="193" fontId="26" fillId="0" borderId="11" xfId="0" applyNumberFormat="1" applyFont="1" applyBorder="1" applyAlignment="1">
      <alignment horizontal="right" vertical="center"/>
    </xf>
    <xf numFmtId="200" fontId="16" fillId="0" borderId="11" xfId="0" applyNumberFormat="1" applyFont="1" applyFill="1" applyBorder="1" applyAlignment="1" applyProtection="1">
      <alignment horizontal="right" vertical="center"/>
      <protection locked="0"/>
    </xf>
    <xf numFmtId="193" fontId="19" fillId="0" borderId="11" xfId="0" applyNumberFormat="1" applyFont="1" applyFill="1" applyBorder="1" applyAlignment="1" applyProtection="1">
      <alignment horizontal="right" vertical="center"/>
      <protection locked="0"/>
    </xf>
    <xf numFmtId="200" fontId="26" fillId="0" borderId="11" xfId="0" applyNumberFormat="1" applyFont="1" applyFill="1" applyBorder="1" applyAlignment="1" applyProtection="1">
      <alignment horizontal="right" vertical="center"/>
      <protection locked="0"/>
    </xf>
    <xf numFmtId="0" fontId="21" fillId="0" borderId="11" xfId="0" applyFont="1" applyFill="1" applyBorder="1" applyAlignment="1" applyProtection="1">
      <alignment vertical="center"/>
      <protection locked="0"/>
    </xf>
    <xf numFmtId="184" fontId="5" fillId="0" borderId="11" xfId="0" applyNumberFormat="1" applyFont="1" applyFill="1" applyBorder="1" applyAlignment="1" applyProtection="1">
      <alignment horizontal="center" vertical="center"/>
      <protection locked="0"/>
    </xf>
    <xf numFmtId="0" fontId="5" fillId="0" borderId="11" xfId="0" applyFont="1" applyFill="1" applyBorder="1" applyAlignment="1" applyProtection="1">
      <alignment horizontal="left" vertical="center"/>
      <protection locked="0"/>
    </xf>
    <xf numFmtId="43" fontId="21" fillId="0" borderId="12" xfId="40" applyFont="1" applyFill="1" applyBorder="1" applyAlignment="1" applyProtection="1">
      <alignment vertical="center"/>
      <protection/>
    </xf>
    <xf numFmtId="184" fontId="3" fillId="0" borderId="12" xfId="0" applyNumberFormat="1" applyFont="1" applyFill="1" applyBorder="1" applyAlignment="1" applyProtection="1">
      <alignment horizontal="center" vertical="center"/>
      <protection/>
    </xf>
    <xf numFmtId="0" fontId="3" fillId="0" borderId="12" xfId="0" applyFont="1" applyFill="1" applyBorder="1" applyAlignment="1" applyProtection="1">
      <alignment horizontal="left" vertical="center"/>
      <protection/>
    </xf>
    <xf numFmtId="0" fontId="14" fillId="0" borderId="12" xfId="0" applyNumberFormat="1" applyFont="1" applyFill="1" applyBorder="1" applyAlignment="1" applyProtection="1">
      <alignment horizontal="right" vertical="center"/>
      <protection/>
    </xf>
    <xf numFmtId="200" fontId="16" fillId="0" borderId="12" xfId="0" applyNumberFormat="1" applyFont="1" applyFill="1" applyBorder="1" applyAlignment="1" applyProtection="1">
      <alignment horizontal="right" vertical="center"/>
      <protection/>
    </xf>
    <xf numFmtId="193" fontId="19" fillId="0" borderId="12" xfId="0" applyNumberFormat="1" applyFont="1" applyFill="1" applyBorder="1" applyAlignment="1" applyProtection="1">
      <alignment horizontal="right" vertical="center"/>
      <protection/>
    </xf>
    <xf numFmtId="193" fontId="25" fillId="0" borderId="12" xfId="0" applyNumberFormat="1" applyFont="1" applyFill="1" applyBorder="1" applyAlignment="1" applyProtection="1">
      <alignment horizontal="right" vertical="center"/>
      <protection/>
    </xf>
    <xf numFmtId="192" fontId="26" fillId="0" borderId="12" xfId="0" applyNumberFormat="1" applyFont="1" applyFill="1" applyBorder="1" applyAlignment="1" applyProtection="1">
      <alignment horizontal="right" vertical="center"/>
      <protection/>
    </xf>
    <xf numFmtId="200" fontId="26" fillId="0" borderId="12" xfId="0" applyNumberFormat="1" applyFont="1" applyFill="1" applyBorder="1" applyAlignment="1" applyProtection="1">
      <alignment horizontal="right" vertical="center"/>
      <protection/>
    </xf>
    <xf numFmtId="193" fontId="26" fillId="0" borderId="12" xfId="0" applyNumberFormat="1" applyFont="1" applyFill="1" applyBorder="1" applyAlignment="1" applyProtection="1">
      <alignment horizontal="right" vertical="center"/>
      <protection/>
    </xf>
    <xf numFmtId="192" fontId="26" fillId="0" borderId="13" xfId="0" applyNumberFormat="1" applyFont="1" applyFill="1" applyBorder="1" applyAlignment="1" applyProtection="1">
      <alignment horizontal="right" vertical="center"/>
      <protection/>
    </xf>
    <xf numFmtId="192" fontId="28" fillId="33" borderId="14" xfId="0" applyNumberFormat="1" applyFont="1" applyFill="1" applyBorder="1" applyAlignment="1">
      <alignment horizontal="right" vertical="center"/>
    </xf>
    <xf numFmtId="192" fontId="26" fillId="0" borderId="15" xfId="0" applyNumberFormat="1" applyFont="1" applyFill="1" applyBorder="1" applyAlignment="1" applyProtection="1">
      <alignment horizontal="right" vertical="center"/>
      <protection locked="0"/>
    </xf>
    <xf numFmtId="2" fontId="26" fillId="0" borderId="0" xfId="0" applyNumberFormat="1" applyFont="1" applyAlignment="1">
      <alignment/>
    </xf>
    <xf numFmtId="0" fontId="31" fillId="0" borderId="0" xfId="0" applyFont="1" applyFill="1" applyBorder="1" applyAlignment="1" applyProtection="1">
      <alignment vertical="center"/>
      <protection locked="0"/>
    </xf>
    <xf numFmtId="0" fontId="32" fillId="0" borderId="0" xfId="0" applyFont="1" applyFill="1" applyBorder="1" applyAlignment="1" applyProtection="1">
      <alignment vertical="center"/>
      <protection locked="0"/>
    </xf>
    <xf numFmtId="0" fontId="30" fillId="0" borderId="0" xfId="0" applyFont="1" applyFill="1" applyBorder="1" applyAlignment="1" applyProtection="1">
      <alignment vertical="center"/>
      <protection locked="0"/>
    </xf>
    <xf numFmtId="0" fontId="33" fillId="0" borderId="0" xfId="0" applyFont="1" applyFill="1" applyBorder="1" applyAlignment="1" applyProtection="1">
      <alignment vertical="center"/>
      <protection locked="0"/>
    </xf>
    <xf numFmtId="0" fontId="0" fillId="0" borderId="11" xfId="0" applyBorder="1" applyAlignment="1">
      <alignment/>
    </xf>
    <xf numFmtId="4" fontId="0" fillId="0" borderId="11" xfId="0" applyNumberFormat="1" applyBorder="1" applyAlignment="1">
      <alignment vertical="center"/>
    </xf>
    <xf numFmtId="3" fontId="0" fillId="0" borderId="11" xfId="0" applyNumberFormat="1" applyBorder="1" applyAlignment="1">
      <alignment vertical="center"/>
    </xf>
    <xf numFmtId="0" fontId="0" fillId="0" borderId="11" xfId="0" applyBorder="1" applyAlignment="1">
      <alignment vertical="center"/>
    </xf>
    <xf numFmtId="0" fontId="10" fillId="0" borderId="11" xfId="0" applyFont="1" applyBorder="1" applyAlignment="1">
      <alignment horizontal="center" vertical="center"/>
    </xf>
    <xf numFmtId="193" fontId="12" fillId="0" borderId="11" xfId="0" applyNumberFormat="1" applyFont="1" applyBorder="1" applyAlignment="1">
      <alignment horizontal="right" vertical="center" indent="1"/>
    </xf>
    <xf numFmtId="192" fontId="13" fillId="0" borderId="11" xfId="0" applyNumberFormat="1" applyFont="1" applyBorder="1" applyAlignment="1">
      <alignment horizontal="right" vertical="center" indent="1"/>
    </xf>
    <xf numFmtId="0" fontId="34" fillId="0" borderId="11" xfId="0" applyFont="1" applyBorder="1" applyAlignment="1">
      <alignment horizontal="right" vertical="center"/>
    </xf>
    <xf numFmtId="1" fontId="25" fillId="0" borderId="16" xfId="0" applyNumberFormat="1" applyFont="1" applyFill="1" applyBorder="1" applyAlignment="1" applyProtection="1">
      <alignment horizontal="right" vertical="center"/>
      <protection/>
    </xf>
    <xf numFmtId="1" fontId="25" fillId="0" borderId="11" xfId="0" applyNumberFormat="1" applyFont="1" applyFill="1" applyBorder="1" applyAlignment="1" applyProtection="1">
      <alignment horizontal="right" vertical="center"/>
      <protection locked="0"/>
    </xf>
    <xf numFmtId="0" fontId="0" fillId="0" borderId="10" xfId="0" applyBorder="1" applyAlignment="1">
      <alignment vertical="center"/>
    </xf>
    <xf numFmtId="0" fontId="10" fillId="0" borderId="10" xfId="0" applyFont="1" applyBorder="1" applyAlignment="1">
      <alignment horizontal="center" vertical="center"/>
    </xf>
    <xf numFmtId="200" fontId="12" fillId="0" borderId="10" xfId="0" applyNumberFormat="1" applyFont="1" applyBorder="1" applyAlignment="1">
      <alignment horizontal="right" vertical="center"/>
    </xf>
    <xf numFmtId="193" fontId="12" fillId="0" borderId="10" xfId="0" applyNumberFormat="1" applyFont="1" applyBorder="1" applyAlignment="1">
      <alignment horizontal="right" vertical="center" indent="1"/>
    </xf>
    <xf numFmtId="192" fontId="13" fillId="0" borderId="10" xfId="0" applyNumberFormat="1" applyFont="1" applyBorder="1" applyAlignment="1">
      <alignment horizontal="right" vertical="center" indent="1"/>
    </xf>
    <xf numFmtId="0" fontId="12" fillId="0" borderId="0" xfId="0" applyFont="1" applyAlignment="1">
      <alignment/>
    </xf>
    <xf numFmtId="0" fontId="14" fillId="0" borderId="10" xfId="0" applyFont="1" applyBorder="1" applyAlignment="1">
      <alignment horizontal="center" vertical="center"/>
    </xf>
    <xf numFmtId="0" fontId="14" fillId="0" borderId="11" xfId="0" applyFont="1" applyBorder="1" applyAlignment="1">
      <alignment horizontal="center" vertical="center"/>
    </xf>
    <xf numFmtId="1" fontId="38" fillId="0" borderId="17" xfId="0" applyNumberFormat="1" applyFont="1" applyFill="1" applyBorder="1" applyAlignment="1" applyProtection="1">
      <alignment horizontal="center" wrapText="1"/>
      <protection/>
    </xf>
    <xf numFmtId="0" fontId="39" fillId="0" borderId="0" xfId="0" applyFont="1" applyFill="1" applyBorder="1" applyAlignment="1" applyProtection="1">
      <alignment horizontal="center" wrapText="1"/>
      <protection locked="0"/>
    </xf>
    <xf numFmtId="0" fontId="38" fillId="0" borderId="0" xfId="0" applyFont="1" applyFill="1" applyBorder="1" applyAlignment="1" applyProtection="1">
      <alignment horizontal="center" wrapText="1"/>
      <protection locked="0"/>
    </xf>
    <xf numFmtId="1" fontId="39" fillId="0" borderId="18" xfId="0" applyNumberFormat="1" applyFont="1" applyFill="1" applyBorder="1" applyAlignment="1" applyProtection="1">
      <alignment horizontal="center" wrapText="1"/>
      <protection/>
    </xf>
    <xf numFmtId="200" fontId="38" fillId="0" borderId="19" xfId="0" applyNumberFormat="1" applyFont="1" applyFill="1" applyBorder="1" applyAlignment="1" applyProtection="1">
      <alignment horizontal="center" wrapText="1"/>
      <protection/>
    </xf>
    <xf numFmtId="193" fontId="38" fillId="0" borderId="19" xfId="0" applyNumberFormat="1" applyFont="1" applyFill="1" applyBorder="1" applyAlignment="1" applyProtection="1">
      <alignment horizontal="center" wrapText="1"/>
      <protection/>
    </xf>
    <xf numFmtId="192" fontId="38" fillId="0" borderId="19" xfId="0" applyNumberFormat="1" applyFont="1" applyFill="1" applyBorder="1" applyAlignment="1" applyProtection="1">
      <alignment horizontal="center" wrapText="1"/>
      <protection/>
    </xf>
    <xf numFmtId="192" fontId="38" fillId="0" borderId="20" xfId="0" applyNumberFormat="1" applyFont="1" applyFill="1" applyBorder="1" applyAlignment="1" applyProtection="1">
      <alignment horizontal="center" wrapText="1"/>
      <protection/>
    </xf>
    <xf numFmtId="0" fontId="38" fillId="0" borderId="18" xfId="0" applyFont="1" applyBorder="1" applyAlignment="1" applyProtection="1">
      <alignment vertical="center"/>
      <protection locked="0"/>
    </xf>
    <xf numFmtId="0" fontId="38" fillId="0" borderId="21" xfId="0" applyFont="1" applyBorder="1" applyAlignment="1" applyProtection="1">
      <alignment vertical="center"/>
      <protection locked="0"/>
    </xf>
    <xf numFmtId="1" fontId="25" fillId="0" borderId="22" xfId="0" applyNumberFormat="1" applyFont="1" applyFill="1" applyBorder="1" applyAlignment="1" applyProtection="1">
      <alignment horizontal="right" vertical="center"/>
      <protection/>
    </xf>
    <xf numFmtId="43" fontId="21" fillId="0" borderId="23" xfId="40" applyFont="1" applyFill="1" applyBorder="1" applyAlignment="1" applyProtection="1">
      <alignment vertical="center"/>
      <protection/>
    </xf>
    <xf numFmtId="184" fontId="3" fillId="0" borderId="23" xfId="0" applyNumberFormat="1" applyFont="1" applyFill="1" applyBorder="1" applyAlignment="1" applyProtection="1">
      <alignment horizontal="center" vertical="center"/>
      <protection/>
    </xf>
    <xf numFmtId="0" fontId="3" fillId="0" borderId="23" xfId="0" applyFont="1" applyFill="1" applyBorder="1" applyAlignment="1" applyProtection="1">
      <alignment horizontal="left" vertical="center"/>
      <protection/>
    </xf>
    <xf numFmtId="0" fontId="14" fillId="0" borderId="23" xfId="0" applyNumberFormat="1" applyFont="1" applyFill="1" applyBorder="1" applyAlignment="1" applyProtection="1">
      <alignment horizontal="right" vertical="center"/>
      <protection/>
    </xf>
    <xf numFmtId="200" fontId="16" fillId="0" borderId="23" xfId="0" applyNumberFormat="1" applyFont="1" applyFill="1" applyBorder="1" applyAlignment="1" applyProtection="1">
      <alignment horizontal="right" vertical="center"/>
      <protection/>
    </xf>
    <xf numFmtId="193" fontId="19" fillId="0" borderId="23" xfId="0" applyNumberFormat="1" applyFont="1" applyFill="1" applyBorder="1" applyAlignment="1" applyProtection="1">
      <alignment horizontal="right" vertical="center"/>
      <protection/>
    </xf>
    <xf numFmtId="193" fontId="25" fillId="0" borderId="23" xfId="0" applyNumberFormat="1" applyFont="1" applyFill="1" applyBorder="1" applyAlignment="1" applyProtection="1">
      <alignment horizontal="right" vertical="center"/>
      <protection/>
    </xf>
    <xf numFmtId="192" fontId="26" fillId="0" borderId="23" xfId="0" applyNumberFormat="1" applyFont="1" applyFill="1" applyBorder="1" applyAlignment="1" applyProtection="1">
      <alignment horizontal="right" vertical="center"/>
      <protection/>
    </xf>
    <xf numFmtId="200" fontId="26" fillId="0" borderId="23" xfId="0" applyNumberFormat="1" applyFont="1" applyFill="1" applyBorder="1" applyAlignment="1" applyProtection="1">
      <alignment horizontal="right" vertical="center"/>
      <protection/>
    </xf>
    <xf numFmtId="193" fontId="26" fillId="0" borderId="23" xfId="0" applyNumberFormat="1" applyFont="1" applyFill="1" applyBorder="1" applyAlignment="1" applyProtection="1">
      <alignment horizontal="right" vertical="center"/>
      <protection/>
    </xf>
    <xf numFmtId="192" fontId="26" fillId="0" borderId="24" xfId="0" applyNumberFormat="1" applyFont="1" applyFill="1" applyBorder="1" applyAlignment="1" applyProtection="1">
      <alignment horizontal="right" vertical="center"/>
      <protection/>
    </xf>
    <xf numFmtId="0" fontId="36" fillId="0" borderId="0" xfId="0" applyFont="1" applyBorder="1" applyAlignment="1">
      <alignment horizontal="center"/>
    </xf>
    <xf numFmtId="0" fontId="38" fillId="0" borderId="0" xfId="0" applyFont="1" applyFill="1" applyBorder="1" applyAlignment="1">
      <alignment horizontal="right" vertical="center"/>
    </xf>
    <xf numFmtId="0" fontId="38" fillId="0" borderId="21" xfId="0" applyFont="1" applyFill="1" applyBorder="1" applyAlignment="1">
      <alignment horizontal="center"/>
    </xf>
    <xf numFmtId="4" fontId="38" fillId="0" borderId="10" xfId="0" applyNumberFormat="1" applyFont="1" applyFill="1" applyBorder="1" applyAlignment="1">
      <alignment horizontal="center"/>
    </xf>
    <xf numFmtId="3" fontId="38" fillId="0" borderId="10" xfId="0" applyNumberFormat="1" applyFont="1" applyFill="1" applyBorder="1" applyAlignment="1">
      <alignment horizontal="center"/>
    </xf>
    <xf numFmtId="0" fontId="38" fillId="0" borderId="10" xfId="0" applyFont="1" applyFill="1" applyBorder="1" applyAlignment="1">
      <alignment horizontal="center"/>
    </xf>
    <xf numFmtId="0" fontId="39" fillId="0" borderId="25" xfId="0" applyFont="1" applyFill="1" applyBorder="1" applyAlignment="1">
      <alignment horizontal="center"/>
    </xf>
    <xf numFmtId="4" fontId="38" fillId="0" borderId="11" xfId="0" applyNumberFormat="1" applyFont="1" applyFill="1" applyBorder="1" applyAlignment="1">
      <alignment horizontal="center"/>
    </xf>
    <xf numFmtId="3" fontId="38" fillId="0" borderId="11" xfId="0" applyNumberFormat="1" applyFont="1" applyFill="1" applyBorder="1" applyAlignment="1">
      <alignment horizontal="center"/>
    </xf>
    <xf numFmtId="0" fontId="38" fillId="0" borderId="11" xfId="0" applyFont="1" applyFill="1" applyBorder="1" applyAlignment="1">
      <alignment horizontal="center"/>
    </xf>
    <xf numFmtId="1" fontId="38" fillId="0" borderId="26" xfId="0" applyNumberFormat="1" applyFont="1" applyFill="1" applyBorder="1" applyAlignment="1" applyProtection="1">
      <alignment horizontal="center" wrapText="1"/>
      <protection/>
    </xf>
    <xf numFmtId="1" fontId="39" fillId="0" borderId="27" xfId="0" applyNumberFormat="1" applyFont="1" applyFill="1" applyBorder="1" applyAlignment="1" applyProtection="1">
      <alignment horizontal="center" wrapText="1"/>
      <protection/>
    </xf>
    <xf numFmtId="0" fontId="42" fillId="0" borderId="11" xfId="0" applyFont="1" applyFill="1" applyBorder="1" applyAlignment="1" applyProtection="1">
      <alignment horizontal="center" vertical="center"/>
      <protection/>
    </xf>
    <xf numFmtId="0" fontId="43" fillId="0" borderId="11" xfId="0" applyFont="1" applyFill="1" applyBorder="1" applyAlignment="1" applyProtection="1">
      <alignment horizontal="left" vertical="center"/>
      <protection/>
    </xf>
    <xf numFmtId="0" fontId="44" fillId="0" borderId="11" xfId="0" applyFont="1" applyBorder="1" applyAlignment="1">
      <alignment horizontal="left" vertical="center"/>
    </xf>
    <xf numFmtId="0" fontId="45" fillId="0" borderId="11" xfId="0" applyFont="1" applyFill="1" applyBorder="1" applyAlignment="1" applyProtection="1">
      <alignment vertical="center"/>
      <protection/>
    </xf>
    <xf numFmtId="0" fontId="41" fillId="0" borderId="28" xfId="0" applyFont="1" applyBorder="1" applyAlignment="1">
      <alignment horizontal="left" vertical="center"/>
    </xf>
    <xf numFmtId="0" fontId="41" fillId="0" borderId="0" xfId="0" applyFont="1" applyBorder="1" applyAlignment="1">
      <alignment horizontal="left" vertical="center"/>
    </xf>
    <xf numFmtId="0" fontId="41" fillId="0" borderId="0" xfId="0" applyFont="1" applyBorder="1" applyAlignment="1">
      <alignment vertical="center"/>
    </xf>
    <xf numFmtId="1" fontId="25" fillId="0" borderId="10" xfId="0" applyNumberFormat="1" applyFont="1" applyFill="1" applyBorder="1" applyAlignment="1" applyProtection="1">
      <alignment horizontal="right" vertical="center"/>
      <protection locked="0"/>
    </xf>
    <xf numFmtId="0" fontId="21" fillId="0" borderId="10" xfId="0" applyFont="1" applyFill="1" applyBorder="1" applyAlignment="1" applyProtection="1">
      <alignment vertical="center"/>
      <protection locked="0"/>
    </xf>
    <xf numFmtId="184" fontId="5" fillId="0" borderId="10" xfId="0" applyNumberFormat="1" applyFont="1" applyFill="1" applyBorder="1" applyAlignment="1" applyProtection="1">
      <alignment horizontal="center" vertical="center"/>
      <protection locked="0"/>
    </xf>
    <xf numFmtId="0" fontId="5" fillId="0" borderId="10" xfId="0" applyFont="1" applyFill="1" applyBorder="1" applyAlignment="1" applyProtection="1">
      <alignment horizontal="left" vertical="center"/>
      <protection locked="0"/>
    </xf>
    <xf numFmtId="0" fontId="14" fillId="0" borderId="10" xfId="0" applyNumberFormat="1" applyFont="1" applyFill="1" applyBorder="1" applyAlignment="1" applyProtection="1">
      <alignment horizontal="right" vertical="center"/>
      <protection locked="0"/>
    </xf>
    <xf numFmtId="200" fontId="16" fillId="0" borderId="10" xfId="0" applyNumberFormat="1" applyFont="1" applyFill="1" applyBorder="1" applyAlignment="1" applyProtection="1">
      <alignment horizontal="right" vertical="center"/>
      <protection locked="0"/>
    </xf>
    <xf numFmtId="193" fontId="19" fillId="0" borderId="10" xfId="0" applyNumberFormat="1" applyFont="1" applyFill="1" applyBorder="1" applyAlignment="1" applyProtection="1">
      <alignment horizontal="right" vertical="center"/>
      <protection locked="0"/>
    </xf>
    <xf numFmtId="193" fontId="25" fillId="0" borderId="10" xfId="0" applyNumberFormat="1" applyFont="1" applyFill="1" applyBorder="1" applyAlignment="1" applyProtection="1">
      <alignment horizontal="right" vertical="center"/>
      <protection locked="0"/>
    </xf>
    <xf numFmtId="192" fontId="26" fillId="0" borderId="10" xfId="0" applyNumberFormat="1" applyFont="1" applyFill="1" applyBorder="1" applyAlignment="1" applyProtection="1">
      <alignment horizontal="right" vertical="center"/>
      <protection locked="0"/>
    </xf>
    <xf numFmtId="200" fontId="26" fillId="0" borderId="10" xfId="0" applyNumberFormat="1" applyFont="1" applyFill="1" applyBorder="1" applyAlignment="1" applyProtection="1">
      <alignment horizontal="right" vertical="center"/>
      <protection locked="0"/>
    </xf>
    <xf numFmtId="193" fontId="26" fillId="0" borderId="10" xfId="0" applyNumberFormat="1" applyFont="1" applyFill="1" applyBorder="1" applyAlignment="1" applyProtection="1">
      <alignment horizontal="right" vertical="center"/>
      <protection locked="0"/>
    </xf>
    <xf numFmtId="192" fontId="26" fillId="0" borderId="14" xfId="0" applyNumberFormat="1" applyFont="1" applyFill="1" applyBorder="1" applyAlignment="1" applyProtection="1">
      <alignment horizontal="right" vertical="center"/>
      <protection locked="0"/>
    </xf>
    <xf numFmtId="0" fontId="33" fillId="0" borderId="15" xfId="0" applyFont="1" applyFill="1" applyBorder="1" applyAlignment="1" applyProtection="1">
      <alignment vertical="center"/>
      <protection locked="0"/>
    </xf>
    <xf numFmtId="0" fontId="42" fillId="0" borderId="29" xfId="0" applyFont="1" applyFill="1" applyBorder="1" applyAlignment="1" applyProtection="1">
      <alignment horizontal="center" vertical="center"/>
      <protection/>
    </xf>
    <xf numFmtId="0" fontId="44" fillId="0" borderId="29" xfId="0" applyFont="1" applyBorder="1" applyAlignment="1">
      <alignment horizontal="left" vertical="center"/>
    </xf>
    <xf numFmtId="0" fontId="45" fillId="0" borderId="29" xfId="0" applyFont="1" applyFill="1" applyBorder="1" applyAlignment="1" applyProtection="1">
      <alignment vertical="center"/>
      <protection/>
    </xf>
    <xf numFmtId="0" fontId="29" fillId="0" borderId="0" xfId="0" applyFont="1" applyFill="1" applyBorder="1" applyAlignment="1" applyProtection="1">
      <alignment horizontal="center" vertical="center"/>
      <protection/>
    </xf>
    <xf numFmtId="0" fontId="42" fillId="0" borderId="0" xfId="0" applyFont="1" applyFill="1" applyBorder="1" applyAlignment="1" applyProtection="1">
      <alignment horizontal="center" vertical="center"/>
      <protection/>
    </xf>
    <xf numFmtId="0" fontId="43" fillId="0" borderId="0" xfId="0" applyFont="1" applyFill="1" applyBorder="1" applyAlignment="1" applyProtection="1">
      <alignment horizontal="left" vertical="center"/>
      <protection/>
    </xf>
    <xf numFmtId="0" fontId="44" fillId="0" borderId="0" xfId="0" applyFont="1" applyBorder="1" applyAlignment="1">
      <alignment horizontal="left" vertical="center"/>
    </xf>
    <xf numFmtId="0" fontId="9" fillId="0" borderId="0" xfId="0" applyFont="1" applyFill="1" applyBorder="1" applyAlignment="1" applyProtection="1">
      <alignment vertical="center"/>
      <protection/>
    </xf>
    <xf numFmtId="0" fontId="45" fillId="0" borderId="0" xfId="0" applyFont="1" applyFill="1" applyBorder="1" applyAlignment="1" applyProtection="1">
      <alignment vertical="center"/>
      <protection/>
    </xf>
    <xf numFmtId="0" fontId="41" fillId="0" borderId="28" xfId="0" applyFont="1" applyBorder="1" applyAlignment="1">
      <alignment vertical="center"/>
    </xf>
    <xf numFmtId="0" fontId="33" fillId="0" borderId="28" xfId="0" applyFont="1" applyFill="1" applyBorder="1" applyAlignment="1" applyProtection="1">
      <alignment vertical="center"/>
      <protection locked="0"/>
    </xf>
    <xf numFmtId="0" fontId="38" fillId="0" borderId="11" xfId="0" applyFont="1" applyFill="1" applyBorder="1" applyAlignment="1" applyProtection="1">
      <alignment horizontal="center" wrapText="1"/>
      <protection locked="0"/>
    </xf>
    <xf numFmtId="0" fontId="46" fillId="0" borderId="28" xfId="0" applyFont="1" applyFill="1" applyBorder="1" applyAlignment="1">
      <alignment horizontal="left" vertical="center"/>
    </xf>
    <xf numFmtId="0" fontId="46" fillId="0" borderId="28" xfId="0" applyFont="1" applyFill="1" applyBorder="1" applyAlignment="1">
      <alignment vertical="center"/>
    </xf>
    <xf numFmtId="184" fontId="10" fillId="0" borderId="10" xfId="0" applyNumberFormat="1" applyFont="1" applyBorder="1" applyAlignment="1">
      <alignment horizontal="center" vertical="center"/>
    </xf>
    <xf numFmtId="184" fontId="10" fillId="0" borderId="11" xfId="0" applyNumberFormat="1" applyFont="1" applyBorder="1" applyAlignment="1">
      <alignment horizontal="center" vertical="center"/>
    </xf>
    <xf numFmtId="4" fontId="12" fillId="0" borderId="0" xfId="0" applyNumberFormat="1" applyFont="1" applyAlignment="1">
      <alignment horizontal="right"/>
    </xf>
    <xf numFmtId="3" fontId="12" fillId="0" borderId="0" xfId="0" applyNumberFormat="1" applyFont="1" applyAlignment="1">
      <alignment horizontal="right"/>
    </xf>
    <xf numFmtId="192" fontId="28" fillId="0" borderId="23" xfId="0" applyNumberFormat="1" applyFont="1" applyFill="1" applyBorder="1" applyAlignment="1" applyProtection="1">
      <alignment horizontal="right" vertical="center"/>
      <protection/>
    </xf>
    <xf numFmtId="0" fontId="49" fillId="0" borderId="0" xfId="0" applyFont="1" applyBorder="1" applyAlignment="1">
      <alignment horizontal="center"/>
    </xf>
    <xf numFmtId="3" fontId="39" fillId="0" borderId="30" xfId="0" applyNumberFormat="1" applyFont="1" applyFill="1" applyBorder="1" applyAlignment="1">
      <alignment horizontal="center"/>
    </xf>
    <xf numFmtId="3" fontId="39" fillId="0" borderId="29" xfId="0" applyNumberFormat="1" applyFont="1" applyFill="1" applyBorder="1" applyAlignment="1">
      <alignment horizontal="center"/>
    </xf>
    <xf numFmtId="0" fontId="8" fillId="0" borderId="11" xfId="0" applyFont="1" applyFill="1" applyBorder="1" applyAlignment="1" applyProtection="1">
      <alignment horizontal="right" vertical="center"/>
      <protection locked="0"/>
    </xf>
    <xf numFmtId="3" fontId="9" fillId="0" borderId="11" xfId="0" applyNumberFormat="1" applyFont="1" applyBorder="1" applyAlignment="1">
      <alignment vertical="center"/>
    </xf>
    <xf numFmtId="192" fontId="28" fillId="0" borderId="11" xfId="0" applyNumberFormat="1" applyFont="1" applyBorder="1" applyAlignment="1">
      <alignment horizontal="right" vertical="center"/>
    </xf>
    <xf numFmtId="184" fontId="50" fillId="0" borderId="11" xfId="0" applyNumberFormat="1" applyFont="1" applyFill="1" applyBorder="1" applyAlignment="1" applyProtection="1">
      <alignment horizontal="center" vertical="center"/>
      <protection locked="0"/>
    </xf>
    <xf numFmtId="3" fontId="50" fillId="0" borderId="11" xfId="42" applyNumberFormat="1" applyFont="1" applyFill="1" applyBorder="1" applyAlignment="1" applyProtection="1">
      <alignment horizontal="right" vertical="center"/>
      <protection locked="0"/>
    </xf>
    <xf numFmtId="3" fontId="50" fillId="0" borderId="11" xfId="42" applyNumberFormat="1" applyFont="1" applyFill="1" applyBorder="1" applyAlignment="1" applyProtection="1">
      <alignment horizontal="right" vertical="center"/>
      <protection/>
    </xf>
    <xf numFmtId="184" fontId="50" fillId="0" borderId="11" xfId="0" applyNumberFormat="1" applyFont="1" applyFill="1" applyBorder="1" applyAlignment="1">
      <alignment horizontal="center" vertical="center"/>
    </xf>
    <xf numFmtId="3" fontId="50" fillId="0" borderId="11" xfId="0" applyNumberFormat="1" applyFont="1" applyFill="1" applyBorder="1" applyAlignment="1">
      <alignment horizontal="right" vertical="center"/>
    </xf>
    <xf numFmtId="3" fontId="50" fillId="0" borderId="11" xfId="0" applyNumberFormat="1" applyFont="1" applyFill="1" applyBorder="1" applyAlignment="1">
      <alignment horizontal="right" vertical="center"/>
    </xf>
    <xf numFmtId="3" fontId="50" fillId="0" borderId="11" xfId="40" applyNumberFormat="1" applyFont="1" applyFill="1" applyBorder="1" applyAlignment="1" applyProtection="1">
      <alignment horizontal="right" vertical="center"/>
      <protection locked="0"/>
    </xf>
    <xf numFmtId="3" fontId="50" fillId="0" borderId="11" xfId="68" applyNumberFormat="1" applyFont="1" applyFill="1" applyBorder="1" applyAlignment="1" applyProtection="1">
      <alignment horizontal="right" vertical="center"/>
      <protection/>
    </xf>
    <xf numFmtId="3" fontId="50" fillId="0" borderId="11" xfId="43" applyNumberFormat="1" applyFont="1" applyFill="1" applyBorder="1" applyAlignment="1" applyProtection="1">
      <alignment horizontal="right" vertical="center"/>
      <protection locked="0"/>
    </xf>
    <xf numFmtId="3" fontId="50" fillId="0" borderId="11" xfId="43" applyNumberFormat="1" applyFont="1" applyFill="1" applyBorder="1" applyAlignment="1" applyProtection="1">
      <alignment horizontal="right" vertical="center"/>
      <protection/>
    </xf>
    <xf numFmtId="3" fontId="50" fillId="0" borderId="11" xfId="44" applyNumberFormat="1" applyFont="1" applyFill="1" applyBorder="1" applyAlignment="1" applyProtection="1">
      <alignment horizontal="right" vertical="center"/>
      <protection locked="0"/>
    </xf>
    <xf numFmtId="3" fontId="50" fillId="0" borderId="11" xfId="44" applyNumberFormat="1" applyFont="1" applyFill="1" applyBorder="1" applyAlignment="1" applyProtection="1">
      <alignment horizontal="right" vertical="center"/>
      <protection/>
    </xf>
    <xf numFmtId="184" fontId="50" fillId="0" borderId="11" xfId="0" applyNumberFormat="1" applyFont="1" applyFill="1" applyBorder="1" applyAlignment="1">
      <alignment horizontal="center" vertical="center"/>
    </xf>
    <xf numFmtId="3" fontId="50" fillId="0" borderId="11" xfId="0" applyNumberFormat="1" applyFont="1" applyFill="1" applyBorder="1" applyAlignment="1">
      <alignment horizontal="right" vertical="center"/>
    </xf>
    <xf numFmtId="184" fontId="50" fillId="0" borderId="11" xfId="55" applyNumberFormat="1" applyFont="1" applyFill="1" applyBorder="1" applyAlignment="1">
      <alignment horizontal="center" vertical="center"/>
      <protection/>
    </xf>
    <xf numFmtId="3" fontId="52" fillId="0" borderId="11" xfId="42" applyNumberFormat="1" applyFont="1" applyFill="1" applyBorder="1" applyAlignment="1" applyProtection="1">
      <alignment horizontal="right" vertical="center"/>
      <protection locked="0"/>
    </xf>
    <xf numFmtId="3" fontId="52" fillId="0" borderId="11" xfId="43" applyNumberFormat="1" applyFont="1" applyFill="1" applyBorder="1" applyAlignment="1" applyProtection="1">
      <alignment horizontal="right" vertical="center"/>
      <protection locked="0"/>
    </xf>
    <xf numFmtId="3" fontId="52" fillId="0" borderId="11" xfId="0" applyNumberFormat="1" applyFont="1" applyFill="1" applyBorder="1" applyAlignment="1">
      <alignment horizontal="right" vertical="center"/>
    </xf>
    <xf numFmtId="3" fontId="52" fillId="0" borderId="11" xfId="44" applyNumberFormat="1" applyFont="1" applyFill="1" applyBorder="1" applyAlignment="1" applyProtection="1">
      <alignment horizontal="right" vertical="center"/>
      <protection locked="0"/>
    </xf>
    <xf numFmtId="3" fontId="52" fillId="0" borderId="11" xfId="40" applyNumberFormat="1" applyFont="1" applyFill="1" applyBorder="1" applyAlignment="1" applyProtection="1">
      <alignment horizontal="right" vertical="center"/>
      <protection locked="0"/>
    </xf>
    <xf numFmtId="3" fontId="52" fillId="0" borderId="11" xfId="40" applyNumberFormat="1" applyFont="1" applyFill="1" applyBorder="1" applyAlignment="1" applyProtection="1">
      <alignment horizontal="right" vertical="center"/>
      <protection/>
    </xf>
    <xf numFmtId="200" fontId="38" fillId="0" borderId="0" xfId="0" applyNumberFormat="1" applyFont="1" applyFill="1" applyBorder="1" applyAlignment="1" applyProtection="1">
      <alignment horizontal="center" wrapText="1"/>
      <protection/>
    </xf>
    <xf numFmtId="193" fontId="38" fillId="0" borderId="0" xfId="0" applyNumberFormat="1" applyFont="1" applyFill="1" applyBorder="1" applyAlignment="1" applyProtection="1">
      <alignment horizontal="center" wrapText="1"/>
      <protection/>
    </xf>
    <xf numFmtId="4" fontId="50" fillId="0" borderId="11" xfId="43" applyNumberFormat="1" applyFont="1" applyFill="1" applyBorder="1" applyAlignment="1" applyProtection="1">
      <alignment vertical="center"/>
      <protection locked="0"/>
    </xf>
    <xf numFmtId="2" fontId="50" fillId="0" borderId="31" xfId="43" applyNumberFormat="1" applyFont="1" applyFill="1" applyBorder="1" applyAlignment="1" applyProtection="1">
      <alignment vertical="center"/>
      <protection/>
    </xf>
    <xf numFmtId="4" fontId="52" fillId="0" borderId="11" xfId="0" applyNumberFormat="1" applyFont="1" applyFill="1" applyBorder="1" applyAlignment="1">
      <alignment horizontal="right" vertical="center"/>
    </xf>
    <xf numFmtId="4" fontId="50" fillId="0" borderId="11" xfId="0" applyNumberFormat="1" applyFont="1" applyFill="1" applyBorder="1" applyAlignment="1">
      <alignment horizontal="right" vertical="center"/>
    </xf>
    <xf numFmtId="4" fontId="52" fillId="0" borderId="11" xfId="42" applyNumberFormat="1" applyFont="1" applyFill="1" applyBorder="1" applyAlignment="1" applyProtection="1">
      <alignment horizontal="right" vertical="center"/>
      <protection locked="0"/>
    </xf>
    <xf numFmtId="2" fontId="50" fillId="0" borderId="11" xfId="42" applyNumberFormat="1" applyFont="1" applyFill="1" applyBorder="1" applyAlignment="1" applyProtection="1">
      <alignment horizontal="right" vertical="center"/>
      <protection/>
    </xf>
    <xf numFmtId="4" fontId="50" fillId="0" borderId="11" xfId="42" applyNumberFormat="1" applyFont="1" applyFill="1" applyBorder="1" applyAlignment="1" applyProtection="1">
      <alignment horizontal="right" vertical="center"/>
      <protection locked="0"/>
    </xf>
    <xf numFmtId="4" fontId="52" fillId="0" borderId="11" xfId="43" applyNumberFormat="1" applyFont="1" applyFill="1" applyBorder="1" applyAlignment="1" applyProtection="1">
      <alignment horizontal="right" vertical="center"/>
      <protection locked="0"/>
    </xf>
    <xf numFmtId="2" fontId="50" fillId="0" borderId="11" xfId="43" applyNumberFormat="1" applyFont="1" applyFill="1" applyBorder="1" applyAlignment="1" applyProtection="1">
      <alignment horizontal="right" vertical="center"/>
      <protection/>
    </xf>
    <xf numFmtId="4" fontId="50" fillId="0" borderId="11" xfId="43" applyNumberFormat="1" applyFont="1" applyFill="1" applyBorder="1" applyAlignment="1" applyProtection="1">
      <alignment horizontal="right" vertical="center"/>
      <protection locked="0"/>
    </xf>
    <xf numFmtId="4" fontId="52" fillId="0" borderId="11" xfId="40" applyNumberFormat="1" applyFont="1" applyFill="1" applyBorder="1" applyAlignment="1" applyProtection="1">
      <alignment horizontal="right" vertical="center"/>
      <protection locked="0"/>
    </xf>
    <xf numFmtId="2" fontId="50" fillId="0" borderId="11" xfId="68" applyNumberFormat="1" applyFont="1" applyFill="1" applyBorder="1" applyAlignment="1" applyProtection="1">
      <alignment horizontal="right" vertical="center"/>
      <protection/>
    </xf>
    <xf numFmtId="4" fontId="50" fillId="0" borderId="11" xfId="40" applyNumberFormat="1" applyFont="1" applyFill="1" applyBorder="1" applyAlignment="1" applyProtection="1">
      <alignment horizontal="right" vertical="center"/>
      <protection locked="0"/>
    </xf>
    <xf numFmtId="4" fontId="52" fillId="0" borderId="11" xfId="40" applyNumberFormat="1" applyFont="1" applyFill="1" applyBorder="1" applyAlignment="1" applyProtection="1">
      <alignment horizontal="right" vertical="center"/>
      <protection/>
    </xf>
    <xf numFmtId="4" fontId="50" fillId="0" borderId="11" xfId="40" applyNumberFormat="1" applyFont="1" applyFill="1" applyBorder="1" applyAlignment="1" applyProtection="1">
      <alignment horizontal="right" vertical="center"/>
      <protection/>
    </xf>
    <xf numFmtId="4" fontId="52" fillId="0" borderId="11" xfId="0" applyNumberFormat="1" applyFont="1" applyFill="1" applyBorder="1" applyAlignment="1">
      <alignment horizontal="right" vertical="center"/>
    </xf>
    <xf numFmtId="2" fontId="50" fillId="0" borderId="11" xfId="0" applyNumberFormat="1" applyFont="1" applyFill="1" applyBorder="1" applyAlignment="1">
      <alignment horizontal="right" vertical="center"/>
    </xf>
    <xf numFmtId="4" fontId="50" fillId="0" borderId="11" xfId="0" applyNumberFormat="1" applyFont="1" applyFill="1" applyBorder="1" applyAlignment="1">
      <alignment horizontal="right" vertical="center"/>
    </xf>
    <xf numFmtId="4" fontId="52" fillId="0" borderId="11" xfId="44" applyNumberFormat="1" applyFont="1" applyFill="1" applyBorder="1" applyAlignment="1" applyProtection="1">
      <alignment horizontal="right" vertical="center"/>
      <protection locked="0"/>
    </xf>
    <xf numFmtId="2" fontId="50" fillId="0" borderId="11" xfId="44" applyNumberFormat="1" applyFont="1" applyFill="1" applyBorder="1" applyAlignment="1" applyProtection="1">
      <alignment horizontal="right" vertical="center"/>
      <protection/>
    </xf>
    <xf numFmtId="4" fontId="50" fillId="0" borderId="11" xfId="44" applyNumberFormat="1" applyFont="1" applyFill="1" applyBorder="1" applyAlignment="1" applyProtection="1">
      <alignment horizontal="right" vertical="center"/>
      <protection locked="0"/>
    </xf>
    <xf numFmtId="0" fontId="50" fillId="0" borderId="32" xfId="0" applyFont="1" applyFill="1" applyBorder="1" applyAlignment="1">
      <alignment horizontal="left" vertical="center"/>
    </xf>
    <xf numFmtId="2" fontId="50" fillId="0" borderId="31" xfId="0" applyNumberFormat="1" applyFont="1" applyFill="1" applyBorder="1" applyAlignment="1">
      <alignment horizontal="right" vertical="center"/>
    </xf>
    <xf numFmtId="0" fontId="50" fillId="0" borderId="32" xfId="0" applyFont="1" applyFill="1" applyBorder="1" applyAlignment="1" applyProtection="1">
      <alignment horizontal="left" vertical="center"/>
      <protection locked="0"/>
    </xf>
    <xf numFmtId="2" fontId="50" fillId="0" borderId="31" xfId="42" applyNumberFormat="1" applyFont="1" applyFill="1" applyBorder="1" applyAlignment="1" applyProtection="1">
      <alignment horizontal="right" vertical="center"/>
      <protection/>
    </xf>
    <xf numFmtId="0" fontId="50" fillId="0" borderId="32" xfId="0" applyFont="1" applyFill="1" applyBorder="1" applyAlignment="1">
      <alignment horizontal="left" vertical="center"/>
    </xf>
    <xf numFmtId="2" fontId="50" fillId="0" borderId="31" xfId="43" applyNumberFormat="1" applyFont="1" applyFill="1" applyBorder="1" applyAlignment="1" applyProtection="1">
      <alignment horizontal="right" vertical="center"/>
      <protection/>
    </xf>
    <xf numFmtId="0" fontId="50" fillId="0" borderId="32" xfId="0" applyNumberFormat="1" applyFont="1" applyFill="1" applyBorder="1" applyAlignment="1" applyProtection="1">
      <alignment horizontal="left" vertical="center"/>
      <protection locked="0"/>
    </xf>
    <xf numFmtId="2" fontId="50" fillId="0" borderId="31" xfId="68" applyNumberFormat="1" applyFont="1" applyFill="1" applyBorder="1" applyAlignment="1" applyProtection="1">
      <alignment horizontal="right" vertical="center"/>
      <protection/>
    </xf>
    <xf numFmtId="212" fontId="50" fillId="0" borderId="32" xfId="0" applyNumberFormat="1" applyFont="1" applyFill="1" applyBorder="1" applyAlignment="1">
      <alignment horizontal="left" vertical="center"/>
    </xf>
    <xf numFmtId="2" fontId="50" fillId="0" borderId="31" xfId="0" applyNumberFormat="1" applyFont="1" applyFill="1" applyBorder="1" applyAlignment="1">
      <alignment horizontal="right" vertical="center"/>
    </xf>
    <xf numFmtId="2" fontId="50" fillId="0" borderId="31" xfId="44" applyNumberFormat="1" applyFont="1" applyFill="1" applyBorder="1" applyAlignment="1" applyProtection="1">
      <alignment horizontal="right" vertical="center"/>
      <protection/>
    </xf>
    <xf numFmtId="0" fontId="46" fillId="0" borderId="0" xfId="0" applyFont="1" applyFill="1" applyBorder="1" applyAlignment="1">
      <alignment horizontal="left" vertical="center"/>
    </xf>
    <xf numFmtId="0" fontId="46" fillId="0" borderId="0" xfId="0" applyFont="1" applyFill="1" applyBorder="1" applyAlignment="1">
      <alignment vertical="center"/>
    </xf>
    <xf numFmtId="0" fontId="8" fillId="0" borderId="11" xfId="0" applyFont="1" applyFill="1" applyBorder="1" applyAlignment="1" applyProtection="1">
      <alignment horizontal="left" vertical="center"/>
      <protection locked="0"/>
    </xf>
    <xf numFmtId="4" fontId="38" fillId="0" borderId="33" xfId="0" applyNumberFormat="1" applyFont="1" applyFill="1" applyBorder="1" applyAlignment="1" applyProtection="1">
      <alignment horizontal="center" wrapText="1"/>
      <protection/>
    </xf>
    <xf numFmtId="3" fontId="38" fillId="0" borderId="33" xfId="0" applyNumberFormat="1" applyFont="1" applyFill="1" applyBorder="1" applyAlignment="1" applyProtection="1">
      <alignment horizontal="center" wrapText="1"/>
      <protection/>
    </xf>
    <xf numFmtId="2" fontId="38" fillId="0" borderId="33" xfId="0" applyNumberFormat="1" applyFont="1" applyFill="1" applyBorder="1" applyAlignment="1" applyProtection="1">
      <alignment horizontal="center" wrapText="1"/>
      <protection/>
    </xf>
    <xf numFmtId="2" fontId="38" fillId="0" borderId="34" xfId="0" applyNumberFormat="1" applyFont="1" applyFill="1" applyBorder="1" applyAlignment="1" applyProtection="1">
      <alignment horizontal="center" wrapText="1"/>
      <protection/>
    </xf>
    <xf numFmtId="0" fontId="37" fillId="0" borderId="15" xfId="0" applyFont="1" applyFill="1" applyBorder="1" applyAlignment="1" applyProtection="1">
      <alignment horizontal="right" vertical="center"/>
      <protection/>
    </xf>
    <xf numFmtId="184" fontId="50" fillId="0" borderId="11" xfId="0" applyNumberFormat="1" applyFont="1" applyFill="1" applyBorder="1" applyAlignment="1">
      <alignment horizontal="center" wrapText="1"/>
    </xf>
    <xf numFmtId="14" fontId="50" fillId="0" borderId="11" xfId="0" applyNumberFormat="1" applyFont="1" applyFill="1" applyBorder="1" applyAlignment="1">
      <alignment horizontal="left"/>
    </xf>
    <xf numFmtId="0" fontId="50" fillId="0" borderId="11" xfId="0" applyFont="1" applyFill="1" applyBorder="1" applyAlignment="1">
      <alignment horizontal="right"/>
    </xf>
    <xf numFmtId="4" fontId="50" fillId="0" borderId="11" xfId="0" applyNumberFormat="1" applyFont="1" applyFill="1" applyBorder="1" applyAlignment="1">
      <alignment horizontal="right"/>
    </xf>
    <xf numFmtId="3" fontId="50" fillId="0" borderId="11" xfId="0" applyNumberFormat="1" applyFont="1" applyFill="1" applyBorder="1" applyAlignment="1">
      <alignment horizontal="right"/>
    </xf>
    <xf numFmtId="0" fontId="50" fillId="0" borderId="11" xfId="0" applyNumberFormat="1" applyFont="1" applyFill="1" applyBorder="1" applyAlignment="1">
      <alignment horizontal="left" vertical="center"/>
    </xf>
    <xf numFmtId="0" fontId="50" fillId="0" borderId="11" xfId="0" applyNumberFormat="1" applyFont="1" applyFill="1" applyBorder="1" applyAlignment="1">
      <alignment horizontal="right" vertical="center"/>
    </xf>
    <xf numFmtId="0" fontId="50" fillId="0" borderId="11" xfId="0" applyNumberFormat="1" applyFont="1" applyFill="1" applyBorder="1" applyAlignment="1" applyProtection="1">
      <alignment horizontal="right" vertical="center"/>
      <protection locked="0"/>
    </xf>
    <xf numFmtId="0" fontId="50" fillId="0" borderId="11" xfId="0" applyNumberFormat="1" applyFont="1" applyFill="1" applyBorder="1" applyAlignment="1" applyProtection="1">
      <alignment horizontal="left" vertical="center"/>
      <protection locked="0"/>
    </xf>
    <xf numFmtId="0" fontId="50" fillId="0" borderId="11" xfId="0" applyNumberFormat="1" applyFont="1" applyFill="1" applyBorder="1" applyAlignment="1">
      <alignment horizontal="right" vertical="center"/>
    </xf>
    <xf numFmtId="4" fontId="52" fillId="0" borderId="11" xfId="53" applyNumberFormat="1" applyFont="1" applyFill="1" applyBorder="1" applyAlignment="1" applyProtection="1">
      <alignment horizontal="right" vertical="center"/>
      <protection/>
    </xf>
    <xf numFmtId="3" fontId="52" fillId="0" borderId="11" xfId="53" applyNumberFormat="1" applyFont="1" applyFill="1" applyBorder="1" applyAlignment="1" applyProtection="1">
      <alignment horizontal="right" vertical="center"/>
      <protection/>
    </xf>
    <xf numFmtId="3" fontId="50" fillId="0" borderId="11" xfId="53" applyNumberFormat="1" applyFont="1" applyFill="1" applyBorder="1" applyAlignment="1" applyProtection="1">
      <alignment horizontal="right" vertical="center"/>
      <protection/>
    </xf>
    <xf numFmtId="4" fontId="50" fillId="0" borderId="11" xfId="53" applyNumberFormat="1" applyFont="1" applyFill="1" applyBorder="1" applyAlignment="1" applyProtection="1">
      <alignment horizontal="right" vertical="center"/>
      <protection/>
    </xf>
    <xf numFmtId="0" fontId="50" fillId="0" borderId="32" xfId="0" applyFont="1" applyFill="1" applyBorder="1" applyAlignment="1">
      <alignment horizontal="left"/>
    </xf>
    <xf numFmtId="2" fontId="50" fillId="0" borderId="31" xfId="0" applyNumberFormat="1" applyFont="1" applyFill="1" applyBorder="1" applyAlignment="1">
      <alignment horizontal="right"/>
    </xf>
    <xf numFmtId="0" fontId="50" fillId="0" borderId="32" xfId="0" applyNumberFormat="1" applyFont="1" applyFill="1" applyBorder="1" applyAlignment="1">
      <alignment horizontal="left" vertical="center"/>
    </xf>
    <xf numFmtId="0" fontId="50" fillId="0" borderId="11" xfId="0" applyFont="1" applyFill="1" applyBorder="1" applyAlignment="1">
      <alignment horizontal="right" vertical="center"/>
    </xf>
    <xf numFmtId="0" fontId="50" fillId="0" borderId="11" xfId="0" applyFont="1" applyFill="1" applyBorder="1" applyAlignment="1">
      <alignment horizontal="left" vertical="center"/>
    </xf>
    <xf numFmtId="0" fontId="50" fillId="0" borderId="11" xfId="0" applyFont="1" applyFill="1" applyBorder="1" applyAlignment="1" applyProtection="1">
      <alignment horizontal="right" vertical="center"/>
      <protection locked="0"/>
    </xf>
    <xf numFmtId="0" fontId="50" fillId="0" borderId="11" xfId="0" applyFont="1" applyFill="1" applyBorder="1" applyAlignment="1" applyProtection="1">
      <alignment horizontal="left" vertical="center"/>
      <protection locked="0"/>
    </xf>
    <xf numFmtId="49" fontId="50" fillId="0" borderId="11" xfId="0" applyNumberFormat="1" applyFont="1" applyFill="1" applyBorder="1" applyAlignment="1" applyProtection="1">
      <alignment horizontal="left" vertical="center"/>
      <protection locked="0"/>
    </xf>
    <xf numFmtId="0" fontId="50" fillId="0" borderId="11" xfId="0" applyFont="1" applyFill="1" applyBorder="1" applyAlignment="1">
      <alignment horizontal="left" vertical="center"/>
    </xf>
    <xf numFmtId="0" fontId="50" fillId="0" borderId="11" xfId="55" applyFont="1" applyFill="1" applyBorder="1" applyAlignment="1">
      <alignment horizontal="right" vertical="center"/>
      <protection/>
    </xf>
    <xf numFmtId="200" fontId="15" fillId="0" borderId="0" xfId="0" applyNumberFormat="1" applyFont="1" applyAlignment="1">
      <alignment horizontal="right" vertical="center"/>
    </xf>
    <xf numFmtId="193" fontId="15" fillId="0" borderId="0" xfId="0" applyNumberFormat="1" applyFont="1" applyAlignment="1">
      <alignment horizontal="right" vertical="center"/>
    </xf>
    <xf numFmtId="0" fontId="14" fillId="0" borderId="0" xfId="0" applyFont="1" applyAlignment="1">
      <alignment horizontal="right" vertical="center"/>
    </xf>
    <xf numFmtId="3" fontId="50" fillId="0" borderId="11" xfId="0" applyNumberFormat="1" applyFont="1" applyFill="1" applyBorder="1" applyAlignment="1" applyProtection="1">
      <alignment horizontal="right" vertical="center"/>
      <protection/>
    </xf>
    <xf numFmtId="2" fontId="50" fillId="0" borderId="11" xfId="0" applyNumberFormat="1" applyFont="1" applyFill="1" applyBorder="1" applyAlignment="1" applyProtection="1">
      <alignment horizontal="right" vertical="center"/>
      <protection/>
    </xf>
    <xf numFmtId="4" fontId="50" fillId="0" borderId="11" xfId="0" applyNumberFormat="1" applyFont="1" applyFill="1" applyBorder="1" applyAlignment="1">
      <alignment vertical="center"/>
    </xf>
    <xf numFmtId="2" fontId="50" fillId="0" borderId="31" xfId="0" applyNumberFormat="1" applyFont="1" applyFill="1" applyBorder="1" applyAlignment="1">
      <alignment vertical="center"/>
    </xf>
    <xf numFmtId="3" fontId="50" fillId="0" borderId="11" xfId="40" applyNumberFormat="1" applyFont="1" applyFill="1" applyBorder="1" applyAlignment="1" applyProtection="1">
      <alignment horizontal="right" vertical="center"/>
      <protection/>
    </xf>
    <xf numFmtId="0" fontId="50" fillId="0" borderId="32" xfId="0" applyFont="1" applyFill="1" applyBorder="1" applyAlignment="1" applyProtection="1">
      <alignment horizontal="left" vertical="center" shrinkToFit="1"/>
      <protection locked="0"/>
    </xf>
    <xf numFmtId="184" fontId="50" fillId="0" borderId="11" xfId="0" applyNumberFormat="1" applyFont="1" applyFill="1" applyBorder="1" applyAlignment="1">
      <alignment horizontal="left" vertical="center"/>
    </xf>
    <xf numFmtId="0" fontId="50" fillId="0" borderId="11" xfId="55" applyNumberFormat="1" applyFont="1" applyFill="1" applyBorder="1" applyAlignment="1">
      <alignment horizontal="left" vertical="center"/>
      <protection/>
    </xf>
    <xf numFmtId="184" fontId="50" fillId="0" borderId="11" xfId="0" applyNumberFormat="1" applyFont="1" applyFill="1" applyBorder="1" applyAlignment="1">
      <alignment horizontal="left" vertical="center"/>
    </xf>
    <xf numFmtId="2" fontId="50" fillId="0" borderId="11" xfId="40" applyNumberFormat="1" applyFont="1" applyFill="1" applyBorder="1" applyAlignment="1" applyProtection="1">
      <alignment horizontal="right" vertical="center"/>
      <protection/>
    </xf>
    <xf numFmtId="0" fontId="31" fillId="0" borderId="0" xfId="0" applyFont="1" applyFill="1" applyBorder="1" applyAlignment="1" applyProtection="1">
      <alignment horizontal="right" vertical="center"/>
      <protection locked="0"/>
    </xf>
    <xf numFmtId="0" fontId="32" fillId="0" borderId="0" xfId="0" applyFont="1" applyFill="1" applyBorder="1" applyAlignment="1" applyProtection="1">
      <alignment horizontal="right" vertical="center"/>
      <protection locked="0"/>
    </xf>
    <xf numFmtId="0" fontId="39" fillId="0" borderId="11" xfId="0" applyFont="1" applyFill="1" applyBorder="1" applyAlignment="1" applyProtection="1">
      <alignment horizontal="right" wrapText="1"/>
      <protection locked="0"/>
    </xf>
    <xf numFmtId="0" fontId="39" fillId="0" borderId="35" xfId="0" applyFont="1" applyFill="1" applyBorder="1" applyAlignment="1" applyProtection="1">
      <alignment horizontal="right" wrapText="1"/>
      <protection locked="0"/>
    </xf>
    <xf numFmtId="0" fontId="9" fillId="0" borderId="0" xfId="0" applyFont="1" applyFill="1" applyAlignment="1">
      <alignment horizontal="right"/>
    </xf>
    <xf numFmtId="3" fontId="50" fillId="0" borderId="11" xfId="0" applyNumberFormat="1" applyFont="1" applyFill="1" applyBorder="1" applyAlignment="1">
      <alignment vertical="center"/>
    </xf>
    <xf numFmtId="3" fontId="50" fillId="0" borderId="11" xfId="43" applyNumberFormat="1" applyFont="1" applyFill="1" applyBorder="1" applyAlignment="1" applyProtection="1">
      <alignment vertical="center"/>
      <protection locked="0"/>
    </xf>
    <xf numFmtId="49" fontId="50" fillId="0" borderId="11" xfId="0" applyNumberFormat="1" applyFont="1" applyFill="1" applyBorder="1" applyAlignment="1" applyProtection="1">
      <alignment horizontal="right" vertical="center"/>
      <protection locked="0"/>
    </xf>
    <xf numFmtId="2" fontId="50" fillId="0" borderId="31" xfId="0" applyNumberFormat="1" applyFont="1" applyFill="1" applyBorder="1" applyAlignment="1" applyProtection="1">
      <alignment horizontal="right" vertical="center"/>
      <protection/>
    </xf>
    <xf numFmtId="49" fontId="50" fillId="0" borderId="32" xfId="0" applyNumberFormat="1" applyFont="1" applyFill="1" applyBorder="1" applyAlignment="1" applyProtection="1">
      <alignment horizontal="left" vertical="center"/>
      <protection locked="0"/>
    </xf>
    <xf numFmtId="184" fontId="50" fillId="0" borderId="36" xfId="0" applyNumberFormat="1" applyFont="1" applyFill="1" applyBorder="1" applyAlignment="1">
      <alignment horizontal="center" vertical="center"/>
    </xf>
    <xf numFmtId="0" fontId="50" fillId="0" borderId="36" xfId="0" applyFont="1" applyFill="1" applyBorder="1" applyAlignment="1">
      <alignment horizontal="left" vertical="center"/>
    </xf>
    <xf numFmtId="0" fontId="50" fillId="0" borderId="36" xfId="0" applyFont="1" applyFill="1" applyBorder="1" applyAlignment="1">
      <alignment horizontal="right" vertical="center"/>
    </xf>
    <xf numFmtId="4" fontId="50" fillId="0" borderId="36" xfId="43" applyNumberFormat="1" applyFont="1" applyFill="1" applyBorder="1" applyAlignment="1" applyProtection="1">
      <alignment horizontal="right" vertical="center"/>
      <protection locked="0"/>
    </xf>
    <xf numFmtId="3" fontId="50" fillId="0" borderId="36" xfId="43" applyNumberFormat="1" applyFont="1" applyFill="1" applyBorder="1" applyAlignment="1" applyProtection="1">
      <alignment horizontal="right" vertical="center"/>
      <protection locked="0"/>
    </xf>
    <xf numFmtId="2" fontId="50" fillId="0" borderId="37" xfId="43" applyNumberFormat="1" applyFont="1" applyFill="1" applyBorder="1" applyAlignment="1" applyProtection="1">
      <alignment horizontal="right" vertical="center"/>
      <protection/>
    </xf>
    <xf numFmtId="0" fontId="39" fillId="0" borderId="29" xfId="0" applyFont="1" applyFill="1" applyBorder="1" applyAlignment="1" applyProtection="1">
      <alignment wrapText="1"/>
      <protection locked="0"/>
    </xf>
    <xf numFmtId="0" fontId="39" fillId="0" borderId="38" xfId="0" applyFont="1" applyFill="1" applyBorder="1" applyAlignment="1" applyProtection="1">
      <alignment wrapText="1"/>
      <protection locked="0"/>
    </xf>
    <xf numFmtId="0" fontId="28" fillId="0" borderId="28" xfId="0" applyFont="1" applyFill="1" applyBorder="1" applyAlignment="1">
      <alignment/>
    </xf>
    <xf numFmtId="212" fontId="50" fillId="0" borderId="39" xfId="0" applyNumberFormat="1" applyFont="1" applyFill="1" applyBorder="1" applyAlignment="1">
      <alignment horizontal="left" vertical="center"/>
    </xf>
    <xf numFmtId="0" fontId="50" fillId="0" borderId="16" xfId="0" applyFont="1" applyFill="1" applyBorder="1" applyAlignment="1" applyProtection="1">
      <alignment horizontal="left" vertical="center"/>
      <protection locked="0"/>
    </xf>
    <xf numFmtId="184" fontId="50" fillId="0" borderId="12" xfId="0" applyNumberFormat="1" applyFont="1" applyFill="1" applyBorder="1" applyAlignment="1" applyProtection="1">
      <alignment horizontal="center" vertical="center"/>
      <protection locked="0"/>
    </xf>
    <xf numFmtId="0" fontId="50" fillId="0" borderId="12" xfId="0" applyFont="1" applyFill="1" applyBorder="1" applyAlignment="1" applyProtection="1">
      <alignment horizontal="left" vertical="center"/>
      <protection locked="0"/>
    </xf>
    <xf numFmtId="0" fontId="50" fillId="0" borderId="12" xfId="0" applyFont="1" applyFill="1" applyBorder="1" applyAlignment="1" applyProtection="1">
      <alignment horizontal="right" vertical="center"/>
      <protection locked="0"/>
    </xf>
    <xf numFmtId="4" fontId="52" fillId="0" borderId="12" xfId="42" applyNumberFormat="1" applyFont="1" applyFill="1" applyBorder="1" applyAlignment="1" applyProtection="1">
      <alignment horizontal="right" vertical="center"/>
      <protection locked="0"/>
    </xf>
    <xf numFmtId="3" fontId="52" fillId="0" borderId="12" xfId="42" applyNumberFormat="1" applyFont="1" applyFill="1" applyBorder="1" applyAlignment="1" applyProtection="1">
      <alignment horizontal="right" vertical="center"/>
      <protection locked="0"/>
    </xf>
    <xf numFmtId="3" fontId="50" fillId="0" borderId="12" xfId="42" applyNumberFormat="1" applyFont="1" applyFill="1" applyBorder="1" applyAlignment="1" applyProtection="1">
      <alignment horizontal="right" vertical="center"/>
      <protection/>
    </xf>
    <xf numFmtId="2" fontId="50" fillId="0" borderId="12" xfId="42" applyNumberFormat="1" applyFont="1" applyFill="1" applyBorder="1" applyAlignment="1" applyProtection="1">
      <alignment horizontal="right" vertical="center"/>
      <protection/>
    </xf>
    <xf numFmtId="4" fontId="50" fillId="0" borderId="12" xfId="42" applyNumberFormat="1" applyFont="1" applyFill="1" applyBorder="1" applyAlignment="1" applyProtection="1">
      <alignment horizontal="right" vertical="center"/>
      <protection locked="0"/>
    </xf>
    <xf numFmtId="3" fontId="50" fillId="0" borderId="12" xfId="42" applyNumberFormat="1" applyFont="1" applyFill="1" applyBorder="1" applyAlignment="1" applyProtection="1">
      <alignment horizontal="right" vertical="center"/>
      <protection locked="0"/>
    </xf>
    <xf numFmtId="2" fontId="50" fillId="0" borderId="40" xfId="42" applyNumberFormat="1" applyFont="1" applyFill="1" applyBorder="1" applyAlignment="1" applyProtection="1">
      <alignment horizontal="right" vertical="center"/>
      <protection/>
    </xf>
    <xf numFmtId="0" fontId="8" fillId="0" borderId="29" xfId="0" applyFont="1" applyFill="1" applyBorder="1" applyAlignment="1" applyProtection="1">
      <alignment horizontal="right" vertical="center"/>
      <protection locked="0"/>
    </xf>
    <xf numFmtId="184" fontId="50" fillId="34" borderId="11" xfId="0" applyNumberFormat="1" applyFont="1" applyFill="1" applyBorder="1" applyAlignment="1">
      <alignment horizontal="center" wrapText="1"/>
    </xf>
    <xf numFmtId="14" fontId="50" fillId="34" borderId="11" xfId="0" applyNumberFormat="1" applyFont="1" applyFill="1" applyBorder="1" applyAlignment="1">
      <alignment horizontal="left"/>
    </xf>
    <xf numFmtId="0" fontId="50" fillId="34" borderId="11" xfId="0" applyFont="1" applyFill="1" applyBorder="1" applyAlignment="1">
      <alignment horizontal="right"/>
    </xf>
    <xf numFmtId="4" fontId="52" fillId="34" borderId="11" xfId="0" applyNumberFormat="1" applyFont="1" applyFill="1" applyBorder="1" applyAlignment="1">
      <alignment horizontal="right"/>
    </xf>
    <xf numFmtId="3" fontId="52" fillId="34" borderId="11" xfId="0" applyNumberFormat="1" applyFont="1" applyFill="1" applyBorder="1" applyAlignment="1">
      <alignment horizontal="right"/>
    </xf>
    <xf numFmtId="3" fontId="50" fillId="34" borderId="11" xfId="0" applyNumberFormat="1" applyFont="1" applyFill="1" applyBorder="1" applyAlignment="1">
      <alignment horizontal="right"/>
    </xf>
    <xf numFmtId="2" fontId="50" fillId="34" borderId="11" xfId="0" applyNumberFormat="1" applyFont="1" applyFill="1" applyBorder="1" applyAlignment="1">
      <alignment horizontal="right"/>
    </xf>
    <xf numFmtId="4" fontId="50" fillId="34" borderId="11" xfId="0" applyNumberFormat="1" applyFont="1" applyFill="1" applyBorder="1" applyAlignment="1">
      <alignment horizontal="right"/>
    </xf>
    <xf numFmtId="3" fontId="50" fillId="34" borderId="11" xfId="0" applyNumberFormat="1" applyFont="1" applyFill="1" applyBorder="1" applyAlignment="1">
      <alignment horizontal="right"/>
    </xf>
    <xf numFmtId="0" fontId="50" fillId="0" borderId="11" xfId="0" applyFont="1" applyBorder="1" applyAlignment="1" applyProtection="1">
      <alignment horizontal="left" vertical="center"/>
      <protection locked="0"/>
    </xf>
    <xf numFmtId="0" fontId="50" fillId="0" borderId="11" xfId="0" applyFont="1" applyBorder="1" applyAlignment="1" applyProtection="1">
      <alignment horizontal="right" vertical="center"/>
      <protection locked="0"/>
    </xf>
    <xf numFmtId="3" fontId="50" fillId="0" borderId="11" xfId="68" applyNumberFormat="1" applyFont="1" applyBorder="1" applyAlignment="1" applyProtection="1">
      <alignment horizontal="right" vertical="center"/>
      <protection/>
    </xf>
    <xf numFmtId="2" fontId="50" fillId="0" borderId="11" xfId="68" applyNumberFormat="1" applyFont="1" applyBorder="1" applyAlignment="1" applyProtection="1">
      <alignment horizontal="right" vertical="center"/>
      <protection/>
    </xf>
    <xf numFmtId="184" fontId="50" fillId="0" borderId="11" xfId="0" applyNumberFormat="1" applyFont="1" applyBorder="1" applyAlignment="1" applyProtection="1">
      <alignment horizontal="center" vertical="center"/>
      <protection locked="0"/>
    </xf>
    <xf numFmtId="0" fontId="50" fillId="34" borderId="32" xfId="0" applyFont="1" applyFill="1" applyBorder="1" applyAlignment="1">
      <alignment horizontal="left"/>
    </xf>
    <xf numFmtId="2" fontId="50" fillId="34" borderId="31" xfId="0" applyNumberFormat="1" applyFont="1" applyFill="1" applyBorder="1" applyAlignment="1">
      <alignment horizontal="right"/>
    </xf>
    <xf numFmtId="2" fontId="50" fillId="0" borderId="31" xfId="68" applyNumberFormat="1" applyFont="1" applyBorder="1" applyAlignment="1" applyProtection="1">
      <alignment horizontal="right" vertical="center"/>
      <protection/>
    </xf>
    <xf numFmtId="184" fontId="50" fillId="0" borderId="10" xfId="0" applyNumberFormat="1" applyFont="1" applyFill="1" applyBorder="1" applyAlignment="1" applyProtection="1">
      <alignment horizontal="center" vertical="center"/>
      <protection locked="0"/>
    </xf>
    <xf numFmtId="0" fontId="38" fillId="0" borderId="41" xfId="0" applyFont="1" applyFill="1" applyBorder="1" applyAlignment="1" applyProtection="1">
      <alignment vertical="center"/>
      <protection locked="0"/>
    </xf>
    <xf numFmtId="0" fontId="35" fillId="0" borderId="29" xfId="0" applyFont="1" applyFill="1" applyBorder="1" applyAlignment="1" applyProtection="1">
      <alignment horizontal="right" vertical="center" wrapText="1"/>
      <protection locked="0"/>
    </xf>
    <xf numFmtId="0" fontId="9" fillId="0" borderId="29" xfId="0" applyFont="1" applyFill="1" applyBorder="1" applyAlignment="1">
      <alignment horizontal="right"/>
    </xf>
    <xf numFmtId="0" fontId="8" fillId="0" borderId="0" xfId="0" applyNumberFormat="1" applyFont="1" applyFill="1" applyBorder="1" applyAlignment="1" applyProtection="1">
      <alignment vertical="center"/>
      <protection locked="0"/>
    </xf>
    <xf numFmtId="0" fontId="8" fillId="0" borderId="0" xfId="0" applyFont="1" applyFill="1" applyBorder="1" applyAlignment="1" applyProtection="1">
      <alignment vertical="center"/>
      <protection locked="0"/>
    </xf>
    <xf numFmtId="0" fontId="28" fillId="0" borderId="0" xfId="0" applyFont="1" applyFill="1" applyBorder="1" applyAlignment="1">
      <alignment/>
    </xf>
    <xf numFmtId="0" fontId="8" fillId="0" borderId="0" xfId="0" applyFont="1" applyFill="1" applyBorder="1" applyAlignment="1" applyProtection="1">
      <alignment vertical="center" shrinkToFit="1"/>
      <protection locked="0"/>
    </xf>
    <xf numFmtId="0" fontId="8" fillId="0" borderId="0" xfId="0" applyFont="1" applyFill="1" applyBorder="1" applyAlignment="1">
      <alignment vertical="center"/>
    </xf>
    <xf numFmtId="0" fontId="8" fillId="0" borderId="0" xfId="0" applyFont="1" applyFill="1" applyBorder="1" applyAlignment="1">
      <alignment/>
    </xf>
    <xf numFmtId="0" fontId="8" fillId="0" borderId="0" xfId="53" applyFont="1" applyFill="1" applyBorder="1" applyAlignment="1" applyProtection="1">
      <alignment vertical="center"/>
      <protection locked="0"/>
    </xf>
    <xf numFmtId="0" fontId="8" fillId="0" borderId="0" xfId="0" applyFont="1" applyFill="1" applyBorder="1" applyAlignment="1" applyProtection="1">
      <alignment vertical="center"/>
      <protection locked="0"/>
    </xf>
    <xf numFmtId="0" fontId="8" fillId="0" borderId="0" xfId="0" applyFont="1" applyFill="1" applyBorder="1" applyAlignment="1">
      <alignment vertical="center"/>
    </xf>
    <xf numFmtId="0" fontId="8" fillId="0" borderId="0" xfId="0" applyFont="1" applyFill="1" applyBorder="1" applyAlignment="1">
      <alignment/>
    </xf>
    <xf numFmtId="0" fontId="8" fillId="0" borderId="0" xfId="53" applyFont="1" applyFill="1" applyBorder="1" applyAlignment="1" applyProtection="1">
      <alignment vertical="center" shrinkToFit="1"/>
      <protection locked="0"/>
    </xf>
    <xf numFmtId="0" fontId="8" fillId="0" borderId="0" xfId="0" applyFont="1" applyFill="1" applyBorder="1" applyAlignment="1" applyProtection="1">
      <alignment horizontal="right" vertical="center"/>
      <protection locked="0"/>
    </xf>
    <xf numFmtId="0" fontId="38" fillId="0" borderId="42" xfId="0" applyFont="1" applyFill="1" applyBorder="1" applyAlignment="1">
      <alignment horizontal="right" vertical="center"/>
    </xf>
    <xf numFmtId="14" fontId="50" fillId="0" borderId="11" xfId="0" applyNumberFormat="1" applyFont="1" applyFill="1" applyBorder="1" applyAlignment="1">
      <alignment horizontal="left" vertical="center"/>
    </xf>
    <xf numFmtId="184" fontId="50" fillId="0" borderId="11" xfId="54" applyNumberFormat="1" applyFont="1" applyFill="1" applyBorder="1" applyAlignment="1">
      <alignment horizontal="center" vertical="center"/>
      <protection/>
    </xf>
    <xf numFmtId="0" fontId="50" fillId="0" borderId="11" xfId="54" applyFont="1" applyFill="1" applyBorder="1" applyAlignment="1">
      <alignment horizontal="right" vertical="center"/>
      <protection/>
    </xf>
    <xf numFmtId="0" fontId="50" fillId="0" borderId="11" xfId="0" applyFont="1" applyFill="1" applyBorder="1" applyAlignment="1">
      <alignment horizontal="right" vertical="center"/>
    </xf>
    <xf numFmtId="3" fontId="52" fillId="0" borderId="11" xfId="0" applyNumberFormat="1" applyFont="1" applyFill="1" applyBorder="1" applyAlignment="1">
      <alignment horizontal="right" vertical="center"/>
    </xf>
    <xf numFmtId="2" fontId="50" fillId="0" borderId="11" xfId="0" applyNumberFormat="1" applyFont="1" applyFill="1" applyBorder="1" applyAlignment="1">
      <alignment horizontal="right" vertical="center"/>
    </xf>
    <xf numFmtId="0" fontId="50" fillId="0" borderId="32" xfId="54" applyFont="1" applyFill="1" applyBorder="1" applyAlignment="1">
      <alignment horizontal="left" vertical="center"/>
      <protection/>
    </xf>
    <xf numFmtId="0" fontId="50" fillId="0" borderId="39" xfId="0" applyNumberFormat="1" applyFont="1" applyFill="1" applyBorder="1" applyAlignment="1" applyProtection="1">
      <alignment horizontal="left" vertical="center"/>
      <protection locked="0"/>
    </xf>
    <xf numFmtId="184" fontId="50" fillId="0" borderId="36" xfId="0" applyNumberFormat="1" applyFont="1" applyFill="1" applyBorder="1" applyAlignment="1" applyProtection="1">
      <alignment horizontal="center" vertical="center"/>
      <protection locked="0"/>
    </xf>
    <xf numFmtId="49" fontId="50" fillId="0" borderId="36" xfId="0" applyNumberFormat="1" applyFont="1" applyFill="1" applyBorder="1" applyAlignment="1" applyProtection="1">
      <alignment horizontal="left" vertical="center"/>
      <protection locked="0"/>
    </xf>
    <xf numFmtId="0" fontId="50" fillId="0" borderId="36" xfId="0" applyNumberFormat="1" applyFont="1" applyFill="1" applyBorder="1" applyAlignment="1" applyProtection="1">
      <alignment horizontal="right" vertical="center"/>
      <protection locked="0"/>
    </xf>
    <xf numFmtId="4" fontId="52" fillId="0" borderId="36" xfId="40" applyNumberFormat="1" applyFont="1" applyFill="1" applyBorder="1" applyAlignment="1" applyProtection="1">
      <alignment horizontal="right" vertical="center"/>
      <protection locked="0"/>
    </xf>
    <xf numFmtId="3" fontId="52" fillId="0" borderId="36" xfId="40" applyNumberFormat="1" applyFont="1" applyFill="1" applyBorder="1" applyAlignment="1" applyProtection="1">
      <alignment horizontal="right" vertical="center"/>
      <protection locked="0"/>
    </xf>
    <xf numFmtId="3" fontId="50" fillId="0" borderId="36" xfId="68" applyNumberFormat="1" applyFont="1" applyFill="1" applyBorder="1" applyAlignment="1" applyProtection="1">
      <alignment horizontal="right" vertical="center"/>
      <protection/>
    </xf>
    <xf numFmtId="2" fontId="50" fillId="0" borderId="36" xfId="68" applyNumberFormat="1" applyFont="1" applyFill="1" applyBorder="1" applyAlignment="1" applyProtection="1">
      <alignment horizontal="right" vertical="center"/>
      <protection/>
    </xf>
    <xf numFmtId="4" fontId="50" fillId="0" borderId="36" xfId="40" applyNumberFormat="1" applyFont="1" applyFill="1" applyBorder="1" applyAlignment="1" applyProtection="1">
      <alignment horizontal="right" vertical="center"/>
      <protection locked="0"/>
    </xf>
    <xf numFmtId="3" fontId="50" fillId="0" borderId="36" xfId="40" applyNumberFormat="1" applyFont="1" applyFill="1" applyBorder="1" applyAlignment="1" applyProtection="1">
      <alignment horizontal="right" vertical="center"/>
      <protection locked="0"/>
    </xf>
    <xf numFmtId="2" fontId="50" fillId="0" borderId="37" xfId="68" applyNumberFormat="1" applyFont="1" applyFill="1" applyBorder="1" applyAlignment="1" applyProtection="1">
      <alignment horizontal="right" vertical="center"/>
      <protection/>
    </xf>
    <xf numFmtId="0" fontId="50" fillId="0" borderId="43" xfId="0" applyFont="1" applyFill="1" applyBorder="1" applyAlignment="1" applyProtection="1">
      <alignment horizontal="left" vertical="center"/>
      <protection locked="0"/>
    </xf>
    <xf numFmtId="0" fontId="50" fillId="0" borderId="10" xfId="0" applyFont="1" applyFill="1" applyBorder="1" applyAlignment="1" applyProtection="1">
      <alignment horizontal="left" vertical="center"/>
      <protection locked="0"/>
    </xf>
    <xf numFmtId="0" fontId="50" fillId="0" borderId="10" xfId="0" applyFont="1" applyFill="1" applyBorder="1" applyAlignment="1" applyProtection="1">
      <alignment horizontal="right" vertical="center"/>
      <protection locked="0"/>
    </xf>
    <xf numFmtId="4" fontId="52" fillId="0" borderId="10" xfId="42" applyNumberFormat="1" applyFont="1" applyFill="1" applyBorder="1" applyAlignment="1" applyProtection="1">
      <alignment horizontal="right" vertical="center"/>
      <protection locked="0"/>
    </xf>
    <xf numFmtId="3" fontId="52" fillId="0" borderId="10" xfId="42" applyNumberFormat="1" applyFont="1" applyFill="1" applyBorder="1" applyAlignment="1" applyProtection="1">
      <alignment horizontal="right" vertical="center"/>
      <protection locked="0"/>
    </xf>
    <xf numFmtId="3" fontId="50" fillId="0" borderId="10" xfId="42" applyNumberFormat="1" applyFont="1" applyFill="1" applyBorder="1" applyAlignment="1" applyProtection="1">
      <alignment horizontal="right" vertical="center"/>
      <protection/>
    </xf>
    <xf numFmtId="2" fontId="50" fillId="0" borderId="10" xfId="42" applyNumberFormat="1" applyFont="1" applyFill="1" applyBorder="1" applyAlignment="1" applyProtection="1">
      <alignment horizontal="right" vertical="center"/>
      <protection/>
    </xf>
    <xf numFmtId="4" fontId="50" fillId="0" borderId="10" xfId="42" applyNumberFormat="1" applyFont="1" applyFill="1" applyBorder="1" applyAlignment="1" applyProtection="1">
      <alignment horizontal="right" vertical="center"/>
      <protection locked="0"/>
    </xf>
    <xf numFmtId="3" fontId="50" fillId="0" borderId="10" xfId="42" applyNumberFormat="1" applyFont="1" applyFill="1" applyBorder="1" applyAlignment="1" applyProtection="1">
      <alignment horizontal="right" vertical="center"/>
      <protection locked="0"/>
    </xf>
    <xf numFmtId="2" fontId="50" fillId="0" borderId="44" xfId="42" applyNumberFormat="1" applyFont="1" applyFill="1" applyBorder="1" applyAlignment="1" applyProtection="1">
      <alignment horizontal="right" vertical="center"/>
      <protection/>
    </xf>
    <xf numFmtId="0" fontId="50" fillId="0" borderId="45" xfId="0" applyFont="1" applyFill="1" applyBorder="1" applyAlignment="1" applyProtection="1">
      <alignment horizontal="left" vertical="center"/>
      <protection locked="0"/>
    </xf>
    <xf numFmtId="184" fontId="50" fillId="0" borderId="46" xfId="0" applyNumberFormat="1" applyFont="1" applyFill="1" applyBorder="1" applyAlignment="1" applyProtection="1">
      <alignment horizontal="center" vertical="center"/>
      <protection locked="0"/>
    </xf>
    <xf numFmtId="0" fontId="50" fillId="0" borderId="46" xfId="0" applyFont="1" applyFill="1" applyBorder="1" applyAlignment="1" applyProtection="1">
      <alignment horizontal="left" vertical="center"/>
      <protection locked="0"/>
    </xf>
    <xf numFmtId="0" fontId="50" fillId="0" borderId="46" xfId="0" applyFont="1" applyFill="1" applyBorder="1" applyAlignment="1" applyProtection="1">
      <alignment horizontal="right" vertical="center"/>
      <protection locked="0"/>
    </xf>
    <xf numFmtId="4" fontId="52" fillId="0" borderId="46" xfId="42" applyNumberFormat="1" applyFont="1" applyFill="1" applyBorder="1" applyAlignment="1" applyProtection="1">
      <alignment horizontal="right" vertical="center"/>
      <protection locked="0"/>
    </xf>
    <xf numFmtId="3" fontId="52" fillId="0" borderId="46" xfId="42" applyNumberFormat="1" applyFont="1" applyFill="1" applyBorder="1" applyAlignment="1" applyProtection="1">
      <alignment horizontal="right" vertical="center"/>
      <protection locked="0"/>
    </xf>
    <xf numFmtId="3" fontId="50" fillId="0" borderId="46" xfId="42" applyNumberFormat="1" applyFont="1" applyFill="1" applyBorder="1" applyAlignment="1" applyProtection="1">
      <alignment horizontal="right" vertical="center"/>
      <protection/>
    </xf>
    <xf numFmtId="2" fontId="50" fillId="0" borderId="46" xfId="42" applyNumberFormat="1" applyFont="1" applyFill="1" applyBorder="1" applyAlignment="1" applyProtection="1">
      <alignment horizontal="right" vertical="center"/>
      <protection/>
    </xf>
    <xf numFmtId="4" fontId="50" fillId="0" borderId="46" xfId="42" applyNumberFormat="1" applyFont="1" applyFill="1" applyBorder="1" applyAlignment="1" applyProtection="1">
      <alignment horizontal="right" vertical="center"/>
      <protection locked="0"/>
    </xf>
    <xf numFmtId="3" fontId="50" fillId="0" borderId="46" xfId="42" applyNumberFormat="1" applyFont="1" applyFill="1" applyBorder="1" applyAlignment="1" applyProtection="1">
      <alignment horizontal="right" vertical="center"/>
      <protection locked="0"/>
    </xf>
    <xf numFmtId="2" fontId="50" fillId="0" borderId="47" xfId="42" applyNumberFormat="1" applyFont="1" applyFill="1" applyBorder="1" applyAlignment="1" applyProtection="1">
      <alignment horizontal="right" vertical="center"/>
      <protection/>
    </xf>
    <xf numFmtId="0" fontId="8" fillId="0" borderId="29" xfId="0" applyFont="1" applyFill="1" applyBorder="1" applyAlignment="1">
      <alignment horizontal="right" vertical="center"/>
    </xf>
    <xf numFmtId="0" fontId="8" fillId="0" borderId="29" xfId="0" applyFont="1" applyFill="1" applyBorder="1" applyAlignment="1">
      <alignment horizontal="right" vertical="center"/>
    </xf>
    <xf numFmtId="0" fontId="8" fillId="0" borderId="29" xfId="0" applyFont="1" applyFill="1" applyBorder="1" applyAlignment="1" applyProtection="1">
      <alignment horizontal="right" vertical="center"/>
      <protection locked="0"/>
    </xf>
    <xf numFmtId="0" fontId="8" fillId="0" borderId="29" xfId="53" applyFont="1" applyFill="1" applyBorder="1" applyAlignment="1" applyProtection="1">
      <alignment horizontal="right" vertical="center"/>
      <protection locked="0"/>
    </xf>
    <xf numFmtId="0" fontId="50" fillId="0" borderId="11" xfId="0" applyFont="1" applyFill="1" applyBorder="1" applyAlignment="1">
      <alignment vertical="center"/>
    </xf>
    <xf numFmtId="184" fontId="50" fillId="0" borderId="11" xfId="0" applyNumberFormat="1" applyFont="1" applyFill="1" applyBorder="1" applyAlignment="1">
      <alignment horizontal="center" vertical="center" shrinkToFit="1"/>
    </xf>
    <xf numFmtId="14" fontId="50" fillId="0" borderId="11" xfId="0" applyNumberFormat="1" applyFont="1" applyFill="1" applyBorder="1" applyAlignment="1">
      <alignment vertical="center"/>
    </xf>
    <xf numFmtId="0" fontId="50" fillId="0" borderId="11" xfId="0" applyFont="1" applyFill="1" applyBorder="1" applyAlignment="1">
      <alignment horizontal="right" vertical="center" shrinkToFit="1"/>
    </xf>
    <xf numFmtId="4" fontId="52" fillId="0" borderId="11" xfId="0" applyNumberFormat="1" applyFont="1" applyFill="1" applyBorder="1" applyAlignment="1">
      <alignment horizontal="right"/>
    </xf>
    <xf numFmtId="4" fontId="52" fillId="0" borderId="11" xfId="43" applyNumberFormat="1" applyFont="1" applyFill="1" applyBorder="1" applyAlignment="1" applyProtection="1">
      <alignment horizontal="right" vertical="center" shrinkToFit="1"/>
      <protection locked="0"/>
    </xf>
    <xf numFmtId="4" fontId="52" fillId="0" borderId="11" xfId="43" applyNumberFormat="1" applyFont="1" applyFill="1" applyBorder="1" applyAlignment="1" applyProtection="1">
      <alignment vertical="center"/>
      <protection locked="0"/>
    </xf>
    <xf numFmtId="4" fontId="52" fillId="0" borderId="11" xfId="0" applyNumberFormat="1" applyFont="1" applyFill="1" applyBorder="1" applyAlignment="1">
      <alignment vertical="center"/>
    </xf>
    <xf numFmtId="3" fontId="52" fillId="0" borderId="11" xfId="0" applyNumberFormat="1" applyFont="1" applyFill="1" applyBorder="1" applyAlignment="1">
      <alignment horizontal="right"/>
    </xf>
    <xf numFmtId="3" fontId="52" fillId="0" borderId="11" xfId="43" applyNumberFormat="1" applyFont="1" applyFill="1" applyBorder="1" applyAlignment="1" applyProtection="1">
      <alignment horizontal="right" vertical="center" shrinkToFit="1"/>
      <protection locked="0"/>
    </xf>
    <xf numFmtId="3" fontId="50" fillId="0" borderId="11" xfId="43" applyNumberFormat="1" applyFont="1" applyFill="1" applyBorder="1" applyAlignment="1" applyProtection="1">
      <alignment horizontal="right" vertical="center" shrinkToFit="1"/>
      <protection/>
    </xf>
    <xf numFmtId="2" fontId="50" fillId="0" borderId="11" xfId="0" applyNumberFormat="1" applyFont="1" applyFill="1" applyBorder="1" applyAlignment="1">
      <alignment horizontal="right"/>
    </xf>
    <xf numFmtId="2" fontId="50" fillId="0" borderId="11" xfId="43" applyNumberFormat="1" applyFont="1" applyFill="1" applyBorder="1" applyAlignment="1" applyProtection="1">
      <alignment horizontal="right" vertical="center" shrinkToFit="1"/>
      <protection/>
    </xf>
    <xf numFmtId="2" fontId="50" fillId="0" borderId="11" xfId="43" applyNumberFormat="1" applyFont="1" applyFill="1" applyBorder="1" applyAlignment="1" applyProtection="1">
      <alignment vertical="center"/>
      <protection/>
    </xf>
    <xf numFmtId="2" fontId="50" fillId="0" borderId="11" xfId="0" applyNumberFormat="1" applyFont="1" applyFill="1" applyBorder="1" applyAlignment="1">
      <alignment vertical="center"/>
    </xf>
    <xf numFmtId="4" fontId="50" fillId="0" borderId="11" xfId="43" applyNumberFormat="1" applyFont="1" applyFill="1" applyBorder="1" applyAlignment="1" applyProtection="1">
      <alignment horizontal="right" vertical="center" shrinkToFit="1"/>
      <protection locked="0"/>
    </xf>
    <xf numFmtId="3" fontId="50" fillId="0" borderId="11" xfId="43" applyNumberFormat="1" applyFont="1" applyFill="1" applyBorder="1" applyAlignment="1" applyProtection="1">
      <alignment horizontal="right" vertical="center" shrinkToFit="1"/>
      <protection locked="0"/>
    </xf>
    <xf numFmtId="0" fontId="8" fillId="0" borderId="29" xfId="0" applyFont="1" applyFill="1" applyBorder="1" applyAlignment="1" applyProtection="1">
      <alignment vertical="center"/>
      <protection locked="0"/>
    </xf>
    <xf numFmtId="0" fontId="8" fillId="0" borderId="29" xfId="0" applyFont="1" applyFill="1" applyBorder="1" applyAlignment="1">
      <alignment/>
    </xf>
    <xf numFmtId="0" fontId="28" fillId="0" borderId="29" xfId="0" applyFont="1" applyFill="1" applyBorder="1" applyAlignment="1">
      <alignment/>
    </xf>
    <xf numFmtId="0" fontId="8" fillId="0" borderId="29" xfId="0" applyFont="1" applyFill="1" applyBorder="1" applyAlignment="1" applyProtection="1">
      <alignment vertical="center" shrinkToFit="1"/>
      <protection locked="0"/>
    </xf>
    <xf numFmtId="0" fontId="8" fillId="0" borderId="29" xfId="0" applyFont="1" applyFill="1" applyBorder="1" applyAlignment="1" applyProtection="1">
      <alignment vertical="center"/>
      <protection locked="0"/>
    </xf>
    <xf numFmtId="0" fontId="8" fillId="0" borderId="29" xfId="0" applyFont="1" applyFill="1" applyBorder="1" applyAlignment="1">
      <alignment vertical="center"/>
    </xf>
    <xf numFmtId="0" fontId="8" fillId="0" borderId="29" xfId="0" applyFont="1" applyFill="1" applyBorder="1" applyAlignment="1">
      <alignment/>
    </xf>
    <xf numFmtId="3" fontId="52" fillId="0" borderId="11" xfId="43" applyNumberFormat="1" applyFont="1" applyFill="1" applyBorder="1" applyAlignment="1" applyProtection="1">
      <alignment vertical="center"/>
      <protection locked="0"/>
    </xf>
    <xf numFmtId="3" fontId="50" fillId="0" borderId="11" xfId="43" applyNumberFormat="1" applyFont="1" applyFill="1" applyBorder="1" applyAlignment="1" applyProtection="1">
      <alignment vertical="center"/>
      <protection/>
    </xf>
    <xf numFmtId="0" fontId="50" fillId="0" borderId="11" xfId="0" applyFont="1" applyFill="1" applyBorder="1" applyAlignment="1" applyProtection="1">
      <alignment vertical="center"/>
      <protection locked="0"/>
    </xf>
    <xf numFmtId="4" fontId="52" fillId="0" borderId="11" xfId="42" applyNumberFormat="1" applyFont="1" applyFill="1" applyBorder="1" applyAlignment="1" applyProtection="1">
      <alignment vertical="center"/>
      <protection locked="0"/>
    </xf>
    <xf numFmtId="2" fontId="50" fillId="0" borderId="11" xfId="42" applyNumberFormat="1" applyFont="1" applyFill="1" applyBorder="1" applyAlignment="1" applyProtection="1">
      <alignment vertical="center"/>
      <protection/>
    </xf>
    <xf numFmtId="4" fontId="50" fillId="0" borderId="11" xfId="42" applyNumberFormat="1" applyFont="1" applyFill="1" applyBorder="1" applyAlignment="1" applyProtection="1">
      <alignment vertical="center"/>
      <protection locked="0"/>
    </xf>
    <xf numFmtId="184" fontId="50" fillId="0" borderId="11" xfId="0" applyNumberFormat="1" applyFont="1" applyFill="1" applyBorder="1" applyAlignment="1" applyProtection="1">
      <alignment horizontal="left" vertical="center"/>
      <protection locked="0"/>
    </xf>
    <xf numFmtId="3" fontId="52" fillId="0" borderId="11" xfId="42" applyNumberFormat="1" applyFont="1" applyFill="1" applyBorder="1" applyAlignment="1" applyProtection="1">
      <alignment vertical="center"/>
      <protection locked="0"/>
    </xf>
    <xf numFmtId="3" fontId="50" fillId="0" borderId="11" xfId="42" applyNumberFormat="1" applyFont="1" applyFill="1" applyBorder="1" applyAlignment="1" applyProtection="1">
      <alignment vertical="center"/>
      <protection/>
    </xf>
    <xf numFmtId="3" fontId="50" fillId="0" borderId="11" xfId="42" applyNumberFormat="1" applyFont="1" applyFill="1" applyBorder="1" applyAlignment="1" applyProtection="1">
      <alignment vertical="center"/>
      <protection locked="0"/>
    </xf>
    <xf numFmtId="4" fontId="52" fillId="0" borderId="11" xfId="40" applyNumberFormat="1" applyFont="1" applyFill="1" applyBorder="1" applyAlignment="1" applyProtection="1">
      <alignment vertical="center"/>
      <protection/>
    </xf>
    <xf numFmtId="2" fontId="50" fillId="0" borderId="11" xfId="68" applyNumberFormat="1" applyFont="1" applyFill="1" applyBorder="1" applyAlignment="1" applyProtection="1">
      <alignment vertical="center"/>
      <protection/>
    </xf>
    <xf numFmtId="4" fontId="50" fillId="0" borderId="11" xfId="40" applyNumberFormat="1" applyFont="1" applyFill="1" applyBorder="1" applyAlignment="1" applyProtection="1">
      <alignment vertical="center"/>
      <protection/>
    </xf>
    <xf numFmtId="0" fontId="50" fillId="0" borderId="11" xfId="0" applyNumberFormat="1" applyFont="1" applyFill="1" applyBorder="1" applyAlignment="1">
      <alignment horizontal="left" vertical="center"/>
    </xf>
    <xf numFmtId="184" fontId="50" fillId="0" borderId="11" xfId="0" applyNumberFormat="1" applyFont="1" applyFill="1" applyBorder="1" applyAlignment="1">
      <alignment horizontal="center"/>
    </xf>
    <xf numFmtId="0" fontId="50" fillId="0" borderId="11" xfId="0" applyFont="1" applyFill="1" applyBorder="1" applyAlignment="1">
      <alignment horizontal="right"/>
    </xf>
    <xf numFmtId="4" fontId="52" fillId="0" borderId="11" xfId="0" applyNumberFormat="1" applyFont="1" applyFill="1" applyBorder="1" applyAlignment="1">
      <alignment horizontal="right"/>
    </xf>
    <xf numFmtId="3" fontId="52" fillId="0" borderId="11" xfId="0" applyNumberFormat="1" applyFont="1" applyFill="1" applyBorder="1" applyAlignment="1">
      <alignment horizontal="right"/>
    </xf>
    <xf numFmtId="2" fontId="50" fillId="0" borderId="11" xfId="0" applyNumberFormat="1" applyFont="1" applyFill="1" applyBorder="1" applyAlignment="1">
      <alignment horizontal="right"/>
    </xf>
    <xf numFmtId="4" fontId="50" fillId="0" borderId="11" xfId="0" applyNumberFormat="1" applyFont="1" applyFill="1" applyBorder="1" applyAlignment="1">
      <alignment horizontal="right"/>
    </xf>
    <xf numFmtId="4" fontId="52" fillId="0" borderId="11" xfId="0" applyNumberFormat="1" applyFont="1" applyFill="1" applyBorder="1" applyAlignment="1">
      <alignment vertical="center"/>
    </xf>
    <xf numFmtId="2" fontId="50" fillId="0" borderId="11" xfId="0" applyNumberFormat="1" applyFont="1" applyFill="1" applyBorder="1" applyAlignment="1">
      <alignment vertical="center"/>
    </xf>
    <xf numFmtId="0" fontId="50" fillId="0" borderId="11" xfId="0" applyNumberFormat="1" applyFont="1" applyFill="1" applyBorder="1" applyAlignment="1">
      <alignment horizontal="right" vertical="center"/>
    </xf>
    <xf numFmtId="0" fontId="50" fillId="0" borderId="11" xfId="0" applyNumberFormat="1" applyFont="1" applyFill="1" applyBorder="1" applyAlignment="1" applyProtection="1">
      <alignment vertical="center"/>
      <protection locked="0"/>
    </xf>
    <xf numFmtId="4" fontId="52" fillId="0" borderId="11" xfId="44" applyNumberFormat="1" applyFont="1" applyFill="1" applyBorder="1" applyAlignment="1" applyProtection="1">
      <alignment vertical="center"/>
      <protection locked="0"/>
    </xf>
    <xf numFmtId="2" fontId="50" fillId="0" borderId="11" xfId="44" applyNumberFormat="1" applyFont="1" applyFill="1" applyBorder="1" applyAlignment="1" applyProtection="1">
      <alignment vertical="center"/>
      <protection/>
    </xf>
    <xf numFmtId="4" fontId="50" fillId="0" borderId="11" xfId="44" applyNumberFormat="1" applyFont="1" applyFill="1" applyBorder="1" applyAlignment="1" applyProtection="1">
      <alignment vertical="center"/>
      <protection locked="0"/>
    </xf>
    <xf numFmtId="184" fontId="50" fillId="0" borderId="11" xfId="55" applyNumberFormat="1" applyFont="1" applyFill="1" applyBorder="1" applyAlignment="1">
      <alignment horizontal="left" vertical="center"/>
      <protection/>
    </xf>
    <xf numFmtId="0" fontId="50" fillId="0" borderId="11" xfId="55" applyNumberFormat="1" applyFont="1" applyFill="1" applyBorder="1" applyAlignment="1">
      <alignment horizontal="right" vertical="center"/>
      <protection/>
    </xf>
    <xf numFmtId="184" fontId="50" fillId="0" borderId="11" xfId="55" applyNumberFormat="1" applyFont="1" applyFill="1" applyBorder="1" applyAlignment="1">
      <alignment horizontal="center" vertical="center" shrinkToFit="1"/>
      <protection/>
    </xf>
    <xf numFmtId="0" fontId="50" fillId="0" borderId="11" xfId="55" applyFont="1" applyFill="1" applyBorder="1" applyAlignment="1">
      <alignment horizontal="right" vertical="center" shrinkToFit="1"/>
      <protection/>
    </xf>
    <xf numFmtId="3" fontId="52" fillId="0" borderId="11" xfId="40" applyNumberFormat="1" applyFont="1" applyFill="1" applyBorder="1" applyAlignment="1" applyProtection="1">
      <alignment vertical="center"/>
      <protection/>
    </xf>
    <xf numFmtId="3" fontId="50" fillId="0" borderId="11" xfId="68" applyNumberFormat="1" applyFont="1" applyFill="1" applyBorder="1" applyAlignment="1" applyProtection="1">
      <alignment vertical="center"/>
      <protection/>
    </xf>
    <xf numFmtId="49" fontId="50" fillId="0" borderId="11" xfId="0" applyNumberFormat="1" applyFont="1" applyFill="1" applyBorder="1" applyAlignment="1" applyProtection="1">
      <alignment vertical="center"/>
      <protection locked="0"/>
    </xf>
    <xf numFmtId="4" fontId="52" fillId="0" borderId="11" xfId="40" applyNumberFormat="1" applyFont="1" applyFill="1" applyBorder="1" applyAlignment="1" applyProtection="1">
      <alignment vertical="center"/>
      <protection locked="0"/>
    </xf>
    <xf numFmtId="4" fontId="50" fillId="0" borderId="11" xfId="40" applyNumberFormat="1" applyFont="1" applyFill="1" applyBorder="1" applyAlignment="1" applyProtection="1">
      <alignment vertical="center"/>
      <protection locked="0"/>
    </xf>
    <xf numFmtId="0" fontId="50" fillId="0" borderId="11" xfId="53" applyFont="1" applyFill="1" applyBorder="1" applyAlignment="1">
      <alignment horizontal="left" vertical="center"/>
      <protection/>
    </xf>
    <xf numFmtId="184" fontId="50" fillId="0" borderId="11" xfId="53" applyNumberFormat="1" applyFont="1" applyFill="1" applyBorder="1" applyAlignment="1">
      <alignment horizontal="center" vertical="center"/>
      <protection/>
    </xf>
    <xf numFmtId="0" fontId="50" fillId="0" borderId="11" xfId="53" applyFont="1" applyFill="1" applyBorder="1" applyAlignment="1">
      <alignment horizontal="right" vertical="center"/>
      <protection/>
    </xf>
    <xf numFmtId="0" fontId="50" fillId="0" borderId="11" xfId="53" applyNumberFormat="1" applyFont="1" applyFill="1" applyBorder="1" applyAlignment="1">
      <alignment horizontal="left" vertical="center"/>
      <protection/>
    </xf>
    <xf numFmtId="0" fontId="50" fillId="0" borderId="11" xfId="53" applyNumberFormat="1" applyFont="1" applyFill="1" applyBorder="1" applyAlignment="1">
      <alignment horizontal="right" vertical="center"/>
      <protection/>
    </xf>
    <xf numFmtId="2" fontId="50" fillId="0" borderId="11" xfId="53" applyNumberFormat="1" applyFont="1" applyFill="1" applyBorder="1" applyAlignment="1" applyProtection="1">
      <alignment horizontal="right" vertical="center"/>
      <protection/>
    </xf>
    <xf numFmtId="3" fontId="52" fillId="0" borderId="11" xfId="0" applyNumberFormat="1" applyFont="1" applyFill="1" applyBorder="1" applyAlignment="1">
      <alignment vertical="center"/>
    </xf>
    <xf numFmtId="3" fontId="52" fillId="0" borderId="11" xfId="44" applyNumberFormat="1" applyFont="1" applyFill="1" applyBorder="1" applyAlignment="1" applyProtection="1">
      <alignment vertical="center"/>
      <protection locked="0"/>
    </xf>
    <xf numFmtId="3" fontId="50" fillId="0" borderId="11" xfId="44" applyNumberFormat="1" applyFont="1" applyFill="1" applyBorder="1" applyAlignment="1" applyProtection="1">
      <alignment vertical="center"/>
      <protection/>
    </xf>
    <xf numFmtId="3" fontId="50" fillId="0" borderId="11" xfId="44" applyNumberFormat="1" applyFont="1" applyFill="1" applyBorder="1" applyAlignment="1" applyProtection="1">
      <alignment vertical="center"/>
      <protection locked="0"/>
    </xf>
    <xf numFmtId="3" fontId="52" fillId="0" borderId="11" xfId="40" applyNumberFormat="1" applyFont="1" applyFill="1" applyBorder="1" applyAlignment="1" applyProtection="1">
      <alignment vertical="center"/>
      <protection locked="0"/>
    </xf>
    <xf numFmtId="3" fontId="50" fillId="0" borderId="11" xfId="40" applyNumberFormat="1" applyFont="1" applyFill="1" applyBorder="1" applyAlignment="1" applyProtection="1">
      <alignment vertical="center"/>
      <protection locked="0"/>
    </xf>
    <xf numFmtId="3" fontId="50" fillId="0" borderId="11" xfId="40" applyNumberFormat="1" applyFont="1" applyFill="1" applyBorder="1" applyAlignment="1" applyProtection="1">
      <alignment vertical="center"/>
      <protection/>
    </xf>
    <xf numFmtId="2" fontId="50" fillId="0" borderId="11" xfId="40" applyNumberFormat="1" applyFont="1" applyFill="1" applyBorder="1" applyAlignment="1" applyProtection="1">
      <alignment vertical="center"/>
      <protection/>
    </xf>
    <xf numFmtId="0" fontId="50" fillId="0" borderId="11" xfId="0" applyFont="1" applyFill="1" applyBorder="1" applyAlignment="1">
      <alignment horizontal="left"/>
    </xf>
    <xf numFmtId="4" fontId="52" fillId="0" borderId="11" xfId="0" applyNumberFormat="1" applyFont="1" applyFill="1" applyBorder="1" applyAlignment="1">
      <alignment horizontal="right" wrapText="1"/>
    </xf>
    <xf numFmtId="4" fontId="50" fillId="0" borderId="11" xfId="0" applyNumberFormat="1" applyFont="1" applyFill="1" applyBorder="1" applyAlignment="1">
      <alignment horizontal="right" wrapText="1"/>
    </xf>
    <xf numFmtId="0" fontId="50" fillId="0" borderId="16" xfId="0" applyNumberFormat="1" applyFont="1" applyFill="1" applyBorder="1" applyAlignment="1">
      <alignment horizontal="left" vertical="center"/>
    </xf>
    <xf numFmtId="184" fontId="50" fillId="0" borderId="12" xfId="0" applyNumberFormat="1" applyFont="1" applyFill="1" applyBorder="1" applyAlignment="1">
      <alignment horizontal="left" vertical="center"/>
    </xf>
    <xf numFmtId="0" fontId="50" fillId="0" borderId="12" xfId="55" applyNumberFormat="1" applyFont="1" applyFill="1" applyBorder="1" applyAlignment="1">
      <alignment horizontal="left" vertical="center"/>
      <protection/>
    </xf>
    <xf numFmtId="0" fontId="50" fillId="0" borderId="12" xfId="0" applyNumberFormat="1" applyFont="1" applyFill="1" applyBorder="1" applyAlignment="1">
      <alignment horizontal="right" vertical="center"/>
    </xf>
    <xf numFmtId="4" fontId="52" fillId="0" borderId="12" xfId="43" applyNumberFormat="1" applyFont="1" applyFill="1" applyBorder="1" applyAlignment="1" applyProtection="1">
      <alignment horizontal="right" vertical="center"/>
      <protection locked="0"/>
    </xf>
    <xf numFmtId="3" fontId="52" fillId="0" borderId="12" xfId="43" applyNumberFormat="1" applyFont="1" applyFill="1" applyBorder="1" applyAlignment="1" applyProtection="1">
      <alignment horizontal="right" vertical="center"/>
      <protection locked="0"/>
    </xf>
    <xf numFmtId="3" fontId="50" fillId="0" borderId="12" xfId="43" applyNumberFormat="1" applyFont="1" applyFill="1" applyBorder="1" applyAlignment="1" applyProtection="1">
      <alignment horizontal="right" vertical="center"/>
      <protection/>
    </xf>
    <xf numFmtId="2" fontId="50" fillId="0" borderId="12" xfId="43" applyNumberFormat="1" applyFont="1" applyFill="1" applyBorder="1" applyAlignment="1" applyProtection="1">
      <alignment horizontal="right" vertical="center"/>
      <protection/>
    </xf>
    <xf numFmtId="4" fontId="50" fillId="0" borderId="12" xfId="43" applyNumberFormat="1" applyFont="1" applyFill="1" applyBorder="1" applyAlignment="1" applyProtection="1">
      <alignment horizontal="right" vertical="center"/>
      <protection locked="0"/>
    </xf>
    <xf numFmtId="3" fontId="50" fillId="0" borderId="12" xfId="43" applyNumberFormat="1" applyFont="1" applyFill="1" applyBorder="1" applyAlignment="1" applyProtection="1">
      <alignment horizontal="right" vertical="center"/>
      <protection locked="0"/>
    </xf>
    <xf numFmtId="2" fontId="50" fillId="0" borderId="40" xfId="43" applyNumberFormat="1" applyFont="1" applyFill="1" applyBorder="1" applyAlignment="1" applyProtection="1">
      <alignment horizontal="right" vertical="center"/>
      <protection/>
    </xf>
    <xf numFmtId="0" fontId="50" fillId="0" borderId="32" xfId="0" applyFont="1" applyFill="1" applyBorder="1" applyAlignment="1">
      <alignment vertical="center"/>
    </xf>
    <xf numFmtId="0" fontId="50" fillId="0" borderId="32" xfId="0" applyFont="1" applyFill="1" applyBorder="1" applyAlignment="1">
      <alignment horizontal="left" vertical="center" shrinkToFit="1"/>
    </xf>
    <xf numFmtId="2" fontId="50" fillId="0" borderId="31" xfId="43" applyNumberFormat="1" applyFont="1" applyFill="1" applyBorder="1" applyAlignment="1" applyProtection="1">
      <alignment horizontal="right" vertical="center" shrinkToFit="1"/>
      <protection/>
    </xf>
    <xf numFmtId="0" fontId="50" fillId="0" borderId="32" xfId="0" applyFont="1" applyFill="1" applyBorder="1" applyAlignment="1" applyProtection="1">
      <alignment vertical="center"/>
      <protection locked="0"/>
    </xf>
    <xf numFmtId="2" fontId="50" fillId="0" borderId="31" xfId="42" applyNumberFormat="1" applyFont="1" applyFill="1" applyBorder="1" applyAlignment="1" applyProtection="1">
      <alignment vertical="center"/>
      <protection/>
    </xf>
    <xf numFmtId="2" fontId="50" fillId="0" borderId="31" xfId="68" applyNumberFormat="1" applyFont="1" applyFill="1" applyBorder="1" applyAlignment="1" applyProtection="1">
      <alignment vertical="center"/>
      <protection/>
    </xf>
    <xf numFmtId="0" fontId="50" fillId="0" borderId="32" xfId="0" applyFont="1" applyFill="1" applyBorder="1" applyAlignment="1">
      <alignment vertical="center"/>
    </xf>
    <xf numFmtId="2" fontId="50" fillId="0" borderId="31" xfId="0" applyNumberFormat="1" applyFont="1" applyFill="1" applyBorder="1" applyAlignment="1">
      <alignment horizontal="right"/>
    </xf>
    <xf numFmtId="0" fontId="50" fillId="0" borderId="32" xfId="0" applyNumberFormat="1" applyFont="1" applyFill="1" applyBorder="1" applyAlignment="1" applyProtection="1">
      <alignment vertical="center"/>
      <protection locked="0"/>
    </xf>
    <xf numFmtId="2" fontId="50" fillId="0" borderId="31" xfId="44" applyNumberFormat="1" applyFont="1" applyFill="1" applyBorder="1" applyAlignment="1" applyProtection="1">
      <alignment vertical="center"/>
      <protection/>
    </xf>
    <xf numFmtId="0" fontId="50" fillId="0" borderId="32" xfId="55" applyNumberFormat="1" applyFont="1" applyFill="1" applyBorder="1" applyAlignment="1">
      <alignment horizontal="left" vertical="center"/>
      <protection/>
    </xf>
    <xf numFmtId="0" fontId="50" fillId="0" borderId="32" xfId="55" applyFont="1" applyFill="1" applyBorder="1" applyAlignment="1">
      <alignment horizontal="left" vertical="center" shrinkToFit="1"/>
      <protection/>
    </xf>
    <xf numFmtId="0" fontId="50" fillId="0" borderId="32" xfId="55" applyFont="1" applyFill="1" applyBorder="1" applyAlignment="1">
      <alignment horizontal="left" vertical="center"/>
      <protection/>
    </xf>
    <xf numFmtId="0" fontId="50" fillId="0" borderId="32" xfId="55" applyFont="1" applyFill="1" applyBorder="1" applyAlignment="1">
      <alignment vertical="center"/>
      <protection/>
    </xf>
    <xf numFmtId="2" fontId="50" fillId="0" borderId="31" xfId="40" applyNumberFormat="1" applyFont="1" applyFill="1" applyBorder="1" applyAlignment="1" applyProtection="1">
      <alignment horizontal="right" vertical="center"/>
      <protection/>
    </xf>
    <xf numFmtId="0" fontId="50" fillId="0" borderId="32" xfId="53" applyFont="1" applyFill="1" applyBorder="1" applyAlignment="1">
      <alignment horizontal="left" vertical="center"/>
      <protection/>
    </xf>
    <xf numFmtId="0" fontId="50" fillId="0" borderId="32" xfId="53" applyNumberFormat="1" applyFont="1" applyFill="1" applyBorder="1" applyAlignment="1">
      <alignment horizontal="left" vertical="center"/>
      <protection/>
    </xf>
    <xf numFmtId="2" fontId="50" fillId="0" borderId="31" xfId="53" applyNumberFormat="1" applyFont="1" applyFill="1" applyBorder="1" applyAlignment="1" applyProtection="1">
      <alignment horizontal="right" vertical="center"/>
      <protection/>
    </xf>
    <xf numFmtId="0" fontId="50" fillId="0" borderId="32" xfId="53" applyFont="1" applyFill="1" applyBorder="1" applyAlignment="1">
      <alignment vertical="center"/>
      <protection/>
    </xf>
    <xf numFmtId="0" fontId="50" fillId="0" borderId="32" xfId="54" applyFont="1" applyFill="1" applyBorder="1" applyAlignment="1">
      <alignment horizontal="left" vertical="center" shrinkToFit="1"/>
      <protection/>
    </xf>
    <xf numFmtId="0" fontId="50" fillId="0" borderId="32" xfId="0" applyFont="1" applyFill="1" applyBorder="1" applyAlignment="1">
      <alignment vertical="center"/>
    </xf>
    <xf numFmtId="212" fontId="50" fillId="0" borderId="32" xfId="0" applyNumberFormat="1" applyFont="1" applyFill="1" applyBorder="1" applyAlignment="1">
      <alignment vertical="center"/>
    </xf>
    <xf numFmtId="212" fontId="50" fillId="0" borderId="32" xfId="0" applyNumberFormat="1" applyFont="1" applyFill="1" applyBorder="1" applyAlignment="1">
      <alignment horizontal="left" vertical="center" shrinkToFit="1"/>
    </xf>
    <xf numFmtId="2" fontId="50" fillId="0" borderId="31" xfId="40" applyNumberFormat="1" applyFont="1" applyFill="1" applyBorder="1" applyAlignment="1" applyProtection="1">
      <alignment vertical="center"/>
      <protection/>
    </xf>
    <xf numFmtId="0" fontId="50" fillId="0" borderId="39" xfId="0" applyFont="1" applyFill="1" applyBorder="1" applyAlignment="1">
      <alignment horizontal="left"/>
    </xf>
    <xf numFmtId="184" fontId="50" fillId="0" borderId="36" xfId="0" applyNumberFormat="1" applyFont="1" applyFill="1" applyBorder="1" applyAlignment="1">
      <alignment horizontal="center" wrapText="1"/>
    </xf>
    <xf numFmtId="14" fontId="50" fillId="0" borderId="36" xfId="0" applyNumberFormat="1" applyFont="1" applyFill="1" applyBorder="1" applyAlignment="1">
      <alignment horizontal="left"/>
    </xf>
    <xf numFmtId="0" fontId="50" fillId="0" borderId="36" xfId="0" applyFont="1" applyFill="1" applyBorder="1" applyAlignment="1">
      <alignment horizontal="right"/>
    </xf>
    <xf numFmtId="4" fontId="52" fillId="0" borderId="36" xfId="0" applyNumberFormat="1" applyFont="1" applyFill="1" applyBorder="1" applyAlignment="1">
      <alignment horizontal="right"/>
    </xf>
    <xf numFmtId="3" fontId="52" fillId="0" borderId="36" xfId="0" applyNumberFormat="1" applyFont="1" applyFill="1" applyBorder="1" applyAlignment="1">
      <alignment horizontal="right"/>
    </xf>
    <xf numFmtId="3" fontId="50" fillId="0" borderId="36" xfId="0" applyNumberFormat="1" applyFont="1" applyFill="1" applyBorder="1" applyAlignment="1">
      <alignment horizontal="right"/>
    </xf>
    <xf numFmtId="2" fontId="50" fillId="0" borderId="36" xfId="0" applyNumberFormat="1" applyFont="1" applyFill="1" applyBorder="1" applyAlignment="1">
      <alignment horizontal="right"/>
    </xf>
    <xf numFmtId="4" fontId="50" fillId="0" borderId="36" xfId="0" applyNumberFormat="1" applyFont="1" applyFill="1" applyBorder="1" applyAlignment="1">
      <alignment horizontal="right"/>
    </xf>
    <xf numFmtId="3" fontId="50" fillId="0" borderId="36" xfId="0" applyNumberFormat="1" applyFont="1" applyFill="1" applyBorder="1" applyAlignment="1">
      <alignment horizontal="right"/>
    </xf>
    <xf numFmtId="2" fontId="50" fillId="0" borderId="37" xfId="0" applyNumberFormat="1" applyFont="1" applyFill="1" applyBorder="1" applyAlignment="1">
      <alignment horizontal="right"/>
    </xf>
    <xf numFmtId="0" fontId="8" fillId="0" borderId="0" xfId="0" applyFont="1" applyFill="1" applyBorder="1" applyAlignment="1" applyProtection="1">
      <alignment horizontal="right" vertical="center"/>
      <protection locked="0"/>
    </xf>
    <xf numFmtId="0" fontId="8" fillId="0" borderId="0" xfId="0" applyFont="1" applyFill="1" applyBorder="1" applyAlignment="1">
      <alignment horizontal="right" vertical="center"/>
    </xf>
    <xf numFmtId="0" fontId="8" fillId="0" borderId="0" xfId="53" applyFont="1" applyFill="1" applyBorder="1" applyAlignment="1" applyProtection="1">
      <alignment horizontal="right" vertical="center"/>
      <protection locked="0"/>
    </xf>
    <xf numFmtId="3" fontId="50" fillId="0" borderId="11" xfId="0" applyNumberFormat="1" applyFont="1" applyFill="1" applyBorder="1" applyAlignment="1">
      <alignment horizontal="right"/>
    </xf>
    <xf numFmtId="0" fontId="50" fillId="0" borderId="16" xfId="0" applyFont="1" applyFill="1" applyBorder="1" applyAlignment="1">
      <alignment horizontal="left" vertical="center"/>
    </xf>
    <xf numFmtId="184" fontId="50" fillId="0" borderId="12" xfId="0" applyNumberFormat="1" applyFont="1" applyFill="1" applyBorder="1" applyAlignment="1">
      <alignment horizontal="center" vertical="center"/>
    </xf>
    <xf numFmtId="14" fontId="50" fillId="0" borderId="12" xfId="0" applyNumberFormat="1" applyFont="1" applyFill="1" applyBorder="1" applyAlignment="1">
      <alignment horizontal="left" vertical="center"/>
    </xf>
    <xf numFmtId="0" fontId="50" fillId="0" borderId="12" xfId="0" applyFont="1" applyFill="1" applyBorder="1" applyAlignment="1">
      <alignment horizontal="right" vertical="center"/>
    </xf>
    <xf numFmtId="4" fontId="50" fillId="0" borderId="12" xfId="0" applyNumberFormat="1" applyFont="1" applyFill="1" applyBorder="1" applyAlignment="1">
      <alignment horizontal="right" vertical="center"/>
    </xf>
    <xf numFmtId="3" fontId="50" fillId="0" borderId="12" xfId="0" applyNumberFormat="1" applyFont="1" applyFill="1" applyBorder="1" applyAlignment="1">
      <alignment horizontal="right" vertical="center"/>
    </xf>
    <xf numFmtId="2" fontId="50" fillId="0" borderId="40" xfId="0" applyNumberFormat="1" applyFont="1" applyFill="1" applyBorder="1" applyAlignment="1">
      <alignment horizontal="right" vertical="center"/>
    </xf>
    <xf numFmtId="0" fontId="50" fillId="0" borderId="43" xfId="0" applyFont="1" applyFill="1" applyBorder="1" applyAlignment="1">
      <alignment horizontal="left" vertical="center"/>
    </xf>
    <xf numFmtId="184" fontId="50" fillId="0" borderId="10" xfId="0" applyNumberFormat="1" applyFont="1" applyFill="1" applyBorder="1" applyAlignment="1">
      <alignment horizontal="center" vertical="center"/>
    </xf>
    <xf numFmtId="0" fontId="50" fillId="0" borderId="10" xfId="0" applyFont="1" applyFill="1" applyBorder="1" applyAlignment="1">
      <alignment horizontal="left" vertical="center"/>
    </xf>
    <xf numFmtId="0" fontId="50" fillId="0" borderId="10" xfId="0" applyFont="1" applyFill="1" applyBorder="1" applyAlignment="1">
      <alignment horizontal="right" vertical="center"/>
    </xf>
    <xf numFmtId="4" fontId="50" fillId="0" borderId="10" xfId="0" applyNumberFormat="1" applyFont="1" applyFill="1" applyBorder="1" applyAlignment="1">
      <alignment horizontal="right" vertical="center"/>
    </xf>
    <xf numFmtId="3" fontId="50" fillId="0" borderId="10" xfId="0" applyNumberFormat="1" applyFont="1" applyFill="1" applyBorder="1" applyAlignment="1">
      <alignment horizontal="right" vertical="center"/>
    </xf>
    <xf numFmtId="0" fontId="50" fillId="0" borderId="45" xfId="0" applyFont="1" applyFill="1" applyBorder="1" applyAlignment="1">
      <alignment horizontal="left" vertical="center"/>
    </xf>
    <xf numFmtId="184" fontId="50" fillId="0" borderId="46" xfId="0" applyNumberFormat="1" applyFont="1" applyFill="1" applyBorder="1" applyAlignment="1">
      <alignment horizontal="center" vertical="center"/>
    </xf>
    <xf numFmtId="0" fontId="50" fillId="0" borderId="46" xfId="0" applyFont="1" applyFill="1" applyBorder="1" applyAlignment="1">
      <alignment horizontal="left" vertical="center"/>
    </xf>
    <xf numFmtId="0" fontId="50" fillId="0" borderId="46" xfId="0" applyFont="1" applyFill="1" applyBorder="1" applyAlignment="1">
      <alignment horizontal="right" vertical="center"/>
    </xf>
    <xf numFmtId="4" fontId="50" fillId="0" borderId="46" xfId="0" applyNumberFormat="1" applyFont="1" applyFill="1" applyBorder="1" applyAlignment="1">
      <alignment horizontal="right" vertical="center"/>
    </xf>
    <xf numFmtId="3" fontId="50" fillId="0" borderId="46" xfId="0" applyNumberFormat="1" applyFont="1" applyFill="1" applyBorder="1" applyAlignment="1">
      <alignment horizontal="right" vertical="center"/>
    </xf>
    <xf numFmtId="193" fontId="27" fillId="0" borderId="23" xfId="0" applyNumberFormat="1" applyFont="1" applyFill="1" applyBorder="1" applyAlignment="1" applyProtection="1">
      <alignment horizontal="right" vertical="center"/>
      <protection/>
    </xf>
    <xf numFmtId="0" fontId="49" fillId="0" borderId="0" xfId="0" applyFont="1" applyFill="1" applyBorder="1" applyAlignment="1">
      <alignment horizontal="right"/>
    </xf>
    <xf numFmtId="4" fontId="39" fillId="0" borderId="0" xfId="0" applyNumberFormat="1" applyFont="1" applyFill="1" applyBorder="1" applyAlignment="1">
      <alignment horizontal="right"/>
    </xf>
    <xf numFmtId="4" fontId="9" fillId="0" borderId="11" xfId="0" applyNumberFormat="1" applyFont="1" applyFill="1" applyBorder="1" applyAlignment="1">
      <alignment horizontal="right" vertical="center"/>
    </xf>
    <xf numFmtId="193" fontId="27" fillId="0" borderId="11" xfId="0" applyNumberFormat="1" applyFont="1" applyFill="1" applyBorder="1" applyAlignment="1">
      <alignment horizontal="right" vertical="center"/>
    </xf>
    <xf numFmtId="0" fontId="8" fillId="0" borderId="29" xfId="0" applyNumberFormat="1" applyFont="1" applyFill="1" applyBorder="1" applyAlignment="1" applyProtection="1">
      <alignment horizontal="right" vertical="center"/>
      <protection locked="0"/>
    </xf>
    <xf numFmtId="0" fontId="40" fillId="0" borderId="11" xfId="0" applyFont="1" applyFill="1" applyBorder="1" applyAlignment="1" applyProtection="1">
      <alignment horizontal="left" vertical="center" wrapText="1"/>
      <protection/>
    </xf>
    <xf numFmtId="0" fontId="0" fillId="0" borderId="11" xfId="0" applyBorder="1" applyAlignment="1">
      <alignment horizontal="left" vertical="center" wrapText="1"/>
    </xf>
    <xf numFmtId="0" fontId="0" fillId="0" borderId="11" xfId="0" applyBorder="1" applyAlignment="1">
      <alignment vertical="center" wrapText="1"/>
    </xf>
    <xf numFmtId="0" fontId="20" fillId="33" borderId="10" xfId="0" applyFont="1" applyFill="1" applyBorder="1" applyAlignment="1">
      <alignment horizontal="center" vertical="center"/>
    </xf>
    <xf numFmtId="0" fontId="11" fillId="0" borderId="10" xfId="0" applyFont="1" applyBorder="1" applyAlignment="1">
      <alignment horizontal="center"/>
    </xf>
    <xf numFmtId="0" fontId="49" fillId="33" borderId="48" xfId="0" applyFont="1" applyFill="1" applyBorder="1" applyAlignment="1" applyProtection="1">
      <alignment horizontal="center" vertical="center"/>
      <protection/>
    </xf>
    <xf numFmtId="0" fontId="36" fillId="0" borderId="49" xfId="0" applyFont="1" applyBorder="1" applyAlignment="1">
      <alignment horizontal="center"/>
    </xf>
    <xf numFmtId="0" fontId="36" fillId="0" borderId="50" xfId="0" applyFont="1" applyBorder="1" applyAlignment="1">
      <alignment horizontal="center"/>
    </xf>
    <xf numFmtId="181" fontId="38" fillId="0" borderId="51" xfId="0" applyNumberFormat="1" applyFont="1" applyFill="1" applyBorder="1" applyAlignment="1" applyProtection="1">
      <alignment horizontal="center" wrapText="1"/>
      <protection/>
    </xf>
    <xf numFmtId="0" fontId="38" fillId="0" borderId="51" xfId="0" applyFont="1" applyBorder="1" applyAlignment="1">
      <alignment horizontal="center"/>
    </xf>
    <xf numFmtId="0" fontId="38" fillId="0" borderId="52" xfId="0" applyFont="1" applyBorder="1" applyAlignment="1">
      <alignment horizontal="center"/>
    </xf>
    <xf numFmtId="0" fontId="38" fillId="0" borderId="51" xfId="0" applyNumberFormat="1" applyFont="1" applyFill="1" applyBorder="1" applyAlignment="1" applyProtection="1">
      <alignment horizontal="center" wrapText="1"/>
      <protection/>
    </xf>
    <xf numFmtId="0" fontId="38" fillId="0" borderId="19" xfId="0" applyFont="1" applyBorder="1" applyAlignment="1">
      <alignment horizontal="center"/>
    </xf>
    <xf numFmtId="43" fontId="38" fillId="0" borderId="53" xfId="40" applyFont="1" applyFill="1" applyBorder="1" applyAlignment="1" applyProtection="1">
      <alignment horizontal="center" wrapText="1"/>
      <protection/>
    </xf>
    <xf numFmtId="0" fontId="38" fillId="0" borderId="54" xfId="0" applyFont="1" applyBorder="1" applyAlignment="1">
      <alignment horizontal="center"/>
    </xf>
    <xf numFmtId="0" fontId="38" fillId="0" borderId="51" xfId="0" applyFont="1" applyFill="1" applyBorder="1" applyAlignment="1" applyProtection="1">
      <alignment horizontal="center" wrapText="1"/>
      <protection/>
    </xf>
    <xf numFmtId="4" fontId="38" fillId="0" borderId="51" xfId="0" applyNumberFormat="1" applyFont="1" applyFill="1" applyBorder="1" applyAlignment="1" applyProtection="1">
      <alignment horizontal="center" wrapText="1"/>
      <protection/>
    </xf>
    <xf numFmtId="184" fontId="38" fillId="0" borderId="51" xfId="0" applyNumberFormat="1" applyFont="1" applyFill="1" applyBorder="1" applyAlignment="1" applyProtection="1">
      <alignment horizontal="center" wrapText="1"/>
      <protection/>
    </xf>
    <xf numFmtId="0" fontId="38" fillId="0" borderId="0" xfId="0" applyNumberFormat="1" applyFont="1" applyFill="1" applyBorder="1" applyAlignment="1" applyProtection="1">
      <alignment horizontal="center" wrapText="1"/>
      <protection/>
    </xf>
    <xf numFmtId="0" fontId="49" fillId="33" borderId="0" xfId="0" applyFont="1" applyFill="1" applyBorder="1" applyAlignment="1" applyProtection="1">
      <alignment horizontal="center" vertical="center" wrapText="1"/>
      <protection/>
    </xf>
    <xf numFmtId="0" fontId="0" fillId="0" borderId="0" xfId="0" applyAlignment="1">
      <alignment horizontal="center" wrapText="1"/>
    </xf>
    <xf numFmtId="0" fontId="38" fillId="0" borderId="27" xfId="0" applyNumberFormat="1" applyFont="1" applyFill="1" applyBorder="1" applyAlignment="1">
      <alignment horizontal="center" wrapText="1"/>
    </xf>
    <xf numFmtId="184" fontId="38" fillId="0" borderId="0" xfId="0" applyNumberFormat="1" applyFont="1" applyFill="1" applyBorder="1" applyAlignment="1">
      <alignment horizontal="center" wrapText="1"/>
    </xf>
    <xf numFmtId="0" fontId="38" fillId="0" borderId="0" xfId="0" applyNumberFormat="1" applyFont="1" applyFill="1" applyBorder="1" applyAlignment="1">
      <alignment horizontal="center" wrapText="1"/>
    </xf>
    <xf numFmtId="192" fontId="38" fillId="0" borderId="55" xfId="0" applyNumberFormat="1" applyFont="1" applyFill="1" applyBorder="1" applyAlignment="1" applyProtection="1">
      <alignment horizontal="center" wrapText="1"/>
      <protection/>
    </xf>
    <xf numFmtId="2" fontId="38" fillId="0" borderId="51" xfId="0" applyNumberFormat="1" applyFont="1" applyFill="1" applyBorder="1" applyAlignment="1" applyProtection="1">
      <alignment horizontal="center" wrapText="1"/>
      <protection/>
    </xf>
    <xf numFmtId="2" fontId="38" fillId="0" borderId="52" xfId="0" applyNumberFormat="1" applyFont="1" applyFill="1" applyBorder="1" applyAlignment="1" applyProtection="1">
      <alignment horizontal="center" wrapText="1"/>
      <protection/>
    </xf>
    <xf numFmtId="0" fontId="49" fillId="33" borderId="56" xfId="0" applyFont="1" applyFill="1" applyBorder="1" applyAlignment="1" applyProtection="1">
      <alignment horizontal="center" vertical="center" wrapText="1"/>
      <protection/>
    </xf>
    <xf numFmtId="0" fontId="0" fillId="0" borderId="56" xfId="0" applyBorder="1" applyAlignment="1">
      <alignment horizontal="center" wrapText="1"/>
    </xf>
    <xf numFmtId="0" fontId="38" fillId="0" borderId="33" xfId="0" applyFont="1" applyBorder="1" applyAlignment="1">
      <alignment horizontal="center"/>
    </xf>
    <xf numFmtId="0" fontId="38" fillId="0" borderId="57" xfId="0" applyFont="1" applyBorder="1" applyAlignment="1">
      <alignment horizontal="center"/>
    </xf>
    <xf numFmtId="184" fontId="38" fillId="0" borderId="33" xfId="0" applyNumberFormat="1" applyFont="1" applyBorder="1" applyAlignment="1">
      <alignment horizontal="center"/>
    </xf>
    <xf numFmtId="0" fontId="38" fillId="0" borderId="33" xfId="0" applyFont="1" applyBorder="1" applyAlignment="1">
      <alignment horizontal="center" wrapText="1"/>
    </xf>
  </cellXfs>
  <cellStyles count="55">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Binlik Ayracı 2" xfId="42"/>
    <cellStyle name="Binlik Ayracı 2 2" xfId="43"/>
    <cellStyle name="Comma 2" xfId="44"/>
    <cellStyle name="Çıkış" xfId="45"/>
    <cellStyle name="Giriş" xfId="46"/>
    <cellStyle name="Hesaplama" xfId="47"/>
    <cellStyle name="İşaretli Hücre" xfId="48"/>
    <cellStyle name="İyi" xfId="49"/>
    <cellStyle name="Followed Hyperlink" xfId="50"/>
    <cellStyle name="Hyperlink" xfId="51"/>
    <cellStyle name="Kötü" xfId="52"/>
    <cellStyle name="Normal 2" xfId="53"/>
    <cellStyle name="Normal 2 10 10" xfId="54"/>
    <cellStyle name="Normal 2 2 2" xfId="55"/>
    <cellStyle name="Not" xfId="56"/>
    <cellStyle name="Nötr" xfId="57"/>
    <cellStyle name="Currency" xfId="58"/>
    <cellStyle name="Currency [0]" xfId="59"/>
    <cellStyle name="Toplam" xfId="60"/>
    <cellStyle name="Uyarı Metni" xfId="61"/>
    <cellStyle name="Vurgu1" xfId="62"/>
    <cellStyle name="Vurgu2" xfId="63"/>
    <cellStyle name="Vurgu3" xfId="64"/>
    <cellStyle name="Vurgu4" xfId="65"/>
    <cellStyle name="Vurgu5" xfId="66"/>
    <cellStyle name="Vurgu6" xfId="67"/>
    <cellStyle name="Percent"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66675</xdr:rowOff>
    </xdr:from>
    <xdr:to>
      <xdr:col>14</xdr:col>
      <xdr:colOff>0</xdr:colOff>
      <xdr:row>0</xdr:row>
      <xdr:rowOff>590550</xdr:rowOff>
    </xdr:to>
    <xdr:sp>
      <xdr:nvSpPr>
        <xdr:cNvPr id="1" name="Text Box 1"/>
        <xdr:cNvSpPr txBox="1">
          <a:spLocks noChangeArrowheads="1"/>
        </xdr:cNvSpPr>
      </xdr:nvSpPr>
      <xdr:spPr>
        <a:xfrm>
          <a:off x="28575" y="66675"/>
          <a:ext cx="12934950" cy="523875"/>
        </a:xfrm>
        <a:prstGeom prst="rect">
          <a:avLst/>
        </a:prstGeom>
        <a:solidFill>
          <a:srgbClr val="C0C0C0"/>
        </a:solidFill>
        <a:ln w="38100" cmpd="dbl">
          <a:noFill/>
        </a:ln>
      </xdr:spPr>
      <xdr:txBody>
        <a:bodyPr vertOverflow="clip" wrap="square" lIns="73152" tIns="73152" rIns="73152" bIns="73152" anchor="ctr"/>
        <a:p>
          <a:pPr algn="l">
            <a:defRPr/>
          </a:pPr>
          <a:r>
            <a:rPr lang="en-US" cap="none" sz="2400" b="1" i="0" u="none" baseline="0">
              <a:solidFill>
                <a:srgbClr val="000000"/>
              </a:solidFill>
              <a:latin typeface="AcidSansRegular"/>
              <a:ea typeface="AcidSansRegular"/>
              <a:cs typeface="AcidSansRegular"/>
            </a:rPr>
            <a:t>TÜRK</a:t>
          </a:r>
          <a:r>
            <a:rPr lang="en-US" cap="none" sz="2400" b="1" i="0" u="none" baseline="0">
              <a:solidFill>
                <a:srgbClr val="000000"/>
              </a:solidFill>
              <a:latin typeface="Arial"/>
              <a:ea typeface="Arial"/>
              <a:cs typeface="Arial"/>
            </a:rPr>
            <a:t>İ</a:t>
          </a:r>
          <a:r>
            <a:rPr lang="en-US" cap="none" sz="2400" b="1" i="0" u="none" baseline="0">
              <a:solidFill>
                <a:srgbClr val="000000"/>
              </a:solidFill>
              <a:latin typeface="AcidSansRegular"/>
              <a:ea typeface="AcidSansRegular"/>
              <a:cs typeface="AcidSansRegular"/>
            </a:rPr>
            <a:t>YE'S WEEKLY MARKET DATA</a:t>
          </a:r>
          <a:r>
            <a:rPr lang="en-US" cap="none" sz="2000" b="1" i="0" u="none" baseline="0">
              <a:solidFill>
                <a:srgbClr val="000000"/>
              </a:solidFill>
              <a:latin typeface="AcidSans-Light"/>
              <a:ea typeface="AcidSans-Light"/>
              <a:cs typeface="AcidSans-Light"/>
            </a:rPr>
            <a:t> </a:t>
          </a:r>
          <a:r>
            <a:rPr lang="en-US" cap="none" sz="2000" b="0" i="0" u="none" baseline="0">
              <a:solidFill>
                <a:srgbClr val="000000"/>
              </a:solidFill>
              <a:latin typeface="AcidSans-Regular"/>
              <a:ea typeface="AcidSans-Regular"/>
              <a:cs typeface="AcidSans-Regular"/>
            </a:rPr>
            <a:t>WEEKLY BOX OFFICE &amp; ADMISSION REPORT</a:t>
          </a:r>
        </a:p>
      </xdr:txBody>
    </xdr:sp>
    <xdr:clientData/>
  </xdr:twoCellAnchor>
  <xdr:twoCellAnchor>
    <xdr:from>
      <xdr:col>2</xdr:col>
      <xdr:colOff>180975</xdr:colOff>
      <xdr:row>0</xdr:row>
      <xdr:rowOff>600075</xdr:rowOff>
    </xdr:from>
    <xdr:to>
      <xdr:col>14</xdr:col>
      <xdr:colOff>0</xdr:colOff>
      <xdr:row>0</xdr:row>
      <xdr:rowOff>904875</xdr:rowOff>
    </xdr:to>
    <xdr:sp fLocksText="0">
      <xdr:nvSpPr>
        <xdr:cNvPr id="2" name="Text Box 2"/>
        <xdr:cNvSpPr txBox="1">
          <a:spLocks noChangeArrowheads="1"/>
        </xdr:cNvSpPr>
      </xdr:nvSpPr>
      <xdr:spPr>
        <a:xfrm>
          <a:off x="4572000" y="600075"/>
          <a:ext cx="8391525" cy="304800"/>
        </a:xfrm>
        <a:prstGeom prst="rect">
          <a:avLst/>
        </a:prstGeom>
        <a:solidFill>
          <a:srgbClr val="C0C0C0"/>
        </a:solidFill>
        <a:ln w="9525" cmpd="sng">
          <a:noFill/>
        </a:ln>
      </xdr:spPr>
      <xdr:txBody>
        <a:bodyPr vertOverflow="clip" wrap="square" lIns="0" tIns="27432" rIns="36576" bIns="0"/>
        <a:p>
          <a:pPr algn="r">
            <a:defRPr/>
          </a:pPr>
          <a:r>
            <a:rPr lang="en-US" cap="none" sz="2000" b="1" i="0" u="none" baseline="0">
              <a:solidFill>
                <a:srgbClr val="900000"/>
              </a:solidFill>
              <a:latin typeface="Administer"/>
              <a:ea typeface="Administer"/>
              <a:cs typeface="Administer"/>
            </a:rPr>
            <a:t>week: 12</a:t>
          </a:r>
          <a:r>
            <a:rPr lang="en-US" cap="none" sz="2000" b="0" i="0" u="none" baseline="0">
              <a:solidFill>
                <a:srgbClr val="000000"/>
              </a:solidFill>
              <a:latin typeface="Administer"/>
              <a:ea typeface="Administer"/>
              <a:cs typeface="Administer"/>
            </a:rPr>
            <a:t> 18 - 24 March 2011</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66675</xdr:rowOff>
    </xdr:from>
    <xdr:to>
      <xdr:col>9</xdr:col>
      <xdr:colOff>0</xdr:colOff>
      <xdr:row>0</xdr:row>
      <xdr:rowOff>581025</xdr:rowOff>
    </xdr:to>
    <xdr:sp>
      <xdr:nvSpPr>
        <xdr:cNvPr id="1" name="Text Box 1"/>
        <xdr:cNvSpPr txBox="1">
          <a:spLocks noChangeArrowheads="1"/>
        </xdr:cNvSpPr>
      </xdr:nvSpPr>
      <xdr:spPr>
        <a:xfrm>
          <a:off x="28575" y="66675"/>
          <a:ext cx="9058275" cy="514350"/>
        </a:xfrm>
        <a:prstGeom prst="rect">
          <a:avLst/>
        </a:prstGeom>
        <a:solidFill>
          <a:srgbClr val="C0C0C0"/>
        </a:solidFill>
        <a:ln w="38100" cmpd="dbl">
          <a:noFill/>
        </a:ln>
      </xdr:spPr>
      <xdr:txBody>
        <a:bodyPr vertOverflow="clip" wrap="square" lIns="73152" tIns="73152" rIns="73152" bIns="73152" anchor="ctr"/>
        <a:p>
          <a:pPr algn="l">
            <a:defRPr/>
          </a:pPr>
          <a:r>
            <a:rPr lang="en-US" cap="none" sz="2000" b="1" i="0" u="none" baseline="0">
              <a:solidFill>
                <a:srgbClr val="000000"/>
              </a:solidFill>
              <a:latin typeface="AcidSansRegular"/>
              <a:ea typeface="AcidSansRegular"/>
              <a:cs typeface="AcidSansRegular"/>
            </a:rPr>
            <a:t>TÜRK</a:t>
          </a:r>
          <a:r>
            <a:rPr lang="en-US" cap="none" sz="2000" b="1" i="0" u="none" baseline="0">
              <a:solidFill>
                <a:srgbClr val="000000"/>
              </a:solidFill>
              <a:latin typeface="Arial"/>
              <a:ea typeface="Arial"/>
              <a:cs typeface="Arial"/>
            </a:rPr>
            <a:t>İ</a:t>
          </a:r>
          <a:r>
            <a:rPr lang="en-US" cap="none" sz="2000" b="1" i="0" u="none" baseline="0">
              <a:solidFill>
                <a:srgbClr val="000000"/>
              </a:solidFill>
              <a:latin typeface="AcidSansRegular"/>
              <a:ea typeface="AcidSansRegular"/>
              <a:cs typeface="AcidSansRegular"/>
            </a:rPr>
            <a:t>YE'S WEEKLY MARKET DATA</a:t>
          </a:r>
          <a:r>
            <a:rPr lang="en-US" cap="none" sz="2000" b="1" i="0" u="none" baseline="0">
              <a:solidFill>
                <a:srgbClr val="000000"/>
              </a:solidFill>
              <a:latin typeface="AcidSans-Light"/>
              <a:ea typeface="AcidSans-Light"/>
              <a:cs typeface="AcidSans-Light"/>
            </a:rPr>
            <a:t> </a:t>
          </a:r>
          <a:r>
            <a:rPr lang="en-US" cap="none" sz="1600" b="0" i="0" u="none" baseline="0">
              <a:solidFill>
                <a:srgbClr val="000000"/>
              </a:solidFill>
              <a:latin typeface="AcidSans-Regular"/>
              <a:ea typeface="AcidSans-Regular"/>
              <a:cs typeface="AcidSans-Regular"/>
            </a:rPr>
            <a:t>BOX OFFICE &amp; ADMISSION REPORT</a:t>
          </a:r>
        </a:p>
      </xdr:txBody>
    </xdr:sp>
    <xdr:clientData/>
  </xdr:twoCellAnchor>
  <xdr:twoCellAnchor>
    <xdr:from>
      <xdr:col>1</xdr:col>
      <xdr:colOff>1514475</xdr:colOff>
      <xdr:row>0</xdr:row>
      <xdr:rowOff>600075</xdr:rowOff>
    </xdr:from>
    <xdr:to>
      <xdr:col>9</xdr:col>
      <xdr:colOff>0</xdr:colOff>
      <xdr:row>0</xdr:row>
      <xdr:rowOff>904875</xdr:rowOff>
    </xdr:to>
    <xdr:sp fLocksText="0">
      <xdr:nvSpPr>
        <xdr:cNvPr id="2" name="Text Box 2"/>
        <xdr:cNvSpPr txBox="1">
          <a:spLocks noChangeArrowheads="1"/>
        </xdr:cNvSpPr>
      </xdr:nvSpPr>
      <xdr:spPr>
        <a:xfrm>
          <a:off x="1809750" y="600075"/>
          <a:ext cx="7277100" cy="304800"/>
        </a:xfrm>
        <a:prstGeom prst="rect">
          <a:avLst/>
        </a:prstGeom>
        <a:solidFill>
          <a:srgbClr val="C0C0C0"/>
        </a:solidFill>
        <a:ln w="9525" cmpd="sng">
          <a:noFill/>
        </a:ln>
      </xdr:spPr>
      <xdr:txBody>
        <a:bodyPr vertOverflow="clip" wrap="square" lIns="0" tIns="27432" rIns="36576" bIns="0"/>
        <a:p>
          <a:pPr algn="r">
            <a:defRPr/>
          </a:pPr>
          <a:r>
            <a:rPr lang="en-US" cap="none" sz="2000" b="0" i="0" u="none" baseline="0">
              <a:solidFill>
                <a:srgbClr val="900000"/>
              </a:solidFill>
              <a:latin typeface="Administer"/>
              <a:ea typeface="Administer"/>
              <a:cs typeface="Administer"/>
            </a:rPr>
            <a:t>annuel, all weeks</a:t>
          </a:r>
          <a:r>
            <a:rPr lang="en-US" cap="none" sz="2000" b="0" i="0" u="none" baseline="0">
              <a:solidFill>
                <a:srgbClr val="000000"/>
              </a:solidFill>
              <a:latin typeface="Administer"/>
              <a:ea typeface="Administer"/>
              <a:cs typeface="Administer"/>
            </a:rPr>
            <a:t> </a:t>
          </a:r>
          <a:r>
            <a:rPr lang="en-US" cap="none" sz="1600" b="0" i="0" u="none" baseline="0">
              <a:solidFill>
                <a:srgbClr val="000000"/>
              </a:solidFill>
              <a:latin typeface="Administer"/>
              <a:ea typeface="Administer"/>
              <a:cs typeface="Administer"/>
            </a:rPr>
            <a:t>/</a:t>
          </a:r>
          <a:r>
            <a:rPr lang="en-US" cap="none" sz="2000" b="0" i="0" u="none" baseline="0">
              <a:solidFill>
                <a:srgbClr val="000000"/>
              </a:solidFill>
              <a:latin typeface="Administer"/>
              <a:ea typeface="Administer"/>
              <a:cs typeface="Administer"/>
            </a:rPr>
            <a:t> 31 December - 24 March 2011</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66675</xdr:rowOff>
    </xdr:from>
    <xdr:to>
      <xdr:col>14</xdr:col>
      <xdr:colOff>0</xdr:colOff>
      <xdr:row>0</xdr:row>
      <xdr:rowOff>581025</xdr:rowOff>
    </xdr:to>
    <xdr:sp>
      <xdr:nvSpPr>
        <xdr:cNvPr id="1" name="Text Box 1"/>
        <xdr:cNvSpPr txBox="1">
          <a:spLocks noChangeArrowheads="1"/>
        </xdr:cNvSpPr>
      </xdr:nvSpPr>
      <xdr:spPr>
        <a:xfrm>
          <a:off x="38100" y="66675"/>
          <a:ext cx="12106275" cy="514350"/>
        </a:xfrm>
        <a:prstGeom prst="rect">
          <a:avLst/>
        </a:prstGeom>
        <a:solidFill>
          <a:srgbClr val="C0C0C0"/>
        </a:solidFill>
        <a:ln w="38100" cmpd="dbl">
          <a:noFill/>
        </a:ln>
      </xdr:spPr>
      <xdr:txBody>
        <a:bodyPr vertOverflow="clip" wrap="square" lIns="73152" tIns="73152" rIns="73152" bIns="73152" anchor="ctr"/>
        <a:p>
          <a:pPr algn="l">
            <a:defRPr/>
          </a:pPr>
          <a:r>
            <a:rPr lang="en-US" cap="none" sz="2400" b="1" i="0" u="none" baseline="0">
              <a:solidFill>
                <a:srgbClr val="000000"/>
              </a:solidFill>
              <a:latin typeface="AcidSansRegular"/>
              <a:ea typeface="AcidSansRegular"/>
              <a:cs typeface="AcidSansRegular"/>
            </a:rPr>
            <a:t>TÜRK</a:t>
          </a:r>
          <a:r>
            <a:rPr lang="en-US" cap="none" sz="2400" b="1" i="0" u="none" baseline="0">
              <a:solidFill>
                <a:srgbClr val="000000"/>
              </a:solidFill>
              <a:latin typeface="Arial"/>
              <a:ea typeface="Arial"/>
              <a:cs typeface="Arial"/>
            </a:rPr>
            <a:t>İ</a:t>
          </a:r>
          <a:r>
            <a:rPr lang="en-US" cap="none" sz="2400" b="1" i="0" u="none" baseline="0">
              <a:solidFill>
                <a:srgbClr val="000000"/>
              </a:solidFill>
              <a:latin typeface="AcidSansRegular"/>
              <a:ea typeface="AcidSansRegular"/>
              <a:cs typeface="AcidSansRegular"/>
            </a:rPr>
            <a:t>YE'S WEEKLY MARKET DATA</a:t>
          </a:r>
          <a:r>
            <a:rPr lang="en-US" cap="none" sz="2000" b="1" i="0" u="none" baseline="0">
              <a:solidFill>
                <a:srgbClr val="000000"/>
              </a:solidFill>
              <a:latin typeface="AcidSans-Light"/>
              <a:ea typeface="AcidSans-Light"/>
              <a:cs typeface="AcidSans-Light"/>
            </a:rPr>
            <a:t> </a:t>
          </a:r>
          <a:r>
            <a:rPr lang="en-US" cap="none" sz="2000" b="0" i="0" u="none" baseline="0">
              <a:solidFill>
                <a:srgbClr val="000000"/>
              </a:solidFill>
              <a:latin typeface="AcidSans-Regular"/>
              <a:ea typeface="AcidSans-Regular"/>
              <a:cs typeface="AcidSans-Regular"/>
            </a:rPr>
            <a:t>BOX OFFICE &amp; ADMISSION REPORT</a:t>
          </a:r>
        </a:p>
      </xdr:txBody>
    </xdr:sp>
    <xdr:clientData/>
  </xdr:twoCellAnchor>
  <xdr:twoCellAnchor>
    <xdr:from>
      <xdr:col>1</xdr:col>
      <xdr:colOff>1514475</xdr:colOff>
      <xdr:row>0</xdr:row>
      <xdr:rowOff>600075</xdr:rowOff>
    </xdr:from>
    <xdr:to>
      <xdr:col>14</xdr:col>
      <xdr:colOff>0</xdr:colOff>
      <xdr:row>0</xdr:row>
      <xdr:rowOff>904875</xdr:rowOff>
    </xdr:to>
    <xdr:sp fLocksText="0">
      <xdr:nvSpPr>
        <xdr:cNvPr id="2" name="Text Box 2"/>
        <xdr:cNvSpPr txBox="1">
          <a:spLocks noChangeArrowheads="1"/>
        </xdr:cNvSpPr>
      </xdr:nvSpPr>
      <xdr:spPr>
        <a:xfrm>
          <a:off x="1762125" y="600075"/>
          <a:ext cx="10382250" cy="304800"/>
        </a:xfrm>
        <a:prstGeom prst="rect">
          <a:avLst/>
        </a:prstGeom>
        <a:solidFill>
          <a:srgbClr val="C0C0C0"/>
        </a:solidFill>
        <a:ln w="9525" cmpd="sng">
          <a:noFill/>
        </a:ln>
      </xdr:spPr>
      <xdr:txBody>
        <a:bodyPr vertOverflow="clip" wrap="square" lIns="0" tIns="27432" rIns="36576" bIns="0"/>
        <a:p>
          <a:pPr algn="r">
            <a:defRPr/>
          </a:pPr>
          <a:r>
            <a:rPr lang="en-US" cap="none" sz="2000" b="0" i="0" u="none" baseline="0">
              <a:solidFill>
                <a:srgbClr val="900000"/>
              </a:solidFill>
              <a:latin typeface="Administer"/>
              <a:ea typeface="Administer"/>
              <a:cs typeface="Administer"/>
            </a:rPr>
            <a:t>ex years releases, annuel, all weeks</a:t>
          </a:r>
          <a:r>
            <a:rPr lang="en-US" cap="none" sz="2000" b="0" i="0" u="none" baseline="0">
              <a:solidFill>
                <a:srgbClr val="000000"/>
              </a:solidFill>
              <a:latin typeface="Administer"/>
              <a:ea typeface="Administer"/>
              <a:cs typeface="Administer"/>
            </a:rPr>
            <a:t> </a:t>
          </a:r>
          <a:r>
            <a:rPr lang="en-US" cap="none" sz="1600" b="0" i="0" u="none" baseline="0">
              <a:solidFill>
                <a:srgbClr val="000000"/>
              </a:solidFill>
              <a:latin typeface="Administer"/>
              <a:ea typeface="Administer"/>
              <a:cs typeface="Administer"/>
            </a:rPr>
            <a:t>/</a:t>
          </a:r>
          <a:r>
            <a:rPr lang="en-US" cap="none" sz="2000" b="0" i="0" u="none" baseline="0">
              <a:solidFill>
                <a:srgbClr val="000000"/>
              </a:solidFill>
              <a:latin typeface="Administer"/>
              <a:ea typeface="Administer"/>
              <a:cs typeface="Administer"/>
            </a:rPr>
            <a:t> 31 December - 24 March 2011</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A1:IV83"/>
  <sheetViews>
    <sheetView showGridLines="0" tabSelected="1" zoomScale="96" zoomScaleNormal="96" zoomScalePageLayoutView="0" workbookViewId="0" topLeftCell="A1">
      <selection activeCell="D3" sqref="D3:D4"/>
    </sheetView>
  </sheetViews>
  <sheetFormatPr defaultColWidth="9.140625" defaultRowHeight="12.75"/>
  <cols>
    <col min="1" max="1" width="3.7109375" style="75" bestFit="1" customWidth="1"/>
    <col min="2" max="2" width="62.140625" style="45" bestFit="1" customWidth="1"/>
    <col min="3" max="3" width="9.421875" style="46" bestFit="1" customWidth="1"/>
    <col min="4" max="4" width="22.7109375" style="47" bestFit="1" customWidth="1"/>
    <col min="5" max="5" width="7.421875" style="26" bestFit="1" customWidth="1"/>
    <col min="6" max="6" width="8.140625" style="26" customWidth="1"/>
    <col min="7" max="7" width="9.421875" style="26" customWidth="1"/>
    <col min="8" max="8" width="14.140625" style="42" bestFit="1" customWidth="1"/>
    <col min="9" max="9" width="8.8515625" style="43" bestFit="1" customWidth="1"/>
    <col min="10" max="10" width="8.140625" style="29" customWidth="1"/>
    <col min="11" max="11" width="7.57421875" style="30" bestFit="1" customWidth="1"/>
    <col min="12" max="12" width="14.57421875" style="44" bestFit="1" customWidth="1"/>
    <col min="13" max="13" width="10.421875" style="32" bestFit="1" customWidth="1"/>
    <col min="14" max="14" width="7.7109375" style="60" customWidth="1"/>
    <col min="15" max="16" width="2.28125" style="65" bestFit="1" customWidth="1"/>
    <col min="17" max="16384" width="9.140625" style="3" customWidth="1"/>
  </cols>
  <sheetData>
    <row r="1" spans="1:16" s="1" customFormat="1" ht="72" customHeight="1">
      <c r="A1" s="74"/>
      <c r="B1" s="48"/>
      <c r="C1" s="49"/>
      <c r="D1" s="50"/>
      <c r="E1" s="51"/>
      <c r="F1" s="51"/>
      <c r="G1" s="51"/>
      <c r="H1" s="52"/>
      <c r="I1" s="53"/>
      <c r="J1" s="54"/>
      <c r="K1" s="55"/>
      <c r="L1" s="56"/>
      <c r="M1" s="57"/>
      <c r="N1" s="58"/>
      <c r="O1" s="62"/>
      <c r="P1" s="62"/>
    </row>
    <row r="2" spans="1:16" s="5" customFormat="1" ht="22.5" customHeight="1" thickBot="1">
      <c r="A2" s="529" t="s">
        <v>69</v>
      </c>
      <c r="B2" s="530"/>
      <c r="C2" s="530"/>
      <c r="D2" s="530"/>
      <c r="E2" s="530"/>
      <c r="F2" s="530"/>
      <c r="G2" s="530"/>
      <c r="H2" s="530"/>
      <c r="I2" s="530"/>
      <c r="J2" s="530"/>
      <c r="K2" s="530"/>
      <c r="L2" s="530"/>
      <c r="M2" s="530"/>
      <c r="N2" s="531"/>
      <c r="O2" s="63"/>
      <c r="P2" s="63"/>
    </row>
    <row r="3" spans="1:16" s="86" customFormat="1" ht="12.75">
      <c r="A3" s="84"/>
      <c r="B3" s="537" t="s">
        <v>6</v>
      </c>
      <c r="C3" s="541" t="s">
        <v>43</v>
      </c>
      <c r="D3" s="539" t="s">
        <v>33</v>
      </c>
      <c r="E3" s="535" t="s">
        <v>44</v>
      </c>
      <c r="F3" s="535" t="s">
        <v>51</v>
      </c>
      <c r="G3" s="535" t="s">
        <v>32</v>
      </c>
      <c r="H3" s="540" t="s">
        <v>45</v>
      </c>
      <c r="I3" s="540"/>
      <c r="J3" s="540"/>
      <c r="K3" s="540"/>
      <c r="L3" s="532" t="s">
        <v>46</v>
      </c>
      <c r="M3" s="533"/>
      <c r="N3" s="534"/>
      <c r="O3" s="85"/>
      <c r="P3" s="85"/>
    </row>
    <row r="4" spans="1:16" s="86" customFormat="1" ht="39" thickBot="1">
      <c r="A4" s="87"/>
      <c r="B4" s="538"/>
      <c r="C4" s="536"/>
      <c r="D4" s="536"/>
      <c r="E4" s="536"/>
      <c r="F4" s="536"/>
      <c r="G4" s="536"/>
      <c r="H4" s="88" t="s">
        <v>47</v>
      </c>
      <c r="I4" s="89" t="s">
        <v>48</v>
      </c>
      <c r="J4" s="89" t="s">
        <v>38</v>
      </c>
      <c r="K4" s="90" t="s">
        <v>49</v>
      </c>
      <c r="L4" s="88" t="s">
        <v>47</v>
      </c>
      <c r="M4" s="89" t="s">
        <v>48</v>
      </c>
      <c r="N4" s="91" t="s">
        <v>50</v>
      </c>
      <c r="O4" s="85"/>
      <c r="P4" s="85"/>
    </row>
    <row r="5" spans="1:16" s="2" customFormat="1" ht="15">
      <c r="A5" s="92">
        <v>1</v>
      </c>
      <c r="B5" s="283" t="s">
        <v>214</v>
      </c>
      <c r="C5" s="284">
        <v>40613</v>
      </c>
      <c r="D5" s="285" t="s">
        <v>24</v>
      </c>
      <c r="E5" s="286">
        <v>280</v>
      </c>
      <c r="F5" s="286">
        <v>300</v>
      </c>
      <c r="G5" s="286">
        <v>2</v>
      </c>
      <c r="H5" s="287">
        <v>1498210</v>
      </c>
      <c r="I5" s="288">
        <v>164978</v>
      </c>
      <c r="J5" s="289">
        <f>I5/F5</f>
        <v>549.9266666666666</v>
      </c>
      <c r="K5" s="290">
        <f>H5/I5</f>
        <v>9.081271442252907</v>
      </c>
      <c r="L5" s="291">
        <v>3900225</v>
      </c>
      <c r="M5" s="292">
        <v>428986</v>
      </c>
      <c r="N5" s="293">
        <f>+L5/M5</f>
        <v>9.091730266255775</v>
      </c>
      <c r="O5" s="294">
        <v>1</v>
      </c>
      <c r="P5" s="220"/>
    </row>
    <row r="6" spans="1:16" s="2" customFormat="1" ht="15">
      <c r="A6" s="92">
        <v>2</v>
      </c>
      <c r="B6" s="209" t="s">
        <v>215</v>
      </c>
      <c r="C6" s="163">
        <v>40620</v>
      </c>
      <c r="D6" s="246" t="s">
        <v>17</v>
      </c>
      <c r="E6" s="245">
        <v>218</v>
      </c>
      <c r="F6" s="245">
        <v>218</v>
      </c>
      <c r="G6" s="245">
        <v>1</v>
      </c>
      <c r="H6" s="199">
        <v>868723.5</v>
      </c>
      <c r="I6" s="183">
        <v>93361</v>
      </c>
      <c r="J6" s="170">
        <f>IF(H6&lt;&gt;0,I6/F6,"")</f>
        <v>428.26146788990826</v>
      </c>
      <c r="K6" s="197">
        <f>IF(H6&lt;&gt;0,H6/I6,"")</f>
        <v>9.304993519778066</v>
      </c>
      <c r="L6" s="200">
        <v>868723.5</v>
      </c>
      <c r="M6" s="167">
        <v>93361</v>
      </c>
      <c r="N6" s="214">
        <f>IF(L6&lt;&gt;0,L6/M6,"")</f>
        <v>9.304993519778066</v>
      </c>
      <c r="O6" s="368">
        <v>1</v>
      </c>
      <c r="P6" s="220"/>
    </row>
    <row r="7" spans="1:16" s="2" customFormat="1" ht="15">
      <c r="A7" s="313">
        <v>3</v>
      </c>
      <c r="B7" s="357" t="s">
        <v>174</v>
      </c>
      <c r="C7" s="358">
        <v>40599</v>
      </c>
      <c r="D7" s="359" t="s">
        <v>24</v>
      </c>
      <c r="E7" s="360">
        <v>246</v>
      </c>
      <c r="F7" s="360">
        <v>246</v>
      </c>
      <c r="G7" s="360">
        <v>4</v>
      </c>
      <c r="H7" s="361">
        <v>731943</v>
      </c>
      <c r="I7" s="362">
        <v>82996</v>
      </c>
      <c r="J7" s="363">
        <f>I7/F7</f>
        <v>337.3821138211382</v>
      </c>
      <c r="K7" s="364">
        <f>H7/I7</f>
        <v>8.819015374234903</v>
      </c>
      <c r="L7" s="365">
        <v>6893415</v>
      </c>
      <c r="M7" s="366">
        <v>758669</v>
      </c>
      <c r="N7" s="367">
        <f>+L7/M7</f>
        <v>9.08619569271975</v>
      </c>
      <c r="O7" s="294">
        <v>1</v>
      </c>
      <c r="P7" s="220"/>
    </row>
    <row r="8" spans="1:16" s="2" customFormat="1" ht="15">
      <c r="A8" s="93">
        <v>4</v>
      </c>
      <c r="B8" s="347" t="s">
        <v>216</v>
      </c>
      <c r="C8" s="312">
        <v>40620</v>
      </c>
      <c r="D8" s="348" t="s">
        <v>24</v>
      </c>
      <c r="E8" s="349">
        <v>89</v>
      </c>
      <c r="F8" s="349">
        <v>89</v>
      </c>
      <c r="G8" s="349">
        <v>1</v>
      </c>
      <c r="H8" s="350">
        <v>633272</v>
      </c>
      <c r="I8" s="351">
        <v>59005</v>
      </c>
      <c r="J8" s="352">
        <f>I8/F8</f>
        <v>662.9775280898876</v>
      </c>
      <c r="K8" s="353">
        <f>H8/I8</f>
        <v>10.732514193712397</v>
      </c>
      <c r="L8" s="354">
        <v>633272</v>
      </c>
      <c r="M8" s="355">
        <v>59005</v>
      </c>
      <c r="N8" s="356">
        <f>+L8/M8</f>
        <v>10.732514193712397</v>
      </c>
      <c r="O8" s="294"/>
      <c r="P8" s="220"/>
    </row>
    <row r="9" spans="1:16" s="4" customFormat="1" ht="15">
      <c r="A9" s="92">
        <v>5</v>
      </c>
      <c r="B9" s="211" t="s">
        <v>200</v>
      </c>
      <c r="C9" s="166">
        <v>40578</v>
      </c>
      <c r="D9" s="329" t="s">
        <v>23</v>
      </c>
      <c r="E9" s="243">
        <v>224</v>
      </c>
      <c r="F9" s="243">
        <v>215</v>
      </c>
      <c r="G9" s="243">
        <v>7</v>
      </c>
      <c r="H9" s="188">
        <v>599489</v>
      </c>
      <c r="I9" s="180">
        <v>78373</v>
      </c>
      <c r="J9" s="167">
        <f>I9/F9</f>
        <v>364.52558139534887</v>
      </c>
      <c r="K9" s="202">
        <f>+H9/I9</f>
        <v>7.64917765046636</v>
      </c>
      <c r="L9" s="189">
        <v>21083964</v>
      </c>
      <c r="M9" s="168">
        <v>2283985</v>
      </c>
      <c r="N9" s="208">
        <f>+L9/M9</f>
        <v>9.231218243552387</v>
      </c>
      <c r="O9" s="369">
        <v>1</v>
      </c>
      <c r="P9" s="220"/>
    </row>
    <row r="10" spans="1:16" s="4" customFormat="1" ht="15">
      <c r="A10" s="92">
        <v>6</v>
      </c>
      <c r="B10" s="211" t="s">
        <v>217</v>
      </c>
      <c r="C10" s="166">
        <v>40620</v>
      </c>
      <c r="D10" s="329" t="s">
        <v>23</v>
      </c>
      <c r="E10" s="243">
        <v>51</v>
      </c>
      <c r="F10" s="243">
        <v>51</v>
      </c>
      <c r="G10" s="243">
        <v>1</v>
      </c>
      <c r="H10" s="188">
        <v>451695</v>
      </c>
      <c r="I10" s="180">
        <v>36221</v>
      </c>
      <c r="J10" s="167">
        <f>I10/F10</f>
        <v>710.2156862745098</v>
      </c>
      <c r="K10" s="202">
        <f>+H10/I10</f>
        <v>12.470528146655255</v>
      </c>
      <c r="L10" s="189">
        <v>451695</v>
      </c>
      <c r="M10" s="168">
        <v>36221</v>
      </c>
      <c r="N10" s="208">
        <f>+L10/M10</f>
        <v>12.470528146655255</v>
      </c>
      <c r="O10" s="369"/>
      <c r="P10" s="220"/>
    </row>
    <row r="11" spans="1:16" s="4" customFormat="1" ht="15">
      <c r="A11" s="92">
        <v>7</v>
      </c>
      <c r="B11" s="209" t="s">
        <v>208</v>
      </c>
      <c r="C11" s="163">
        <v>40613</v>
      </c>
      <c r="D11" s="246" t="s">
        <v>17</v>
      </c>
      <c r="E11" s="245">
        <v>89</v>
      </c>
      <c r="F11" s="245">
        <v>89</v>
      </c>
      <c r="G11" s="245">
        <v>2</v>
      </c>
      <c r="H11" s="199">
        <v>432703</v>
      </c>
      <c r="I11" s="183">
        <v>39897</v>
      </c>
      <c r="J11" s="170">
        <f>IF(H11&lt;&gt;0,I11/F11,"")</f>
        <v>448.2808988764045</v>
      </c>
      <c r="K11" s="197">
        <f>IF(H11&lt;&gt;0,H11/I11,"")</f>
        <v>10.845502168082813</v>
      </c>
      <c r="L11" s="200">
        <f>621196.5+432703</f>
        <v>1053899.5</v>
      </c>
      <c r="M11" s="167">
        <f>55015+39897</f>
        <v>94912</v>
      </c>
      <c r="N11" s="214">
        <f>IF(L11&lt;&gt;0,L11/M11,"")</f>
        <v>11.10396472521915</v>
      </c>
      <c r="O11" s="368"/>
      <c r="P11" s="220"/>
    </row>
    <row r="12" spans="1:16" s="4" customFormat="1" ht="15">
      <c r="A12" s="93">
        <v>8</v>
      </c>
      <c r="B12" s="213" t="s">
        <v>218</v>
      </c>
      <c r="C12" s="163">
        <v>40620</v>
      </c>
      <c r="D12" s="247" t="s">
        <v>27</v>
      </c>
      <c r="E12" s="233">
        <v>37</v>
      </c>
      <c r="F12" s="233">
        <v>37</v>
      </c>
      <c r="G12" s="233">
        <v>1</v>
      </c>
      <c r="H12" s="196">
        <v>348020</v>
      </c>
      <c r="I12" s="182">
        <v>29235</v>
      </c>
      <c r="J12" s="170">
        <f>+I12/F12</f>
        <v>790.1351351351351</v>
      </c>
      <c r="K12" s="197">
        <f>+H12/I12</f>
        <v>11.904224388575338</v>
      </c>
      <c r="L12" s="198">
        <v>348020</v>
      </c>
      <c r="M12" s="169">
        <v>29235</v>
      </c>
      <c r="N12" s="214">
        <f>+L12/M12</f>
        <v>11.904224388575338</v>
      </c>
      <c r="O12" s="294"/>
      <c r="P12" s="220"/>
    </row>
    <row r="13" spans="1:16" s="4" customFormat="1" ht="15">
      <c r="A13" s="92">
        <v>9</v>
      </c>
      <c r="B13" s="209" t="s">
        <v>201</v>
      </c>
      <c r="C13" s="163">
        <v>40606</v>
      </c>
      <c r="D13" s="246" t="s">
        <v>17</v>
      </c>
      <c r="E13" s="245">
        <v>152</v>
      </c>
      <c r="F13" s="245">
        <v>145</v>
      </c>
      <c r="G13" s="245">
        <v>3</v>
      </c>
      <c r="H13" s="199">
        <v>269086.5</v>
      </c>
      <c r="I13" s="183">
        <v>33243</v>
      </c>
      <c r="J13" s="170">
        <f>IF(H13&lt;&gt;0,I13/F13,"")</f>
        <v>229.26206896551724</v>
      </c>
      <c r="K13" s="197">
        <f>IF(H13&lt;&gt;0,H13/I13,"")</f>
        <v>8.094531179496435</v>
      </c>
      <c r="L13" s="200">
        <f>1064857.25+602581.25+269086.5</f>
        <v>1936525</v>
      </c>
      <c r="M13" s="167">
        <f>118954+67997+33243</f>
        <v>220194</v>
      </c>
      <c r="N13" s="214">
        <f>IF(L13&lt;&gt;0,L13/M13,"")</f>
        <v>8.794631098031736</v>
      </c>
      <c r="O13" s="368">
        <v>1</v>
      </c>
      <c r="P13" s="220"/>
    </row>
    <row r="14" spans="1:16" s="4" customFormat="1" ht="15">
      <c r="A14" s="92">
        <v>10</v>
      </c>
      <c r="B14" s="213" t="s">
        <v>219</v>
      </c>
      <c r="C14" s="163">
        <v>40613</v>
      </c>
      <c r="D14" s="234" t="s">
        <v>25</v>
      </c>
      <c r="E14" s="233">
        <v>105</v>
      </c>
      <c r="F14" s="233">
        <v>92</v>
      </c>
      <c r="G14" s="233">
        <v>2</v>
      </c>
      <c r="H14" s="204">
        <v>254109.5</v>
      </c>
      <c r="I14" s="181">
        <v>28876</v>
      </c>
      <c r="J14" s="174">
        <f>I14/F14</f>
        <v>313.8695652173913</v>
      </c>
      <c r="K14" s="205">
        <f>H14/I14</f>
        <v>8.800024241584707</v>
      </c>
      <c r="L14" s="206">
        <v>748100</v>
      </c>
      <c r="M14" s="173">
        <v>80169</v>
      </c>
      <c r="N14" s="217">
        <f>+L14/M14</f>
        <v>9.331537127817485</v>
      </c>
      <c r="O14" s="294">
        <v>1</v>
      </c>
      <c r="P14" s="220"/>
    </row>
    <row r="15" spans="1:16" s="4" customFormat="1" ht="15">
      <c r="A15" s="92">
        <v>11</v>
      </c>
      <c r="B15" s="211" t="s">
        <v>220</v>
      </c>
      <c r="C15" s="166">
        <v>40606</v>
      </c>
      <c r="D15" s="329" t="s">
        <v>23</v>
      </c>
      <c r="E15" s="243">
        <v>93</v>
      </c>
      <c r="F15" s="243">
        <v>92</v>
      </c>
      <c r="G15" s="243">
        <v>3</v>
      </c>
      <c r="H15" s="188">
        <v>208049</v>
      </c>
      <c r="I15" s="180">
        <v>18001</v>
      </c>
      <c r="J15" s="167">
        <f>I15/F15</f>
        <v>195.66304347826087</v>
      </c>
      <c r="K15" s="202">
        <f>+H15/I15</f>
        <v>11.557635686906282</v>
      </c>
      <c r="L15" s="189">
        <v>1172199</v>
      </c>
      <c r="M15" s="168">
        <v>101177</v>
      </c>
      <c r="N15" s="208">
        <f>+L15/M15</f>
        <v>11.585627168229934</v>
      </c>
      <c r="O15" s="369"/>
      <c r="P15" s="220"/>
    </row>
    <row r="16" spans="1:16" s="4" customFormat="1" ht="15">
      <c r="A16" s="93">
        <v>12</v>
      </c>
      <c r="B16" s="211" t="s">
        <v>202</v>
      </c>
      <c r="C16" s="166">
        <v>40606</v>
      </c>
      <c r="D16" s="329" t="s">
        <v>23</v>
      </c>
      <c r="E16" s="243">
        <v>104</v>
      </c>
      <c r="F16" s="243">
        <v>96</v>
      </c>
      <c r="G16" s="243">
        <v>3</v>
      </c>
      <c r="H16" s="188">
        <v>163074</v>
      </c>
      <c r="I16" s="180">
        <v>16541</v>
      </c>
      <c r="J16" s="167">
        <f>I16/F16</f>
        <v>172.30208333333334</v>
      </c>
      <c r="K16" s="202">
        <f>+H16/I16</f>
        <v>9.858775164742156</v>
      </c>
      <c r="L16" s="189">
        <v>1125075</v>
      </c>
      <c r="M16" s="168">
        <v>108259</v>
      </c>
      <c r="N16" s="208">
        <f>+L16/M16</f>
        <v>10.3924385039581</v>
      </c>
      <c r="O16" s="369"/>
      <c r="P16" s="220"/>
    </row>
    <row r="17" spans="1:16" s="4" customFormat="1" ht="15">
      <c r="A17" s="92">
        <v>13</v>
      </c>
      <c r="B17" s="207" t="s">
        <v>172</v>
      </c>
      <c r="C17" s="166">
        <v>40599</v>
      </c>
      <c r="D17" s="244" t="s">
        <v>119</v>
      </c>
      <c r="E17" s="243">
        <v>58</v>
      </c>
      <c r="F17" s="243">
        <v>35</v>
      </c>
      <c r="G17" s="243">
        <v>4</v>
      </c>
      <c r="H17" s="193">
        <v>109363.25</v>
      </c>
      <c r="I17" s="179">
        <v>9290</v>
      </c>
      <c r="J17" s="172">
        <f>(I17/F17)</f>
        <v>265.42857142857144</v>
      </c>
      <c r="K17" s="194">
        <f>H17/I17</f>
        <v>11.772147470398277</v>
      </c>
      <c r="L17" s="195">
        <f>949627.55+646695.25+355755.95+109363.25</f>
        <v>2061442</v>
      </c>
      <c r="M17" s="171">
        <f>77399+54036+29350+9290</f>
        <v>170075</v>
      </c>
      <c r="N17" s="212">
        <f>L17/M17</f>
        <v>12.120782007937674</v>
      </c>
      <c r="O17" s="370"/>
      <c r="P17" s="220"/>
    </row>
    <row r="18" spans="1:16" s="4" customFormat="1" ht="15">
      <c r="A18" s="92">
        <v>14</v>
      </c>
      <c r="B18" s="211" t="s">
        <v>175</v>
      </c>
      <c r="C18" s="166">
        <v>40592</v>
      </c>
      <c r="D18" s="329" t="s">
        <v>23</v>
      </c>
      <c r="E18" s="243">
        <v>27</v>
      </c>
      <c r="F18" s="243">
        <v>27</v>
      </c>
      <c r="G18" s="243">
        <v>5</v>
      </c>
      <c r="H18" s="188">
        <v>100260</v>
      </c>
      <c r="I18" s="180">
        <v>8430</v>
      </c>
      <c r="J18" s="167">
        <f>I18/F18</f>
        <v>312.22222222222223</v>
      </c>
      <c r="K18" s="202">
        <f>+H18/I18</f>
        <v>11.8932384341637</v>
      </c>
      <c r="L18" s="189">
        <v>1787299</v>
      </c>
      <c r="M18" s="168">
        <v>135429</v>
      </c>
      <c r="N18" s="208">
        <f>+L18/M18</f>
        <v>13.19731372158105</v>
      </c>
      <c r="O18" s="369"/>
      <c r="P18" s="220"/>
    </row>
    <row r="19" spans="1:16" s="4" customFormat="1" ht="15">
      <c r="A19" s="92">
        <v>15</v>
      </c>
      <c r="B19" s="211" t="s">
        <v>221</v>
      </c>
      <c r="C19" s="175">
        <v>40613</v>
      </c>
      <c r="D19" s="248" t="s">
        <v>171</v>
      </c>
      <c r="E19" s="243">
        <v>25</v>
      </c>
      <c r="F19" s="243">
        <v>17</v>
      </c>
      <c r="G19" s="243">
        <v>2</v>
      </c>
      <c r="H19" s="201">
        <v>62966</v>
      </c>
      <c r="I19" s="180">
        <v>8023</v>
      </c>
      <c r="J19" s="168">
        <f>I19/F19</f>
        <v>471.94117647058823</v>
      </c>
      <c r="K19" s="202">
        <f>H19/I19</f>
        <v>7.848186463916241</v>
      </c>
      <c r="L19" s="203">
        <v>127177.5</v>
      </c>
      <c r="M19" s="168">
        <v>15065</v>
      </c>
      <c r="N19" s="216">
        <f>L19/M19</f>
        <v>8.4419183538002</v>
      </c>
      <c r="O19" s="294">
        <v>1</v>
      </c>
      <c r="P19" s="220"/>
    </row>
    <row r="20" spans="1:16" s="4" customFormat="1" ht="15">
      <c r="A20" s="93">
        <v>16</v>
      </c>
      <c r="B20" s="207" t="s">
        <v>222</v>
      </c>
      <c r="C20" s="166">
        <v>40620</v>
      </c>
      <c r="D20" s="244" t="s">
        <v>103</v>
      </c>
      <c r="E20" s="243">
        <v>15</v>
      </c>
      <c r="F20" s="243">
        <v>15</v>
      </c>
      <c r="G20" s="243">
        <v>1</v>
      </c>
      <c r="H20" s="236">
        <v>58942</v>
      </c>
      <c r="I20" s="237">
        <v>4237</v>
      </c>
      <c r="J20" s="253">
        <v>282.46666666666664</v>
      </c>
      <c r="K20" s="254">
        <v>13.911257965541656</v>
      </c>
      <c r="L20" s="239">
        <v>58942</v>
      </c>
      <c r="M20" s="238">
        <v>4237</v>
      </c>
      <c r="N20" s="271">
        <v>13.911257965541656</v>
      </c>
      <c r="O20" s="294"/>
      <c r="P20" s="220"/>
    </row>
    <row r="21" spans="1:16" s="4" customFormat="1" ht="15">
      <c r="A21" s="92">
        <v>17</v>
      </c>
      <c r="B21" s="211" t="s">
        <v>223</v>
      </c>
      <c r="C21" s="175">
        <v>40613</v>
      </c>
      <c r="D21" s="248" t="s">
        <v>119</v>
      </c>
      <c r="E21" s="243">
        <v>25</v>
      </c>
      <c r="F21" s="243">
        <v>24</v>
      </c>
      <c r="G21" s="243">
        <v>2</v>
      </c>
      <c r="H21" s="193">
        <v>53479.5</v>
      </c>
      <c r="I21" s="179">
        <v>7103</v>
      </c>
      <c r="J21" s="172">
        <f>(I21/F21)</f>
        <v>295.9583333333333</v>
      </c>
      <c r="K21" s="194">
        <f aca="true" t="shared" si="0" ref="K21:K26">H21/I21</f>
        <v>7.529142615796142</v>
      </c>
      <c r="L21" s="195">
        <f>75934+53479.5</f>
        <v>129413.5</v>
      </c>
      <c r="M21" s="171">
        <f>9554+7103</f>
        <v>16657</v>
      </c>
      <c r="N21" s="212">
        <f>L21/M21</f>
        <v>7.769316203397971</v>
      </c>
      <c r="O21" s="370">
        <v>1</v>
      </c>
      <c r="P21" s="220"/>
    </row>
    <row r="22" spans="1:16" s="4" customFormat="1" ht="15">
      <c r="A22" s="92">
        <v>18</v>
      </c>
      <c r="B22" s="215" t="s">
        <v>210</v>
      </c>
      <c r="C22" s="177">
        <v>40613</v>
      </c>
      <c r="D22" s="244" t="s">
        <v>119</v>
      </c>
      <c r="E22" s="249">
        <v>22</v>
      </c>
      <c r="F22" s="249">
        <v>22</v>
      </c>
      <c r="G22" s="249">
        <v>2</v>
      </c>
      <c r="H22" s="193">
        <v>45641.5</v>
      </c>
      <c r="I22" s="179">
        <v>3759</v>
      </c>
      <c r="J22" s="172">
        <f>(I22/F22)</f>
        <v>170.86363636363637</v>
      </c>
      <c r="K22" s="194">
        <f t="shared" si="0"/>
        <v>12.14192604416068</v>
      </c>
      <c r="L22" s="195">
        <f>116753+45641.5</f>
        <v>162394.5</v>
      </c>
      <c r="M22" s="171">
        <f>8727+3759</f>
        <v>12486</v>
      </c>
      <c r="N22" s="212">
        <f>L22/M22</f>
        <v>13.006126862085535</v>
      </c>
      <c r="O22" s="370"/>
      <c r="P22" s="220"/>
    </row>
    <row r="23" spans="1:16" s="4" customFormat="1" ht="15">
      <c r="A23" s="92">
        <v>19</v>
      </c>
      <c r="B23" s="207" t="s">
        <v>224</v>
      </c>
      <c r="C23" s="166">
        <v>40571</v>
      </c>
      <c r="D23" s="244" t="s">
        <v>26</v>
      </c>
      <c r="E23" s="243">
        <v>364</v>
      </c>
      <c r="F23" s="243">
        <v>6</v>
      </c>
      <c r="G23" s="243">
        <v>8</v>
      </c>
      <c r="H23" s="188">
        <v>42283</v>
      </c>
      <c r="I23" s="180">
        <v>6890</v>
      </c>
      <c r="J23" s="165">
        <f>I23/F23</f>
        <v>1148.3333333333333</v>
      </c>
      <c r="K23" s="191">
        <f t="shared" si="0"/>
        <v>6.136865021770682</v>
      </c>
      <c r="L23" s="189">
        <f>9270289+4217769.25+1762200.5+76.25+863944.5+635392-7+421743.5+30+17848+42283+4475</f>
        <v>17236044</v>
      </c>
      <c r="M23" s="167">
        <f>1060415+493112+207846+16+104665+81570-1+60457+6+2952+6890+337</f>
        <v>2018265</v>
      </c>
      <c r="N23" s="210">
        <f>+L23/M23</f>
        <v>8.540030174432</v>
      </c>
      <c r="O23" s="294">
        <v>1</v>
      </c>
      <c r="P23" s="220"/>
    </row>
    <row r="24" spans="1:16" s="4" customFormat="1" ht="15">
      <c r="A24" s="93">
        <v>20</v>
      </c>
      <c r="B24" s="207" t="s">
        <v>225</v>
      </c>
      <c r="C24" s="166">
        <v>40620</v>
      </c>
      <c r="D24" s="244" t="s">
        <v>119</v>
      </c>
      <c r="E24" s="243">
        <v>18</v>
      </c>
      <c r="F24" s="243">
        <v>18</v>
      </c>
      <c r="G24" s="243">
        <v>1</v>
      </c>
      <c r="H24" s="193">
        <v>39453.5</v>
      </c>
      <c r="I24" s="179">
        <v>5345</v>
      </c>
      <c r="J24" s="172">
        <f>(I24/F24)</f>
        <v>296.94444444444446</v>
      </c>
      <c r="K24" s="194">
        <f t="shared" si="0"/>
        <v>7.381384471468662</v>
      </c>
      <c r="L24" s="195">
        <f>39453.5</f>
        <v>39453.5</v>
      </c>
      <c r="M24" s="171">
        <f>5345</f>
        <v>5345</v>
      </c>
      <c r="N24" s="212">
        <f>L24/M24</f>
        <v>7.381384471468662</v>
      </c>
      <c r="O24" s="370">
        <v>1</v>
      </c>
      <c r="P24" s="220"/>
    </row>
    <row r="25" spans="1:16" s="4" customFormat="1" ht="15">
      <c r="A25" s="93">
        <v>21</v>
      </c>
      <c r="B25" s="215" t="s">
        <v>153</v>
      </c>
      <c r="C25" s="166">
        <v>40585</v>
      </c>
      <c r="D25" s="244" t="s">
        <v>119</v>
      </c>
      <c r="E25" s="243">
        <v>58</v>
      </c>
      <c r="F25" s="243">
        <v>38</v>
      </c>
      <c r="G25" s="243">
        <v>6</v>
      </c>
      <c r="H25" s="193">
        <v>34454</v>
      </c>
      <c r="I25" s="179">
        <v>4996</v>
      </c>
      <c r="J25" s="172">
        <f>(I25/F25)</f>
        <v>131.47368421052633</v>
      </c>
      <c r="K25" s="194">
        <f t="shared" si="0"/>
        <v>6.896317053642914</v>
      </c>
      <c r="L25" s="195">
        <f>236018+209847.25+105622+138051.5+64189.5+34454</f>
        <v>788182.25</v>
      </c>
      <c r="M25" s="171">
        <f>25731+24506+13184+19079+9581+4996</f>
        <v>97077</v>
      </c>
      <c r="N25" s="212">
        <f>L25/M25</f>
        <v>8.119145111612431</v>
      </c>
      <c r="O25" s="370">
        <v>1</v>
      </c>
      <c r="P25" s="220"/>
    </row>
    <row r="26" spans="1:16" s="4" customFormat="1" ht="15">
      <c r="A26" s="92">
        <v>22</v>
      </c>
      <c r="B26" s="209" t="s">
        <v>128</v>
      </c>
      <c r="C26" s="163">
        <v>40564</v>
      </c>
      <c r="D26" s="246" t="s">
        <v>24</v>
      </c>
      <c r="E26" s="245">
        <v>109</v>
      </c>
      <c r="F26" s="245">
        <v>44</v>
      </c>
      <c r="G26" s="245">
        <v>9</v>
      </c>
      <c r="H26" s="190">
        <v>23861</v>
      </c>
      <c r="I26" s="178">
        <v>4814</v>
      </c>
      <c r="J26" s="165">
        <f>I26/F26</f>
        <v>109.4090909090909</v>
      </c>
      <c r="K26" s="191">
        <f t="shared" si="0"/>
        <v>4.956584960531782</v>
      </c>
      <c r="L26" s="192">
        <v>3921697</v>
      </c>
      <c r="M26" s="164">
        <v>391294</v>
      </c>
      <c r="N26" s="210">
        <f>+L26/M26</f>
        <v>10.022379591815872</v>
      </c>
      <c r="O26" s="294"/>
      <c r="P26" s="220"/>
    </row>
    <row r="27" spans="1:16" s="4" customFormat="1" ht="15">
      <c r="A27" s="92">
        <v>23</v>
      </c>
      <c r="B27" s="209" t="s">
        <v>141</v>
      </c>
      <c r="C27" s="163">
        <v>40578</v>
      </c>
      <c r="D27" s="246" t="s">
        <v>17</v>
      </c>
      <c r="E27" s="245">
        <v>79</v>
      </c>
      <c r="F27" s="245">
        <v>17</v>
      </c>
      <c r="G27" s="245">
        <v>7</v>
      </c>
      <c r="H27" s="199">
        <v>13023</v>
      </c>
      <c r="I27" s="183">
        <v>2262</v>
      </c>
      <c r="J27" s="170">
        <f>IF(H27&lt;&gt;0,I27/F27,"")</f>
        <v>133.05882352941177</v>
      </c>
      <c r="K27" s="197">
        <f>IF(H27&lt;&gt;0,H27/I27,"")</f>
        <v>5.757294429708223</v>
      </c>
      <c r="L27" s="200">
        <f>1249630.5+757498.5+406869.5+134568.5+85119.5+22643+13023</f>
        <v>2669352.5</v>
      </c>
      <c r="M27" s="167">
        <f>100473+61059+33287+10889+9516+2692+2262</f>
        <v>220178</v>
      </c>
      <c r="N27" s="214">
        <f>IF(L27&lt;&gt;0,L27/M27,"")</f>
        <v>12.123611350816159</v>
      </c>
      <c r="O27" s="368"/>
      <c r="P27" s="220"/>
    </row>
    <row r="28" spans="1:16" s="4" customFormat="1" ht="15">
      <c r="A28" s="92">
        <v>24</v>
      </c>
      <c r="B28" s="207" t="s">
        <v>165</v>
      </c>
      <c r="C28" s="166">
        <v>40592</v>
      </c>
      <c r="D28" s="244" t="s">
        <v>119</v>
      </c>
      <c r="E28" s="243">
        <v>26</v>
      </c>
      <c r="F28" s="243">
        <v>9</v>
      </c>
      <c r="G28" s="243">
        <v>5</v>
      </c>
      <c r="H28" s="193">
        <v>10490</v>
      </c>
      <c r="I28" s="179">
        <v>2469</v>
      </c>
      <c r="J28" s="172">
        <f>(I28/F28)</f>
        <v>274.3333333333333</v>
      </c>
      <c r="K28" s="194">
        <f>H28/I28</f>
        <v>4.248683677602268</v>
      </c>
      <c r="L28" s="195">
        <f>237198+117355.25+39279+7609+10490</f>
        <v>411931.25</v>
      </c>
      <c r="M28" s="171">
        <f>20106+9312+4270+1420+2469</f>
        <v>37577</v>
      </c>
      <c r="N28" s="212">
        <f>L28/M28</f>
        <v>10.962324027995848</v>
      </c>
      <c r="O28" s="370"/>
      <c r="P28" s="220"/>
    </row>
    <row r="29" spans="1:16" s="4" customFormat="1" ht="15">
      <c r="A29" s="93">
        <v>25</v>
      </c>
      <c r="B29" s="211" t="s">
        <v>203</v>
      </c>
      <c r="C29" s="166">
        <v>40606</v>
      </c>
      <c r="D29" s="329" t="s">
        <v>23</v>
      </c>
      <c r="E29" s="243">
        <v>52</v>
      </c>
      <c r="F29" s="243">
        <v>6</v>
      </c>
      <c r="G29" s="243">
        <v>3</v>
      </c>
      <c r="H29" s="188">
        <v>7840</v>
      </c>
      <c r="I29" s="180">
        <v>869</v>
      </c>
      <c r="J29" s="167">
        <f>I29/F29</f>
        <v>144.83333333333334</v>
      </c>
      <c r="K29" s="202">
        <f>+H29/I29</f>
        <v>9.021864211737629</v>
      </c>
      <c r="L29" s="189">
        <v>327412</v>
      </c>
      <c r="M29" s="168">
        <v>26241</v>
      </c>
      <c r="N29" s="208">
        <f>+L29/M29</f>
        <v>12.477115963568462</v>
      </c>
      <c r="O29" s="369"/>
      <c r="P29" s="220"/>
    </row>
    <row r="30" spans="1:16" s="4" customFormat="1" ht="15">
      <c r="A30" s="93">
        <v>26</v>
      </c>
      <c r="B30" s="215" t="s">
        <v>173</v>
      </c>
      <c r="C30" s="166">
        <v>40599</v>
      </c>
      <c r="D30" s="244" t="s">
        <v>119</v>
      </c>
      <c r="E30" s="243">
        <v>60</v>
      </c>
      <c r="F30" s="243">
        <v>10</v>
      </c>
      <c r="G30" s="243">
        <v>4</v>
      </c>
      <c r="H30" s="193">
        <v>7149.5</v>
      </c>
      <c r="I30" s="179">
        <v>1269</v>
      </c>
      <c r="J30" s="172">
        <f>(I30/F30)</f>
        <v>126.9</v>
      </c>
      <c r="K30" s="194">
        <f>H30/I30</f>
        <v>5.6339637509850276</v>
      </c>
      <c r="L30" s="195">
        <f>324952+205669.75+36076.25+7149.5</f>
        <v>573847.5</v>
      </c>
      <c r="M30" s="171">
        <f>28582+18445+3670+1269</f>
        <v>51966</v>
      </c>
      <c r="N30" s="212">
        <f>L30/M30</f>
        <v>11.042749105184159</v>
      </c>
      <c r="O30" s="370"/>
      <c r="P30" s="220"/>
    </row>
    <row r="31" spans="1:16" s="4" customFormat="1" ht="15">
      <c r="A31" s="92">
        <v>27</v>
      </c>
      <c r="B31" s="207" t="s">
        <v>226</v>
      </c>
      <c r="C31" s="166">
        <v>40592</v>
      </c>
      <c r="D31" s="244" t="s">
        <v>31</v>
      </c>
      <c r="E31" s="243">
        <v>1</v>
      </c>
      <c r="F31" s="243">
        <v>1</v>
      </c>
      <c r="G31" s="243">
        <v>1</v>
      </c>
      <c r="H31" s="188">
        <v>6402</v>
      </c>
      <c r="I31" s="180">
        <v>717</v>
      </c>
      <c r="J31" s="167">
        <f>I31/F31</f>
        <v>717</v>
      </c>
      <c r="K31" s="202">
        <f>H31/I31</f>
        <v>8.92887029288703</v>
      </c>
      <c r="L31" s="189">
        <v>6402</v>
      </c>
      <c r="M31" s="167">
        <v>717</v>
      </c>
      <c r="N31" s="208">
        <f>L31/M31</f>
        <v>8.92887029288703</v>
      </c>
      <c r="O31" s="294">
        <v>1</v>
      </c>
      <c r="P31" s="220"/>
    </row>
    <row r="32" spans="1:16" s="4" customFormat="1" ht="15">
      <c r="A32" s="92">
        <v>28</v>
      </c>
      <c r="B32" s="211" t="s">
        <v>227</v>
      </c>
      <c r="C32" s="166">
        <v>40550</v>
      </c>
      <c r="D32" s="329" t="s">
        <v>23</v>
      </c>
      <c r="E32" s="243">
        <v>356</v>
      </c>
      <c r="F32" s="243">
        <v>10</v>
      </c>
      <c r="G32" s="243">
        <v>11</v>
      </c>
      <c r="H32" s="188">
        <v>4409</v>
      </c>
      <c r="I32" s="180">
        <v>602</v>
      </c>
      <c r="J32" s="167">
        <f>I32/F32</f>
        <v>60.2</v>
      </c>
      <c r="K32" s="202">
        <f>+H32/I32</f>
        <v>7.323920265780731</v>
      </c>
      <c r="L32" s="189">
        <v>36504889</v>
      </c>
      <c r="M32" s="168">
        <v>3911241</v>
      </c>
      <c r="N32" s="208">
        <f>+L32/M32</f>
        <v>9.333326430153498</v>
      </c>
      <c r="O32" s="369">
        <v>1</v>
      </c>
      <c r="P32" s="220"/>
    </row>
    <row r="33" spans="1:16" s="4" customFormat="1" ht="15">
      <c r="A33" s="92">
        <v>29</v>
      </c>
      <c r="B33" s="207" t="s">
        <v>19</v>
      </c>
      <c r="C33" s="166">
        <v>40515</v>
      </c>
      <c r="D33" s="244" t="s">
        <v>119</v>
      </c>
      <c r="E33" s="243">
        <v>62</v>
      </c>
      <c r="F33" s="243">
        <v>8</v>
      </c>
      <c r="G33" s="243">
        <v>16</v>
      </c>
      <c r="H33" s="193">
        <v>3280.5</v>
      </c>
      <c r="I33" s="179">
        <v>512</v>
      </c>
      <c r="J33" s="172">
        <f>(I33/F33)</f>
        <v>64</v>
      </c>
      <c r="K33" s="194">
        <f>H33/I33</f>
        <v>6.4072265625</v>
      </c>
      <c r="L33" s="195">
        <f>353151+191248+132731.5+71376+47862+26248.5+19265+34650.5+35095.5+42312+25849+10987+7528+3248+2395.5+3280.5</f>
        <v>1007228</v>
      </c>
      <c r="M33" s="171">
        <f>34650+19352+14525+10591+7581+5012+3223+6065+6865+6589+3930+1782+1091+624+468+512</f>
        <v>122860</v>
      </c>
      <c r="N33" s="212">
        <f>L33/M33</f>
        <v>8.198176786586359</v>
      </c>
      <c r="O33" s="370"/>
      <c r="P33" s="220"/>
    </row>
    <row r="34" spans="1:16" s="4" customFormat="1" ht="15">
      <c r="A34" s="93">
        <v>30</v>
      </c>
      <c r="B34" s="211" t="s">
        <v>71</v>
      </c>
      <c r="C34" s="166">
        <v>40536</v>
      </c>
      <c r="D34" s="329" t="s">
        <v>23</v>
      </c>
      <c r="E34" s="243">
        <v>112</v>
      </c>
      <c r="F34" s="243">
        <v>4</v>
      </c>
      <c r="G34" s="243">
        <v>13</v>
      </c>
      <c r="H34" s="188">
        <v>2777</v>
      </c>
      <c r="I34" s="180">
        <v>596</v>
      </c>
      <c r="J34" s="167">
        <f>I34/F34</f>
        <v>149</v>
      </c>
      <c r="K34" s="202">
        <f>+H34/I34</f>
        <v>4.659395973154362</v>
      </c>
      <c r="L34" s="189">
        <v>2743431</v>
      </c>
      <c r="M34" s="168">
        <v>243435</v>
      </c>
      <c r="N34" s="208">
        <f>+L34/M34</f>
        <v>11.269665413765482</v>
      </c>
      <c r="O34" s="369"/>
      <c r="P34" s="220"/>
    </row>
    <row r="35" spans="1:16" s="4" customFormat="1" ht="15">
      <c r="A35" s="93">
        <v>31</v>
      </c>
      <c r="B35" s="209" t="s">
        <v>148</v>
      </c>
      <c r="C35" s="163">
        <v>40585</v>
      </c>
      <c r="D35" s="246" t="s">
        <v>24</v>
      </c>
      <c r="E35" s="245">
        <v>89</v>
      </c>
      <c r="F35" s="245">
        <v>5</v>
      </c>
      <c r="G35" s="245">
        <v>6</v>
      </c>
      <c r="H35" s="190">
        <v>2731</v>
      </c>
      <c r="I35" s="178">
        <v>474</v>
      </c>
      <c r="J35" s="165">
        <f>I35/F35</f>
        <v>94.8</v>
      </c>
      <c r="K35" s="191">
        <f>H35/I35</f>
        <v>5.761603375527426</v>
      </c>
      <c r="L35" s="192">
        <v>1417391</v>
      </c>
      <c r="M35" s="164">
        <v>141633</v>
      </c>
      <c r="N35" s="210">
        <f>+L35/M35</f>
        <v>10.007491192024457</v>
      </c>
      <c r="O35" s="294"/>
      <c r="P35" s="220"/>
    </row>
    <row r="36" spans="1:16" s="4" customFormat="1" ht="15">
      <c r="A36" s="92">
        <v>32</v>
      </c>
      <c r="B36" s="207" t="s">
        <v>193</v>
      </c>
      <c r="C36" s="166">
        <v>40606</v>
      </c>
      <c r="D36" s="244" t="s">
        <v>26</v>
      </c>
      <c r="E36" s="243">
        <v>30</v>
      </c>
      <c r="F36" s="243">
        <v>11</v>
      </c>
      <c r="G36" s="243">
        <v>3</v>
      </c>
      <c r="H36" s="188">
        <v>2447.5</v>
      </c>
      <c r="I36" s="180">
        <v>419</v>
      </c>
      <c r="J36" s="165">
        <f>I36/F36</f>
        <v>38.09090909090909</v>
      </c>
      <c r="K36" s="191">
        <f>H36/I36</f>
        <v>5.841288782816229</v>
      </c>
      <c r="L36" s="189">
        <f>19586+10137+2447.5</f>
        <v>32170.5</v>
      </c>
      <c r="M36" s="167">
        <f>3031+1660+419</f>
        <v>5110</v>
      </c>
      <c r="N36" s="210">
        <f>+L36/M36</f>
        <v>6.29559686888454</v>
      </c>
      <c r="O36" s="294">
        <v>1</v>
      </c>
      <c r="P36" s="220"/>
    </row>
    <row r="37" spans="1:16" s="4" customFormat="1" ht="15">
      <c r="A37" s="92">
        <v>33</v>
      </c>
      <c r="B37" s="209" t="s">
        <v>70</v>
      </c>
      <c r="C37" s="163">
        <v>40515</v>
      </c>
      <c r="D37" s="246" t="s">
        <v>24</v>
      </c>
      <c r="E37" s="245">
        <v>337</v>
      </c>
      <c r="F37" s="245">
        <v>1</v>
      </c>
      <c r="G37" s="245">
        <v>15</v>
      </c>
      <c r="H37" s="190">
        <v>2380</v>
      </c>
      <c r="I37" s="178">
        <v>476</v>
      </c>
      <c r="J37" s="165">
        <f>I37/F37</f>
        <v>476</v>
      </c>
      <c r="K37" s="191">
        <f>H37/I37</f>
        <v>5</v>
      </c>
      <c r="L37" s="192">
        <v>19643049</v>
      </c>
      <c r="M37" s="164">
        <v>2097746</v>
      </c>
      <c r="N37" s="210">
        <f>+L37/M37</f>
        <v>9.363883425352736</v>
      </c>
      <c r="O37" s="294">
        <v>1</v>
      </c>
      <c r="P37" s="220"/>
    </row>
    <row r="38" spans="1:16" s="4" customFormat="1" ht="15">
      <c r="A38" s="92">
        <v>34</v>
      </c>
      <c r="B38" s="209" t="s">
        <v>228</v>
      </c>
      <c r="C38" s="163">
        <v>40312</v>
      </c>
      <c r="D38" s="246" t="s">
        <v>17</v>
      </c>
      <c r="E38" s="245">
        <v>64</v>
      </c>
      <c r="F38" s="245">
        <v>1</v>
      </c>
      <c r="G38" s="245">
        <v>22</v>
      </c>
      <c r="H38" s="199">
        <v>2376</v>
      </c>
      <c r="I38" s="183">
        <v>475</v>
      </c>
      <c r="J38" s="170">
        <f>IF(H38&lt;&gt;0,I38/F38,"")</f>
        <v>475</v>
      </c>
      <c r="K38" s="197">
        <f>IF(H38&lt;&gt;0,H38/I38,"")</f>
        <v>5.002105263157895</v>
      </c>
      <c r="L38" s="200">
        <f>384993+315+150+24+2376</f>
        <v>387858</v>
      </c>
      <c r="M38" s="167">
        <f>43717+38+25+4+475</f>
        <v>44259</v>
      </c>
      <c r="N38" s="214">
        <f>IF(L38&lt;&gt;0,L38/M38,"")</f>
        <v>8.76337016200095</v>
      </c>
      <c r="O38" s="368"/>
      <c r="P38" s="220"/>
    </row>
    <row r="39" spans="1:16" s="4" customFormat="1" ht="15">
      <c r="A39" s="93">
        <v>35</v>
      </c>
      <c r="B39" s="207" t="s">
        <v>229</v>
      </c>
      <c r="C39" s="166">
        <v>40151</v>
      </c>
      <c r="D39" s="244" t="s">
        <v>119</v>
      </c>
      <c r="E39" s="243">
        <v>2</v>
      </c>
      <c r="F39" s="243">
        <v>1</v>
      </c>
      <c r="G39" s="243">
        <v>10</v>
      </c>
      <c r="H39" s="193">
        <v>2138.5</v>
      </c>
      <c r="I39" s="179">
        <v>534</v>
      </c>
      <c r="J39" s="172">
        <f>(I39/F39)</f>
        <v>534</v>
      </c>
      <c r="K39" s="194">
        <f>H39/I39</f>
        <v>4.004681647940075</v>
      </c>
      <c r="L39" s="195">
        <f>14952+6112+2196+2975+2853+674+1006+530+2139+2138.5</f>
        <v>35575.5</v>
      </c>
      <c r="M39" s="171">
        <f>1468+666+254+478+502+81+130+107+535+534</f>
        <v>4755</v>
      </c>
      <c r="N39" s="212">
        <f>L39/M39</f>
        <v>7.481703470031546</v>
      </c>
      <c r="O39" s="370"/>
      <c r="P39" s="220"/>
    </row>
    <row r="40" spans="1:16" s="4" customFormat="1" ht="15">
      <c r="A40" s="93">
        <v>36</v>
      </c>
      <c r="B40" s="207" t="s">
        <v>199</v>
      </c>
      <c r="C40" s="166">
        <v>40550</v>
      </c>
      <c r="D40" s="244" t="s">
        <v>26</v>
      </c>
      <c r="E40" s="243">
        <v>238</v>
      </c>
      <c r="F40" s="243">
        <v>2</v>
      </c>
      <c r="G40" s="243">
        <v>11</v>
      </c>
      <c r="H40" s="188">
        <v>2090</v>
      </c>
      <c r="I40" s="180">
        <v>455</v>
      </c>
      <c r="J40" s="165">
        <f>I40/F40</f>
        <v>227.5</v>
      </c>
      <c r="K40" s="191">
        <f>H40/I40</f>
        <v>4.593406593406593</v>
      </c>
      <c r="L40" s="189">
        <f>3050831.5+2178855.5+1196710.5+496983-200+210922.5+72277.5+4+43197.5+17348.5+5963-21+911+2090</f>
        <v>7275873.5</v>
      </c>
      <c r="M40" s="167">
        <f>393137+282255+156413+64920+60+27548+10641+7089+3227+1196+161+455</f>
        <v>947102</v>
      </c>
      <c r="N40" s="210">
        <f>+L40/M40</f>
        <v>7.682249113611839</v>
      </c>
      <c r="O40" s="294">
        <v>1</v>
      </c>
      <c r="P40" s="220"/>
    </row>
    <row r="41" spans="1:16" s="4" customFormat="1" ht="15">
      <c r="A41" s="92">
        <v>37</v>
      </c>
      <c r="B41" s="207" t="s">
        <v>230</v>
      </c>
      <c r="C41" s="166">
        <v>40543</v>
      </c>
      <c r="D41" s="244" t="s">
        <v>31</v>
      </c>
      <c r="E41" s="243">
        <v>37</v>
      </c>
      <c r="F41" s="243">
        <v>1</v>
      </c>
      <c r="G41" s="243">
        <v>10</v>
      </c>
      <c r="H41" s="188">
        <v>1800</v>
      </c>
      <c r="I41" s="180">
        <v>347</v>
      </c>
      <c r="J41" s="167">
        <f>I41/F41</f>
        <v>347</v>
      </c>
      <c r="K41" s="202">
        <f>H41/I41</f>
        <v>5.187319884726225</v>
      </c>
      <c r="L41" s="189">
        <v>68174.5</v>
      </c>
      <c r="M41" s="167">
        <v>9602</v>
      </c>
      <c r="N41" s="208">
        <f>L41/M41</f>
        <v>7.100031243490939</v>
      </c>
      <c r="O41" s="294">
        <v>1</v>
      </c>
      <c r="P41" s="220"/>
    </row>
    <row r="42" spans="1:16" s="4" customFormat="1" ht="15">
      <c r="A42" s="92">
        <v>38</v>
      </c>
      <c r="B42" s="335" t="s">
        <v>123</v>
      </c>
      <c r="C42" s="330">
        <v>40193</v>
      </c>
      <c r="D42" s="244" t="s">
        <v>119</v>
      </c>
      <c r="E42" s="331">
        <v>55</v>
      </c>
      <c r="F42" s="331">
        <v>1</v>
      </c>
      <c r="G42" s="331">
        <v>31</v>
      </c>
      <c r="H42" s="193">
        <v>1782</v>
      </c>
      <c r="I42" s="179">
        <v>445</v>
      </c>
      <c r="J42" s="172">
        <f>(I42/F42)</f>
        <v>445</v>
      </c>
      <c r="K42" s="194">
        <f>H42/I42</f>
        <v>4.004494382022472</v>
      </c>
      <c r="L42" s="195">
        <f>197266+158498+94472.5+25746.5+5341+4975+4175+3550+3868+6158+8020+1277+951+3397+4599+198+566+1146+2247.5+174+31.5+2775.5+1188+735+2376+307+324+2613.5+1782+1782+1782</f>
        <v>542322</v>
      </c>
      <c r="M42" s="171">
        <f>19567+17056+12441+3194+866+909+697+693+818+1478+1988+298+238+832+1154+55+212+207+411+57+12+610+297+71+594+46+71+653+445+445+445</f>
        <v>66860</v>
      </c>
      <c r="N42" s="212">
        <f>L42/M42</f>
        <v>8.111307209093628</v>
      </c>
      <c r="O42" s="370"/>
      <c r="P42" s="220"/>
    </row>
    <row r="43" spans="1:16" s="4" customFormat="1" ht="15">
      <c r="A43" s="92">
        <v>39</v>
      </c>
      <c r="B43" s="215" t="s">
        <v>2</v>
      </c>
      <c r="C43" s="166">
        <v>40522</v>
      </c>
      <c r="D43" s="244" t="s">
        <v>119</v>
      </c>
      <c r="E43" s="243">
        <v>127</v>
      </c>
      <c r="F43" s="243">
        <v>2</v>
      </c>
      <c r="G43" s="243">
        <v>15</v>
      </c>
      <c r="H43" s="193">
        <v>1722.5</v>
      </c>
      <c r="I43" s="179">
        <v>318</v>
      </c>
      <c r="J43" s="172">
        <f>(I43/F43)</f>
        <v>159</v>
      </c>
      <c r="K43" s="194">
        <f>H43/I43</f>
        <v>5.416666666666667</v>
      </c>
      <c r="L43" s="195">
        <f>1048675+809166.5+457718.5+70165.5+7102+12164+8619.5+11777.5+6559.5+3338.5+10420.5+3303+3205+2076+1722.5</f>
        <v>2456013.5</v>
      </c>
      <c r="M43" s="171">
        <f>92481+73795+43350+8841+1153+2869+1615+2831+1620+630+2477+726+513+481+318</f>
        <v>233700</v>
      </c>
      <c r="N43" s="212">
        <f>L43/M43</f>
        <v>10.509257595207531</v>
      </c>
      <c r="O43" s="370"/>
      <c r="P43" s="220"/>
    </row>
    <row r="44" spans="1:16" s="4" customFormat="1" ht="15">
      <c r="A44" s="92">
        <v>40</v>
      </c>
      <c r="B44" s="211" t="s">
        <v>204</v>
      </c>
      <c r="C44" s="166">
        <v>40592</v>
      </c>
      <c r="D44" s="329" t="s">
        <v>23</v>
      </c>
      <c r="E44" s="243">
        <v>80</v>
      </c>
      <c r="F44" s="243">
        <v>5</v>
      </c>
      <c r="G44" s="243">
        <v>5</v>
      </c>
      <c r="H44" s="188">
        <v>1681</v>
      </c>
      <c r="I44" s="180">
        <v>261</v>
      </c>
      <c r="J44" s="167">
        <f>I44/F44</f>
        <v>52.2</v>
      </c>
      <c r="K44" s="202">
        <f>+H44/I44</f>
        <v>6.440613026819923</v>
      </c>
      <c r="L44" s="189">
        <v>514165</v>
      </c>
      <c r="M44" s="168">
        <v>58823</v>
      </c>
      <c r="N44" s="208">
        <f>+L44/M44</f>
        <v>8.740883667953012</v>
      </c>
      <c r="O44" s="369">
        <v>1</v>
      </c>
      <c r="P44" s="220"/>
    </row>
    <row r="45" spans="1:16" s="4" customFormat="1" ht="15">
      <c r="A45" s="93">
        <v>41</v>
      </c>
      <c r="B45" s="207" t="s">
        <v>138</v>
      </c>
      <c r="C45" s="166">
        <v>40571</v>
      </c>
      <c r="D45" s="244" t="s">
        <v>103</v>
      </c>
      <c r="E45" s="243">
        <v>20</v>
      </c>
      <c r="F45" s="243">
        <v>2</v>
      </c>
      <c r="G45" s="243">
        <v>8</v>
      </c>
      <c r="H45" s="236">
        <v>1649</v>
      </c>
      <c r="I45" s="237">
        <v>327</v>
      </c>
      <c r="J45" s="253">
        <v>163.5</v>
      </c>
      <c r="K45" s="254">
        <v>5.042813455657492</v>
      </c>
      <c r="L45" s="239">
        <v>757396</v>
      </c>
      <c r="M45" s="238">
        <v>61733</v>
      </c>
      <c r="N45" s="271">
        <v>12.268899940064472</v>
      </c>
      <c r="O45" s="294"/>
      <c r="P45" s="220"/>
    </row>
    <row r="46" spans="1:16" s="4" customFormat="1" ht="15">
      <c r="A46" s="93">
        <v>42</v>
      </c>
      <c r="B46" s="207" t="s">
        <v>35</v>
      </c>
      <c r="C46" s="166">
        <v>40508</v>
      </c>
      <c r="D46" s="244" t="s">
        <v>119</v>
      </c>
      <c r="E46" s="243">
        <v>34</v>
      </c>
      <c r="F46" s="243">
        <v>1</v>
      </c>
      <c r="G46" s="243">
        <v>11</v>
      </c>
      <c r="H46" s="193">
        <v>1632.5</v>
      </c>
      <c r="I46" s="179">
        <v>203</v>
      </c>
      <c r="J46" s="172">
        <f>(I46/F46)</f>
        <v>203</v>
      </c>
      <c r="K46" s="194">
        <f>H46/I46</f>
        <v>8.041871921182265</v>
      </c>
      <c r="L46" s="195">
        <f>122173+87330+23120+25637+29159.5+14630.5+403+1246+229+767+1632.5</f>
        <v>306327.5</v>
      </c>
      <c r="M46" s="171">
        <f>10588+8153+2702+3877+4807+2283+58+199+33+115+203</f>
        <v>33018</v>
      </c>
      <c r="N46" s="212">
        <f>L46/M46</f>
        <v>9.277591010963716</v>
      </c>
      <c r="O46" s="371"/>
      <c r="P46" s="220"/>
    </row>
    <row r="47" spans="1:16" s="4" customFormat="1" ht="15">
      <c r="A47" s="92">
        <v>43</v>
      </c>
      <c r="B47" s="207" t="s">
        <v>231</v>
      </c>
      <c r="C47" s="166">
        <v>40319</v>
      </c>
      <c r="D47" s="244" t="s">
        <v>119</v>
      </c>
      <c r="E47" s="243">
        <v>2</v>
      </c>
      <c r="F47" s="243">
        <v>1</v>
      </c>
      <c r="G47" s="243">
        <v>16</v>
      </c>
      <c r="H47" s="193">
        <v>1188</v>
      </c>
      <c r="I47" s="179">
        <v>297</v>
      </c>
      <c r="J47" s="172">
        <f>(I47/F47)</f>
        <v>297</v>
      </c>
      <c r="K47" s="194">
        <f>H47/I47</f>
        <v>4</v>
      </c>
      <c r="L47" s="195">
        <f>4143+1077+726+775+2269+1451+561+189+370+613+538+181+79+246+238+1188</f>
        <v>14644</v>
      </c>
      <c r="M47" s="171">
        <f>330+90+108+118+312+209+62+36+139+104+67+25+11+37+68+297</f>
        <v>2013</v>
      </c>
      <c r="N47" s="212">
        <f>L47/M47</f>
        <v>7.27471435668157</v>
      </c>
      <c r="O47" s="370"/>
      <c r="P47" s="220"/>
    </row>
    <row r="48" spans="1:16" s="4" customFormat="1" ht="15">
      <c r="A48" s="92">
        <v>44</v>
      </c>
      <c r="B48" s="211" t="s">
        <v>86</v>
      </c>
      <c r="C48" s="175">
        <v>40543</v>
      </c>
      <c r="D48" s="248" t="s">
        <v>171</v>
      </c>
      <c r="E48" s="332">
        <v>2</v>
      </c>
      <c r="F48" s="243">
        <v>1</v>
      </c>
      <c r="G48" s="332">
        <v>11</v>
      </c>
      <c r="H48" s="201">
        <v>950</v>
      </c>
      <c r="I48" s="333">
        <v>190</v>
      </c>
      <c r="J48" s="168">
        <f>I48/F48</f>
        <v>190</v>
      </c>
      <c r="K48" s="334">
        <f>H48/I48</f>
        <v>5</v>
      </c>
      <c r="L48" s="203">
        <v>67358.5</v>
      </c>
      <c r="M48" s="176">
        <v>5189</v>
      </c>
      <c r="N48" s="216">
        <f>L48/M48</f>
        <v>12.981017537097706</v>
      </c>
      <c r="O48" s="294"/>
      <c r="P48" s="220"/>
    </row>
    <row r="49" spans="1:16" s="4" customFormat="1" ht="15">
      <c r="A49" s="92">
        <v>45</v>
      </c>
      <c r="B49" s="207" t="s">
        <v>232</v>
      </c>
      <c r="C49" s="166">
        <v>40123</v>
      </c>
      <c r="D49" s="244" t="s">
        <v>103</v>
      </c>
      <c r="E49" s="243">
        <v>25</v>
      </c>
      <c r="F49" s="243">
        <v>1</v>
      </c>
      <c r="G49" s="243">
        <v>15</v>
      </c>
      <c r="H49" s="236">
        <v>712</v>
      </c>
      <c r="I49" s="237">
        <v>142</v>
      </c>
      <c r="J49" s="253">
        <v>142</v>
      </c>
      <c r="K49" s="254">
        <v>5.014084507042254</v>
      </c>
      <c r="L49" s="239">
        <v>274310</v>
      </c>
      <c r="M49" s="238">
        <v>22843</v>
      </c>
      <c r="N49" s="271">
        <v>12.008492754892089</v>
      </c>
      <c r="O49" s="294"/>
      <c r="P49" s="220"/>
    </row>
    <row r="50" spans="1:16" s="4" customFormat="1" ht="15">
      <c r="A50" s="93">
        <v>46</v>
      </c>
      <c r="B50" s="207" t="s">
        <v>233</v>
      </c>
      <c r="C50" s="166">
        <v>39577</v>
      </c>
      <c r="D50" s="244" t="s">
        <v>103</v>
      </c>
      <c r="E50" s="243">
        <v>11</v>
      </c>
      <c r="F50" s="243">
        <v>1</v>
      </c>
      <c r="G50" s="243">
        <v>19</v>
      </c>
      <c r="H50" s="236">
        <v>712</v>
      </c>
      <c r="I50" s="237">
        <v>142</v>
      </c>
      <c r="J50" s="253">
        <v>142</v>
      </c>
      <c r="K50" s="254">
        <v>5.014084507042254</v>
      </c>
      <c r="L50" s="239">
        <v>102695</v>
      </c>
      <c r="M50" s="238">
        <v>11305</v>
      </c>
      <c r="N50" s="271">
        <v>9.084033613445378</v>
      </c>
      <c r="O50" s="294"/>
      <c r="P50" s="220"/>
    </row>
    <row r="51" spans="1:16" s="4" customFormat="1" ht="15">
      <c r="A51" s="93">
        <v>47</v>
      </c>
      <c r="B51" s="211" t="s">
        <v>137</v>
      </c>
      <c r="C51" s="175">
        <v>40564</v>
      </c>
      <c r="D51" s="248" t="s">
        <v>171</v>
      </c>
      <c r="E51" s="332">
        <v>1</v>
      </c>
      <c r="F51" s="243">
        <v>1</v>
      </c>
      <c r="G51" s="332">
        <v>6</v>
      </c>
      <c r="H51" s="201">
        <v>655</v>
      </c>
      <c r="I51" s="333">
        <v>70</v>
      </c>
      <c r="J51" s="168">
        <f>I51/F51</f>
        <v>70</v>
      </c>
      <c r="K51" s="334">
        <f>H51/I51</f>
        <v>9.357142857142858</v>
      </c>
      <c r="L51" s="203">
        <v>11052</v>
      </c>
      <c r="M51" s="176">
        <v>1203</v>
      </c>
      <c r="N51" s="216">
        <f>L51/M51</f>
        <v>9.187032418952619</v>
      </c>
      <c r="O51" s="294"/>
      <c r="P51" s="220"/>
    </row>
    <row r="52" spans="1:16" s="4" customFormat="1" ht="15">
      <c r="A52" s="92">
        <v>48</v>
      </c>
      <c r="B52" s="209" t="s">
        <v>234</v>
      </c>
      <c r="C52" s="163">
        <v>40564</v>
      </c>
      <c r="D52" s="246" t="s">
        <v>17</v>
      </c>
      <c r="E52" s="245">
        <v>100</v>
      </c>
      <c r="F52" s="245">
        <v>1</v>
      </c>
      <c r="G52" s="245">
        <v>8</v>
      </c>
      <c r="H52" s="199">
        <v>622</v>
      </c>
      <c r="I52" s="183">
        <v>311</v>
      </c>
      <c r="J52" s="170">
        <f>IF(H52&lt;&gt;0,I52/F52,"")</f>
        <v>311</v>
      </c>
      <c r="K52" s="197">
        <f>IF(H52&lt;&gt;0,H52/I52,"")</f>
        <v>2</v>
      </c>
      <c r="L52" s="200">
        <f>351928.5+109593.5+20592.5+6351+8236+2820+477+622</f>
        <v>500620.5</v>
      </c>
      <c r="M52" s="176">
        <f>40887+13714+2624+866+1497+479+81+311</f>
        <v>60459</v>
      </c>
      <c r="N52" s="214">
        <f>IF(L52&lt;&gt;0,L52/M52,"")</f>
        <v>8.280330471890041</v>
      </c>
      <c r="O52" s="368">
        <v>1</v>
      </c>
      <c r="P52" s="220"/>
    </row>
    <row r="53" spans="1:16" s="4" customFormat="1" ht="15">
      <c r="A53" s="92">
        <v>49</v>
      </c>
      <c r="B53" s="211" t="s">
        <v>178</v>
      </c>
      <c r="C53" s="166">
        <v>40905</v>
      </c>
      <c r="D53" s="329" t="s">
        <v>23</v>
      </c>
      <c r="E53" s="243">
        <v>200</v>
      </c>
      <c r="F53" s="243">
        <v>1</v>
      </c>
      <c r="G53" s="243">
        <v>8</v>
      </c>
      <c r="H53" s="188">
        <v>474</v>
      </c>
      <c r="I53" s="180">
        <v>83</v>
      </c>
      <c r="J53" s="167">
        <f>I53/F53</f>
        <v>83</v>
      </c>
      <c r="K53" s="202">
        <f>+H53/I53</f>
        <v>5.710843373493976</v>
      </c>
      <c r="L53" s="189">
        <v>2972020</v>
      </c>
      <c r="M53" s="168">
        <v>241954</v>
      </c>
      <c r="N53" s="208">
        <f>+L53/M53</f>
        <v>12.283409243079262</v>
      </c>
      <c r="O53" s="369"/>
      <c r="P53" s="220"/>
    </row>
    <row r="54" spans="1:16" s="4" customFormat="1" ht="15">
      <c r="A54" s="92">
        <v>50</v>
      </c>
      <c r="B54" s="213" t="s">
        <v>235</v>
      </c>
      <c r="C54" s="163">
        <v>40592</v>
      </c>
      <c r="D54" s="247" t="s">
        <v>27</v>
      </c>
      <c r="E54" s="233">
        <v>68</v>
      </c>
      <c r="F54" s="233">
        <v>1</v>
      </c>
      <c r="G54" s="233">
        <v>5</v>
      </c>
      <c r="H54" s="196">
        <v>252</v>
      </c>
      <c r="I54" s="182">
        <v>42</v>
      </c>
      <c r="J54" s="170">
        <f>+I54/F54</f>
        <v>42</v>
      </c>
      <c r="K54" s="197">
        <f>+H54/I54</f>
        <v>6</v>
      </c>
      <c r="L54" s="198">
        <v>148300</v>
      </c>
      <c r="M54" s="169">
        <v>15302</v>
      </c>
      <c r="N54" s="214">
        <f>+L54/M54</f>
        <v>9.691543589073325</v>
      </c>
      <c r="O54" s="294">
        <v>1</v>
      </c>
      <c r="P54" s="220"/>
    </row>
    <row r="55" spans="1:16" s="4" customFormat="1" ht="15">
      <c r="A55" s="93">
        <v>51</v>
      </c>
      <c r="B55" s="213" t="s">
        <v>116</v>
      </c>
      <c r="C55" s="163">
        <v>40557</v>
      </c>
      <c r="D55" s="247" t="s">
        <v>27</v>
      </c>
      <c r="E55" s="233">
        <v>66</v>
      </c>
      <c r="F55" s="233">
        <v>1</v>
      </c>
      <c r="G55" s="233">
        <v>10</v>
      </c>
      <c r="H55" s="196">
        <v>246</v>
      </c>
      <c r="I55" s="182">
        <v>40</v>
      </c>
      <c r="J55" s="170">
        <f>+I55/F55</f>
        <v>40</v>
      </c>
      <c r="K55" s="197">
        <f>+H55/I55</f>
        <v>6.15</v>
      </c>
      <c r="L55" s="198">
        <v>2595279</v>
      </c>
      <c r="M55" s="169">
        <v>250993</v>
      </c>
      <c r="N55" s="214">
        <f>+L55/M55</f>
        <v>10.340045339909878</v>
      </c>
      <c r="O55" s="294"/>
      <c r="P55" s="220"/>
    </row>
    <row r="56" spans="1:16" s="4" customFormat="1" ht="15">
      <c r="A56" s="93">
        <v>52</v>
      </c>
      <c r="B56" s="211" t="s">
        <v>117</v>
      </c>
      <c r="C56" s="166">
        <v>40557</v>
      </c>
      <c r="D56" s="329" t="s">
        <v>23</v>
      </c>
      <c r="E56" s="243">
        <v>129</v>
      </c>
      <c r="F56" s="243">
        <v>1</v>
      </c>
      <c r="G56" s="243">
        <v>10</v>
      </c>
      <c r="H56" s="188">
        <v>185</v>
      </c>
      <c r="I56" s="180">
        <v>26</v>
      </c>
      <c r="J56" s="167">
        <f>I56/F56</f>
        <v>26</v>
      </c>
      <c r="K56" s="202">
        <f>+H56/I56</f>
        <v>7.115384615384615</v>
      </c>
      <c r="L56" s="189">
        <v>1368473</v>
      </c>
      <c r="M56" s="168">
        <v>120053</v>
      </c>
      <c r="N56" s="208">
        <f>+L56/M56</f>
        <v>11.398907149342374</v>
      </c>
      <c r="O56" s="369"/>
      <c r="P56" s="220"/>
    </row>
    <row r="57" spans="1:16" s="4" customFormat="1" ht="15.75" thickBot="1">
      <c r="A57" s="92">
        <v>53</v>
      </c>
      <c r="B57" s="336" t="s">
        <v>149</v>
      </c>
      <c r="C57" s="337">
        <v>40585</v>
      </c>
      <c r="D57" s="338" t="s">
        <v>27</v>
      </c>
      <c r="E57" s="339">
        <v>41</v>
      </c>
      <c r="F57" s="339">
        <v>1</v>
      </c>
      <c r="G57" s="339">
        <v>6</v>
      </c>
      <c r="H57" s="340">
        <v>92</v>
      </c>
      <c r="I57" s="341">
        <v>15</v>
      </c>
      <c r="J57" s="342">
        <f>+I57/F57</f>
        <v>15</v>
      </c>
      <c r="K57" s="343">
        <f>+H57/I57</f>
        <v>6.133333333333334</v>
      </c>
      <c r="L57" s="344">
        <v>343220</v>
      </c>
      <c r="M57" s="345">
        <v>28639</v>
      </c>
      <c r="N57" s="346">
        <f>+L57/M57</f>
        <v>11.984356995705157</v>
      </c>
      <c r="O57" s="294"/>
      <c r="P57" s="220"/>
    </row>
    <row r="58" spans="1:16" s="4" customFormat="1" ht="15">
      <c r="A58" s="527"/>
      <c r="B58" s="528"/>
      <c r="C58" s="6"/>
      <c r="D58" s="7"/>
      <c r="E58" s="20"/>
      <c r="F58" s="21"/>
      <c r="G58" s="20"/>
      <c r="H58" s="8"/>
      <c r="I58" s="9"/>
      <c r="J58" s="12"/>
      <c r="K58" s="13"/>
      <c r="L58" s="14"/>
      <c r="M58" s="15"/>
      <c r="N58" s="59"/>
      <c r="O58" s="64"/>
      <c r="P58" s="64"/>
    </row>
    <row r="59" spans="1:16" s="4" customFormat="1" ht="13.5">
      <c r="A59" s="75"/>
      <c r="B59" s="23"/>
      <c r="C59" s="24"/>
      <c r="D59" s="25"/>
      <c r="E59" s="26"/>
      <c r="F59" s="26"/>
      <c r="G59" s="26"/>
      <c r="H59" s="27"/>
      <c r="I59" s="28"/>
      <c r="J59" s="29"/>
      <c r="K59" s="30"/>
      <c r="L59" s="31"/>
      <c r="M59" s="32"/>
      <c r="N59" s="30"/>
      <c r="O59" s="64"/>
      <c r="P59" s="64"/>
    </row>
    <row r="60" spans="1:52" s="118" customFormat="1" ht="21.75" customHeight="1">
      <c r="A60" s="524" t="s">
        <v>56</v>
      </c>
      <c r="B60" s="525"/>
      <c r="C60" s="525"/>
      <c r="D60" s="525"/>
      <c r="E60" s="525"/>
      <c r="F60" s="525"/>
      <c r="G60" s="525"/>
      <c r="H60" s="525"/>
      <c r="I60" s="525"/>
      <c r="J60" s="525"/>
      <c r="K60" s="525"/>
      <c r="L60" s="525"/>
      <c r="M60" s="525"/>
      <c r="N60" s="525"/>
      <c r="O60" s="150"/>
      <c r="P60" s="218"/>
      <c r="Q60" s="123"/>
      <c r="R60" s="123"/>
      <c r="S60" s="123"/>
      <c r="T60" s="123"/>
      <c r="U60" s="123"/>
      <c r="V60" s="123"/>
      <c r="W60" s="141"/>
      <c r="X60" s="142"/>
      <c r="Y60" s="142"/>
      <c r="Z60" s="142"/>
      <c r="AA60" s="142"/>
      <c r="AB60" s="142"/>
      <c r="AC60" s="142"/>
      <c r="AD60" s="142"/>
      <c r="AE60" s="142"/>
      <c r="AF60" s="142"/>
      <c r="AG60" s="142"/>
      <c r="AH60" s="142"/>
      <c r="AI60" s="142"/>
      <c r="AJ60" s="142"/>
      <c r="AK60" s="142"/>
      <c r="AL60" s="142"/>
      <c r="AM60" s="142"/>
      <c r="AN60" s="142"/>
      <c r="AO60" s="142"/>
      <c r="AP60" s="142"/>
      <c r="AQ60" s="142"/>
      <c r="AR60" s="142"/>
      <c r="AS60" s="142"/>
      <c r="AT60" s="142"/>
      <c r="AU60" s="142"/>
      <c r="AV60" s="142"/>
      <c r="AW60" s="142"/>
      <c r="AX60" s="142"/>
      <c r="AY60" s="142"/>
      <c r="AZ60" s="138"/>
    </row>
    <row r="61" spans="1:256" s="118" customFormat="1" ht="18" customHeight="1">
      <c r="A61" s="524" t="s">
        <v>28</v>
      </c>
      <c r="B61" s="525"/>
      <c r="C61" s="525"/>
      <c r="D61" s="525"/>
      <c r="E61" s="525"/>
      <c r="F61" s="525"/>
      <c r="G61" s="525"/>
      <c r="H61" s="525"/>
      <c r="I61" s="525"/>
      <c r="J61" s="525"/>
      <c r="K61" s="525"/>
      <c r="L61" s="525"/>
      <c r="M61" s="525"/>
      <c r="N61" s="525"/>
      <c r="O61" s="150"/>
      <c r="P61" s="218"/>
      <c r="Q61" s="123"/>
      <c r="R61" s="123"/>
      <c r="S61" s="123"/>
      <c r="T61" s="123"/>
      <c r="U61" s="123"/>
      <c r="V61" s="123"/>
      <c r="W61" s="143"/>
      <c r="X61" s="144"/>
      <c r="Y61" s="144"/>
      <c r="Z61" s="144"/>
      <c r="AA61" s="144"/>
      <c r="AB61" s="144"/>
      <c r="AC61" s="144"/>
      <c r="AD61" s="144"/>
      <c r="AE61" s="144"/>
      <c r="AF61" s="144"/>
      <c r="AG61" s="144"/>
      <c r="AH61" s="144"/>
      <c r="AI61" s="144"/>
      <c r="AJ61" s="144"/>
      <c r="AK61" s="144"/>
      <c r="AL61" s="144"/>
      <c r="AM61" s="144"/>
      <c r="AN61" s="144"/>
      <c r="AO61" s="144"/>
      <c r="AP61" s="144"/>
      <c r="AQ61" s="144"/>
      <c r="AR61" s="144"/>
      <c r="AS61" s="143"/>
      <c r="AT61" s="144"/>
      <c r="AU61" s="144"/>
      <c r="AV61" s="144"/>
      <c r="AW61" s="144"/>
      <c r="AX61" s="144"/>
      <c r="AY61" s="144"/>
      <c r="AZ61" s="139"/>
      <c r="BA61" s="120"/>
      <c r="BB61" s="120"/>
      <c r="BC61" s="120"/>
      <c r="BD61" s="120"/>
      <c r="BE61" s="120"/>
      <c r="BF61" s="120"/>
      <c r="BG61" s="120"/>
      <c r="BH61" s="120"/>
      <c r="BI61" s="120"/>
      <c r="BJ61" s="120"/>
      <c r="BK61" s="120"/>
      <c r="BL61" s="120"/>
      <c r="BM61" s="120"/>
      <c r="BN61" s="120"/>
      <c r="BO61" s="119"/>
      <c r="BP61" s="120"/>
      <c r="BQ61" s="120"/>
      <c r="BR61" s="120"/>
      <c r="BS61" s="120"/>
      <c r="BT61" s="120"/>
      <c r="BU61" s="120"/>
      <c r="BV61" s="120"/>
      <c r="BW61" s="120"/>
      <c r="BX61" s="120"/>
      <c r="BY61" s="120"/>
      <c r="BZ61" s="120"/>
      <c r="CA61" s="120"/>
      <c r="CB61" s="120"/>
      <c r="CC61" s="120"/>
      <c r="CD61" s="120"/>
      <c r="CE61" s="120"/>
      <c r="CF61" s="120"/>
      <c r="CG61" s="120"/>
      <c r="CH61" s="120"/>
      <c r="CI61" s="120"/>
      <c r="CJ61" s="120"/>
      <c r="CK61" s="119"/>
      <c r="CL61" s="120"/>
      <c r="CM61" s="120"/>
      <c r="CN61" s="120"/>
      <c r="CO61" s="120"/>
      <c r="CP61" s="120"/>
      <c r="CQ61" s="120"/>
      <c r="CR61" s="120"/>
      <c r="CS61" s="120"/>
      <c r="CT61" s="120"/>
      <c r="CU61" s="120"/>
      <c r="CV61" s="120"/>
      <c r="CW61" s="120"/>
      <c r="CX61" s="120"/>
      <c r="CY61" s="120"/>
      <c r="CZ61" s="120"/>
      <c r="DA61" s="120"/>
      <c r="DB61" s="120"/>
      <c r="DC61" s="120"/>
      <c r="DD61" s="120"/>
      <c r="DE61" s="120"/>
      <c r="DF61" s="120"/>
      <c r="DG61" s="119"/>
      <c r="DH61" s="120"/>
      <c r="DI61" s="120"/>
      <c r="DJ61" s="120"/>
      <c r="DK61" s="120"/>
      <c r="DL61" s="120"/>
      <c r="DM61" s="120"/>
      <c r="DN61" s="120"/>
      <c r="DO61" s="120"/>
      <c r="DP61" s="120"/>
      <c r="DQ61" s="120"/>
      <c r="DR61" s="120"/>
      <c r="DS61" s="120"/>
      <c r="DT61" s="120"/>
      <c r="DU61" s="120"/>
      <c r="DV61" s="120"/>
      <c r="DW61" s="120"/>
      <c r="DX61" s="120"/>
      <c r="DY61" s="120"/>
      <c r="DZ61" s="120"/>
      <c r="EA61" s="120"/>
      <c r="EB61" s="120"/>
      <c r="EC61" s="119"/>
      <c r="ED61" s="120"/>
      <c r="EE61" s="120"/>
      <c r="EF61" s="120"/>
      <c r="EG61" s="120"/>
      <c r="EH61" s="120"/>
      <c r="EI61" s="120"/>
      <c r="EJ61" s="120"/>
      <c r="EK61" s="120"/>
      <c r="EL61" s="120"/>
      <c r="EM61" s="120"/>
      <c r="EN61" s="120"/>
      <c r="EO61" s="120"/>
      <c r="EP61" s="120"/>
      <c r="EQ61" s="120"/>
      <c r="ER61" s="120"/>
      <c r="ES61" s="120"/>
      <c r="ET61" s="120"/>
      <c r="EU61" s="120"/>
      <c r="EV61" s="120"/>
      <c r="EW61" s="120"/>
      <c r="EX61" s="120"/>
      <c r="EY61" s="119"/>
      <c r="EZ61" s="120"/>
      <c r="FA61" s="120"/>
      <c r="FB61" s="120"/>
      <c r="FC61" s="120"/>
      <c r="FD61" s="120"/>
      <c r="FE61" s="120"/>
      <c r="FF61" s="120"/>
      <c r="FG61" s="120"/>
      <c r="FH61" s="120"/>
      <c r="FI61" s="120"/>
      <c r="FJ61" s="120"/>
      <c r="FK61" s="120"/>
      <c r="FL61" s="120"/>
      <c r="FM61" s="120"/>
      <c r="FN61" s="120"/>
      <c r="FO61" s="120"/>
      <c r="FP61" s="120"/>
      <c r="FQ61" s="120"/>
      <c r="FR61" s="120"/>
      <c r="FS61" s="120"/>
      <c r="FT61" s="120"/>
      <c r="FU61" s="119"/>
      <c r="FV61" s="120"/>
      <c r="FW61" s="120"/>
      <c r="FX61" s="120"/>
      <c r="FY61" s="120"/>
      <c r="FZ61" s="120"/>
      <c r="GA61" s="120"/>
      <c r="GB61" s="120"/>
      <c r="GC61" s="120"/>
      <c r="GD61" s="120"/>
      <c r="GE61" s="120"/>
      <c r="GF61" s="120"/>
      <c r="GG61" s="120"/>
      <c r="GH61" s="120"/>
      <c r="GI61" s="120"/>
      <c r="GJ61" s="120"/>
      <c r="GK61" s="120"/>
      <c r="GL61" s="120"/>
      <c r="GM61" s="120"/>
      <c r="GN61" s="120"/>
      <c r="GO61" s="120"/>
      <c r="GP61" s="120"/>
      <c r="GQ61" s="119"/>
      <c r="GR61" s="120"/>
      <c r="GS61" s="120"/>
      <c r="GT61" s="120"/>
      <c r="GU61" s="120"/>
      <c r="GV61" s="120"/>
      <c r="GW61" s="120"/>
      <c r="GX61" s="120"/>
      <c r="GY61" s="120"/>
      <c r="GZ61" s="120"/>
      <c r="HA61" s="120"/>
      <c r="HB61" s="120"/>
      <c r="HC61" s="120"/>
      <c r="HD61" s="120"/>
      <c r="HE61" s="120"/>
      <c r="HF61" s="120"/>
      <c r="HG61" s="120"/>
      <c r="HH61" s="120"/>
      <c r="HI61" s="120"/>
      <c r="HJ61" s="120"/>
      <c r="HK61" s="120"/>
      <c r="HL61" s="120"/>
      <c r="HM61" s="119"/>
      <c r="HN61" s="120"/>
      <c r="HO61" s="120"/>
      <c r="HP61" s="120"/>
      <c r="HQ61" s="120"/>
      <c r="HR61" s="120"/>
      <c r="HS61" s="120"/>
      <c r="HT61" s="120"/>
      <c r="HU61" s="120"/>
      <c r="HV61" s="120"/>
      <c r="HW61" s="120"/>
      <c r="HX61" s="120"/>
      <c r="HY61" s="120"/>
      <c r="HZ61" s="120"/>
      <c r="IA61" s="120"/>
      <c r="IB61" s="120"/>
      <c r="IC61" s="120"/>
      <c r="ID61" s="120"/>
      <c r="IE61" s="120"/>
      <c r="IF61" s="120"/>
      <c r="IG61" s="120"/>
      <c r="IH61" s="120"/>
      <c r="II61" s="119"/>
      <c r="IJ61" s="120"/>
      <c r="IK61" s="120"/>
      <c r="IL61" s="120"/>
      <c r="IM61" s="120"/>
      <c r="IN61" s="120"/>
      <c r="IO61" s="120"/>
      <c r="IP61" s="120"/>
      <c r="IQ61" s="120"/>
      <c r="IR61" s="120"/>
      <c r="IS61" s="120"/>
      <c r="IT61" s="120"/>
      <c r="IU61" s="120"/>
      <c r="IV61" s="120"/>
    </row>
    <row r="62" spans="1:256" s="118" customFormat="1" ht="18" customHeight="1">
      <c r="A62" s="525"/>
      <c r="B62" s="525"/>
      <c r="C62" s="525"/>
      <c r="D62" s="525"/>
      <c r="E62" s="525"/>
      <c r="F62" s="525"/>
      <c r="G62" s="525"/>
      <c r="H62" s="525"/>
      <c r="I62" s="525"/>
      <c r="J62" s="525"/>
      <c r="K62" s="525"/>
      <c r="L62" s="525"/>
      <c r="M62" s="525"/>
      <c r="N62" s="525"/>
      <c r="O62" s="150"/>
      <c r="P62" s="218"/>
      <c r="Q62" s="123"/>
      <c r="R62" s="123"/>
      <c r="S62" s="123"/>
      <c r="T62" s="123"/>
      <c r="U62" s="123"/>
      <c r="V62" s="123"/>
      <c r="W62" s="143"/>
      <c r="X62" s="144"/>
      <c r="Y62" s="144"/>
      <c r="Z62" s="144"/>
      <c r="AA62" s="144"/>
      <c r="AB62" s="144"/>
      <c r="AC62" s="144"/>
      <c r="AD62" s="144"/>
      <c r="AE62" s="144"/>
      <c r="AF62" s="144"/>
      <c r="AG62" s="144"/>
      <c r="AH62" s="144"/>
      <c r="AI62" s="144"/>
      <c r="AJ62" s="144"/>
      <c r="AK62" s="144"/>
      <c r="AL62" s="144"/>
      <c r="AM62" s="144"/>
      <c r="AN62" s="144"/>
      <c r="AO62" s="144"/>
      <c r="AP62" s="144"/>
      <c r="AQ62" s="144"/>
      <c r="AR62" s="144"/>
      <c r="AS62" s="143"/>
      <c r="AT62" s="144"/>
      <c r="AU62" s="144"/>
      <c r="AV62" s="144"/>
      <c r="AW62" s="144"/>
      <c r="AX62" s="144"/>
      <c r="AY62" s="144"/>
      <c r="AZ62" s="139"/>
      <c r="BA62" s="120"/>
      <c r="BB62" s="120"/>
      <c r="BC62" s="120"/>
      <c r="BD62" s="120"/>
      <c r="BE62" s="120"/>
      <c r="BF62" s="120"/>
      <c r="BG62" s="120"/>
      <c r="BH62" s="120"/>
      <c r="BI62" s="120"/>
      <c r="BJ62" s="120"/>
      <c r="BK62" s="120"/>
      <c r="BL62" s="120"/>
      <c r="BM62" s="120"/>
      <c r="BN62" s="120"/>
      <c r="BO62" s="119"/>
      <c r="BP62" s="120"/>
      <c r="BQ62" s="120"/>
      <c r="BR62" s="120"/>
      <c r="BS62" s="120"/>
      <c r="BT62" s="120"/>
      <c r="BU62" s="120"/>
      <c r="BV62" s="120"/>
      <c r="BW62" s="120"/>
      <c r="BX62" s="120"/>
      <c r="BY62" s="120"/>
      <c r="BZ62" s="120"/>
      <c r="CA62" s="120"/>
      <c r="CB62" s="120"/>
      <c r="CC62" s="120"/>
      <c r="CD62" s="120"/>
      <c r="CE62" s="120"/>
      <c r="CF62" s="120"/>
      <c r="CG62" s="120"/>
      <c r="CH62" s="120"/>
      <c r="CI62" s="120"/>
      <c r="CJ62" s="120"/>
      <c r="CK62" s="119"/>
      <c r="CL62" s="120"/>
      <c r="CM62" s="120"/>
      <c r="CN62" s="120"/>
      <c r="CO62" s="120"/>
      <c r="CP62" s="120"/>
      <c r="CQ62" s="120"/>
      <c r="CR62" s="120"/>
      <c r="CS62" s="120"/>
      <c r="CT62" s="120"/>
      <c r="CU62" s="120"/>
      <c r="CV62" s="120"/>
      <c r="CW62" s="120"/>
      <c r="CX62" s="120"/>
      <c r="CY62" s="120"/>
      <c r="CZ62" s="120"/>
      <c r="DA62" s="120"/>
      <c r="DB62" s="120"/>
      <c r="DC62" s="120"/>
      <c r="DD62" s="120"/>
      <c r="DE62" s="120"/>
      <c r="DF62" s="120"/>
      <c r="DG62" s="119"/>
      <c r="DH62" s="120"/>
      <c r="DI62" s="120"/>
      <c r="DJ62" s="120"/>
      <c r="DK62" s="120"/>
      <c r="DL62" s="120"/>
      <c r="DM62" s="120"/>
      <c r="DN62" s="120"/>
      <c r="DO62" s="120"/>
      <c r="DP62" s="120"/>
      <c r="DQ62" s="120"/>
      <c r="DR62" s="120"/>
      <c r="DS62" s="120"/>
      <c r="DT62" s="120"/>
      <c r="DU62" s="120"/>
      <c r="DV62" s="120"/>
      <c r="DW62" s="120"/>
      <c r="DX62" s="120"/>
      <c r="DY62" s="120"/>
      <c r="DZ62" s="120"/>
      <c r="EA62" s="120"/>
      <c r="EB62" s="120"/>
      <c r="EC62" s="119"/>
      <c r="ED62" s="120"/>
      <c r="EE62" s="120"/>
      <c r="EF62" s="120"/>
      <c r="EG62" s="120"/>
      <c r="EH62" s="120"/>
      <c r="EI62" s="120"/>
      <c r="EJ62" s="120"/>
      <c r="EK62" s="120"/>
      <c r="EL62" s="120"/>
      <c r="EM62" s="120"/>
      <c r="EN62" s="120"/>
      <c r="EO62" s="120"/>
      <c r="EP62" s="120"/>
      <c r="EQ62" s="120"/>
      <c r="ER62" s="120"/>
      <c r="ES62" s="120"/>
      <c r="ET62" s="120"/>
      <c r="EU62" s="120"/>
      <c r="EV62" s="120"/>
      <c r="EW62" s="120"/>
      <c r="EX62" s="120"/>
      <c r="EY62" s="119"/>
      <c r="EZ62" s="120"/>
      <c r="FA62" s="120"/>
      <c r="FB62" s="120"/>
      <c r="FC62" s="120"/>
      <c r="FD62" s="120"/>
      <c r="FE62" s="120"/>
      <c r="FF62" s="120"/>
      <c r="FG62" s="120"/>
      <c r="FH62" s="120"/>
      <c r="FI62" s="120"/>
      <c r="FJ62" s="120"/>
      <c r="FK62" s="120"/>
      <c r="FL62" s="120"/>
      <c r="FM62" s="120"/>
      <c r="FN62" s="120"/>
      <c r="FO62" s="120"/>
      <c r="FP62" s="120"/>
      <c r="FQ62" s="120"/>
      <c r="FR62" s="120"/>
      <c r="FS62" s="120"/>
      <c r="FT62" s="120"/>
      <c r="FU62" s="119"/>
      <c r="FV62" s="120"/>
      <c r="FW62" s="120"/>
      <c r="FX62" s="120"/>
      <c r="FY62" s="120"/>
      <c r="FZ62" s="120"/>
      <c r="GA62" s="120"/>
      <c r="GB62" s="120"/>
      <c r="GC62" s="120"/>
      <c r="GD62" s="120"/>
      <c r="GE62" s="120"/>
      <c r="GF62" s="120"/>
      <c r="GG62" s="120"/>
      <c r="GH62" s="120"/>
      <c r="GI62" s="120"/>
      <c r="GJ62" s="120"/>
      <c r="GK62" s="120"/>
      <c r="GL62" s="120"/>
      <c r="GM62" s="120"/>
      <c r="GN62" s="120"/>
      <c r="GO62" s="120"/>
      <c r="GP62" s="120"/>
      <c r="GQ62" s="119"/>
      <c r="GR62" s="120"/>
      <c r="GS62" s="120"/>
      <c r="GT62" s="120"/>
      <c r="GU62" s="120"/>
      <c r="GV62" s="120"/>
      <c r="GW62" s="120"/>
      <c r="GX62" s="120"/>
      <c r="GY62" s="120"/>
      <c r="GZ62" s="120"/>
      <c r="HA62" s="120"/>
      <c r="HB62" s="120"/>
      <c r="HC62" s="120"/>
      <c r="HD62" s="120"/>
      <c r="HE62" s="120"/>
      <c r="HF62" s="120"/>
      <c r="HG62" s="120"/>
      <c r="HH62" s="120"/>
      <c r="HI62" s="120"/>
      <c r="HJ62" s="120"/>
      <c r="HK62" s="120"/>
      <c r="HL62" s="120"/>
      <c r="HM62" s="119"/>
      <c r="HN62" s="120"/>
      <c r="HO62" s="120"/>
      <c r="HP62" s="120"/>
      <c r="HQ62" s="120"/>
      <c r="HR62" s="120"/>
      <c r="HS62" s="120"/>
      <c r="HT62" s="120"/>
      <c r="HU62" s="120"/>
      <c r="HV62" s="120"/>
      <c r="HW62" s="120"/>
      <c r="HX62" s="120"/>
      <c r="HY62" s="120"/>
      <c r="HZ62" s="120"/>
      <c r="IA62" s="120"/>
      <c r="IB62" s="120"/>
      <c r="IC62" s="120"/>
      <c r="ID62" s="120"/>
      <c r="IE62" s="120"/>
      <c r="IF62" s="120"/>
      <c r="IG62" s="120"/>
      <c r="IH62" s="120"/>
      <c r="II62" s="119"/>
      <c r="IJ62" s="120"/>
      <c r="IK62" s="120"/>
      <c r="IL62" s="120"/>
      <c r="IM62" s="120"/>
      <c r="IN62" s="120"/>
      <c r="IO62" s="120"/>
      <c r="IP62" s="120"/>
      <c r="IQ62" s="120"/>
      <c r="IR62" s="120"/>
      <c r="IS62" s="120"/>
      <c r="IT62" s="120"/>
      <c r="IU62" s="120"/>
      <c r="IV62" s="120"/>
    </row>
    <row r="63" spans="1:256" s="118" customFormat="1" ht="18" customHeight="1">
      <c r="A63" s="525"/>
      <c r="B63" s="525"/>
      <c r="C63" s="525"/>
      <c r="D63" s="525"/>
      <c r="E63" s="525"/>
      <c r="F63" s="525"/>
      <c r="G63" s="525"/>
      <c r="H63" s="525"/>
      <c r="I63" s="525"/>
      <c r="J63" s="525"/>
      <c r="K63" s="525"/>
      <c r="L63" s="525"/>
      <c r="M63" s="525"/>
      <c r="N63" s="525"/>
      <c r="O63" s="150"/>
      <c r="P63" s="218"/>
      <c r="Q63" s="123"/>
      <c r="R63" s="123"/>
      <c r="S63" s="123"/>
      <c r="T63" s="123"/>
      <c r="U63" s="123"/>
      <c r="V63" s="123"/>
      <c r="W63" s="143"/>
      <c r="X63" s="144"/>
      <c r="Y63" s="144"/>
      <c r="Z63" s="144"/>
      <c r="AA63" s="144"/>
      <c r="AB63" s="144"/>
      <c r="AC63" s="144"/>
      <c r="AD63" s="144"/>
      <c r="AE63" s="144"/>
      <c r="AF63" s="144"/>
      <c r="AG63" s="144"/>
      <c r="AH63" s="144"/>
      <c r="AI63" s="144"/>
      <c r="AJ63" s="144"/>
      <c r="AK63" s="144"/>
      <c r="AL63" s="144"/>
      <c r="AM63" s="144"/>
      <c r="AN63" s="144"/>
      <c r="AO63" s="144"/>
      <c r="AP63" s="144"/>
      <c r="AQ63" s="144"/>
      <c r="AR63" s="144"/>
      <c r="AS63" s="143"/>
      <c r="AT63" s="144"/>
      <c r="AU63" s="144"/>
      <c r="AV63" s="144"/>
      <c r="AW63" s="144"/>
      <c r="AX63" s="144"/>
      <c r="AY63" s="144"/>
      <c r="AZ63" s="139"/>
      <c r="BA63" s="120"/>
      <c r="BB63" s="120"/>
      <c r="BC63" s="120"/>
      <c r="BD63" s="120"/>
      <c r="BE63" s="120"/>
      <c r="BF63" s="120"/>
      <c r="BG63" s="120"/>
      <c r="BH63" s="120"/>
      <c r="BI63" s="120"/>
      <c r="BJ63" s="120"/>
      <c r="BK63" s="120"/>
      <c r="BL63" s="120"/>
      <c r="BM63" s="120"/>
      <c r="BN63" s="120"/>
      <c r="BO63" s="119"/>
      <c r="BP63" s="120"/>
      <c r="BQ63" s="120"/>
      <c r="BR63" s="120"/>
      <c r="BS63" s="120"/>
      <c r="BT63" s="120"/>
      <c r="BU63" s="120"/>
      <c r="BV63" s="120"/>
      <c r="BW63" s="120"/>
      <c r="BX63" s="120"/>
      <c r="BY63" s="120"/>
      <c r="BZ63" s="120"/>
      <c r="CA63" s="120"/>
      <c r="CB63" s="120"/>
      <c r="CC63" s="120"/>
      <c r="CD63" s="120"/>
      <c r="CE63" s="120"/>
      <c r="CF63" s="120"/>
      <c r="CG63" s="120"/>
      <c r="CH63" s="120"/>
      <c r="CI63" s="120"/>
      <c r="CJ63" s="120"/>
      <c r="CK63" s="119"/>
      <c r="CL63" s="120"/>
      <c r="CM63" s="120"/>
      <c r="CN63" s="120"/>
      <c r="CO63" s="120"/>
      <c r="CP63" s="120"/>
      <c r="CQ63" s="120"/>
      <c r="CR63" s="120"/>
      <c r="CS63" s="120"/>
      <c r="CT63" s="120"/>
      <c r="CU63" s="120"/>
      <c r="CV63" s="120"/>
      <c r="CW63" s="120"/>
      <c r="CX63" s="120"/>
      <c r="CY63" s="120"/>
      <c r="CZ63" s="120"/>
      <c r="DA63" s="120"/>
      <c r="DB63" s="120"/>
      <c r="DC63" s="120"/>
      <c r="DD63" s="120"/>
      <c r="DE63" s="120"/>
      <c r="DF63" s="120"/>
      <c r="DG63" s="119"/>
      <c r="DH63" s="120"/>
      <c r="DI63" s="120"/>
      <c r="DJ63" s="120"/>
      <c r="DK63" s="120"/>
      <c r="DL63" s="120"/>
      <c r="DM63" s="120"/>
      <c r="DN63" s="120"/>
      <c r="DO63" s="120"/>
      <c r="DP63" s="120"/>
      <c r="DQ63" s="120"/>
      <c r="DR63" s="120"/>
      <c r="DS63" s="120"/>
      <c r="DT63" s="120"/>
      <c r="DU63" s="120"/>
      <c r="DV63" s="120"/>
      <c r="DW63" s="120"/>
      <c r="DX63" s="120"/>
      <c r="DY63" s="120"/>
      <c r="DZ63" s="120"/>
      <c r="EA63" s="120"/>
      <c r="EB63" s="120"/>
      <c r="EC63" s="119"/>
      <c r="ED63" s="120"/>
      <c r="EE63" s="120"/>
      <c r="EF63" s="120"/>
      <c r="EG63" s="120"/>
      <c r="EH63" s="120"/>
      <c r="EI63" s="120"/>
      <c r="EJ63" s="120"/>
      <c r="EK63" s="120"/>
      <c r="EL63" s="120"/>
      <c r="EM63" s="120"/>
      <c r="EN63" s="120"/>
      <c r="EO63" s="120"/>
      <c r="EP63" s="120"/>
      <c r="EQ63" s="120"/>
      <c r="ER63" s="120"/>
      <c r="ES63" s="120"/>
      <c r="ET63" s="120"/>
      <c r="EU63" s="120"/>
      <c r="EV63" s="120"/>
      <c r="EW63" s="120"/>
      <c r="EX63" s="120"/>
      <c r="EY63" s="119"/>
      <c r="EZ63" s="120"/>
      <c r="FA63" s="120"/>
      <c r="FB63" s="120"/>
      <c r="FC63" s="120"/>
      <c r="FD63" s="120"/>
      <c r="FE63" s="120"/>
      <c r="FF63" s="120"/>
      <c r="FG63" s="120"/>
      <c r="FH63" s="120"/>
      <c r="FI63" s="120"/>
      <c r="FJ63" s="120"/>
      <c r="FK63" s="120"/>
      <c r="FL63" s="120"/>
      <c r="FM63" s="120"/>
      <c r="FN63" s="120"/>
      <c r="FO63" s="120"/>
      <c r="FP63" s="120"/>
      <c r="FQ63" s="120"/>
      <c r="FR63" s="120"/>
      <c r="FS63" s="120"/>
      <c r="FT63" s="120"/>
      <c r="FU63" s="119"/>
      <c r="FV63" s="120"/>
      <c r="FW63" s="120"/>
      <c r="FX63" s="120"/>
      <c r="FY63" s="120"/>
      <c r="FZ63" s="120"/>
      <c r="GA63" s="120"/>
      <c r="GB63" s="120"/>
      <c r="GC63" s="120"/>
      <c r="GD63" s="120"/>
      <c r="GE63" s="120"/>
      <c r="GF63" s="120"/>
      <c r="GG63" s="120"/>
      <c r="GH63" s="120"/>
      <c r="GI63" s="120"/>
      <c r="GJ63" s="120"/>
      <c r="GK63" s="120"/>
      <c r="GL63" s="120"/>
      <c r="GM63" s="120"/>
      <c r="GN63" s="120"/>
      <c r="GO63" s="120"/>
      <c r="GP63" s="120"/>
      <c r="GQ63" s="119"/>
      <c r="GR63" s="120"/>
      <c r="GS63" s="120"/>
      <c r="GT63" s="120"/>
      <c r="GU63" s="120"/>
      <c r="GV63" s="120"/>
      <c r="GW63" s="120"/>
      <c r="GX63" s="120"/>
      <c r="GY63" s="120"/>
      <c r="GZ63" s="120"/>
      <c r="HA63" s="120"/>
      <c r="HB63" s="120"/>
      <c r="HC63" s="120"/>
      <c r="HD63" s="120"/>
      <c r="HE63" s="120"/>
      <c r="HF63" s="120"/>
      <c r="HG63" s="120"/>
      <c r="HH63" s="120"/>
      <c r="HI63" s="120"/>
      <c r="HJ63" s="120"/>
      <c r="HK63" s="120"/>
      <c r="HL63" s="120"/>
      <c r="HM63" s="119"/>
      <c r="HN63" s="120"/>
      <c r="HO63" s="120"/>
      <c r="HP63" s="120"/>
      <c r="HQ63" s="120"/>
      <c r="HR63" s="120"/>
      <c r="HS63" s="120"/>
      <c r="HT63" s="120"/>
      <c r="HU63" s="120"/>
      <c r="HV63" s="120"/>
      <c r="HW63" s="120"/>
      <c r="HX63" s="120"/>
      <c r="HY63" s="120"/>
      <c r="HZ63" s="120"/>
      <c r="IA63" s="120"/>
      <c r="IB63" s="120"/>
      <c r="IC63" s="120"/>
      <c r="ID63" s="120"/>
      <c r="IE63" s="120"/>
      <c r="IF63" s="120"/>
      <c r="IG63" s="120"/>
      <c r="IH63" s="120"/>
      <c r="II63" s="119"/>
      <c r="IJ63" s="120"/>
      <c r="IK63" s="120"/>
      <c r="IL63" s="120"/>
      <c r="IM63" s="120"/>
      <c r="IN63" s="120"/>
      <c r="IO63" s="120"/>
      <c r="IP63" s="120"/>
      <c r="IQ63" s="120"/>
      <c r="IR63" s="120"/>
      <c r="IS63" s="120"/>
      <c r="IT63" s="120"/>
      <c r="IU63" s="120"/>
      <c r="IV63" s="120"/>
    </row>
    <row r="64" spans="1:256" s="118" customFormat="1" ht="15" customHeight="1">
      <c r="A64" s="524" t="s">
        <v>54</v>
      </c>
      <c r="B64" s="526"/>
      <c r="C64" s="526"/>
      <c r="D64" s="526"/>
      <c r="E64" s="526"/>
      <c r="F64" s="526"/>
      <c r="G64" s="526"/>
      <c r="H64" s="526"/>
      <c r="I64" s="526"/>
      <c r="J64" s="526"/>
      <c r="K64" s="526"/>
      <c r="L64" s="526"/>
      <c r="M64" s="526"/>
      <c r="N64" s="526"/>
      <c r="O64" s="151"/>
      <c r="P64" s="219"/>
      <c r="Q64" s="124"/>
      <c r="R64" s="124"/>
      <c r="S64" s="124"/>
      <c r="T64" s="124"/>
      <c r="U64" s="124"/>
      <c r="V64" s="124"/>
      <c r="W64" s="143"/>
      <c r="X64" s="144"/>
      <c r="Y64" s="144"/>
      <c r="Z64" s="144"/>
      <c r="AA64" s="144"/>
      <c r="AB64" s="144"/>
      <c r="AC64" s="144"/>
      <c r="AD64" s="144"/>
      <c r="AE64" s="144"/>
      <c r="AF64" s="144"/>
      <c r="AG64" s="144"/>
      <c r="AH64" s="144"/>
      <c r="AI64" s="144"/>
      <c r="AJ64" s="144"/>
      <c r="AK64" s="144"/>
      <c r="AL64" s="144"/>
      <c r="AM64" s="144"/>
      <c r="AN64" s="144"/>
      <c r="AO64" s="144"/>
      <c r="AP64" s="144"/>
      <c r="AQ64" s="144"/>
      <c r="AR64" s="144"/>
      <c r="AS64" s="143"/>
      <c r="AT64" s="144"/>
      <c r="AU64" s="144"/>
      <c r="AV64" s="144"/>
      <c r="AW64" s="144"/>
      <c r="AX64" s="144"/>
      <c r="AY64" s="144"/>
      <c r="AZ64" s="139"/>
      <c r="BA64" s="120"/>
      <c r="BB64" s="120"/>
      <c r="BC64" s="120"/>
      <c r="BD64" s="120"/>
      <c r="BE64" s="120"/>
      <c r="BF64" s="120"/>
      <c r="BG64" s="120"/>
      <c r="BH64" s="120"/>
      <c r="BI64" s="120"/>
      <c r="BJ64" s="120"/>
      <c r="BK64" s="120"/>
      <c r="BL64" s="120"/>
      <c r="BM64" s="120"/>
      <c r="BN64" s="120"/>
      <c r="BO64" s="119"/>
      <c r="BP64" s="120"/>
      <c r="BQ64" s="120"/>
      <c r="BR64" s="120"/>
      <c r="BS64" s="120"/>
      <c r="BT64" s="120"/>
      <c r="BU64" s="120"/>
      <c r="BV64" s="120"/>
      <c r="BW64" s="120"/>
      <c r="BX64" s="120"/>
      <c r="BY64" s="120"/>
      <c r="BZ64" s="120"/>
      <c r="CA64" s="120"/>
      <c r="CB64" s="120"/>
      <c r="CC64" s="120"/>
      <c r="CD64" s="120"/>
      <c r="CE64" s="120"/>
      <c r="CF64" s="120"/>
      <c r="CG64" s="120"/>
      <c r="CH64" s="120"/>
      <c r="CI64" s="120"/>
      <c r="CJ64" s="120"/>
      <c r="CK64" s="119"/>
      <c r="CL64" s="120"/>
      <c r="CM64" s="120"/>
      <c r="CN64" s="120"/>
      <c r="CO64" s="120"/>
      <c r="CP64" s="120"/>
      <c r="CQ64" s="120"/>
      <c r="CR64" s="120"/>
      <c r="CS64" s="120"/>
      <c r="CT64" s="120"/>
      <c r="CU64" s="120"/>
      <c r="CV64" s="120"/>
      <c r="CW64" s="120"/>
      <c r="CX64" s="120"/>
      <c r="CY64" s="120"/>
      <c r="CZ64" s="120"/>
      <c r="DA64" s="120"/>
      <c r="DB64" s="120"/>
      <c r="DC64" s="120"/>
      <c r="DD64" s="120"/>
      <c r="DE64" s="120"/>
      <c r="DF64" s="120"/>
      <c r="DG64" s="119"/>
      <c r="DH64" s="120"/>
      <c r="DI64" s="120"/>
      <c r="DJ64" s="120"/>
      <c r="DK64" s="120"/>
      <c r="DL64" s="120"/>
      <c r="DM64" s="120"/>
      <c r="DN64" s="120"/>
      <c r="DO64" s="120"/>
      <c r="DP64" s="120"/>
      <c r="DQ64" s="120"/>
      <c r="DR64" s="120"/>
      <c r="DS64" s="120"/>
      <c r="DT64" s="120"/>
      <c r="DU64" s="120"/>
      <c r="DV64" s="120"/>
      <c r="DW64" s="120"/>
      <c r="DX64" s="120"/>
      <c r="DY64" s="120"/>
      <c r="DZ64" s="120"/>
      <c r="EA64" s="120"/>
      <c r="EB64" s="120"/>
      <c r="EC64" s="119"/>
      <c r="ED64" s="120"/>
      <c r="EE64" s="120"/>
      <c r="EF64" s="120"/>
      <c r="EG64" s="120"/>
      <c r="EH64" s="120"/>
      <c r="EI64" s="120"/>
      <c r="EJ64" s="120"/>
      <c r="EK64" s="120"/>
      <c r="EL64" s="120"/>
      <c r="EM64" s="120"/>
      <c r="EN64" s="120"/>
      <c r="EO64" s="120"/>
      <c r="EP64" s="120"/>
      <c r="EQ64" s="120"/>
      <c r="ER64" s="120"/>
      <c r="ES64" s="120"/>
      <c r="ET64" s="120"/>
      <c r="EU64" s="120"/>
      <c r="EV64" s="120"/>
      <c r="EW64" s="120"/>
      <c r="EX64" s="120"/>
      <c r="EY64" s="119"/>
      <c r="EZ64" s="120"/>
      <c r="FA64" s="120"/>
      <c r="FB64" s="120"/>
      <c r="FC64" s="120"/>
      <c r="FD64" s="120"/>
      <c r="FE64" s="120"/>
      <c r="FF64" s="120"/>
      <c r="FG64" s="120"/>
      <c r="FH64" s="120"/>
      <c r="FI64" s="120"/>
      <c r="FJ64" s="120"/>
      <c r="FK64" s="120"/>
      <c r="FL64" s="120"/>
      <c r="FM64" s="120"/>
      <c r="FN64" s="120"/>
      <c r="FO64" s="120"/>
      <c r="FP64" s="120"/>
      <c r="FQ64" s="120"/>
      <c r="FR64" s="120"/>
      <c r="FS64" s="120"/>
      <c r="FT64" s="120"/>
      <c r="FU64" s="119"/>
      <c r="FV64" s="120"/>
      <c r="FW64" s="120"/>
      <c r="FX64" s="120"/>
      <c r="FY64" s="120"/>
      <c r="FZ64" s="120"/>
      <c r="GA64" s="120"/>
      <c r="GB64" s="120"/>
      <c r="GC64" s="120"/>
      <c r="GD64" s="120"/>
      <c r="GE64" s="120"/>
      <c r="GF64" s="120"/>
      <c r="GG64" s="120"/>
      <c r="GH64" s="120"/>
      <c r="GI64" s="120"/>
      <c r="GJ64" s="120"/>
      <c r="GK64" s="120"/>
      <c r="GL64" s="120"/>
      <c r="GM64" s="120"/>
      <c r="GN64" s="120"/>
      <c r="GO64" s="120"/>
      <c r="GP64" s="120"/>
      <c r="GQ64" s="119"/>
      <c r="GR64" s="120"/>
      <c r="GS64" s="120"/>
      <c r="GT64" s="120"/>
      <c r="GU64" s="120"/>
      <c r="GV64" s="120"/>
      <c r="GW64" s="120"/>
      <c r="GX64" s="120"/>
      <c r="GY64" s="120"/>
      <c r="GZ64" s="120"/>
      <c r="HA64" s="120"/>
      <c r="HB64" s="120"/>
      <c r="HC64" s="120"/>
      <c r="HD64" s="120"/>
      <c r="HE64" s="120"/>
      <c r="HF64" s="120"/>
      <c r="HG64" s="120"/>
      <c r="HH64" s="120"/>
      <c r="HI64" s="120"/>
      <c r="HJ64" s="120"/>
      <c r="HK64" s="120"/>
      <c r="HL64" s="120"/>
      <c r="HM64" s="119"/>
      <c r="HN64" s="120"/>
      <c r="HO64" s="120"/>
      <c r="HP64" s="120"/>
      <c r="HQ64" s="120"/>
      <c r="HR64" s="120"/>
      <c r="HS64" s="120"/>
      <c r="HT64" s="120"/>
      <c r="HU64" s="120"/>
      <c r="HV64" s="120"/>
      <c r="HW64" s="120"/>
      <c r="HX64" s="120"/>
      <c r="HY64" s="120"/>
      <c r="HZ64" s="120"/>
      <c r="IA64" s="120"/>
      <c r="IB64" s="120"/>
      <c r="IC64" s="120"/>
      <c r="ID64" s="120"/>
      <c r="IE64" s="120"/>
      <c r="IF64" s="120"/>
      <c r="IG64" s="120"/>
      <c r="IH64" s="120"/>
      <c r="II64" s="119"/>
      <c r="IJ64" s="120"/>
      <c r="IK64" s="120"/>
      <c r="IL64" s="120"/>
      <c r="IM64" s="120"/>
      <c r="IN64" s="120"/>
      <c r="IO64" s="120"/>
      <c r="IP64" s="120"/>
      <c r="IQ64" s="120"/>
      <c r="IR64" s="120"/>
      <c r="IS64" s="120"/>
      <c r="IT64" s="120"/>
      <c r="IU64" s="120"/>
      <c r="IV64" s="120"/>
    </row>
    <row r="65" spans="1:256" s="118" customFormat="1" ht="15" customHeight="1">
      <c r="A65" s="526"/>
      <c r="B65" s="526"/>
      <c r="C65" s="526"/>
      <c r="D65" s="526"/>
      <c r="E65" s="526"/>
      <c r="F65" s="526"/>
      <c r="G65" s="526"/>
      <c r="H65" s="526"/>
      <c r="I65" s="526"/>
      <c r="J65" s="526"/>
      <c r="K65" s="526"/>
      <c r="L65" s="526"/>
      <c r="M65" s="526"/>
      <c r="N65" s="526"/>
      <c r="O65" s="151"/>
      <c r="P65" s="219"/>
      <c r="Q65" s="124"/>
      <c r="R65" s="124"/>
      <c r="S65" s="124"/>
      <c r="T65" s="124"/>
      <c r="U65" s="124"/>
      <c r="V65" s="124"/>
      <c r="W65" s="143"/>
      <c r="X65" s="144"/>
      <c r="Y65" s="144"/>
      <c r="Z65" s="144"/>
      <c r="AA65" s="144"/>
      <c r="AB65" s="144"/>
      <c r="AC65" s="144"/>
      <c r="AD65" s="144"/>
      <c r="AE65" s="144"/>
      <c r="AF65" s="144"/>
      <c r="AG65" s="144"/>
      <c r="AH65" s="144"/>
      <c r="AI65" s="144"/>
      <c r="AJ65" s="144"/>
      <c r="AK65" s="144"/>
      <c r="AL65" s="144"/>
      <c r="AM65" s="144"/>
      <c r="AN65" s="144"/>
      <c r="AO65" s="144"/>
      <c r="AP65" s="144"/>
      <c r="AQ65" s="144"/>
      <c r="AR65" s="144"/>
      <c r="AS65" s="143"/>
      <c r="AT65" s="144"/>
      <c r="AU65" s="144"/>
      <c r="AV65" s="144"/>
      <c r="AW65" s="144"/>
      <c r="AX65" s="144"/>
      <c r="AY65" s="144"/>
      <c r="AZ65" s="139"/>
      <c r="BA65" s="120"/>
      <c r="BB65" s="120"/>
      <c r="BC65" s="120"/>
      <c r="BD65" s="120"/>
      <c r="BE65" s="120"/>
      <c r="BF65" s="120"/>
      <c r="BG65" s="120"/>
      <c r="BH65" s="120"/>
      <c r="BI65" s="120"/>
      <c r="BJ65" s="120"/>
      <c r="BK65" s="120"/>
      <c r="BL65" s="120"/>
      <c r="BM65" s="120"/>
      <c r="BN65" s="120"/>
      <c r="BO65" s="119"/>
      <c r="BP65" s="120"/>
      <c r="BQ65" s="120"/>
      <c r="BR65" s="120"/>
      <c r="BS65" s="120"/>
      <c r="BT65" s="120"/>
      <c r="BU65" s="120"/>
      <c r="BV65" s="120"/>
      <c r="BW65" s="120"/>
      <c r="BX65" s="120"/>
      <c r="BY65" s="120"/>
      <c r="BZ65" s="120"/>
      <c r="CA65" s="120"/>
      <c r="CB65" s="120"/>
      <c r="CC65" s="120"/>
      <c r="CD65" s="120"/>
      <c r="CE65" s="120"/>
      <c r="CF65" s="120"/>
      <c r="CG65" s="120"/>
      <c r="CH65" s="120"/>
      <c r="CI65" s="120"/>
      <c r="CJ65" s="120"/>
      <c r="CK65" s="119"/>
      <c r="CL65" s="120"/>
      <c r="CM65" s="120"/>
      <c r="CN65" s="120"/>
      <c r="CO65" s="120"/>
      <c r="CP65" s="120"/>
      <c r="CQ65" s="120"/>
      <c r="CR65" s="120"/>
      <c r="CS65" s="120"/>
      <c r="CT65" s="120"/>
      <c r="CU65" s="120"/>
      <c r="CV65" s="120"/>
      <c r="CW65" s="120"/>
      <c r="CX65" s="120"/>
      <c r="CY65" s="120"/>
      <c r="CZ65" s="120"/>
      <c r="DA65" s="120"/>
      <c r="DB65" s="120"/>
      <c r="DC65" s="120"/>
      <c r="DD65" s="120"/>
      <c r="DE65" s="120"/>
      <c r="DF65" s="120"/>
      <c r="DG65" s="119"/>
      <c r="DH65" s="120"/>
      <c r="DI65" s="120"/>
      <c r="DJ65" s="120"/>
      <c r="DK65" s="120"/>
      <c r="DL65" s="120"/>
      <c r="DM65" s="120"/>
      <c r="DN65" s="120"/>
      <c r="DO65" s="120"/>
      <c r="DP65" s="120"/>
      <c r="DQ65" s="120"/>
      <c r="DR65" s="120"/>
      <c r="DS65" s="120"/>
      <c r="DT65" s="120"/>
      <c r="DU65" s="120"/>
      <c r="DV65" s="120"/>
      <c r="DW65" s="120"/>
      <c r="DX65" s="120"/>
      <c r="DY65" s="120"/>
      <c r="DZ65" s="120"/>
      <c r="EA65" s="120"/>
      <c r="EB65" s="120"/>
      <c r="EC65" s="119"/>
      <c r="ED65" s="120"/>
      <c r="EE65" s="120"/>
      <c r="EF65" s="120"/>
      <c r="EG65" s="120"/>
      <c r="EH65" s="120"/>
      <c r="EI65" s="120"/>
      <c r="EJ65" s="120"/>
      <c r="EK65" s="120"/>
      <c r="EL65" s="120"/>
      <c r="EM65" s="120"/>
      <c r="EN65" s="120"/>
      <c r="EO65" s="120"/>
      <c r="EP65" s="120"/>
      <c r="EQ65" s="120"/>
      <c r="ER65" s="120"/>
      <c r="ES65" s="120"/>
      <c r="ET65" s="120"/>
      <c r="EU65" s="120"/>
      <c r="EV65" s="120"/>
      <c r="EW65" s="120"/>
      <c r="EX65" s="120"/>
      <c r="EY65" s="119"/>
      <c r="EZ65" s="120"/>
      <c r="FA65" s="120"/>
      <c r="FB65" s="120"/>
      <c r="FC65" s="120"/>
      <c r="FD65" s="120"/>
      <c r="FE65" s="120"/>
      <c r="FF65" s="120"/>
      <c r="FG65" s="120"/>
      <c r="FH65" s="120"/>
      <c r="FI65" s="120"/>
      <c r="FJ65" s="120"/>
      <c r="FK65" s="120"/>
      <c r="FL65" s="120"/>
      <c r="FM65" s="120"/>
      <c r="FN65" s="120"/>
      <c r="FO65" s="120"/>
      <c r="FP65" s="120"/>
      <c r="FQ65" s="120"/>
      <c r="FR65" s="120"/>
      <c r="FS65" s="120"/>
      <c r="FT65" s="120"/>
      <c r="FU65" s="119"/>
      <c r="FV65" s="120"/>
      <c r="FW65" s="120"/>
      <c r="FX65" s="120"/>
      <c r="FY65" s="120"/>
      <c r="FZ65" s="120"/>
      <c r="GA65" s="120"/>
      <c r="GB65" s="120"/>
      <c r="GC65" s="120"/>
      <c r="GD65" s="120"/>
      <c r="GE65" s="120"/>
      <c r="GF65" s="120"/>
      <c r="GG65" s="120"/>
      <c r="GH65" s="120"/>
      <c r="GI65" s="120"/>
      <c r="GJ65" s="120"/>
      <c r="GK65" s="120"/>
      <c r="GL65" s="120"/>
      <c r="GM65" s="120"/>
      <c r="GN65" s="120"/>
      <c r="GO65" s="120"/>
      <c r="GP65" s="120"/>
      <c r="GQ65" s="119"/>
      <c r="GR65" s="120"/>
      <c r="GS65" s="120"/>
      <c r="GT65" s="120"/>
      <c r="GU65" s="120"/>
      <c r="GV65" s="120"/>
      <c r="GW65" s="120"/>
      <c r="GX65" s="120"/>
      <c r="GY65" s="120"/>
      <c r="GZ65" s="120"/>
      <c r="HA65" s="120"/>
      <c r="HB65" s="120"/>
      <c r="HC65" s="120"/>
      <c r="HD65" s="120"/>
      <c r="HE65" s="120"/>
      <c r="HF65" s="120"/>
      <c r="HG65" s="120"/>
      <c r="HH65" s="120"/>
      <c r="HI65" s="120"/>
      <c r="HJ65" s="120"/>
      <c r="HK65" s="120"/>
      <c r="HL65" s="120"/>
      <c r="HM65" s="119"/>
      <c r="HN65" s="120"/>
      <c r="HO65" s="120"/>
      <c r="HP65" s="120"/>
      <c r="HQ65" s="120"/>
      <c r="HR65" s="120"/>
      <c r="HS65" s="120"/>
      <c r="HT65" s="120"/>
      <c r="HU65" s="120"/>
      <c r="HV65" s="120"/>
      <c r="HW65" s="120"/>
      <c r="HX65" s="120"/>
      <c r="HY65" s="120"/>
      <c r="HZ65" s="120"/>
      <c r="IA65" s="120"/>
      <c r="IB65" s="120"/>
      <c r="IC65" s="120"/>
      <c r="ID65" s="120"/>
      <c r="IE65" s="120"/>
      <c r="IF65" s="120"/>
      <c r="IG65" s="120"/>
      <c r="IH65" s="120"/>
      <c r="II65" s="119"/>
      <c r="IJ65" s="120"/>
      <c r="IK65" s="120"/>
      <c r="IL65" s="120"/>
      <c r="IM65" s="120"/>
      <c r="IN65" s="120"/>
      <c r="IO65" s="120"/>
      <c r="IP65" s="120"/>
      <c r="IQ65" s="120"/>
      <c r="IR65" s="120"/>
      <c r="IS65" s="120"/>
      <c r="IT65" s="120"/>
      <c r="IU65" s="120"/>
      <c r="IV65" s="120"/>
    </row>
    <row r="66" spans="1:256" s="118" customFormat="1" ht="15" customHeight="1">
      <c r="A66" s="526"/>
      <c r="B66" s="526"/>
      <c r="C66" s="526"/>
      <c r="D66" s="526"/>
      <c r="E66" s="526"/>
      <c r="F66" s="526"/>
      <c r="G66" s="526"/>
      <c r="H66" s="526"/>
      <c r="I66" s="526"/>
      <c r="J66" s="526"/>
      <c r="K66" s="526"/>
      <c r="L66" s="526"/>
      <c r="M66" s="526"/>
      <c r="N66" s="526"/>
      <c r="O66" s="151"/>
      <c r="P66" s="219"/>
      <c r="Q66" s="124"/>
      <c r="R66" s="124"/>
      <c r="S66" s="124"/>
      <c r="T66" s="124"/>
      <c r="U66" s="124"/>
      <c r="V66" s="124"/>
      <c r="W66" s="143"/>
      <c r="X66" s="144"/>
      <c r="Y66" s="144"/>
      <c r="Z66" s="144"/>
      <c r="AA66" s="144"/>
      <c r="AB66" s="144"/>
      <c r="AC66" s="144"/>
      <c r="AD66" s="144"/>
      <c r="AE66" s="144"/>
      <c r="AF66" s="144"/>
      <c r="AG66" s="144"/>
      <c r="AH66" s="144"/>
      <c r="AI66" s="144"/>
      <c r="AJ66" s="144"/>
      <c r="AK66" s="144"/>
      <c r="AL66" s="144"/>
      <c r="AM66" s="144"/>
      <c r="AN66" s="144"/>
      <c r="AO66" s="144"/>
      <c r="AP66" s="144"/>
      <c r="AQ66" s="144"/>
      <c r="AR66" s="144"/>
      <c r="AS66" s="143"/>
      <c r="AT66" s="144"/>
      <c r="AU66" s="144"/>
      <c r="AV66" s="144"/>
      <c r="AW66" s="144"/>
      <c r="AX66" s="144"/>
      <c r="AY66" s="144"/>
      <c r="AZ66" s="139"/>
      <c r="BA66" s="120"/>
      <c r="BB66" s="120"/>
      <c r="BC66" s="120"/>
      <c r="BD66" s="120"/>
      <c r="BE66" s="120"/>
      <c r="BF66" s="120"/>
      <c r="BG66" s="120"/>
      <c r="BH66" s="120"/>
      <c r="BI66" s="120"/>
      <c r="BJ66" s="120"/>
      <c r="BK66" s="120"/>
      <c r="BL66" s="120"/>
      <c r="BM66" s="120"/>
      <c r="BN66" s="120"/>
      <c r="BO66" s="119"/>
      <c r="BP66" s="120"/>
      <c r="BQ66" s="120"/>
      <c r="BR66" s="120"/>
      <c r="BS66" s="120"/>
      <c r="BT66" s="120"/>
      <c r="BU66" s="120"/>
      <c r="BV66" s="120"/>
      <c r="BW66" s="120"/>
      <c r="BX66" s="120"/>
      <c r="BY66" s="120"/>
      <c r="BZ66" s="120"/>
      <c r="CA66" s="120"/>
      <c r="CB66" s="120"/>
      <c r="CC66" s="120"/>
      <c r="CD66" s="120"/>
      <c r="CE66" s="120"/>
      <c r="CF66" s="120"/>
      <c r="CG66" s="120"/>
      <c r="CH66" s="120"/>
      <c r="CI66" s="120"/>
      <c r="CJ66" s="120"/>
      <c r="CK66" s="119"/>
      <c r="CL66" s="120"/>
      <c r="CM66" s="120"/>
      <c r="CN66" s="120"/>
      <c r="CO66" s="120"/>
      <c r="CP66" s="120"/>
      <c r="CQ66" s="120"/>
      <c r="CR66" s="120"/>
      <c r="CS66" s="120"/>
      <c r="CT66" s="120"/>
      <c r="CU66" s="120"/>
      <c r="CV66" s="120"/>
      <c r="CW66" s="120"/>
      <c r="CX66" s="120"/>
      <c r="CY66" s="120"/>
      <c r="CZ66" s="120"/>
      <c r="DA66" s="120"/>
      <c r="DB66" s="120"/>
      <c r="DC66" s="120"/>
      <c r="DD66" s="120"/>
      <c r="DE66" s="120"/>
      <c r="DF66" s="120"/>
      <c r="DG66" s="119"/>
      <c r="DH66" s="120"/>
      <c r="DI66" s="120"/>
      <c r="DJ66" s="120"/>
      <c r="DK66" s="120"/>
      <c r="DL66" s="120"/>
      <c r="DM66" s="120"/>
      <c r="DN66" s="120"/>
      <c r="DO66" s="120"/>
      <c r="DP66" s="120"/>
      <c r="DQ66" s="120"/>
      <c r="DR66" s="120"/>
      <c r="DS66" s="120"/>
      <c r="DT66" s="120"/>
      <c r="DU66" s="120"/>
      <c r="DV66" s="120"/>
      <c r="DW66" s="120"/>
      <c r="DX66" s="120"/>
      <c r="DY66" s="120"/>
      <c r="DZ66" s="120"/>
      <c r="EA66" s="120"/>
      <c r="EB66" s="120"/>
      <c r="EC66" s="119"/>
      <c r="ED66" s="120"/>
      <c r="EE66" s="120"/>
      <c r="EF66" s="120"/>
      <c r="EG66" s="120"/>
      <c r="EH66" s="120"/>
      <c r="EI66" s="120"/>
      <c r="EJ66" s="120"/>
      <c r="EK66" s="120"/>
      <c r="EL66" s="120"/>
      <c r="EM66" s="120"/>
      <c r="EN66" s="120"/>
      <c r="EO66" s="120"/>
      <c r="EP66" s="120"/>
      <c r="EQ66" s="120"/>
      <c r="ER66" s="120"/>
      <c r="ES66" s="120"/>
      <c r="ET66" s="120"/>
      <c r="EU66" s="120"/>
      <c r="EV66" s="120"/>
      <c r="EW66" s="120"/>
      <c r="EX66" s="120"/>
      <c r="EY66" s="119"/>
      <c r="EZ66" s="120"/>
      <c r="FA66" s="120"/>
      <c r="FB66" s="120"/>
      <c r="FC66" s="120"/>
      <c r="FD66" s="120"/>
      <c r="FE66" s="120"/>
      <c r="FF66" s="120"/>
      <c r="FG66" s="120"/>
      <c r="FH66" s="120"/>
      <c r="FI66" s="120"/>
      <c r="FJ66" s="120"/>
      <c r="FK66" s="120"/>
      <c r="FL66" s="120"/>
      <c r="FM66" s="120"/>
      <c r="FN66" s="120"/>
      <c r="FO66" s="120"/>
      <c r="FP66" s="120"/>
      <c r="FQ66" s="120"/>
      <c r="FR66" s="120"/>
      <c r="FS66" s="120"/>
      <c r="FT66" s="120"/>
      <c r="FU66" s="119"/>
      <c r="FV66" s="120"/>
      <c r="FW66" s="120"/>
      <c r="FX66" s="120"/>
      <c r="FY66" s="120"/>
      <c r="FZ66" s="120"/>
      <c r="GA66" s="120"/>
      <c r="GB66" s="120"/>
      <c r="GC66" s="120"/>
      <c r="GD66" s="120"/>
      <c r="GE66" s="120"/>
      <c r="GF66" s="120"/>
      <c r="GG66" s="120"/>
      <c r="GH66" s="120"/>
      <c r="GI66" s="120"/>
      <c r="GJ66" s="120"/>
      <c r="GK66" s="120"/>
      <c r="GL66" s="120"/>
      <c r="GM66" s="120"/>
      <c r="GN66" s="120"/>
      <c r="GO66" s="120"/>
      <c r="GP66" s="120"/>
      <c r="GQ66" s="119"/>
      <c r="GR66" s="120"/>
      <c r="GS66" s="120"/>
      <c r="GT66" s="120"/>
      <c r="GU66" s="120"/>
      <c r="GV66" s="120"/>
      <c r="GW66" s="120"/>
      <c r="GX66" s="120"/>
      <c r="GY66" s="120"/>
      <c r="GZ66" s="120"/>
      <c r="HA66" s="120"/>
      <c r="HB66" s="120"/>
      <c r="HC66" s="120"/>
      <c r="HD66" s="120"/>
      <c r="HE66" s="120"/>
      <c r="HF66" s="120"/>
      <c r="HG66" s="120"/>
      <c r="HH66" s="120"/>
      <c r="HI66" s="120"/>
      <c r="HJ66" s="120"/>
      <c r="HK66" s="120"/>
      <c r="HL66" s="120"/>
      <c r="HM66" s="119"/>
      <c r="HN66" s="120"/>
      <c r="HO66" s="120"/>
      <c r="HP66" s="120"/>
      <c r="HQ66" s="120"/>
      <c r="HR66" s="120"/>
      <c r="HS66" s="120"/>
      <c r="HT66" s="120"/>
      <c r="HU66" s="120"/>
      <c r="HV66" s="120"/>
      <c r="HW66" s="120"/>
      <c r="HX66" s="120"/>
      <c r="HY66" s="120"/>
      <c r="HZ66" s="120"/>
      <c r="IA66" s="120"/>
      <c r="IB66" s="120"/>
      <c r="IC66" s="120"/>
      <c r="ID66" s="120"/>
      <c r="IE66" s="120"/>
      <c r="IF66" s="120"/>
      <c r="IG66" s="120"/>
      <c r="IH66" s="120"/>
      <c r="II66" s="119"/>
      <c r="IJ66" s="120"/>
      <c r="IK66" s="120"/>
      <c r="IL66" s="120"/>
      <c r="IM66" s="120"/>
      <c r="IN66" s="120"/>
      <c r="IO66" s="120"/>
      <c r="IP66" s="120"/>
      <c r="IQ66" s="120"/>
      <c r="IR66" s="120"/>
      <c r="IS66" s="120"/>
      <c r="IT66" s="120"/>
      <c r="IU66" s="120"/>
      <c r="IV66" s="120"/>
    </row>
    <row r="67" spans="1:52" s="121" customFormat="1" ht="15" customHeight="1">
      <c r="A67" s="526"/>
      <c r="B67" s="526"/>
      <c r="C67" s="526"/>
      <c r="D67" s="526"/>
      <c r="E67" s="526"/>
      <c r="F67" s="526"/>
      <c r="G67" s="526"/>
      <c r="H67" s="526"/>
      <c r="I67" s="526"/>
      <c r="J67" s="526"/>
      <c r="K67" s="526"/>
      <c r="L67" s="526"/>
      <c r="M67" s="526"/>
      <c r="N67" s="526"/>
      <c r="O67" s="151"/>
      <c r="P67" s="219"/>
      <c r="Q67" s="124"/>
      <c r="R67" s="124"/>
      <c r="S67" s="124"/>
      <c r="T67" s="124"/>
      <c r="U67" s="124"/>
      <c r="V67" s="124"/>
      <c r="W67" s="145"/>
      <c r="X67" s="146"/>
      <c r="Y67" s="146"/>
      <c r="Z67" s="146"/>
      <c r="AA67" s="146"/>
      <c r="AB67" s="146"/>
      <c r="AC67" s="146"/>
      <c r="AD67" s="146"/>
      <c r="AE67" s="146"/>
      <c r="AF67" s="146"/>
      <c r="AG67" s="146"/>
      <c r="AH67" s="146"/>
      <c r="AI67" s="146"/>
      <c r="AJ67" s="146"/>
      <c r="AK67" s="146"/>
      <c r="AL67" s="146"/>
      <c r="AM67" s="146"/>
      <c r="AN67" s="146"/>
      <c r="AO67" s="146"/>
      <c r="AP67" s="146"/>
      <c r="AQ67" s="146"/>
      <c r="AR67" s="146"/>
      <c r="AS67" s="146"/>
      <c r="AT67" s="146"/>
      <c r="AU67" s="146"/>
      <c r="AV67" s="146"/>
      <c r="AW67" s="146"/>
      <c r="AX67" s="146"/>
      <c r="AY67" s="146"/>
      <c r="AZ67" s="140"/>
    </row>
    <row r="68" spans="2:15" ht="18">
      <c r="B68" s="33"/>
      <c r="C68" s="34"/>
      <c r="D68" s="35"/>
      <c r="E68" s="22"/>
      <c r="F68" s="22"/>
      <c r="G68" s="22"/>
      <c r="H68" s="36"/>
      <c r="I68" s="37"/>
      <c r="J68" s="38"/>
      <c r="K68" s="39"/>
      <c r="L68" s="40"/>
      <c r="M68" s="41"/>
      <c r="N68" s="39"/>
      <c r="O68" s="148"/>
    </row>
    <row r="69" spans="2:15" ht="18">
      <c r="B69" s="33"/>
      <c r="C69" s="34"/>
      <c r="D69" s="35"/>
      <c r="E69" s="22"/>
      <c r="F69" s="22"/>
      <c r="G69" s="22"/>
      <c r="H69" s="36"/>
      <c r="I69" s="37"/>
      <c r="J69" s="38"/>
      <c r="K69" s="39"/>
      <c r="L69" s="40"/>
      <c r="M69" s="41"/>
      <c r="N69" s="39"/>
      <c r="O69" s="148"/>
    </row>
    <row r="70" spans="6:15" ht="22.5">
      <c r="F70" s="22"/>
      <c r="G70" s="22"/>
      <c r="H70" s="36"/>
      <c r="I70" s="37"/>
      <c r="J70" s="38"/>
      <c r="K70" s="39"/>
      <c r="L70" s="40"/>
      <c r="M70" s="41"/>
      <c r="N70" s="39"/>
      <c r="O70" s="148"/>
    </row>
    <row r="71" spans="6:15" ht="22.5">
      <c r="F71" s="22"/>
      <c r="G71" s="22"/>
      <c r="H71" s="36"/>
      <c r="I71" s="37"/>
      <c r="J71" s="38"/>
      <c r="K71" s="39"/>
      <c r="L71" s="40"/>
      <c r="M71" s="41"/>
      <c r="N71" s="39"/>
      <c r="O71" s="148"/>
    </row>
    <row r="72" spans="6:15" ht="22.5">
      <c r="F72" s="22"/>
      <c r="G72" s="22"/>
      <c r="H72" s="36"/>
      <c r="I72" s="37"/>
      <c r="J72" s="38"/>
      <c r="K72" s="39"/>
      <c r="L72" s="40"/>
      <c r="M72" s="41"/>
      <c r="N72" s="39"/>
      <c r="O72" s="148"/>
    </row>
    <row r="73" spans="6:15" ht="22.5">
      <c r="F73" s="22"/>
      <c r="G73" s="22"/>
      <c r="H73" s="36"/>
      <c r="I73" s="37"/>
      <c r="J73" s="38"/>
      <c r="K73" s="39"/>
      <c r="L73" s="40"/>
      <c r="M73" s="41"/>
      <c r="N73" s="39"/>
      <c r="O73" s="148"/>
    </row>
    <row r="74" spans="6:15" ht="22.5">
      <c r="F74" s="22"/>
      <c r="G74" s="22"/>
      <c r="H74" s="36"/>
      <c r="I74" s="37"/>
      <c r="J74" s="38"/>
      <c r="K74" s="39"/>
      <c r="L74" s="40"/>
      <c r="M74" s="41"/>
      <c r="N74" s="39"/>
      <c r="O74" s="148"/>
    </row>
    <row r="75" spans="6:15" ht="22.5">
      <c r="F75" s="22"/>
      <c r="G75" s="22"/>
      <c r="H75" s="36"/>
      <c r="I75" s="37"/>
      <c r="J75" s="38"/>
      <c r="K75" s="39"/>
      <c r="L75" s="40"/>
      <c r="M75" s="41"/>
      <c r="N75" s="39"/>
      <c r="O75" s="148"/>
    </row>
    <row r="76" spans="14:15" ht="22.5">
      <c r="N76" s="30"/>
      <c r="O76" s="148"/>
    </row>
    <row r="77" spans="14:15" ht="22.5">
      <c r="N77" s="30"/>
      <c r="O77" s="137"/>
    </row>
    <row r="78" spans="14:15" ht="22.5">
      <c r="N78" s="30"/>
      <c r="O78" s="137"/>
    </row>
    <row r="79" spans="14:15" ht="22.5">
      <c r="N79" s="30"/>
      <c r="O79" s="137"/>
    </row>
    <row r="80" spans="14:15" ht="22.5">
      <c r="N80" s="30"/>
      <c r="O80" s="137"/>
    </row>
    <row r="81" spans="14:15" ht="22.5">
      <c r="N81" s="30"/>
      <c r="O81" s="137"/>
    </row>
    <row r="82" spans="14:15" ht="22.5">
      <c r="N82" s="30"/>
      <c r="O82" s="137"/>
    </row>
    <row r="83" spans="1:14" ht="22.5">
      <c r="A83" s="125"/>
      <c r="B83" s="126"/>
      <c r="C83" s="127"/>
      <c r="D83" s="128"/>
      <c r="E83" s="129"/>
      <c r="F83" s="129"/>
      <c r="G83" s="129"/>
      <c r="H83" s="130"/>
      <c r="I83" s="131"/>
      <c r="J83" s="132"/>
      <c r="K83" s="133"/>
      <c r="L83" s="134"/>
      <c r="M83" s="135"/>
      <c r="N83" s="136"/>
    </row>
  </sheetData>
  <sheetProtection insertRows="0" deleteRows="0" sort="0"/>
  <mergeCells count="13">
    <mergeCell ref="G3:G4"/>
    <mergeCell ref="H3:K3"/>
    <mergeCell ref="C3:C4"/>
    <mergeCell ref="A61:N63"/>
    <mergeCell ref="A64:N67"/>
    <mergeCell ref="A58:B58"/>
    <mergeCell ref="A60:N60"/>
    <mergeCell ref="A2:N2"/>
    <mergeCell ref="L3:N3"/>
    <mergeCell ref="F3:F4"/>
    <mergeCell ref="E3:E4"/>
    <mergeCell ref="B3:B4"/>
    <mergeCell ref="D3:D4"/>
  </mergeCells>
  <printOptions horizontalCentered="1" verticalCentered="1"/>
  <pageMargins left="0.53" right="0.19" top="0.5905511811023623" bottom="0.5" header="0.5118110236220472" footer="0.45"/>
  <pageSetup orientation="portrait" paperSize="9" scale="45" r:id="rId2"/>
  <ignoredErrors>
    <ignoredError sqref="K58:M59 N6:N30 L6:M16 N31 J6:J30 K6:K30 K31 N33:N52 K32:M32 K53:M53 N32 N53 J33:J52 K33:K52 L52:M52 J56" formula="1"/>
    <ignoredError sqref="L17:M30 L31:M31 L33:M51" formula="1" unlockedFormula="1"/>
  </ignoredErrors>
  <drawing r:id="rId1"/>
</worksheet>
</file>

<file path=xl/worksheets/sheet2.xml><?xml version="1.0" encoding="utf-8"?>
<worksheet xmlns="http://schemas.openxmlformats.org/spreadsheetml/2006/main" xmlns:r="http://schemas.openxmlformats.org/officeDocument/2006/relationships">
  <dimension ref="A1:IV76"/>
  <sheetViews>
    <sheetView zoomScale="130" zoomScaleNormal="130" zoomScalePageLayoutView="0" workbookViewId="0" topLeftCell="A1">
      <selection activeCell="A2" sqref="A2:I2"/>
    </sheetView>
  </sheetViews>
  <sheetFormatPr defaultColWidth="17.421875" defaultRowHeight="12.75"/>
  <cols>
    <col min="1" max="1" width="4.421875" style="73" bestFit="1" customWidth="1"/>
    <col min="2" max="2" width="52.140625" style="69" bestFit="1" customWidth="1"/>
    <col min="3" max="3" width="9.7109375" style="153" customWidth="1"/>
    <col min="4" max="4" width="22.00390625" style="70" bestFit="1" customWidth="1"/>
    <col min="5" max="5" width="7.421875" style="83" customWidth="1"/>
    <col min="6" max="6" width="8.421875" style="83" customWidth="1"/>
    <col min="7" max="7" width="14.7109375" style="36" bestFit="1" customWidth="1"/>
    <col min="8" max="8" width="10.421875" style="71" bestFit="1" customWidth="1"/>
    <col min="9" max="9" width="7.00390625" style="72" customWidth="1"/>
    <col min="10" max="10" width="2.140625" style="521" bestFit="1" customWidth="1"/>
    <col min="11" max="11" width="17.421875" style="161" customWidth="1"/>
    <col min="12" max="12" width="17.421875" style="67" customWidth="1"/>
    <col min="13" max="13" width="17.421875" style="68" customWidth="1"/>
    <col min="14" max="15" width="17.421875" style="66" customWidth="1"/>
    <col min="16" max="16384" width="17.421875" style="69" customWidth="1"/>
  </cols>
  <sheetData>
    <row r="1" spans="1:15" s="1" customFormat="1" ht="72.75" customHeight="1">
      <c r="A1" s="94"/>
      <c r="B1" s="95"/>
      <c r="C1" s="96"/>
      <c r="D1" s="97"/>
      <c r="E1" s="98"/>
      <c r="F1" s="98"/>
      <c r="G1" s="98"/>
      <c r="H1" s="99"/>
      <c r="I1" s="100"/>
      <c r="J1" s="518"/>
      <c r="K1" s="156"/>
      <c r="L1" s="103"/>
      <c r="M1" s="104"/>
      <c r="N1" s="105"/>
      <c r="O1" s="62"/>
    </row>
    <row r="2" spans="1:15" s="5" customFormat="1" ht="22.5" customHeight="1">
      <c r="A2" s="543" t="s">
        <v>83</v>
      </c>
      <c r="B2" s="544"/>
      <c r="C2" s="544"/>
      <c r="D2" s="544"/>
      <c r="E2" s="544"/>
      <c r="F2" s="544"/>
      <c r="G2" s="544"/>
      <c r="H2" s="544"/>
      <c r="I2" s="544"/>
      <c r="J2" s="519"/>
      <c r="K2" s="157"/>
      <c r="L2" s="106"/>
      <c r="M2" s="106"/>
      <c r="N2" s="106"/>
      <c r="O2" s="63"/>
    </row>
    <row r="3" spans="1:13" s="111" customFormat="1" ht="12.75">
      <c r="A3" s="108"/>
      <c r="B3" s="545" t="s">
        <v>6</v>
      </c>
      <c r="C3" s="546" t="s">
        <v>39</v>
      </c>
      <c r="D3" s="547" t="s">
        <v>42</v>
      </c>
      <c r="E3" s="542" t="s">
        <v>44</v>
      </c>
      <c r="F3" s="542" t="s">
        <v>40</v>
      </c>
      <c r="G3" s="542" t="s">
        <v>46</v>
      </c>
      <c r="H3" s="542"/>
      <c r="I3" s="548" t="s">
        <v>41</v>
      </c>
      <c r="J3" s="520"/>
      <c r="K3" s="158"/>
      <c r="L3" s="109"/>
      <c r="M3" s="110"/>
    </row>
    <row r="4" spans="1:13" s="115" customFormat="1" ht="13.5" thickBot="1">
      <c r="A4" s="112"/>
      <c r="B4" s="545"/>
      <c r="C4" s="546"/>
      <c r="D4" s="547"/>
      <c r="E4" s="542"/>
      <c r="F4" s="542"/>
      <c r="G4" s="184" t="s">
        <v>7</v>
      </c>
      <c r="H4" s="185" t="s">
        <v>5</v>
      </c>
      <c r="I4" s="548"/>
      <c r="J4" s="520"/>
      <c r="K4" s="159"/>
      <c r="L4" s="113"/>
      <c r="M4" s="114"/>
    </row>
    <row r="5" spans="1:11" ht="13.5" customHeight="1">
      <c r="A5" s="107">
        <v>1</v>
      </c>
      <c r="B5" s="499" t="s">
        <v>182</v>
      </c>
      <c r="C5" s="500">
        <v>40550</v>
      </c>
      <c r="D5" s="501" t="s">
        <v>23</v>
      </c>
      <c r="E5" s="502">
        <v>356</v>
      </c>
      <c r="F5" s="502">
        <v>11</v>
      </c>
      <c r="G5" s="503">
        <v>36504889</v>
      </c>
      <c r="H5" s="504">
        <v>3911241</v>
      </c>
      <c r="I5" s="505">
        <f aca="true" t="shared" si="0" ref="I5:I12">+G5/H5</f>
        <v>9.333326430153498</v>
      </c>
      <c r="J5" s="369">
        <v>1</v>
      </c>
      <c r="K5" s="160"/>
    </row>
    <row r="6" spans="1:11" ht="13.5" customHeight="1">
      <c r="A6" s="107">
        <v>2</v>
      </c>
      <c r="B6" s="211" t="s">
        <v>183</v>
      </c>
      <c r="C6" s="166">
        <v>40578</v>
      </c>
      <c r="D6" s="329" t="s">
        <v>23</v>
      </c>
      <c r="E6" s="243">
        <v>224</v>
      </c>
      <c r="F6" s="243">
        <v>7</v>
      </c>
      <c r="G6" s="189">
        <v>21083964</v>
      </c>
      <c r="H6" s="168">
        <v>2283985</v>
      </c>
      <c r="I6" s="208">
        <f t="shared" si="0"/>
        <v>9.231218243552387</v>
      </c>
      <c r="J6" s="369">
        <v>1</v>
      </c>
      <c r="K6" s="160"/>
    </row>
    <row r="7" spans="1:11" ht="13.5" customHeight="1">
      <c r="A7" s="328">
        <v>3</v>
      </c>
      <c r="B7" s="512" t="s">
        <v>184</v>
      </c>
      <c r="C7" s="513">
        <v>40571</v>
      </c>
      <c r="D7" s="514" t="s">
        <v>26</v>
      </c>
      <c r="E7" s="515">
        <v>364</v>
      </c>
      <c r="F7" s="515">
        <v>8</v>
      </c>
      <c r="G7" s="516">
        <f>9270289+4217769.25+1762200.5+76.25+863944.5+635392-7+421743.5+30+17848+42283+4475</f>
        <v>17236044</v>
      </c>
      <c r="H7" s="517">
        <f>1060415+493112+207846+16+104665+81570-1+60457+6+2952+6890+337</f>
        <v>2018265</v>
      </c>
      <c r="I7" s="367">
        <f t="shared" si="0"/>
        <v>8.540030174432</v>
      </c>
      <c r="J7" s="294">
        <v>1</v>
      </c>
      <c r="K7" s="160"/>
    </row>
    <row r="8" spans="1:11" ht="13.5" customHeight="1">
      <c r="A8" s="107">
        <v>4</v>
      </c>
      <c r="B8" s="506" t="s">
        <v>185</v>
      </c>
      <c r="C8" s="507">
        <v>40550</v>
      </c>
      <c r="D8" s="508" t="s">
        <v>26</v>
      </c>
      <c r="E8" s="509">
        <v>238</v>
      </c>
      <c r="F8" s="509">
        <v>11</v>
      </c>
      <c r="G8" s="510">
        <f>3050831.5+2178855.5+1196710.5+496983-200+210922.5+72277.5+4+43197.5+17348.5+5963-21+911+2090</f>
        <v>7275873.5</v>
      </c>
      <c r="H8" s="511">
        <f>393137+282255+156413+64920+60+27548+10641+7089+3227+1196+161+455</f>
        <v>947102</v>
      </c>
      <c r="I8" s="356">
        <f t="shared" si="0"/>
        <v>7.682249113611839</v>
      </c>
      <c r="J8" s="294">
        <v>1</v>
      </c>
      <c r="K8" s="160"/>
    </row>
    <row r="9" spans="1:11" ht="13.5" customHeight="1">
      <c r="A9" s="107">
        <v>5</v>
      </c>
      <c r="B9" s="209" t="s">
        <v>186</v>
      </c>
      <c r="C9" s="163">
        <v>40599</v>
      </c>
      <c r="D9" s="246" t="s">
        <v>24</v>
      </c>
      <c r="E9" s="245">
        <v>246</v>
      </c>
      <c r="F9" s="245">
        <v>4</v>
      </c>
      <c r="G9" s="192">
        <v>6893415</v>
      </c>
      <c r="H9" s="164">
        <v>758669</v>
      </c>
      <c r="I9" s="210">
        <f t="shared" si="0"/>
        <v>9.08619569271975</v>
      </c>
      <c r="J9" s="294">
        <v>1</v>
      </c>
      <c r="K9" s="160"/>
    </row>
    <row r="10" spans="1:11" ht="13.5" customHeight="1">
      <c r="A10" s="107">
        <v>6</v>
      </c>
      <c r="B10" s="209" t="s">
        <v>128</v>
      </c>
      <c r="C10" s="163">
        <v>40564</v>
      </c>
      <c r="D10" s="246" t="s">
        <v>24</v>
      </c>
      <c r="E10" s="245">
        <v>109</v>
      </c>
      <c r="F10" s="245">
        <v>9</v>
      </c>
      <c r="G10" s="192">
        <v>3921697</v>
      </c>
      <c r="H10" s="164">
        <v>391294</v>
      </c>
      <c r="I10" s="210">
        <f t="shared" si="0"/>
        <v>10.022379591815872</v>
      </c>
      <c r="J10" s="294"/>
      <c r="K10" s="160"/>
    </row>
    <row r="11" spans="1:11" ht="13.5" customHeight="1">
      <c r="A11" s="107">
        <v>7</v>
      </c>
      <c r="B11" s="209" t="s">
        <v>236</v>
      </c>
      <c r="C11" s="163">
        <v>40613</v>
      </c>
      <c r="D11" s="246" t="s">
        <v>24</v>
      </c>
      <c r="E11" s="245">
        <v>280</v>
      </c>
      <c r="F11" s="245">
        <v>2</v>
      </c>
      <c r="G11" s="192">
        <v>3900225</v>
      </c>
      <c r="H11" s="164">
        <v>428986</v>
      </c>
      <c r="I11" s="210">
        <f t="shared" si="0"/>
        <v>9.091730266255775</v>
      </c>
      <c r="J11" s="294">
        <v>1</v>
      </c>
      <c r="K11" s="160"/>
    </row>
    <row r="12" spans="1:11" ht="13.5" customHeight="1">
      <c r="A12" s="107">
        <v>8</v>
      </c>
      <c r="B12" s="211" t="s">
        <v>178</v>
      </c>
      <c r="C12" s="166">
        <v>40905</v>
      </c>
      <c r="D12" s="329" t="s">
        <v>23</v>
      </c>
      <c r="E12" s="243">
        <v>200</v>
      </c>
      <c r="F12" s="243">
        <v>8</v>
      </c>
      <c r="G12" s="189">
        <v>2972020</v>
      </c>
      <c r="H12" s="168">
        <v>241954</v>
      </c>
      <c r="I12" s="208">
        <f t="shared" si="0"/>
        <v>12.283409243079262</v>
      </c>
      <c r="J12" s="369"/>
      <c r="K12" s="160"/>
    </row>
    <row r="13" spans="1:11" ht="13.5" customHeight="1">
      <c r="A13" s="107">
        <v>9</v>
      </c>
      <c r="B13" s="209" t="s">
        <v>141</v>
      </c>
      <c r="C13" s="163">
        <v>40578</v>
      </c>
      <c r="D13" s="246" t="s">
        <v>17</v>
      </c>
      <c r="E13" s="245">
        <v>79</v>
      </c>
      <c r="F13" s="245">
        <v>7</v>
      </c>
      <c r="G13" s="200">
        <f>1249630.5+757498.5+406869.5+134568.5+85119.5+22643+13023</f>
        <v>2669352.5</v>
      </c>
      <c r="H13" s="167">
        <f>100473+61059+33287+10889+9516+2692+2262</f>
        <v>220178</v>
      </c>
      <c r="I13" s="214">
        <f>IF(G13&lt;&gt;0,G13/H13,"")</f>
        <v>12.123611350816159</v>
      </c>
      <c r="J13" s="368"/>
      <c r="K13" s="160"/>
    </row>
    <row r="14" spans="1:11" ht="13.5" customHeight="1">
      <c r="A14" s="107">
        <v>10</v>
      </c>
      <c r="B14" s="213" t="s">
        <v>116</v>
      </c>
      <c r="C14" s="163">
        <v>40557</v>
      </c>
      <c r="D14" s="247" t="s">
        <v>27</v>
      </c>
      <c r="E14" s="233">
        <v>66</v>
      </c>
      <c r="F14" s="233">
        <v>10</v>
      </c>
      <c r="G14" s="198">
        <v>2595279</v>
      </c>
      <c r="H14" s="169">
        <v>250993</v>
      </c>
      <c r="I14" s="214">
        <f>+G14/H14</f>
        <v>10.340045339909878</v>
      </c>
      <c r="J14" s="294"/>
      <c r="K14" s="160"/>
    </row>
    <row r="15" spans="1:11" ht="13.5" customHeight="1">
      <c r="A15" s="107">
        <v>11</v>
      </c>
      <c r="B15" s="207" t="s">
        <v>172</v>
      </c>
      <c r="C15" s="166">
        <v>40599</v>
      </c>
      <c r="D15" s="244" t="s">
        <v>119</v>
      </c>
      <c r="E15" s="243">
        <v>58</v>
      </c>
      <c r="F15" s="243">
        <v>4</v>
      </c>
      <c r="G15" s="195">
        <f>949627.55+646695.25+355755.95+109363.25</f>
        <v>2061442</v>
      </c>
      <c r="H15" s="171">
        <f>77399+54036+29350+9290</f>
        <v>170075</v>
      </c>
      <c r="I15" s="212">
        <f>G15/H15</f>
        <v>12.120782007937674</v>
      </c>
      <c r="J15" s="370"/>
      <c r="K15" s="160"/>
    </row>
    <row r="16" spans="1:11" ht="13.5" customHeight="1">
      <c r="A16" s="107">
        <v>12</v>
      </c>
      <c r="B16" s="209" t="s">
        <v>207</v>
      </c>
      <c r="C16" s="163">
        <v>40606</v>
      </c>
      <c r="D16" s="246" t="s">
        <v>17</v>
      </c>
      <c r="E16" s="245">
        <v>152</v>
      </c>
      <c r="F16" s="245">
        <v>3</v>
      </c>
      <c r="G16" s="200">
        <f>1064857.25+602581.25+269086.5</f>
        <v>1936525</v>
      </c>
      <c r="H16" s="167">
        <f>118954+67997+33243</f>
        <v>220194</v>
      </c>
      <c r="I16" s="214">
        <f>IF(G16&lt;&gt;0,G16/H16,"")</f>
        <v>8.794631098031736</v>
      </c>
      <c r="J16" s="368">
        <v>1</v>
      </c>
      <c r="K16" s="160"/>
    </row>
    <row r="17" spans="1:11" ht="13.5" customHeight="1">
      <c r="A17" s="107">
        <v>13</v>
      </c>
      <c r="B17" s="211" t="s">
        <v>175</v>
      </c>
      <c r="C17" s="166">
        <v>40592</v>
      </c>
      <c r="D17" s="329" t="s">
        <v>23</v>
      </c>
      <c r="E17" s="243">
        <v>27</v>
      </c>
      <c r="F17" s="243">
        <v>5</v>
      </c>
      <c r="G17" s="189">
        <v>1787299</v>
      </c>
      <c r="H17" s="168">
        <v>135429</v>
      </c>
      <c r="I17" s="208">
        <f>+G17/H17</f>
        <v>13.19731372158105</v>
      </c>
      <c r="J17" s="369"/>
      <c r="K17" s="160"/>
    </row>
    <row r="18" spans="1:11" ht="13.5" customHeight="1">
      <c r="A18" s="107">
        <v>14</v>
      </c>
      <c r="B18" s="207" t="s">
        <v>206</v>
      </c>
      <c r="C18" s="166">
        <v>40564</v>
      </c>
      <c r="D18" s="244" t="s">
        <v>119</v>
      </c>
      <c r="E18" s="243">
        <v>160</v>
      </c>
      <c r="F18" s="243">
        <v>8</v>
      </c>
      <c r="G18" s="195">
        <f>1102015+435620.5+74279.5+50432+22961.5+6480+10204+220</f>
        <v>1702212.5</v>
      </c>
      <c r="H18" s="171">
        <f>144071+60233+10598+7830+4045+1284+2234+29</f>
        <v>230324</v>
      </c>
      <c r="I18" s="212">
        <f>G18/H18</f>
        <v>7.390512929612198</v>
      </c>
      <c r="J18" s="294">
        <v>1</v>
      </c>
      <c r="K18" s="160"/>
    </row>
    <row r="19" spans="1:11" ht="13.5" customHeight="1">
      <c r="A19" s="107">
        <v>15</v>
      </c>
      <c r="B19" s="209" t="s">
        <v>148</v>
      </c>
      <c r="C19" s="163">
        <v>40585</v>
      </c>
      <c r="D19" s="246" t="s">
        <v>24</v>
      </c>
      <c r="E19" s="245">
        <v>89</v>
      </c>
      <c r="F19" s="245">
        <v>6</v>
      </c>
      <c r="G19" s="192">
        <v>1417391</v>
      </c>
      <c r="H19" s="164">
        <v>141633</v>
      </c>
      <c r="I19" s="210">
        <f>+G19/H19</f>
        <v>10.007491192024457</v>
      </c>
      <c r="J19" s="294"/>
      <c r="K19" s="160"/>
    </row>
    <row r="20" spans="1:11" ht="13.5" customHeight="1">
      <c r="A20" s="107">
        <v>16</v>
      </c>
      <c r="B20" s="207" t="s">
        <v>60</v>
      </c>
      <c r="C20" s="166">
        <v>40543</v>
      </c>
      <c r="D20" s="244" t="s">
        <v>119</v>
      </c>
      <c r="E20" s="243">
        <v>99</v>
      </c>
      <c r="F20" s="243">
        <v>11</v>
      </c>
      <c r="G20" s="195">
        <f>74157.5+721285.5+410076+112730.5+28262.5+6646+19483.5+940+1245+2674.5+7128+1782</f>
        <v>1386411</v>
      </c>
      <c r="H20" s="171">
        <f>7361+62279+35611+10987+4077+689+3901+125+178+502+1781+445</f>
        <v>127936</v>
      </c>
      <c r="I20" s="212">
        <f>G20/H20</f>
        <v>10.836754314657329</v>
      </c>
      <c r="J20" s="294"/>
      <c r="K20" s="160"/>
    </row>
    <row r="21" spans="1:11" ht="13.5" customHeight="1">
      <c r="A21" s="107">
        <v>17</v>
      </c>
      <c r="B21" s="211" t="s">
        <v>117</v>
      </c>
      <c r="C21" s="166">
        <v>40557</v>
      </c>
      <c r="D21" s="329" t="s">
        <v>23</v>
      </c>
      <c r="E21" s="243">
        <v>129</v>
      </c>
      <c r="F21" s="243">
        <v>10</v>
      </c>
      <c r="G21" s="189">
        <v>1368473</v>
      </c>
      <c r="H21" s="168">
        <v>120053</v>
      </c>
      <c r="I21" s="208">
        <f>+G21/H21</f>
        <v>11.398907149342374</v>
      </c>
      <c r="J21" s="369"/>
      <c r="K21" s="160"/>
    </row>
    <row r="22" spans="1:11" ht="13.5" customHeight="1">
      <c r="A22" s="107">
        <v>18</v>
      </c>
      <c r="B22" s="207" t="s">
        <v>118</v>
      </c>
      <c r="C22" s="166">
        <v>40557</v>
      </c>
      <c r="D22" s="244" t="s">
        <v>119</v>
      </c>
      <c r="E22" s="243">
        <v>50</v>
      </c>
      <c r="F22" s="243">
        <v>8</v>
      </c>
      <c r="G22" s="195">
        <f>462199.75+464711.5+220315+61757.25+29707.5+19286.5+8649+8790</f>
        <v>1275416.5</v>
      </c>
      <c r="H22" s="171">
        <f>36851+37511+17353+5020+3902+3186+1212+1112</f>
        <v>106147</v>
      </c>
      <c r="I22" s="212">
        <f>G22/H22</f>
        <v>12.015568033010824</v>
      </c>
      <c r="J22" s="368"/>
      <c r="K22" s="160"/>
    </row>
    <row r="23" spans="1:11" ht="13.5" customHeight="1">
      <c r="A23" s="107">
        <v>19</v>
      </c>
      <c r="B23" s="211" t="s">
        <v>220</v>
      </c>
      <c r="C23" s="166">
        <v>40606</v>
      </c>
      <c r="D23" s="329" t="s">
        <v>23</v>
      </c>
      <c r="E23" s="243">
        <v>93</v>
      </c>
      <c r="F23" s="243">
        <v>3</v>
      </c>
      <c r="G23" s="189">
        <v>1172199</v>
      </c>
      <c r="H23" s="168">
        <v>101177</v>
      </c>
      <c r="I23" s="208">
        <f>+G23/H23</f>
        <v>11.585627168229934</v>
      </c>
      <c r="J23" s="369"/>
      <c r="K23" s="160"/>
    </row>
    <row r="24" spans="1:11" ht="13.5" customHeight="1">
      <c r="A24" s="107">
        <v>20</v>
      </c>
      <c r="B24" s="211" t="s">
        <v>202</v>
      </c>
      <c r="C24" s="166">
        <v>40606</v>
      </c>
      <c r="D24" s="329" t="s">
        <v>23</v>
      </c>
      <c r="E24" s="243">
        <v>104</v>
      </c>
      <c r="F24" s="243">
        <v>3</v>
      </c>
      <c r="G24" s="189">
        <v>1125075</v>
      </c>
      <c r="H24" s="168">
        <v>108259</v>
      </c>
      <c r="I24" s="208">
        <f>+G24/H24</f>
        <v>10.3924385039581</v>
      </c>
      <c r="J24" s="369"/>
      <c r="K24" s="160"/>
    </row>
    <row r="25" spans="1:11" ht="13.5" customHeight="1">
      <c r="A25" s="107">
        <v>21</v>
      </c>
      <c r="B25" s="209" t="s">
        <v>208</v>
      </c>
      <c r="C25" s="163">
        <v>40613</v>
      </c>
      <c r="D25" s="246" t="s">
        <v>17</v>
      </c>
      <c r="E25" s="245">
        <v>89</v>
      </c>
      <c r="F25" s="245">
        <v>2</v>
      </c>
      <c r="G25" s="200">
        <f>621196.5+432703</f>
        <v>1053899.5</v>
      </c>
      <c r="H25" s="167">
        <f>55015+39897</f>
        <v>94912</v>
      </c>
      <c r="I25" s="214">
        <f>IF(G25&lt;&gt;0,G25/H25,"")</f>
        <v>11.10396472521915</v>
      </c>
      <c r="J25" s="368"/>
      <c r="K25" s="160"/>
    </row>
    <row r="26" spans="1:11" ht="13.5" customHeight="1">
      <c r="A26" s="107">
        <v>22</v>
      </c>
      <c r="B26" s="240" t="s">
        <v>205</v>
      </c>
      <c r="C26" s="226">
        <v>40606</v>
      </c>
      <c r="D26" s="227" t="s">
        <v>23</v>
      </c>
      <c r="E26" s="411">
        <v>93</v>
      </c>
      <c r="F26" s="411">
        <v>2</v>
      </c>
      <c r="G26" s="229">
        <v>964150</v>
      </c>
      <c r="H26" s="498">
        <v>83176</v>
      </c>
      <c r="I26" s="241">
        <f>+G26/H26</f>
        <v>11.591685101471578</v>
      </c>
      <c r="J26" s="294"/>
      <c r="K26" s="160"/>
    </row>
    <row r="27" spans="1:11" ht="13.5" customHeight="1">
      <c r="A27" s="107">
        <v>23</v>
      </c>
      <c r="B27" s="209" t="s">
        <v>237</v>
      </c>
      <c r="C27" s="163">
        <v>40620</v>
      </c>
      <c r="D27" s="246" t="s">
        <v>17</v>
      </c>
      <c r="E27" s="245">
        <v>218</v>
      </c>
      <c r="F27" s="245">
        <v>1</v>
      </c>
      <c r="G27" s="200">
        <v>868723.5</v>
      </c>
      <c r="H27" s="176">
        <v>93361</v>
      </c>
      <c r="I27" s="214">
        <f>IF(G27&lt;&gt;0,G27/H27,"")</f>
        <v>9.304993519778066</v>
      </c>
      <c r="J27" s="368">
        <v>1</v>
      </c>
      <c r="K27" s="160"/>
    </row>
    <row r="28" spans="1:11" ht="13.5" customHeight="1">
      <c r="A28" s="107">
        <v>24</v>
      </c>
      <c r="B28" s="215" t="s">
        <v>238</v>
      </c>
      <c r="C28" s="166">
        <v>40585</v>
      </c>
      <c r="D28" s="244" t="s">
        <v>119</v>
      </c>
      <c r="E28" s="243">
        <v>58</v>
      </c>
      <c r="F28" s="243">
        <v>6</v>
      </c>
      <c r="G28" s="195">
        <f>236018+209847.25+105622+138051.5+64189.5+34454</f>
        <v>788182.25</v>
      </c>
      <c r="H28" s="171">
        <f>25731+24506+13184+19079+9581+4996</f>
        <v>97077</v>
      </c>
      <c r="I28" s="212">
        <f>G28/H28</f>
        <v>8.119145111612431</v>
      </c>
      <c r="J28" s="370">
        <v>1</v>
      </c>
      <c r="K28" s="160"/>
    </row>
    <row r="29" spans="1:11" ht="13.5" customHeight="1">
      <c r="A29" s="107">
        <v>25</v>
      </c>
      <c r="B29" s="207" t="s">
        <v>138</v>
      </c>
      <c r="C29" s="166">
        <v>40571</v>
      </c>
      <c r="D29" s="244" t="s">
        <v>103</v>
      </c>
      <c r="E29" s="243">
        <v>20</v>
      </c>
      <c r="F29" s="243">
        <v>8</v>
      </c>
      <c r="G29" s="239">
        <v>757396</v>
      </c>
      <c r="H29" s="238">
        <v>61733</v>
      </c>
      <c r="I29" s="271">
        <v>12.268899940064472</v>
      </c>
      <c r="J29" s="294"/>
      <c r="K29" s="160"/>
    </row>
    <row r="30" spans="1:11" ht="13.5" customHeight="1">
      <c r="A30" s="107">
        <v>26</v>
      </c>
      <c r="B30" s="213" t="s">
        <v>209</v>
      </c>
      <c r="C30" s="163">
        <v>40613</v>
      </c>
      <c r="D30" s="234" t="s">
        <v>25</v>
      </c>
      <c r="E30" s="233">
        <v>105</v>
      </c>
      <c r="F30" s="233">
        <v>2</v>
      </c>
      <c r="G30" s="206">
        <v>748100</v>
      </c>
      <c r="H30" s="173">
        <v>80169</v>
      </c>
      <c r="I30" s="217">
        <f>+G30/H30</f>
        <v>9.331537127817485</v>
      </c>
      <c r="J30" s="294">
        <v>1</v>
      </c>
      <c r="K30" s="160"/>
    </row>
    <row r="31" spans="1:11" ht="13.5" customHeight="1">
      <c r="A31" s="107">
        <v>27</v>
      </c>
      <c r="B31" s="209" t="s">
        <v>239</v>
      </c>
      <c r="C31" s="163">
        <v>40620</v>
      </c>
      <c r="D31" s="246" t="s">
        <v>24</v>
      </c>
      <c r="E31" s="245">
        <v>89</v>
      </c>
      <c r="F31" s="245">
        <v>1</v>
      </c>
      <c r="G31" s="192">
        <v>633272</v>
      </c>
      <c r="H31" s="164">
        <v>59005</v>
      </c>
      <c r="I31" s="210">
        <f>+G31/H31</f>
        <v>10.732514193712397</v>
      </c>
      <c r="J31" s="294"/>
      <c r="K31" s="160"/>
    </row>
    <row r="32" spans="1:11" ht="13.5" customHeight="1">
      <c r="A32" s="107">
        <v>28</v>
      </c>
      <c r="B32" s="215" t="s">
        <v>173</v>
      </c>
      <c r="C32" s="166">
        <v>40599</v>
      </c>
      <c r="D32" s="244" t="s">
        <v>119</v>
      </c>
      <c r="E32" s="243">
        <v>60</v>
      </c>
      <c r="F32" s="243">
        <v>4</v>
      </c>
      <c r="G32" s="195">
        <f>324952+205669.75+36076.25+7149.5</f>
        <v>573847.5</v>
      </c>
      <c r="H32" s="171">
        <f>28582+18445+3670+1269</f>
        <v>51966</v>
      </c>
      <c r="I32" s="212">
        <f>G32/H32</f>
        <v>11.042749105184159</v>
      </c>
      <c r="J32" s="370"/>
      <c r="K32" s="160"/>
    </row>
    <row r="33" spans="1:11" ht="13.5" customHeight="1">
      <c r="A33" s="107">
        <v>29</v>
      </c>
      <c r="B33" s="209" t="s">
        <v>164</v>
      </c>
      <c r="C33" s="163">
        <v>40592</v>
      </c>
      <c r="D33" s="246" t="s">
        <v>24</v>
      </c>
      <c r="E33" s="245">
        <v>168</v>
      </c>
      <c r="F33" s="245">
        <v>3</v>
      </c>
      <c r="G33" s="192">
        <v>572572</v>
      </c>
      <c r="H33" s="164">
        <v>51135</v>
      </c>
      <c r="I33" s="210">
        <f>+G33/H33</f>
        <v>11.197262149212868</v>
      </c>
      <c r="J33" s="368"/>
      <c r="K33" s="160"/>
    </row>
    <row r="34" spans="1:11" ht="13.5" customHeight="1">
      <c r="A34" s="107">
        <v>30</v>
      </c>
      <c r="B34" s="211" t="s">
        <v>188</v>
      </c>
      <c r="C34" s="166">
        <v>40592</v>
      </c>
      <c r="D34" s="329" t="s">
        <v>23</v>
      </c>
      <c r="E34" s="243">
        <v>80</v>
      </c>
      <c r="F34" s="243">
        <v>5</v>
      </c>
      <c r="G34" s="189">
        <v>514165</v>
      </c>
      <c r="H34" s="168">
        <v>58823</v>
      </c>
      <c r="I34" s="208">
        <f>+G34/H34</f>
        <v>8.740883667953012</v>
      </c>
      <c r="J34" s="369">
        <v>1</v>
      </c>
      <c r="K34" s="160"/>
    </row>
    <row r="35" spans="1:11" ht="13.5" customHeight="1">
      <c r="A35" s="107">
        <v>31</v>
      </c>
      <c r="B35" s="209" t="s">
        <v>187</v>
      </c>
      <c r="C35" s="163">
        <v>40564</v>
      </c>
      <c r="D35" s="246" t="s">
        <v>17</v>
      </c>
      <c r="E35" s="245">
        <v>100</v>
      </c>
      <c r="F35" s="245">
        <v>8</v>
      </c>
      <c r="G35" s="200">
        <f>351928.5+109593.5+20592.5+6351+8236+2820+477+622</f>
        <v>500620.5</v>
      </c>
      <c r="H35" s="167">
        <f>40887+13714+2624+866+1497+479+81+311</f>
        <v>60459</v>
      </c>
      <c r="I35" s="214">
        <f>IF(G35&lt;&gt;0,G35/H35,"")</f>
        <v>8.280330471890041</v>
      </c>
      <c r="J35" s="368">
        <v>1</v>
      </c>
      <c r="K35" s="160"/>
    </row>
    <row r="36" spans="1:11" ht="13.5" customHeight="1">
      <c r="A36" s="107">
        <v>32</v>
      </c>
      <c r="B36" s="211" t="s">
        <v>240</v>
      </c>
      <c r="C36" s="166">
        <v>40620</v>
      </c>
      <c r="D36" s="329" t="s">
        <v>23</v>
      </c>
      <c r="E36" s="243">
        <v>51</v>
      </c>
      <c r="F36" s="243">
        <v>1</v>
      </c>
      <c r="G36" s="189">
        <v>451695</v>
      </c>
      <c r="H36" s="168">
        <v>36221</v>
      </c>
      <c r="I36" s="208">
        <f>+G36/H36</f>
        <v>12.470528146655255</v>
      </c>
      <c r="J36" s="369"/>
      <c r="K36" s="160"/>
    </row>
    <row r="37" spans="1:11" ht="13.5" customHeight="1">
      <c r="A37" s="107">
        <v>33</v>
      </c>
      <c r="B37" s="207" t="s">
        <v>165</v>
      </c>
      <c r="C37" s="166">
        <v>40592</v>
      </c>
      <c r="D37" s="244" t="s">
        <v>119</v>
      </c>
      <c r="E37" s="243">
        <v>26</v>
      </c>
      <c r="F37" s="243">
        <v>5</v>
      </c>
      <c r="G37" s="195">
        <f>237198+117355.25+39279+7609+10490</f>
        <v>411931.25</v>
      </c>
      <c r="H37" s="171">
        <f>20106+9312+4270+1420+2469</f>
        <v>37577</v>
      </c>
      <c r="I37" s="212">
        <f>G37/H37</f>
        <v>10.962324027995848</v>
      </c>
      <c r="J37" s="370"/>
      <c r="K37" s="160"/>
    </row>
    <row r="38" spans="1:11" ht="13.5" customHeight="1">
      <c r="A38" s="107">
        <v>34</v>
      </c>
      <c r="B38" s="213" t="s">
        <v>241</v>
      </c>
      <c r="C38" s="163">
        <v>40620</v>
      </c>
      <c r="D38" s="247" t="s">
        <v>27</v>
      </c>
      <c r="E38" s="233">
        <v>37</v>
      </c>
      <c r="F38" s="233">
        <v>1</v>
      </c>
      <c r="G38" s="198">
        <v>348020</v>
      </c>
      <c r="H38" s="169">
        <v>29235</v>
      </c>
      <c r="I38" s="214">
        <f>+G38/H38</f>
        <v>11.904224388575338</v>
      </c>
      <c r="J38" s="294"/>
      <c r="K38" s="160"/>
    </row>
    <row r="39" spans="1:11" ht="13.5" customHeight="1">
      <c r="A39" s="107">
        <v>35</v>
      </c>
      <c r="B39" s="213" t="s">
        <v>149</v>
      </c>
      <c r="C39" s="163">
        <v>40585</v>
      </c>
      <c r="D39" s="247" t="s">
        <v>27</v>
      </c>
      <c r="E39" s="233">
        <v>41</v>
      </c>
      <c r="F39" s="233">
        <v>6</v>
      </c>
      <c r="G39" s="198">
        <v>343220</v>
      </c>
      <c r="H39" s="169">
        <v>28639</v>
      </c>
      <c r="I39" s="214">
        <f>+G39/H39</f>
        <v>11.984356995705157</v>
      </c>
      <c r="J39" s="294"/>
      <c r="K39" s="160"/>
    </row>
    <row r="40" spans="1:11" ht="13.5" customHeight="1">
      <c r="A40" s="107">
        <v>36</v>
      </c>
      <c r="B40" s="211" t="s">
        <v>203</v>
      </c>
      <c r="C40" s="166">
        <v>40606</v>
      </c>
      <c r="D40" s="329" t="s">
        <v>23</v>
      </c>
      <c r="E40" s="243">
        <v>52</v>
      </c>
      <c r="F40" s="243">
        <v>3</v>
      </c>
      <c r="G40" s="189">
        <v>327412</v>
      </c>
      <c r="H40" s="168">
        <v>26241</v>
      </c>
      <c r="I40" s="208">
        <f>+G40/H40</f>
        <v>12.477115963568462</v>
      </c>
      <c r="J40" s="369"/>
      <c r="K40" s="160"/>
    </row>
    <row r="41" spans="1:11" ht="13.5" customHeight="1">
      <c r="A41" s="107">
        <v>37</v>
      </c>
      <c r="B41" s="240" t="s">
        <v>176</v>
      </c>
      <c r="C41" s="226">
        <v>40599</v>
      </c>
      <c r="D41" s="227" t="s">
        <v>23</v>
      </c>
      <c r="E41" s="228">
        <v>30</v>
      </c>
      <c r="F41" s="228">
        <v>3</v>
      </c>
      <c r="G41" s="229">
        <v>267582</v>
      </c>
      <c r="H41" s="230">
        <v>21631</v>
      </c>
      <c r="I41" s="241">
        <f>+G41/H41</f>
        <v>12.370301881558873</v>
      </c>
      <c r="J41" s="294"/>
      <c r="K41" s="160"/>
    </row>
    <row r="42" spans="1:11" ht="13.5" customHeight="1">
      <c r="A42" s="107">
        <v>38</v>
      </c>
      <c r="B42" s="272" t="s">
        <v>85</v>
      </c>
      <c r="C42" s="163">
        <v>40543</v>
      </c>
      <c r="D42" s="247" t="s">
        <v>104</v>
      </c>
      <c r="E42" s="270" t="s">
        <v>74</v>
      </c>
      <c r="F42" s="270" t="s">
        <v>196</v>
      </c>
      <c r="G42" s="198">
        <v>235108</v>
      </c>
      <c r="H42" s="169">
        <v>19357</v>
      </c>
      <c r="I42" s="212">
        <f>G42/H42</f>
        <v>12.145890375574728</v>
      </c>
      <c r="J42" s="294"/>
      <c r="K42" s="160"/>
    </row>
    <row r="43" spans="1:11" ht="13.5" customHeight="1">
      <c r="A43" s="107">
        <v>39</v>
      </c>
      <c r="B43" s="242" t="s">
        <v>189</v>
      </c>
      <c r="C43" s="259">
        <v>40543</v>
      </c>
      <c r="D43" s="231" t="s">
        <v>119</v>
      </c>
      <c r="E43" s="232">
        <v>77</v>
      </c>
      <c r="F43" s="232">
        <v>9</v>
      </c>
      <c r="G43" s="186">
        <f>163528+30551+13366.5+447+2034+736+438+615.5+1401.5</f>
        <v>213117.5</v>
      </c>
      <c r="H43" s="269">
        <f>16190+3500+1888+71+488+168+61+118+314</f>
        <v>22798</v>
      </c>
      <c r="I43" s="187">
        <f>G43/H43</f>
        <v>9.348078778840248</v>
      </c>
      <c r="J43" s="523">
        <v>1</v>
      </c>
      <c r="K43" s="160"/>
    </row>
    <row r="44" spans="1:11" ht="13.5" customHeight="1">
      <c r="A44" s="107">
        <v>40</v>
      </c>
      <c r="B44" s="213" t="s">
        <v>190</v>
      </c>
      <c r="C44" s="163">
        <v>40557</v>
      </c>
      <c r="D44" s="247" t="s">
        <v>27</v>
      </c>
      <c r="E44" s="233">
        <v>66</v>
      </c>
      <c r="F44" s="233">
        <v>8</v>
      </c>
      <c r="G44" s="198">
        <v>207906</v>
      </c>
      <c r="H44" s="169">
        <v>24812</v>
      </c>
      <c r="I44" s="214">
        <f>+G44/H44</f>
        <v>8.37925197485088</v>
      </c>
      <c r="J44" s="368">
        <v>1</v>
      </c>
      <c r="K44" s="160"/>
    </row>
    <row r="45" spans="1:11" ht="13.5" customHeight="1">
      <c r="A45" s="107">
        <v>41</v>
      </c>
      <c r="B45" s="240" t="s">
        <v>142</v>
      </c>
      <c r="C45" s="226">
        <v>40543</v>
      </c>
      <c r="D45" s="227" t="s">
        <v>23</v>
      </c>
      <c r="E45" s="228">
        <v>118</v>
      </c>
      <c r="F45" s="228">
        <v>11</v>
      </c>
      <c r="G45" s="229">
        <v>201844</v>
      </c>
      <c r="H45" s="230">
        <v>22349</v>
      </c>
      <c r="I45" s="241">
        <f>+G45/H45</f>
        <v>9.031455546109445</v>
      </c>
      <c r="J45" s="294">
        <v>1</v>
      </c>
      <c r="K45" s="160"/>
    </row>
    <row r="46" spans="1:11" ht="13.5" customHeight="1">
      <c r="A46" s="107">
        <v>42</v>
      </c>
      <c r="B46" s="215" t="s">
        <v>210</v>
      </c>
      <c r="C46" s="177">
        <v>40613</v>
      </c>
      <c r="D46" s="244" t="s">
        <v>119</v>
      </c>
      <c r="E46" s="249">
        <v>22</v>
      </c>
      <c r="F46" s="249">
        <v>2</v>
      </c>
      <c r="G46" s="195">
        <f>116753+45641.5</f>
        <v>162394.5</v>
      </c>
      <c r="H46" s="171">
        <f>8727+3759</f>
        <v>12486</v>
      </c>
      <c r="I46" s="212">
        <f>G46/H46</f>
        <v>13.006126862085535</v>
      </c>
      <c r="J46" s="370"/>
      <c r="K46" s="160"/>
    </row>
    <row r="47" spans="1:11" ht="13.5" customHeight="1">
      <c r="A47" s="107">
        <v>43</v>
      </c>
      <c r="B47" s="213" t="s">
        <v>242</v>
      </c>
      <c r="C47" s="163">
        <v>40592</v>
      </c>
      <c r="D47" s="247" t="s">
        <v>27</v>
      </c>
      <c r="E47" s="233">
        <v>68</v>
      </c>
      <c r="F47" s="233">
        <v>5</v>
      </c>
      <c r="G47" s="198">
        <v>148300</v>
      </c>
      <c r="H47" s="169">
        <v>15302</v>
      </c>
      <c r="I47" s="214">
        <f>+G47/H47</f>
        <v>9.691543589073325</v>
      </c>
      <c r="J47" s="294">
        <v>1</v>
      </c>
      <c r="K47" s="160"/>
    </row>
    <row r="48" spans="1:11" ht="13.5" customHeight="1">
      <c r="A48" s="107">
        <v>44</v>
      </c>
      <c r="B48" s="207" t="s">
        <v>211</v>
      </c>
      <c r="C48" s="166">
        <v>40613</v>
      </c>
      <c r="D48" s="244" t="s">
        <v>119</v>
      </c>
      <c r="E48" s="243">
        <v>25</v>
      </c>
      <c r="F48" s="243">
        <v>2</v>
      </c>
      <c r="G48" s="195">
        <f>75934+53479.5</f>
        <v>129413.5</v>
      </c>
      <c r="H48" s="171">
        <f>9554+7103</f>
        <v>16657</v>
      </c>
      <c r="I48" s="212">
        <f>G48/H48</f>
        <v>7.769316203397971</v>
      </c>
      <c r="J48" s="370">
        <v>1</v>
      </c>
      <c r="K48" s="160"/>
    </row>
    <row r="49" spans="1:11" ht="13.5" customHeight="1">
      <c r="A49" s="107">
        <v>45</v>
      </c>
      <c r="B49" s="211" t="s">
        <v>212</v>
      </c>
      <c r="C49" s="175">
        <v>40613</v>
      </c>
      <c r="D49" s="248" t="s">
        <v>171</v>
      </c>
      <c r="E49" s="243">
        <v>25</v>
      </c>
      <c r="F49" s="243">
        <v>2</v>
      </c>
      <c r="G49" s="203">
        <v>127177.5</v>
      </c>
      <c r="H49" s="168">
        <v>15065</v>
      </c>
      <c r="I49" s="216">
        <f>G49/H49</f>
        <v>8.4419183538002</v>
      </c>
      <c r="J49" s="294">
        <v>1</v>
      </c>
      <c r="K49" s="160"/>
    </row>
    <row r="50" spans="1:11" ht="13.5" customHeight="1">
      <c r="A50" s="107">
        <v>46</v>
      </c>
      <c r="B50" s="258" t="s">
        <v>89</v>
      </c>
      <c r="C50" s="163">
        <v>40543</v>
      </c>
      <c r="D50" s="246" t="s">
        <v>17</v>
      </c>
      <c r="E50" s="245">
        <v>20</v>
      </c>
      <c r="F50" s="245">
        <v>8</v>
      </c>
      <c r="G50" s="200">
        <f>66843.5+17122+2473.5+3354+459+3105+2586+96</f>
        <v>96039</v>
      </c>
      <c r="H50" s="176">
        <f>6779+1684+271+528+66+413+401+16</f>
        <v>10158</v>
      </c>
      <c r="I50" s="214">
        <f>IF(G50&lt;&gt;0,G50/H50,"")</f>
        <v>9.454518606024807</v>
      </c>
      <c r="J50" s="294"/>
      <c r="K50" s="160"/>
    </row>
    <row r="51" spans="1:11" ht="13.5" customHeight="1">
      <c r="A51" s="107">
        <v>47</v>
      </c>
      <c r="B51" s="242" t="s">
        <v>120</v>
      </c>
      <c r="C51" s="261">
        <v>40557</v>
      </c>
      <c r="D51" s="248" t="s">
        <v>171</v>
      </c>
      <c r="E51" s="235">
        <v>7</v>
      </c>
      <c r="F51" s="235">
        <v>7</v>
      </c>
      <c r="G51" s="255">
        <v>94349</v>
      </c>
      <c r="H51" s="268">
        <v>6902</v>
      </c>
      <c r="I51" s="256">
        <f>G51/H51</f>
        <v>13.669805853375832</v>
      </c>
      <c r="J51" s="523"/>
      <c r="K51" s="160"/>
    </row>
    <row r="52" spans="1:11" ht="13.5" customHeight="1">
      <c r="A52" s="107">
        <v>48</v>
      </c>
      <c r="B52" s="215" t="s">
        <v>129</v>
      </c>
      <c r="C52" s="166">
        <v>40564</v>
      </c>
      <c r="D52" s="244" t="s">
        <v>119</v>
      </c>
      <c r="E52" s="243">
        <v>13</v>
      </c>
      <c r="F52" s="243">
        <v>6</v>
      </c>
      <c r="G52" s="195">
        <f>64028+21223+629+205+489+141</f>
        <v>86715</v>
      </c>
      <c r="H52" s="171">
        <f>5321+1577+38+24+63+17</f>
        <v>7040</v>
      </c>
      <c r="I52" s="212">
        <f>G52/H52</f>
        <v>12.317471590909092</v>
      </c>
      <c r="J52" s="368"/>
      <c r="K52" s="160"/>
    </row>
    <row r="53" spans="1:11" ht="13.5" customHeight="1">
      <c r="A53" s="107">
        <v>49</v>
      </c>
      <c r="B53" s="207" t="s">
        <v>191</v>
      </c>
      <c r="C53" s="166">
        <v>40543</v>
      </c>
      <c r="D53" s="244" t="s">
        <v>31</v>
      </c>
      <c r="E53" s="243">
        <v>37</v>
      </c>
      <c r="F53" s="243">
        <v>10</v>
      </c>
      <c r="G53" s="189">
        <v>68174.5</v>
      </c>
      <c r="H53" s="167">
        <v>9602</v>
      </c>
      <c r="I53" s="208">
        <f>G53/H53</f>
        <v>7.100031243490939</v>
      </c>
      <c r="J53" s="294">
        <v>1</v>
      </c>
      <c r="K53" s="160"/>
    </row>
    <row r="54" spans="1:11" ht="13.5" customHeight="1">
      <c r="A54" s="107">
        <v>50</v>
      </c>
      <c r="B54" s="211" t="s">
        <v>86</v>
      </c>
      <c r="C54" s="175">
        <v>40543</v>
      </c>
      <c r="D54" s="248" t="s">
        <v>171</v>
      </c>
      <c r="E54" s="243">
        <v>2</v>
      </c>
      <c r="F54" s="243">
        <v>11</v>
      </c>
      <c r="G54" s="203">
        <v>67358.5</v>
      </c>
      <c r="H54" s="168">
        <v>5189</v>
      </c>
      <c r="I54" s="216">
        <f>G54/H54</f>
        <v>12.981017537097706</v>
      </c>
      <c r="J54" s="294"/>
      <c r="K54" s="160"/>
    </row>
    <row r="55" spans="1:11" ht="13.5" customHeight="1">
      <c r="A55" s="107">
        <v>51</v>
      </c>
      <c r="B55" s="242" t="s">
        <v>150</v>
      </c>
      <c r="C55" s="166">
        <v>40585</v>
      </c>
      <c r="D55" s="231" t="s">
        <v>23</v>
      </c>
      <c r="E55" s="232">
        <v>13</v>
      </c>
      <c r="F55" s="232">
        <v>2</v>
      </c>
      <c r="G55" s="189">
        <v>60408</v>
      </c>
      <c r="H55" s="168">
        <v>4591</v>
      </c>
      <c r="I55" s="208">
        <f>+G55/H55</f>
        <v>13.157917664996733</v>
      </c>
      <c r="J55" s="523"/>
      <c r="K55" s="160"/>
    </row>
    <row r="56" spans="1:11" ht="13.5" customHeight="1">
      <c r="A56" s="107">
        <v>52</v>
      </c>
      <c r="B56" s="207" t="s">
        <v>243</v>
      </c>
      <c r="C56" s="166">
        <v>40620</v>
      </c>
      <c r="D56" s="244" t="s">
        <v>103</v>
      </c>
      <c r="E56" s="243">
        <v>15</v>
      </c>
      <c r="F56" s="243">
        <v>1</v>
      </c>
      <c r="G56" s="239">
        <v>58942</v>
      </c>
      <c r="H56" s="238">
        <v>4237</v>
      </c>
      <c r="I56" s="271">
        <v>13.911257965541656</v>
      </c>
      <c r="J56" s="294"/>
      <c r="K56" s="160"/>
    </row>
    <row r="57" spans="1:11" ht="13.5" customHeight="1">
      <c r="A57" s="107">
        <v>53</v>
      </c>
      <c r="B57" s="207" t="s">
        <v>244</v>
      </c>
      <c r="C57" s="166">
        <v>40620</v>
      </c>
      <c r="D57" s="244" t="s">
        <v>119</v>
      </c>
      <c r="E57" s="243">
        <v>18</v>
      </c>
      <c r="F57" s="243">
        <v>1</v>
      </c>
      <c r="G57" s="195">
        <f>39453.5</f>
        <v>39453.5</v>
      </c>
      <c r="H57" s="171">
        <f>5345</f>
        <v>5345</v>
      </c>
      <c r="I57" s="212">
        <f>G57/H57</f>
        <v>7.381384471468662</v>
      </c>
      <c r="J57" s="370">
        <v>1</v>
      </c>
      <c r="K57" s="160"/>
    </row>
    <row r="58" spans="1:11" ht="13.5" customHeight="1">
      <c r="A58" s="107">
        <v>54</v>
      </c>
      <c r="B58" s="207" t="s">
        <v>213</v>
      </c>
      <c r="C58" s="166">
        <v>40606</v>
      </c>
      <c r="D58" s="244" t="s">
        <v>26</v>
      </c>
      <c r="E58" s="243">
        <v>30</v>
      </c>
      <c r="F58" s="243">
        <v>3</v>
      </c>
      <c r="G58" s="189">
        <f>19586+10137+2447.5</f>
        <v>32170.5</v>
      </c>
      <c r="H58" s="167">
        <f>3031+1660+419</f>
        <v>5110</v>
      </c>
      <c r="I58" s="210">
        <f>+G58/H58</f>
        <v>6.29559686888454</v>
      </c>
      <c r="J58" s="294">
        <v>1</v>
      </c>
      <c r="K58" s="160"/>
    </row>
    <row r="59" spans="1:11" ht="13.5" customHeight="1">
      <c r="A59" s="107">
        <v>55</v>
      </c>
      <c r="B59" s="215" t="s">
        <v>194</v>
      </c>
      <c r="C59" s="166">
        <v>40606</v>
      </c>
      <c r="D59" s="244" t="s">
        <v>119</v>
      </c>
      <c r="E59" s="243">
        <v>6</v>
      </c>
      <c r="F59" s="243">
        <v>2</v>
      </c>
      <c r="G59" s="195">
        <f>23509.5+4775.5</f>
        <v>28285</v>
      </c>
      <c r="H59" s="171">
        <f>1642+339</f>
        <v>1981</v>
      </c>
      <c r="I59" s="212">
        <f>G59/H59</f>
        <v>14.278142352347299</v>
      </c>
      <c r="J59" s="294"/>
      <c r="K59" s="160"/>
    </row>
    <row r="60" spans="1:11" ht="13.5" customHeight="1">
      <c r="A60" s="107">
        <v>56</v>
      </c>
      <c r="B60" s="207" t="s">
        <v>121</v>
      </c>
      <c r="C60" s="166">
        <v>40557</v>
      </c>
      <c r="D60" s="244" t="s">
        <v>103</v>
      </c>
      <c r="E60" s="243">
        <v>12</v>
      </c>
      <c r="F60" s="243">
        <v>5</v>
      </c>
      <c r="G60" s="239">
        <v>21553</v>
      </c>
      <c r="H60" s="238">
        <v>2076</v>
      </c>
      <c r="I60" s="271">
        <v>10.381984585741812</v>
      </c>
      <c r="J60" s="294"/>
      <c r="K60" s="160"/>
    </row>
    <row r="61" spans="1:11" ht="13.5" customHeight="1">
      <c r="A61" s="107">
        <v>57</v>
      </c>
      <c r="B61" s="242" t="s">
        <v>102</v>
      </c>
      <c r="C61" s="166">
        <v>40550</v>
      </c>
      <c r="D61" s="260" t="s">
        <v>119</v>
      </c>
      <c r="E61" s="235">
        <v>2</v>
      </c>
      <c r="F61" s="235">
        <v>6</v>
      </c>
      <c r="G61" s="195">
        <f>8356+3109+3208+1189+694+1140</f>
        <v>17696</v>
      </c>
      <c r="H61" s="171">
        <f>789+330+327+132+146+315</f>
        <v>2039</v>
      </c>
      <c r="I61" s="212">
        <f>G61/H61</f>
        <v>8.678764100049044</v>
      </c>
      <c r="J61" s="523"/>
      <c r="K61" s="160"/>
    </row>
    <row r="62" spans="1:11" ht="13.5" customHeight="1">
      <c r="A62" s="107">
        <v>58</v>
      </c>
      <c r="B62" s="211" t="s">
        <v>137</v>
      </c>
      <c r="C62" s="175">
        <v>40564</v>
      </c>
      <c r="D62" s="248" t="s">
        <v>171</v>
      </c>
      <c r="E62" s="332">
        <v>1</v>
      </c>
      <c r="F62" s="332">
        <v>6</v>
      </c>
      <c r="G62" s="203">
        <v>11052</v>
      </c>
      <c r="H62" s="176">
        <v>1203</v>
      </c>
      <c r="I62" s="216">
        <f>G62/H62</f>
        <v>9.187032418952619</v>
      </c>
      <c r="J62" s="294"/>
      <c r="K62" s="160"/>
    </row>
    <row r="63" spans="1:11" ht="13.5" customHeight="1">
      <c r="A63" s="107">
        <v>59</v>
      </c>
      <c r="B63" s="207" t="s">
        <v>192</v>
      </c>
      <c r="C63" s="166">
        <v>40592</v>
      </c>
      <c r="D63" s="244" t="s">
        <v>31</v>
      </c>
      <c r="E63" s="243">
        <v>3</v>
      </c>
      <c r="F63" s="243">
        <v>3</v>
      </c>
      <c r="G63" s="189">
        <v>8010</v>
      </c>
      <c r="H63" s="167">
        <v>1122</v>
      </c>
      <c r="I63" s="208">
        <f>G63/H63</f>
        <v>7.13903743315508</v>
      </c>
      <c r="J63" s="368">
        <v>1</v>
      </c>
      <c r="K63" s="160"/>
    </row>
    <row r="64" spans="1:11" ht="13.5" customHeight="1">
      <c r="A64" s="107">
        <v>60</v>
      </c>
      <c r="B64" s="207" t="s">
        <v>245</v>
      </c>
      <c r="C64" s="166">
        <v>40592</v>
      </c>
      <c r="D64" s="244" t="s">
        <v>31</v>
      </c>
      <c r="E64" s="243">
        <v>1</v>
      </c>
      <c r="F64" s="243">
        <v>1</v>
      </c>
      <c r="G64" s="189">
        <v>6402</v>
      </c>
      <c r="H64" s="167">
        <v>717</v>
      </c>
      <c r="I64" s="208">
        <f>G64/H64</f>
        <v>8.92887029288703</v>
      </c>
      <c r="J64" s="294">
        <v>1</v>
      </c>
      <c r="K64" s="160"/>
    </row>
    <row r="65" spans="1:11" ht="13.5" customHeight="1" thickBot="1">
      <c r="A65" s="107">
        <v>61</v>
      </c>
      <c r="B65" s="282" t="s">
        <v>198</v>
      </c>
      <c r="C65" s="273">
        <v>40606</v>
      </c>
      <c r="D65" s="274" t="s">
        <v>119</v>
      </c>
      <c r="E65" s="275">
        <v>3</v>
      </c>
      <c r="F65" s="275">
        <v>2</v>
      </c>
      <c r="G65" s="276">
        <f>3944+1062</f>
        <v>5006</v>
      </c>
      <c r="H65" s="277">
        <f>424+116</f>
        <v>540</v>
      </c>
      <c r="I65" s="278">
        <f>G65/H65</f>
        <v>9.27037037037037</v>
      </c>
      <c r="J65" s="294"/>
      <c r="K65" s="160"/>
    </row>
    <row r="66" spans="2:9" ht="12.75">
      <c r="B66" s="76"/>
      <c r="C66" s="152"/>
      <c r="D66" s="77"/>
      <c r="E66" s="82"/>
      <c r="F66" s="82"/>
      <c r="G66" s="78"/>
      <c r="H66" s="79"/>
      <c r="I66" s="80"/>
    </row>
    <row r="67" spans="1:52" s="118" customFormat="1" ht="21.75" customHeight="1">
      <c r="A67" s="524" t="s">
        <v>55</v>
      </c>
      <c r="B67" s="525"/>
      <c r="C67" s="525"/>
      <c r="D67" s="525"/>
      <c r="E67" s="525"/>
      <c r="F67" s="525"/>
      <c r="G67" s="525"/>
      <c r="H67" s="525"/>
      <c r="I67" s="525"/>
      <c r="J67" s="525"/>
      <c r="K67" s="525"/>
      <c r="L67" s="525"/>
      <c r="M67" s="525"/>
      <c r="N67" s="525"/>
      <c r="O67" s="122"/>
      <c r="P67" s="123"/>
      <c r="Q67" s="123"/>
      <c r="R67" s="123"/>
      <c r="S67" s="123"/>
      <c r="T67" s="123"/>
      <c r="U67" s="123"/>
      <c r="V67" s="123"/>
      <c r="W67" s="141"/>
      <c r="X67" s="142"/>
      <c r="Y67" s="142"/>
      <c r="Z67" s="142"/>
      <c r="AA67" s="142"/>
      <c r="AB67" s="142"/>
      <c r="AC67" s="142"/>
      <c r="AD67" s="142"/>
      <c r="AE67" s="142"/>
      <c r="AF67" s="142"/>
      <c r="AG67" s="142"/>
      <c r="AH67" s="142"/>
      <c r="AI67" s="142"/>
      <c r="AJ67" s="142"/>
      <c r="AK67" s="142"/>
      <c r="AL67" s="142"/>
      <c r="AM67" s="142"/>
      <c r="AN67" s="142"/>
      <c r="AO67" s="142"/>
      <c r="AP67" s="142"/>
      <c r="AQ67" s="142"/>
      <c r="AR67" s="142"/>
      <c r="AS67" s="142"/>
      <c r="AT67" s="142"/>
      <c r="AU67" s="142"/>
      <c r="AV67" s="142"/>
      <c r="AW67" s="142"/>
      <c r="AX67" s="142"/>
      <c r="AY67" s="142"/>
      <c r="AZ67" s="138"/>
    </row>
    <row r="68" spans="1:256" s="118" customFormat="1" ht="18" customHeight="1">
      <c r="A68" s="524" t="s">
        <v>28</v>
      </c>
      <c r="B68" s="525"/>
      <c r="C68" s="525"/>
      <c r="D68" s="525"/>
      <c r="E68" s="525"/>
      <c r="F68" s="525"/>
      <c r="G68" s="525"/>
      <c r="H68" s="525"/>
      <c r="I68" s="525"/>
      <c r="J68" s="525"/>
      <c r="K68" s="525"/>
      <c r="L68" s="525"/>
      <c r="M68" s="525"/>
      <c r="N68" s="525"/>
      <c r="O68" s="122"/>
      <c r="P68" s="123"/>
      <c r="Q68" s="123"/>
      <c r="R68" s="123"/>
      <c r="S68" s="123"/>
      <c r="T68" s="123"/>
      <c r="U68" s="123"/>
      <c r="V68" s="123"/>
      <c r="W68" s="143"/>
      <c r="X68" s="144"/>
      <c r="Y68" s="144"/>
      <c r="Z68" s="144"/>
      <c r="AA68" s="144"/>
      <c r="AB68" s="144"/>
      <c r="AC68" s="144"/>
      <c r="AD68" s="144"/>
      <c r="AE68" s="144"/>
      <c r="AF68" s="144"/>
      <c r="AG68" s="144"/>
      <c r="AH68" s="144"/>
      <c r="AI68" s="144"/>
      <c r="AJ68" s="144"/>
      <c r="AK68" s="144"/>
      <c r="AL68" s="144"/>
      <c r="AM68" s="144"/>
      <c r="AN68" s="144"/>
      <c r="AO68" s="144"/>
      <c r="AP68" s="144"/>
      <c r="AQ68" s="144"/>
      <c r="AR68" s="144"/>
      <c r="AS68" s="143"/>
      <c r="AT68" s="144"/>
      <c r="AU68" s="144"/>
      <c r="AV68" s="144"/>
      <c r="AW68" s="144"/>
      <c r="AX68" s="144"/>
      <c r="AY68" s="144"/>
      <c r="AZ68" s="139"/>
      <c r="BA68" s="120"/>
      <c r="BB68" s="120"/>
      <c r="BC68" s="120"/>
      <c r="BD68" s="120"/>
      <c r="BE68" s="120"/>
      <c r="BF68" s="120"/>
      <c r="BG68" s="120"/>
      <c r="BH68" s="120"/>
      <c r="BI68" s="120"/>
      <c r="BJ68" s="120"/>
      <c r="BK68" s="120"/>
      <c r="BL68" s="120"/>
      <c r="BM68" s="120"/>
      <c r="BN68" s="120"/>
      <c r="BO68" s="119"/>
      <c r="BP68" s="120"/>
      <c r="BQ68" s="120"/>
      <c r="BR68" s="120"/>
      <c r="BS68" s="120"/>
      <c r="BT68" s="120"/>
      <c r="BU68" s="120"/>
      <c r="BV68" s="120"/>
      <c r="BW68" s="120"/>
      <c r="BX68" s="120"/>
      <c r="BY68" s="120"/>
      <c r="BZ68" s="120"/>
      <c r="CA68" s="120"/>
      <c r="CB68" s="120"/>
      <c r="CC68" s="120"/>
      <c r="CD68" s="120"/>
      <c r="CE68" s="120"/>
      <c r="CF68" s="120"/>
      <c r="CG68" s="120"/>
      <c r="CH68" s="120"/>
      <c r="CI68" s="120"/>
      <c r="CJ68" s="120"/>
      <c r="CK68" s="119"/>
      <c r="CL68" s="120"/>
      <c r="CM68" s="120"/>
      <c r="CN68" s="120"/>
      <c r="CO68" s="120"/>
      <c r="CP68" s="120"/>
      <c r="CQ68" s="120"/>
      <c r="CR68" s="120"/>
      <c r="CS68" s="120"/>
      <c r="CT68" s="120"/>
      <c r="CU68" s="120"/>
      <c r="CV68" s="120"/>
      <c r="CW68" s="120"/>
      <c r="CX68" s="120"/>
      <c r="CY68" s="120"/>
      <c r="CZ68" s="120"/>
      <c r="DA68" s="120"/>
      <c r="DB68" s="120"/>
      <c r="DC68" s="120"/>
      <c r="DD68" s="120"/>
      <c r="DE68" s="120"/>
      <c r="DF68" s="120"/>
      <c r="DG68" s="119"/>
      <c r="DH68" s="120"/>
      <c r="DI68" s="120"/>
      <c r="DJ68" s="120"/>
      <c r="DK68" s="120"/>
      <c r="DL68" s="120"/>
      <c r="DM68" s="120"/>
      <c r="DN68" s="120"/>
      <c r="DO68" s="120"/>
      <c r="DP68" s="120"/>
      <c r="DQ68" s="120"/>
      <c r="DR68" s="120"/>
      <c r="DS68" s="120"/>
      <c r="DT68" s="120"/>
      <c r="DU68" s="120"/>
      <c r="DV68" s="120"/>
      <c r="DW68" s="120"/>
      <c r="DX68" s="120"/>
      <c r="DY68" s="120"/>
      <c r="DZ68" s="120"/>
      <c r="EA68" s="120"/>
      <c r="EB68" s="120"/>
      <c r="EC68" s="119"/>
      <c r="ED68" s="120"/>
      <c r="EE68" s="120"/>
      <c r="EF68" s="120"/>
      <c r="EG68" s="120"/>
      <c r="EH68" s="120"/>
      <c r="EI68" s="120"/>
      <c r="EJ68" s="120"/>
      <c r="EK68" s="120"/>
      <c r="EL68" s="120"/>
      <c r="EM68" s="120"/>
      <c r="EN68" s="120"/>
      <c r="EO68" s="120"/>
      <c r="EP68" s="120"/>
      <c r="EQ68" s="120"/>
      <c r="ER68" s="120"/>
      <c r="ES68" s="120"/>
      <c r="ET68" s="120"/>
      <c r="EU68" s="120"/>
      <c r="EV68" s="120"/>
      <c r="EW68" s="120"/>
      <c r="EX68" s="120"/>
      <c r="EY68" s="119"/>
      <c r="EZ68" s="120"/>
      <c r="FA68" s="120"/>
      <c r="FB68" s="120"/>
      <c r="FC68" s="120"/>
      <c r="FD68" s="120"/>
      <c r="FE68" s="120"/>
      <c r="FF68" s="120"/>
      <c r="FG68" s="120"/>
      <c r="FH68" s="120"/>
      <c r="FI68" s="120"/>
      <c r="FJ68" s="120"/>
      <c r="FK68" s="120"/>
      <c r="FL68" s="120"/>
      <c r="FM68" s="120"/>
      <c r="FN68" s="120"/>
      <c r="FO68" s="120"/>
      <c r="FP68" s="120"/>
      <c r="FQ68" s="120"/>
      <c r="FR68" s="120"/>
      <c r="FS68" s="120"/>
      <c r="FT68" s="120"/>
      <c r="FU68" s="119"/>
      <c r="FV68" s="120"/>
      <c r="FW68" s="120"/>
      <c r="FX68" s="120"/>
      <c r="FY68" s="120"/>
      <c r="FZ68" s="120"/>
      <c r="GA68" s="120"/>
      <c r="GB68" s="120"/>
      <c r="GC68" s="120"/>
      <c r="GD68" s="120"/>
      <c r="GE68" s="120"/>
      <c r="GF68" s="120"/>
      <c r="GG68" s="120"/>
      <c r="GH68" s="120"/>
      <c r="GI68" s="120"/>
      <c r="GJ68" s="120"/>
      <c r="GK68" s="120"/>
      <c r="GL68" s="120"/>
      <c r="GM68" s="120"/>
      <c r="GN68" s="120"/>
      <c r="GO68" s="120"/>
      <c r="GP68" s="120"/>
      <c r="GQ68" s="119"/>
      <c r="GR68" s="120"/>
      <c r="GS68" s="120"/>
      <c r="GT68" s="120"/>
      <c r="GU68" s="120"/>
      <c r="GV68" s="120"/>
      <c r="GW68" s="120"/>
      <c r="GX68" s="120"/>
      <c r="GY68" s="120"/>
      <c r="GZ68" s="120"/>
      <c r="HA68" s="120"/>
      <c r="HB68" s="120"/>
      <c r="HC68" s="120"/>
      <c r="HD68" s="120"/>
      <c r="HE68" s="120"/>
      <c r="HF68" s="120"/>
      <c r="HG68" s="120"/>
      <c r="HH68" s="120"/>
      <c r="HI68" s="120"/>
      <c r="HJ68" s="120"/>
      <c r="HK68" s="120"/>
      <c r="HL68" s="120"/>
      <c r="HM68" s="119"/>
      <c r="HN68" s="120"/>
      <c r="HO68" s="120"/>
      <c r="HP68" s="120"/>
      <c r="HQ68" s="120"/>
      <c r="HR68" s="120"/>
      <c r="HS68" s="120"/>
      <c r="HT68" s="120"/>
      <c r="HU68" s="120"/>
      <c r="HV68" s="120"/>
      <c r="HW68" s="120"/>
      <c r="HX68" s="120"/>
      <c r="HY68" s="120"/>
      <c r="HZ68" s="120"/>
      <c r="IA68" s="120"/>
      <c r="IB68" s="120"/>
      <c r="IC68" s="120"/>
      <c r="ID68" s="120"/>
      <c r="IE68" s="120"/>
      <c r="IF68" s="120"/>
      <c r="IG68" s="120"/>
      <c r="IH68" s="120"/>
      <c r="II68" s="119"/>
      <c r="IJ68" s="120"/>
      <c r="IK68" s="120"/>
      <c r="IL68" s="120"/>
      <c r="IM68" s="120"/>
      <c r="IN68" s="120"/>
      <c r="IO68" s="120"/>
      <c r="IP68" s="120"/>
      <c r="IQ68" s="120"/>
      <c r="IR68" s="120"/>
      <c r="IS68" s="120"/>
      <c r="IT68" s="120"/>
      <c r="IU68" s="120"/>
      <c r="IV68" s="120"/>
    </row>
    <row r="69" spans="1:256" s="118" customFormat="1" ht="18" customHeight="1">
      <c r="A69" s="525"/>
      <c r="B69" s="525"/>
      <c r="C69" s="525"/>
      <c r="D69" s="525"/>
      <c r="E69" s="525"/>
      <c r="F69" s="525"/>
      <c r="G69" s="525"/>
      <c r="H69" s="525"/>
      <c r="I69" s="525"/>
      <c r="J69" s="525"/>
      <c r="K69" s="525"/>
      <c r="L69" s="525"/>
      <c r="M69" s="525"/>
      <c r="N69" s="525"/>
      <c r="O69" s="122"/>
      <c r="P69" s="123"/>
      <c r="Q69" s="123"/>
      <c r="R69" s="123"/>
      <c r="S69" s="123"/>
      <c r="T69" s="123"/>
      <c r="U69" s="123"/>
      <c r="V69" s="123"/>
      <c r="W69" s="143"/>
      <c r="X69" s="144"/>
      <c r="Y69" s="144"/>
      <c r="Z69" s="144"/>
      <c r="AA69" s="144"/>
      <c r="AB69" s="144"/>
      <c r="AC69" s="144"/>
      <c r="AD69" s="144"/>
      <c r="AE69" s="144"/>
      <c r="AF69" s="144"/>
      <c r="AG69" s="144"/>
      <c r="AH69" s="144"/>
      <c r="AI69" s="144"/>
      <c r="AJ69" s="144"/>
      <c r="AK69" s="144"/>
      <c r="AL69" s="144"/>
      <c r="AM69" s="144"/>
      <c r="AN69" s="144"/>
      <c r="AO69" s="144"/>
      <c r="AP69" s="144"/>
      <c r="AQ69" s="144"/>
      <c r="AR69" s="144"/>
      <c r="AS69" s="143"/>
      <c r="AT69" s="144"/>
      <c r="AU69" s="144"/>
      <c r="AV69" s="144"/>
      <c r="AW69" s="144"/>
      <c r="AX69" s="144"/>
      <c r="AY69" s="144"/>
      <c r="AZ69" s="139"/>
      <c r="BA69" s="120"/>
      <c r="BB69" s="120"/>
      <c r="BC69" s="120"/>
      <c r="BD69" s="120"/>
      <c r="BE69" s="120"/>
      <c r="BF69" s="120"/>
      <c r="BG69" s="120"/>
      <c r="BH69" s="120"/>
      <c r="BI69" s="120"/>
      <c r="BJ69" s="120"/>
      <c r="BK69" s="120"/>
      <c r="BL69" s="120"/>
      <c r="BM69" s="120"/>
      <c r="BN69" s="120"/>
      <c r="BO69" s="119"/>
      <c r="BP69" s="120"/>
      <c r="BQ69" s="120"/>
      <c r="BR69" s="120"/>
      <c r="BS69" s="120"/>
      <c r="BT69" s="120"/>
      <c r="BU69" s="120"/>
      <c r="BV69" s="120"/>
      <c r="BW69" s="120"/>
      <c r="BX69" s="120"/>
      <c r="BY69" s="120"/>
      <c r="BZ69" s="120"/>
      <c r="CA69" s="120"/>
      <c r="CB69" s="120"/>
      <c r="CC69" s="120"/>
      <c r="CD69" s="120"/>
      <c r="CE69" s="120"/>
      <c r="CF69" s="120"/>
      <c r="CG69" s="120"/>
      <c r="CH69" s="120"/>
      <c r="CI69" s="120"/>
      <c r="CJ69" s="120"/>
      <c r="CK69" s="119"/>
      <c r="CL69" s="120"/>
      <c r="CM69" s="120"/>
      <c r="CN69" s="120"/>
      <c r="CO69" s="120"/>
      <c r="CP69" s="120"/>
      <c r="CQ69" s="120"/>
      <c r="CR69" s="120"/>
      <c r="CS69" s="120"/>
      <c r="CT69" s="120"/>
      <c r="CU69" s="120"/>
      <c r="CV69" s="120"/>
      <c r="CW69" s="120"/>
      <c r="CX69" s="120"/>
      <c r="CY69" s="120"/>
      <c r="CZ69" s="120"/>
      <c r="DA69" s="120"/>
      <c r="DB69" s="120"/>
      <c r="DC69" s="120"/>
      <c r="DD69" s="120"/>
      <c r="DE69" s="120"/>
      <c r="DF69" s="120"/>
      <c r="DG69" s="119"/>
      <c r="DH69" s="120"/>
      <c r="DI69" s="120"/>
      <c r="DJ69" s="120"/>
      <c r="DK69" s="120"/>
      <c r="DL69" s="120"/>
      <c r="DM69" s="120"/>
      <c r="DN69" s="120"/>
      <c r="DO69" s="120"/>
      <c r="DP69" s="120"/>
      <c r="DQ69" s="120"/>
      <c r="DR69" s="120"/>
      <c r="DS69" s="120"/>
      <c r="DT69" s="120"/>
      <c r="DU69" s="120"/>
      <c r="DV69" s="120"/>
      <c r="DW69" s="120"/>
      <c r="DX69" s="120"/>
      <c r="DY69" s="120"/>
      <c r="DZ69" s="120"/>
      <c r="EA69" s="120"/>
      <c r="EB69" s="120"/>
      <c r="EC69" s="119"/>
      <c r="ED69" s="120"/>
      <c r="EE69" s="120"/>
      <c r="EF69" s="120"/>
      <c r="EG69" s="120"/>
      <c r="EH69" s="120"/>
      <c r="EI69" s="120"/>
      <c r="EJ69" s="120"/>
      <c r="EK69" s="120"/>
      <c r="EL69" s="120"/>
      <c r="EM69" s="120"/>
      <c r="EN69" s="120"/>
      <c r="EO69" s="120"/>
      <c r="EP69" s="120"/>
      <c r="EQ69" s="120"/>
      <c r="ER69" s="120"/>
      <c r="ES69" s="120"/>
      <c r="ET69" s="120"/>
      <c r="EU69" s="120"/>
      <c r="EV69" s="120"/>
      <c r="EW69" s="120"/>
      <c r="EX69" s="120"/>
      <c r="EY69" s="119"/>
      <c r="EZ69" s="120"/>
      <c r="FA69" s="120"/>
      <c r="FB69" s="120"/>
      <c r="FC69" s="120"/>
      <c r="FD69" s="120"/>
      <c r="FE69" s="120"/>
      <c r="FF69" s="120"/>
      <c r="FG69" s="120"/>
      <c r="FH69" s="120"/>
      <c r="FI69" s="120"/>
      <c r="FJ69" s="120"/>
      <c r="FK69" s="120"/>
      <c r="FL69" s="120"/>
      <c r="FM69" s="120"/>
      <c r="FN69" s="120"/>
      <c r="FO69" s="120"/>
      <c r="FP69" s="120"/>
      <c r="FQ69" s="120"/>
      <c r="FR69" s="120"/>
      <c r="FS69" s="120"/>
      <c r="FT69" s="120"/>
      <c r="FU69" s="119"/>
      <c r="FV69" s="120"/>
      <c r="FW69" s="120"/>
      <c r="FX69" s="120"/>
      <c r="FY69" s="120"/>
      <c r="FZ69" s="120"/>
      <c r="GA69" s="120"/>
      <c r="GB69" s="120"/>
      <c r="GC69" s="120"/>
      <c r="GD69" s="120"/>
      <c r="GE69" s="120"/>
      <c r="GF69" s="120"/>
      <c r="GG69" s="120"/>
      <c r="GH69" s="120"/>
      <c r="GI69" s="120"/>
      <c r="GJ69" s="120"/>
      <c r="GK69" s="120"/>
      <c r="GL69" s="120"/>
      <c r="GM69" s="120"/>
      <c r="GN69" s="120"/>
      <c r="GO69" s="120"/>
      <c r="GP69" s="120"/>
      <c r="GQ69" s="119"/>
      <c r="GR69" s="120"/>
      <c r="GS69" s="120"/>
      <c r="GT69" s="120"/>
      <c r="GU69" s="120"/>
      <c r="GV69" s="120"/>
      <c r="GW69" s="120"/>
      <c r="GX69" s="120"/>
      <c r="GY69" s="120"/>
      <c r="GZ69" s="120"/>
      <c r="HA69" s="120"/>
      <c r="HB69" s="120"/>
      <c r="HC69" s="120"/>
      <c r="HD69" s="120"/>
      <c r="HE69" s="120"/>
      <c r="HF69" s="120"/>
      <c r="HG69" s="120"/>
      <c r="HH69" s="120"/>
      <c r="HI69" s="120"/>
      <c r="HJ69" s="120"/>
      <c r="HK69" s="120"/>
      <c r="HL69" s="120"/>
      <c r="HM69" s="119"/>
      <c r="HN69" s="120"/>
      <c r="HO69" s="120"/>
      <c r="HP69" s="120"/>
      <c r="HQ69" s="120"/>
      <c r="HR69" s="120"/>
      <c r="HS69" s="120"/>
      <c r="HT69" s="120"/>
      <c r="HU69" s="120"/>
      <c r="HV69" s="120"/>
      <c r="HW69" s="120"/>
      <c r="HX69" s="120"/>
      <c r="HY69" s="120"/>
      <c r="HZ69" s="120"/>
      <c r="IA69" s="120"/>
      <c r="IB69" s="120"/>
      <c r="IC69" s="120"/>
      <c r="ID69" s="120"/>
      <c r="IE69" s="120"/>
      <c r="IF69" s="120"/>
      <c r="IG69" s="120"/>
      <c r="IH69" s="120"/>
      <c r="II69" s="119"/>
      <c r="IJ69" s="120"/>
      <c r="IK69" s="120"/>
      <c r="IL69" s="120"/>
      <c r="IM69" s="120"/>
      <c r="IN69" s="120"/>
      <c r="IO69" s="120"/>
      <c r="IP69" s="120"/>
      <c r="IQ69" s="120"/>
      <c r="IR69" s="120"/>
      <c r="IS69" s="120"/>
      <c r="IT69" s="120"/>
      <c r="IU69" s="120"/>
      <c r="IV69" s="120"/>
    </row>
    <row r="70" spans="1:256" s="118" customFormat="1" ht="18" customHeight="1">
      <c r="A70" s="525"/>
      <c r="B70" s="525"/>
      <c r="C70" s="525"/>
      <c r="D70" s="525"/>
      <c r="E70" s="525"/>
      <c r="F70" s="525"/>
      <c r="G70" s="525"/>
      <c r="H70" s="525"/>
      <c r="I70" s="525"/>
      <c r="J70" s="525"/>
      <c r="K70" s="525"/>
      <c r="L70" s="525"/>
      <c r="M70" s="525"/>
      <c r="N70" s="525"/>
      <c r="O70" s="122"/>
      <c r="P70" s="123"/>
      <c r="Q70" s="123"/>
      <c r="R70" s="123"/>
      <c r="S70" s="123"/>
      <c r="T70" s="123"/>
      <c r="U70" s="123"/>
      <c r="V70" s="123"/>
      <c r="W70" s="143"/>
      <c r="X70" s="144"/>
      <c r="Y70" s="144"/>
      <c r="Z70" s="144"/>
      <c r="AA70" s="144"/>
      <c r="AB70" s="144"/>
      <c r="AC70" s="144"/>
      <c r="AD70" s="144"/>
      <c r="AE70" s="144"/>
      <c r="AF70" s="144"/>
      <c r="AG70" s="144"/>
      <c r="AH70" s="144"/>
      <c r="AI70" s="144"/>
      <c r="AJ70" s="144"/>
      <c r="AK70" s="144"/>
      <c r="AL70" s="144"/>
      <c r="AM70" s="144"/>
      <c r="AN70" s="144"/>
      <c r="AO70" s="144"/>
      <c r="AP70" s="144"/>
      <c r="AQ70" s="144"/>
      <c r="AR70" s="144"/>
      <c r="AS70" s="143"/>
      <c r="AT70" s="144"/>
      <c r="AU70" s="144"/>
      <c r="AV70" s="144"/>
      <c r="AW70" s="144"/>
      <c r="AX70" s="144"/>
      <c r="AY70" s="144"/>
      <c r="AZ70" s="139"/>
      <c r="BA70" s="120"/>
      <c r="BB70" s="120"/>
      <c r="BC70" s="120"/>
      <c r="BD70" s="120"/>
      <c r="BE70" s="120"/>
      <c r="BF70" s="120"/>
      <c r="BG70" s="120"/>
      <c r="BH70" s="120"/>
      <c r="BI70" s="120"/>
      <c r="BJ70" s="120"/>
      <c r="BK70" s="120"/>
      <c r="BL70" s="120"/>
      <c r="BM70" s="120"/>
      <c r="BN70" s="120"/>
      <c r="BO70" s="119"/>
      <c r="BP70" s="120"/>
      <c r="BQ70" s="120"/>
      <c r="BR70" s="120"/>
      <c r="BS70" s="120"/>
      <c r="BT70" s="120"/>
      <c r="BU70" s="120"/>
      <c r="BV70" s="120"/>
      <c r="BW70" s="120"/>
      <c r="BX70" s="120"/>
      <c r="BY70" s="120"/>
      <c r="BZ70" s="120"/>
      <c r="CA70" s="120"/>
      <c r="CB70" s="120"/>
      <c r="CC70" s="120"/>
      <c r="CD70" s="120"/>
      <c r="CE70" s="120"/>
      <c r="CF70" s="120"/>
      <c r="CG70" s="120"/>
      <c r="CH70" s="120"/>
      <c r="CI70" s="120"/>
      <c r="CJ70" s="120"/>
      <c r="CK70" s="119"/>
      <c r="CL70" s="120"/>
      <c r="CM70" s="120"/>
      <c r="CN70" s="120"/>
      <c r="CO70" s="120"/>
      <c r="CP70" s="120"/>
      <c r="CQ70" s="120"/>
      <c r="CR70" s="120"/>
      <c r="CS70" s="120"/>
      <c r="CT70" s="120"/>
      <c r="CU70" s="120"/>
      <c r="CV70" s="120"/>
      <c r="CW70" s="120"/>
      <c r="CX70" s="120"/>
      <c r="CY70" s="120"/>
      <c r="CZ70" s="120"/>
      <c r="DA70" s="120"/>
      <c r="DB70" s="120"/>
      <c r="DC70" s="120"/>
      <c r="DD70" s="120"/>
      <c r="DE70" s="120"/>
      <c r="DF70" s="120"/>
      <c r="DG70" s="119"/>
      <c r="DH70" s="120"/>
      <c r="DI70" s="120"/>
      <c r="DJ70" s="120"/>
      <c r="DK70" s="120"/>
      <c r="DL70" s="120"/>
      <c r="DM70" s="120"/>
      <c r="DN70" s="120"/>
      <c r="DO70" s="120"/>
      <c r="DP70" s="120"/>
      <c r="DQ70" s="120"/>
      <c r="DR70" s="120"/>
      <c r="DS70" s="120"/>
      <c r="DT70" s="120"/>
      <c r="DU70" s="120"/>
      <c r="DV70" s="120"/>
      <c r="DW70" s="120"/>
      <c r="DX70" s="120"/>
      <c r="DY70" s="120"/>
      <c r="DZ70" s="120"/>
      <c r="EA70" s="120"/>
      <c r="EB70" s="120"/>
      <c r="EC70" s="119"/>
      <c r="ED70" s="120"/>
      <c r="EE70" s="120"/>
      <c r="EF70" s="120"/>
      <c r="EG70" s="120"/>
      <c r="EH70" s="120"/>
      <c r="EI70" s="120"/>
      <c r="EJ70" s="120"/>
      <c r="EK70" s="120"/>
      <c r="EL70" s="120"/>
      <c r="EM70" s="120"/>
      <c r="EN70" s="120"/>
      <c r="EO70" s="120"/>
      <c r="EP70" s="120"/>
      <c r="EQ70" s="120"/>
      <c r="ER70" s="120"/>
      <c r="ES70" s="120"/>
      <c r="ET70" s="120"/>
      <c r="EU70" s="120"/>
      <c r="EV70" s="120"/>
      <c r="EW70" s="120"/>
      <c r="EX70" s="120"/>
      <c r="EY70" s="119"/>
      <c r="EZ70" s="120"/>
      <c r="FA70" s="120"/>
      <c r="FB70" s="120"/>
      <c r="FC70" s="120"/>
      <c r="FD70" s="120"/>
      <c r="FE70" s="120"/>
      <c r="FF70" s="120"/>
      <c r="FG70" s="120"/>
      <c r="FH70" s="120"/>
      <c r="FI70" s="120"/>
      <c r="FJ70" s="120"/>
      <c r="FK70" s="120"/>
      <c r="FL70" s="120"/>
      <c r="FM70" s="120"/>
      <c r="FN70" s="120"/>
      <c r="FO70" s="120"/>
      <c r="FP70" s="120"/>
      <c r="FQ70" s="120"/>
      <c r="FR70" s="120"/>
      <c r="FS70" s="120"/>
      <c r="FT70" s="120"/>
      <c r="FU70" s="119"/>
      <c r="FV70" s="120"/>
      <c r="FW70" s="120"/>
      <c r="FX70" s="120"/>
      <c r="FY70" s="120"/>
      <c r="FZ70" s="120"/>
      <c r="GA70" s="120"/>
      <c r="GB70" s="120"/>
      <c r="GC70" s="120"/>
      <c r="GD70" s="120"/>
      <c r="GE70" s="120"/>
      <c r="GF70" s="120"/>
      <c r="GG70" s="120"/>
      <c r="GH70" s="120"/>
      <c r="GI70" s="120"/>
      <c r="GJ70" s="120"/>
      <c r="GK70" s="120"/>
      <c r="GL70" s="120"/>
      <c r="GM70" s="120"/>
      <c r="GN70" s="120"/>
      <c r="GO70" s="120"/>
      <c r="GP70" s="120"/>
      <c r="GQ70" s="119"/>
      <c r="GR70" s="120"/>
      <c r="GS70" s="120"/>
      <c r="GT70" s="120"/>
      <c r="GU70" s="120"/>
      <c r="GV70" s="120"/>
      <c r="GW70" s="120"/>
      <c r="GX70" s="120"/>
      <c r="GY70" s="120"/>
      <c r="GZ70" s="120"/>
      <c r="HA70" s="120"/>
      <c r="HB70" s="120"/>
      <c r="HC70" s="120"/>
      <c r="HD70" s="120"/>
      <c r="HE70" s="120"/>
      <c r="HF70" s="120"/>
      <c r="HG70" s="120"/>
      <c r="HH70" s="120"/>
      <c r="HI70" s="120"/>
      <c r="HJ70" s="120"/>
      <c r="HK70" s="120"/>
      <c r="HL70" s="120"/>
      <c r="HM70" s="119"/>
      <c r="HN70" s="120"/>
      <c r="HO70" s="120"/>
      <c r="HP70" s="120"/>
      <c r="HQ70" s="120"/>
      <c r="HR70" s="120"/>
      <c r="HS70" s="120"/>
      <c r="HT70" s="120"/>
      <c r="HU70" s="120"/>
      <c r="HV70" s="120"/>
      <c r="HW70" s="120"/>
      <c r="HX70" s="120"/>
      <c r="HY70" s="120"/>
      <c r="HZ70" s="120"/>
      <c r="IA70" s="120"/>
      <c r="IB70" s="120"/>
      <c r="IC70" s="120"/>
      <c r="ID70" s="120"/>
      <c r="IE70" s="120"/>
      <c r="IF70" s="120"/>
      <c r="IG70" s="120"/>
      <c r="IH70" s="120"/>
      <c r="II70" s="119"/>
      <c r="IJ70" s="120"/>
      <c r="IK70" s="120"/>
      <c r="IL70" s="120"/>
      <c r="IM70" s="120"/>
      <c r="IN70" s="120"/>
      <c r="IO70" s="120"/>
      <c r="IP70" s="120"/>
      <c r="IQ70" s="120"/>
      <c r="IR70" s="120"/>
      <c r="IS70" s="120"/>
      <c r="IT70" s="120"/>
      <c r="IU70" s="120"/>
      <c r="IV70" s="120"/>
    </row>
    <row r="71" spans="1:256" s="118" customFormat="1" ht="15" customHeight="1">
      <c r="A71" s="524" t="s">
        <v>54</v>
      </c>
      <c r="B71" s="526"/>
      <c r="C71" s="526"/>
      <c r="D71" s="526"/>
      <c r="E71" s="526"/>
      <c r="F71" s="526"/>
      <c r="G71" s="526"/>
      <c r="H71" s="526"/>
      <c r="I71" s="526"/>
      <c r="J71" s="526"/>
      <c r="K71" s="526"/>
      <c r="L71" s="526"/>
      <c r="M71" s="526"/>
      <c r="N71" s="526"/>
      <c r="O71" s="147"/>
      <c r="P71" s="124"/>
      <c r="Q71" s="124"/>
      <c r="R71" s="124"/>
      <c r="S71" s="124"/>
      <c r="T71" s="124"/>
      <c r="U71" s="124"/>
      <c r="V71" s="124"/>
      <c r="W71" s="143"/>
      <c r="X71" s="144"/>
      <c r="Y71" s="144"/>
      <c r="Z71" s="144"/>
      <c r="AA71" s="144"/>
      <c r="AB71" s="144"/>
      <c r="AC71" s="144"/>
      <c r="AD71" s="144"/>
      <c r="AE71" s="144"/>
      <c r="AF71" s="144"/>
      <c r="AG71" s="144"/>
      <c r="AH71" s="144"/>
      <c r="AI71" s="144"/>
      <c r="AJ71" s="144"/>
      <c r="AK71" s="144"/>
      <c r="AL71" s="144"/>
      <c r="AM71" s="144"/>
      <c r="AN71" s="144"/>
      <c r="AO71" s="144"/>
      <c r="AP71" s="144"/>
      <c r="AQ71" s="144"/>
      <c r="AR71" s="144"/>
      <c r="AS71" s="143"/>
      <c r="AT71" s="144"/>
      <c r="AU71" s="144"/>
      <c r="AV71" s="144"/>
      <c r="AW71" s="144"/>
      <c r="AX71" s="144"/>
      <c r="AY71" s="144"/>
      <c r="AZ71" s="139"/>
      <c r="BA71" s="120"/>
      <c r="BB71" s="120"/>
      <c r="BC71" s="120"/>
      <c r="BD71" s="120"/>
      <c r="BE71" s="120"/>
      <c r="BF71" s="120"/>
      <c r="BG71" s="120"/>
      <c r="BH71" s="120"/>
      <c r="BI71" s="120"/>
      <c r="BJ71" s="120"/>
      <c r="BK71" s="120"/>
      <c r="BL71" s="120"/>
      <c r="BM71" s="120"/>
      <c r="BN71" s="120"/>
      <c r="BO71" s="119"/>
      <c r="BP71" s="120"/>
      <c r="BQ71" s="120"/>
      <c r="BR71" s="120"/>
      <c r="BS71" s="120"/>
      <c r="BT71" s="120"/>
      <c r="BU71" s="120"/>
      <c r="BV71" s="120"/>
      <c r="BW71" s="120"/>
      <c r="BX71" s="120"/>
      <c r="BY71" s="120"/>
      <c r="BZ71" s="120"/>
      <c r="CA71" s="120"/>
      <c r="CB71" s="120"/>
      <c r="CC71" s="120"/>
      <c r="CD71" s="120"/>
      <c r="CE71" s="120"/>
      <c r="CF71" s="120"/>
      <c r="CG71" s="120"/>
      <c r="CH71" s="120"/>
      <c r="CI71" s="120"/>
      <c r="CJ71" s="120"/>
      <c r="CK71" s="119"/>
      <c r="CL71" s="120"/>
      <c r="CM71" s="120"/>
      <c r="CN71" s="120"/>
      <c r="CO71" s="120"/>
      <c r="CP71" s="120"/>
      <c r="CQ71" s="120"/>
      <c r="CR71" s="120"/>
      <c r="CS71" s="120"/>
      <c r="CT71" s="120"/>
      <c r="CU71" s="120"/>
      <c r="CV71" s="120"/>
      <c r="CW71" s="120"/>
      <c r="CX71" s="120"/>
      <c r="CY71" s="120"/>
      <c r="CZ71" s="120"/>
      <c r="DA71" s="120"/>
      <c r="DB71" s="120"/>
      <c r="DC71" s="120"/>
      <c r="DD71" s="120"/>
      <c r="DE71" s="120"/>
      <c r="DF71" s="120"/>
      <c r="DG71" s="119"/>
      <c r="DH71" s="120"/>
      <c r="DI71" s="120"/>
      <c r="DJ71" s="120"/>
      <c r="DK71" s="120"/>
      <c r="DL71" s="120"/>
      <c r="DM71" s="120"/>
      <c r="DN71" s="120"/>
      <c r="DO71" s="120"/>
      <c r="DP71" s="120"/>
      <c r="DQ71" s="120"/>
      <c r="DR71" s="120"/>
      <c r="DS71" s="120"/>
      <c r="DT71" s="120"/>
      <c r="DU71" s="120"/>
      <c r="DV71" s="120"/>
      <c r="DW71" s="120"/>
      <c r="DX71" s="120"/>
      <c r="DY71" s="120"/>
      <c r="DZ71" s="120"/>
      <c r="EA71" s="120"/>
      <c r="EB71" s="120"/>
      <c r="EC71" s="119"/>
      <c r="ED71" s="120"/>
      <c r="EE71" s="120"/>
      <c r="EF71" s="120"/>
      <c r="EG71" s="120"/>
      <c r="EH71" s="120"/>
      <c r="EI71" s="120"/>
      <c r="EJ71" s="120"/>
      <c r="EK71" s="120"/>
      <c r="EL71" s="120"/>
      <c r="EM71" s="120"/>
      <c r="EN71" s="120"/>
      <c r="EO71" s="120"/>
      <c r="EP71" s="120"/>
      <c r="EQ71" s="120"/>
      <c r="ER71" s="120"/>
      <c r="ES71" s="120"/>
      <c r="ET71" s="120"/>
      <c r="EU71" s="120"/>
      <c r="EV71" s="120"/>
      <c r="EW71" s="120"/>
      <c r="EX71" s="120"/>
      <c r="EY71" s="119"/>
      <c r="EZ71" s="120"/>
      <c r="FA71" s="120"/>
      <c r="FB71" s="120"/>
      <c r="FC71" s="120"/>
      <c r="FD71" s="120"/>
      <c r="FE71" s="120"/>
      <c r="FF71" s="120"/>
      <c r="FG71" s="120"/>
      <c r="FH71" s="120"/>
      <c r="FI71" s="120"/>
      <c r="FJ71" s="120"/>
      <c r="FK71" s="120"/>
      <c r="FL71" s="120"/>
      <c r="FM71" s="120"/>
      <c r="FN71" s="120"/>
      <c r="FO71" s="120"/>
      <c r="FP71" s="120"/>
      <c r="FQ71" s="120"/>
      <c r="FR71" s="120"/>
      <c r="FS71" s="120"/>
      <c r="FT71" s="120"/>
      <c r="FU71" s="119"/>
      <c r="FV71" s="120"/>
      <c r="FW71" s="120"/>
      <c r="FX71" s="120"/>
      <c r="FY71" s="120"/>
      <c r="FZ71" s="120"/>
      <c r="GA71" s="120"/>
      <c r="GB71" s="120"/>
      <c r="GC71" s="120"/>
      <c r="GD71" s="120"/>
      <c r="GE71" s="120"/>
      <c r="GF71" s="120"/>
      <c r="GG71" s="120"/>
      <c r="GH71" s="120"/>
      <c r="GI71" s="120"/>
      <c r="GJ71" s="120"/>
      <c r="GK71" s="120"/>
      <c r="GL71" s="120"/>
      <c r="GM71" s="120"/>
      <c r="GN71" s="120"/>
      <c r="GO71" s="120"/>
      <c r="GP71" s="120"/>
      <c r="GQ71" s="119"/>
      <c r="GR71" s="120"/>
      <c r="GS71" s="120"/>
      <c r="GT71" s="120"/>
      <c r="GU71" s="120"/>
      <c r="GV71" s="120"/>
      <c r="GW71" s="120"/>
      <c r="GX71" s="120"/>
      <c r="GY71" s="120"/>
      <c r="GZ71" s="120"/>
      <c r="HA71" s="120"/>
      <c r="HB71" s="120"/>
      <c r="HC71" s="120"/>
      <c r="HD71" s="120"/>
      <c r="HE71" s="120"/>
      <c r="HF71" s="120"/>
      <c r="HG71" s="120"/>
      <c r="HH71" s="120"/>
      <c r="HI71" s="120"/>
      <c r="HJ71" s="120"/>
      <c r="HK71" s="120"/>
      <c r="HL71" s="120"/>
      <c r="HM71" s="119"/>
      <c r="HN71" s="120"/>
      <c r="HO71" s="120"/>
      <c r="HP71" s="120"/>
      <c r="HQ71" s="120"/>
      <c r="HR71" s="120"/>
      <c r="HS71" s="120"/>
      <c r="HT71" s="120"/>
      <c r="HU71" s="120"/>
      <c r="HV71" s="120"/>
      <c r="HW71" s="120"/>
      <c r="HX71" s="120"/>
      <c r="HY71" s="120"/>
      <c r="HZ71" s="120"/>
      <c r="IA71" s="120"/>
      <c r="IB71" s="120"/>
      <c r="IC71" s="120"/>
      <c r="ID71" s="120"/>
      <c r="IE71" s="120"/>
      <c r="IF71" s="120"/>
      <c r="IG71" s="120"/>
      <c r="IH71" s="120"/>
      <c r="II71" s="119"/>
      <c r="IJ71" s="120"/>
      <c r="IK71" s="120"/>
      <c r="IL71" s="120"/>
      <c r="IM71" s="120"/>
      <c r="IN71" s="120"/>
      <c r="IO71" s="120"/>
      <c r="IP71" s="120"/>
      <c r="IQ71" s="120"/>
      <c r="IR71" s="120"/>
      <c r="IS71" s="120"/>
      <c r="IT71" s="120"/>
      <c r="IU71" s="120"/>
      <c r="IV71" s="120"/>
    </row>
    <row r="72" spans="1:256" s="118" customFormat="1" ht="15" customHeight="1">
      <c r="A72" s="526"/>
      <c r="B72" s="526"/>
      <c r="C72" s="526"/>
      <c r="D72" s="526"/>
      <c r="E72" s="526"/>
      <c r="F72" s="526"/>
      <c r="G72" s="526"/>
      <c r="H72" s="526"/>
      <c r="I72" s="526"/>
      <c r="J72" s="526"/>
      <c r="K72" s="526"/>
      <c r="L72" s="526"/>
      <c r="M72" s="526"/>
      <c r="N72" s="526"/>
      <c r="O72" s="147"/>
      <c r="P72" s="124"/>
      <c r="Q72" s="124"/>
      <c r="R72" s="124"/>
      <c r="S72" s="124"/>
      <c r="T72" s="124"/>
      <c r="U72" s="124"/>
      <c r="V72" s="124"/>
      <c r="W72" s="143"/>
      <c r="X72" s="144"/>
      <c r="Y72" s="144"/>
      <c r="Z72" s="144"/>
      <c r="AA72" s="144"/>
      <c r="AB72" s="144"/>
      <c r="AC72" s="144"/>
      <c r="AD72" s="144"/>
      <c r="AE72" s="144"/>
      <c r="AF72" s="144"/>
      <c r="AG72" s="144"/>
      <c r="AH72" s="144"/>
      <c r="AI72" s="144"/>
      <c r="AJ72" s="144"/>
      <c r="AK72" s="144"/>
      <c r="AL72" s="144"/>
      <c r="AM72" s="144"/>
      <c r="AN72" s="144"/>
      <c r="AO72" s="144"/>
      <c r="AP72" s="144"/>
      <c r="AQ72" s="144"/>
      <c r="AR72" s="144"/>
      <c r="AS72" s="143"/>
      <c r="AT72" s="144"/>
      <c r="AU72" s="144"/>
      <c r="AV72" s="144"/>
      <c r="AW72" s="144"/>
      <c r="AX72" s="144"/>
      <c r="AY72" s="144"/>
      <c r="AZ72" s="139"/>
      <c r="BA72" s="120"/>
      <c r="BB72" s="120"/>
      <c r="BC72" s="120"/>
      <c r="BD72" s="120"/>
      <c r="BE72" s="120"/>
      <c r="BF72" s="120"/>
      <c r="BG72" s="120"/>
      <c r="BH72" s="120"/>
      <c r="BI72" s="120"/>
      <c r="BJ72" s="120"/>
      <c r="BK72" s="120"/>
      <c r="BL72" s="120"/>
      <c r="BM72" s="120"/>
      <c r="BN72" s="120"/>
      <c r="BO72" s="119"/>
      <c r="BP72" s="120"/>
      <c r="BQ72" s="120"/>
      <c r="BR72" s="120"/>
      <c r="BS72" s="120"/>
      <c r="BT72" s="120"/>
      <c r="BU72" s="120"/>
      <c r="BV72" s="120"/>
      <c r="BW72" s="120"/>
      <c r="BX72" s="120"/>
      <c r="BY72" s="120"/>
      <c r="BZ72" s="120"/>
      <c r="CA72" s="120"/>
      <c r="CB72" s="120"/>
      <c r="CC72" s="120"/>
      <c r="CD72" s="120"/>
      <c r="CE72" s="120"/>
      <c r="CF72" s="120"/>
      <c r="CG72" s="120"/>
      <c r="CH72" s="120"/>
      <c r="CI72" s="120"/>
      <c r="CJ72" s="120"/>
      <c r="CK72" s="119"/>
      <c r="CL72" s="120"/>
      <c r="CM72" s="120"/>
      <c r="CN72" s="120"/>
      <c r="CO72" s="120"/>
      <c r="CP72" s="120"/>
      <c r="CQ72" s="120"/>
      <c r="CR72" s="120"/>
      <c r="CS72" s="120"/>
      <c r="CT72" s="120"/>
      <c r="CU72" s="120"/>
      <c r="CV72" s="120"/>
      <c r="CW72" s="120"/>
      <c r="CX72" s="120"/>
      <c r="CY72" s="120"/>
      <c r="CZ72" s="120"/>
      <c r="DA72" s="120"/>
      <c r="DB72" s="120"/>
      <c r="DC72" s="120"/>
      <c r="DD72" s="120"/>
      <c r="DE72" s="120"/>
      <c r="DF72" s="120"/>
      <c r="DG72" s="119"/>
      <c r="DH72" s="120"/>
      <c r="DI72" s="120"/>
      <c r="DJ72" s="120"/>
      <c r="DK72" s="120"/>
      <c r="DL72" s="120"/>
      <c r="DM72" s="120"/>
      <c r="DN72" s="120"/>
      <c r="DO72" s="120"/>
      <c r="DP72" s="120"/>
      <c r="DQ72" s="120"/>
      <c r="DR72" s="120"/>
      <c r="DS72" s="120"/>
      <c r="DT72" s="120"/>
      <c r="DU72" s="120"/>
      <c r="DV72" s="120"/>
      <c r="DW72" s="120"/>
      <c r="DX72" s="120"/>
      <c r="DY72" s="120"/>
      <c r="DZ72" s="120"/>
      <c r="EA72" s="120"/>
      <c r="EB72" s="120"/>
      <c r="EC72" s="119"/>
      <c r="ED72" s="120"/>
      <c r="EE72" s="120"/>
      <c r="EF72" s="120"/>
      <c r="EG72" s="120"/>
      <c r="EH72" s="120"/>
      <c r="EI72" s="120"/>
      <c r="EJ72" s="120"/>
      <c r="EK72" s="120"/>
      <c r="EL72" s="120"/>
      <c r="EM72" s="120"/>
      <c r="EN72" s="120"/>
      <c r="EO72" s="120"/>
      <c r="EP72" s="120"/>
      <c r="EQ72" s="120"/>
      <c r="ER72" s="120"/>
      <c r="ES72" s="120"/>
      <c r="ET72" s="120"/>
      <c r="EU72" s="120"/>
      <c r="EV72" s="120"/>
      <c r="EW72" s="120"/>
      <c r="EX72" s="120"/>
      <c r="EY72" s="119"/>
      <c r="EZ72" s="120"/>
      <c r="FA72" s="120"/>
      <c r="FB72" s="120"/>
      <c r="FC72" s="120"/>
      <c r="FD72" s="120"/>
      <c r="FE72" s="120"/>
      <c r="FF72" s="120"/>
      <c r="FG72" s="120"/>
      <c r="FH72" s="120"/>
      <c r="FI72" s="120"/>
      <c r="FJ72" s="120"/>
      <c r="FK72" s="120"/>
      <c r="FL72" s="120"/>
      <c r="FM72" s="120"/>
      <c r="FN72" s="120"/>
      <c r="FO72" s="120"/>
      <c r="FP72" s="120"/>
      <c r="FQ72" s="120"/>
      <c r="FR72" s="120"/>
      <c r="FS72" s="120"/>
      <c r="FT72" s="120"/>
      <c r="FU72" s="119"/>
      <c r="FV72" s="120"/>
      <c r="FW72" s="120"/>
      <c r="FX72" s="120"/>
      <c r="FY72" s="120"/>
      <c r="FZ72" s="120"/>
      <c r="GA72" s="120"/>
      <c r="GB72" s="120"/>
      <c r="GC72" s="120"/>
      <c r="GD72" s="120"/>
      <c r="GE72" s="120"/>
      <c r="GF72" s="120"/>
      <c r="GG72" s="120"/>
      <c r="GH72" s="120"/>
      <c r="GI72" s="120"/>
      <c r="GJ72" s="120"/>
      <c r="GK72" s="120"/>
      <c r="GL72" s="120"/>
      <c r="GM72" s="120"/>
      <c r="GN72" s="120"/>
      <c r="GO72" s="120"/>
      <c r="GP72" s="120"/>
      <c r="GQ72" s="119"/>
      <c r="GR72" s="120"/>
      <c r="GS72" s="120"/>
      <c r="GT72" s="120"/>
      <c r="GU72" s="120"/>
      <c r="GV72" s="120"/>
      <c r="GW72" s="120"/>
      <c r="GX72" s="120"/>
      <c r="GY72" s="120"/>
      <c r="GZ72" s="120"/>
      <c r="HA72" s="120"/>
      <c r="HB72" s="120"/>
      <c r="HC72" s="120"/>
      <c r="HD72" s="120"/>
      <c r="HE72" s="120"/>
      <c r="HF72" s="120"/>
      <c r="HG72" s="120"/>
      <c r="HH72" s="120"/>
      <c r="HI72" s="120"/>
      <c r="HJ72" s="120"/>
      <c r="HK72" s="120"/>
      <c r="HL72" s="120"/>
      <c r="HM72" s="119"/>
      <c r="HN72" s="120"/>
      <c r="HO72" s="120"/>
      <c r="HP72" s="120"/>
      <c r="HQ72" s="120"/>
      <c r="HR72" s="120"/>
      <c r="HS72" s="120"/>
      <c r="HT72" s="120"/>
      <c r="HU72" s="120"/>
      <c r="HV72" s="120"/>
      <c r="HW72" s="120"/>
      <c r="HX72" s="120"/>
      <c r="HY72" s="120"/>
      <c r="HZ72" s="120"/>
      <c r="IA72" s="120"/>
      <c r="IB72" s="120"/>
      <c r="IC72" s="120"/>
      <c r="ID72" s="120"/>
      <c r="IE72" s="120"/>
      <c r="IF72" s="120"/>
      <c r="IG72" s="120"/>
      <c r="IH72" s="120"/>
      <c r="II72" s="119"/>
      <c r="IJ72" s="120"/>
      <c r="IK72" s="120"/>
      <c r="IL72" s="120"/>
      <c r="IM72" s="120"/>
      <c r="IN72" s="120"/>
      <c r="IO72" s="120"/>
      <c r="IP72" s="120"/>
      <c r="IQ72" s="120"/>
      <c r="IR72" s="120"/>
      <c r="IS72" s="120"/>
      <c r="IT72" s="120"/>
      <c r="IU72" s="120"/>
      <c r="IV72" s="120"/>
    </row>
    <row r="73" spans="1:256" s="118" customFormat="1" ht="15" customHeight="1">
      <c r="A73" s="526"/>
      <c r="B73" s="526"/>
      <c r="C73" s="526"/>
      <c r="D73" s="526"/>
      <c r="E73" s="526"/>
      <c r="F73" s="526"/>
      <c r="G73" s="526"/>
      <c r="H73" s="526"/>
      <c r="I73" s="526"/>
      <c r="J73" s="526"/>
      <c r="K73" s="526"/>
      <c r="L73" s="526"/>
      <c r="M73" s="526"/>
      <c r="N73" s="526"/>
      <c r="O73" s="147"/>
      <c r="P73" s="124"/>
      <c r="Q73" s="124"/>
      <c r="R73" s="124"/>
      <c r="S73" s="124"/>
      <c r="T73" s="124"/>
      <c r="U73" s="124"/>
      <c r="V73" s="124"/>
      <c r="W73" s="143"/>
      <c r="X73" s="144"/>
      <c r="Y73" s="144"/>
      <c r="Z73" s="144"/>
      <c r="AA73" s="144"/>
      <c r="AB73" s="144"/>
      <c r="AC73" s="144"/>
      <c r="AD73" s="144"/>
      <c r="AE73" s="144"/>
      <c r="AF73" s="144"/>
      <c r="AG73" s="144"/>
      <c r="AH73" s="144"/>
      <c r="AI73" s="144"/>
      <c r="AJ73" s="144"/>
      <c r="AK73" s="144"/>
      <c r="AL73" s="144"/>
      <c r="AM73" s="144"/>
      <c r="AN73" s="144"/>
      <c r="AO73" s="144"/>
      <c r="AP73" s="144"/>
      <c r="AQ73" s="144"/>
      <c r="AR73" s="144"/>
      <c r="AS73" s="143"/>
      <c r="AT73" s="144"/>
      <c r="AU73" s="144"/>
      <c r="AV73" s="144"/>
      <c r="AW73" s="144"/>
      <c r="AX73" s="144"/>
      <c r="AY73" s="144"/>
      <c r="AZ73" s="139"/>
      <c r="BA73" s="120"/>
      <c r="BB73" s="120"/>
      <c r="BC73" s="120"/>
      <c r="BD73" s="120"/>
      <c r="BE73" s="120"/>
      <c r="BF73" s="120"/>
      <c r="BG73" s="120"/>
      <c r="BH73" s="120"/>
      <c r="BI73" s="120"/>
      <c r="BJ73" s="120"/>
      <c r="BK73" s="120"/>
      <c r="BL73" s="120"/>
      <c r="BM73" s="120"/>
      <c r="BN73" s="120"/>
      <c r="BO73" s="119"/>
      <c r="BP73" s="120"/>
      <c r="BQ73" s="120"/>
      <c r="BR73" s="120"/>
      <c r="BS73" s="120"/>
      <c r="BT73" s="120"/>
      <c r="BU73" s="120"/>
      <c r="BV73" s="120"/>
      <c r="BW73" s="120"/>
      <c r="BX73" s="120"/>
      <c r="BY73" s="120"/>
      <c r="BZ73" s="120"/>
      <c r="CA73" s="120"/>
      <c r="CB73" s="120"/>
      <c r="CC73" s="120"/>
      <c r="CD73" s="120"/>
      <c r="CE73" s="120"/>
      <c r="CF73" s="120"/>
      <c r="CG73" s="120"/>
      <c r="CH73" s="120"/>
      <c r="CI73" s="120"/>
      <c r="CJ73" s="120"/>
      <c r="CK73" s="119"/>
      <c r="CL73" s="120"/>
      <c r="CM73" s="120"/>
      <c r="CN73" s="120"/>
      <c r="CO73" s="120"/>
      <c r="CP73" s="120"/>
      <c r="CQ73" s="120"/>
      <c r="CR73" s="120"/>
      <c r="CS73" s="120"/>
      <c r="CT73" s="120"/>
      <c r="CU73" s="120"/>
      <c r="CV73" s="120"/>
      <c r="CW73" s="120"/>
      <c r="CX73" s="120"/>
      <c r="CY73" s="120"/>
      <c r="CZ73" s="120"/>
      <c r="DA73" s="120"/>
      <c r="DB73" s="120"/>
      <c r="DC73" s="120"/>
      <c r="DD73" s="120"/>
      <c r="DE73" s="120"/>
      <c r="DF73" s="120"/>
      <c r="DG73" s="119"/>
      <c r="DH73" s="120"/>
      <c r="DI73" s="120"/>
      <c r="DJ73" s="120"/>
      <c r="DK73" s="120"/>
      <c r="DL73" s="120"/>
      <c r="DM73" s="120"/>
      <c r="DN73" s="120"/>
      <c r="DO73" s="120"/>
      <c r="DP73" s="120"/>
      <c r="DQ73" s="120"/>
      <c r="DR73" s="120"/>
      <c r="DS73" s="120"/>
      <c r="DT73" s="120"/>
      <c r="DU73" s="120"/>
      <c r="DV73" s="120"/>
      <c r="DW73" s="120"/>
      <c r="DX73" s="120"/>
      <c r="DY73" s="120"/>
      <c r="DZ73" s="120"/>
      <c r="EA73" s="120"/>
      <c r="EB73" s="120"/>
      <c r="EC73" s="119"/>
      <c r="ED73" s="120"/>
      <c r="EE73" s="120"/>
      <c r="EF73" s="120"/>
      <c r="EG73" s="120"/>
      <c r="EH73" s="120"/>
      <c r="EI73" s="120"/>
      <c r="EJ73" s="120"/>
      <c r="EK73" s="120"/>
      <c r="EL73" s="120"/>
      <c r="EM73" s="120"/>
      <c r="EN73" s="120"/>
      <c r="EO73" s="120"/>
      <c r="EP73" s="120"/>
      <c r="EQ73" s="120"/>
      <c r="ER73" s="120"/>
      <c r="ES73" s="120"/>
      <c r="ET73" s="120"/>
      <c r="EU73" s="120"/>
      <c r="EV73" s="120"/>
      <c r="EW73" s="120"/>
      <c r="EX73" s="120"/>
      <c r="EY73" s="119"/>
      <c r="EZ73" s="120"/>
      <c r="FA73" s="120"/>
      <c r="FB73" s="120"/>
      <c r="FC73" s="120"/>
      <c r="FD73" s="120"/>
      <c r="FE73" s="120"/>
      <c r="FF73" s="120"/>
      <c r="FG73" s="120"/>
      <c r="FH73" s="120"/>
      <c r="FI73" s="120"/>
      <c r="FJ73" s="120"/>
      <c r="FK73" s="120"/>
      <c r="FL73" s="120"/>
      <c r="FM73" s="120"/>
      <c r="FN73" s="120"/>
      <c r="FO73" s="120"/>
      <c r="FP73" s="120"/>
      <c r="FQ73" s="120"/>
      <c r="FR73" s="120"/>
      <c r="FS73" s="120"/>
      <c r="FT73" s="120"/>
      <c r="FU73" s="119"/>
      <c r="FV73" s="120"/>
      <c r="FW73" s="120"/>
      <c r="FX73" s="120"/>
      <c r="FY73" s="120"/>
      <c r="FZ73" s="120"/>
      <c r="GA73" s="120"/>
      <c r="GB73" s="120"/>
      <c r="GC73" s="120"/>
      <c r="GD73" s="120"/>
      <c r="GE73" s="120"/>
      <c r="GF73" s="120"/>
      <c r="GG73" s="120"/>
      <c r="GH73" s="120"/>
      <c r="GI73" s="120"/>
      <c r="GJ73" s="120"/>
      <c r="GK73" s="120"/>
      <c r="GL73" s="120"/>
      <c r="GM73" s="120"/>
      <c r="GN73" s="120"/>
      <c r="GO73" s="120"/>
      <c r="GP73" s="120"/>
      <c r="GQ73" s="119"/>
      <c r="GR73" s="120"/>
      <c r="GS73" s="120"/>
      <c r="GT73" s="120"/>
      <c r="GU73" s="120"/>
      <c r="GV73" s="120"/>
      <c r="GW73" s="120"/>
      <c r="GX73" s="120"/>
      <c r="GY73" s="120"/>
      <c r="GZ73" s="120"/>
      <c r="HA73" s="120"/>
      <c r="HB73" s="120"/>
      <c r="HC73" s="120"/>
      <c r="HD73" s="120"/>
      <c r="HE73" s="120"/>
      <c r="HF73" s="120"/>
      <c r="HG73" s="120"/>
      <c r="HH73" s="120"/>
      <c r="HI73" s="120"/>
      <c r="HJ73" s="120"/>
      <c r="HK73" s="120"/>
      <c r="HL73" s="120"/>
      <c r="HM73" s="119"/>
      <c r="HN73" s="120"/>
      <c r="HO73" s="120"/>
      <c r="HP73" s="120"/>
      <c r="HQ73" s="120"/>
      <c r="HR73" s="120"/>
      <c r="HS73" s="120"/>
      <c r="HT73" s="120"/>
      <c r="HU73" s="120"/>
      <c r="HV73" s="120"/>
      <c r="HW73" s="120"/>
      <c r="HX73" s="120"/>
      <c r="HY73" s="120"/>
      <c r="HZ73" s="120"/>
      <c r="IA73" s="120"/>
      <c r="IB73" s="120"/>
      <c r="IC73" s="120"/>
      <c r="ID73" s="120"/>
      <c r="IE73" s="120"/>
      <c r="IF73" s="120"/>
      <c r="IG73" s="120"/>
      <c r="IH73" s="120"/>
      <c r="II73" s="119"/>
      <c r="IJ73" s="120"/>
      <c r="IK73" s="120"/>
      <c r="IL73" s="120"/>
      <c r="IM73" s="120"/>
      <c r="IN73" s="120"/>
      <c r="IO73" s="120"/>
      <c r="IP73" s="120"/>
      <c r="IQ73" s="120"/>
      <c r="IR73" s="120"/>
      <c r="IS73" s="120"/>
      <c r="IT73" s="120"/>
      <c r="IU73" s="120"/>
      <c r="IV73" s="120"/>
    </row>
    <row r="74" spans="1:52" s="121" customFormat="1" ht="15" customHeight="1">
      <c r="A74" s="526"/>
      <c r="B74" s="526"/>
      <c r="C74" s="526"/>
      <c r="D74" s="526"/>
      <c r="E74" s="526"/>
      <c r="F74" s="526"/>
      <c r="G74" s="526"/>
      <c r="H74" s="526"/>
      <c r="I74" s="526"/>
      <c r="J74" s="526"/>
      <c r="K74" s="526"/>
      <c r="L74" s="526"/>
      <c r="M74" s="526"/>
      <c r="N74" s="526"/>
      <c r="O74" s="147"/>
      <c r="P74" s="124"/>
      <c r="Q74" s="124"/>
      <c r="R74" s="124"/>
      <c r="S74" s="124"/>
      <c r="T74" s="124"/>
      <c r="U74" s="124"/>
      <c r="V74" s="124"/>
      <c r="W74" s="145"/>
      <c r="X74" s="146"/>
      <c r="Y74" s="146"/>
      <c r="Z74" s="146"/>
      <c r="AA74" s="146"/>
      <c r="AB74" s="146"/>
      <c r="AC74" s="146"/>
      <c r="AD74" s="146"/>
      <c r="AE74" s="146"/>
      <c r="AF74" s="146"/>
      <c r="AG74" s="146"/>
      <c r="AH74" s="146"/>
      <c r="AI74" s="146"/>
      <c r="AJ74" s="146"/>
      <c r="AK74" s="146"/>
      <c r="AL74" s="146"/>
      <c r="AM74" s="146"/>
      <c r="AN74" s="146"/>
      <c r="AO74" s="146"/>
      <c r="AP74" s="146"/>
      <c r="AQ74" s="146"/>
      <c r="AR74" s="146"/>
      <c r="AS74" s="146"/>
      <c r="AT74" s="146"/>
      <c r="AU74" s="146"/>
      <c r="AV74" s="146"/>
      <c r="AW74" s="146"/>
      <c r="AX74" s="146"/>
      <c r="AY74" s="146"/>
      <c r="AZ74" s="140"/>
    </row>
    <row r="75" spans="1:15" s="3" customFormat="1" ht="18">
      <c r="A75" s="75"/>
      <c r="B75" s="33"/>
      <c r="C75" s="34"/>
      <c r="D75" s="35"/>
      <c r="E75" s="22"/>
      <c r="F75" s="22"/>
      <c r="G75" s="22"/>
      <c r="H75" s="36"/>
      <c r="I75" s="37"/>
      <c r="J75" s="522"/>
      <c r="K75" s="162"/>
      <c r="L75" s="40"/>
      <c r="M75" s="41"/>
      <c r="N75" s="39"/>
      <c r="O75" s="148"/>
    </row>
    <row r="76" spans="1:15" s="3" customFormat="1" ht="18">
      <c r="A76" s="75"/>
      <c r="B76" s="33"/>
      <c r="C76" s="34"/>
      <c r="D76" s="35"/>
      <c r="E76" s="22"/>
      <c r="F76" s="22"/>
      <c r="G76" s="22"/>
      <c r="H76" s="36"/>
      <c r="I76" s="37"/>
      <c r="J76" s="522"/>
      <c r="K76" s="162"/>
      <c r="L76" s="40"/>
      <c r="M76" s="41"/>
      <c r="N76" s="39"/>
      <c r="O76" s="148"/>
    </row>
  </sheetData>
  <sheetProtection/>
  <mergeCells count="11">
    <mergeCell ref="I3:I4"/>
    <mergeCell ref="E3:E4"/>
    <mergeCell ref="A2:I2"/>
    <mergeCell ref="A67:N67"/>
    <mergeCell ref="A68:N70"/>
    <mergeCell ref="A71:N74"/>
    <mergeCell ref="B3:B4"/>
    <mergeCell ref="C3:C4"/>
    <mergeCell ref="D3:D4"/>
    <mergeCell ref="F3:F4"/>
    <mergeCell ref="G3:H3"/>
  </mergeCells>
  <printOptions/>
  <pageMargins left="0.87" right="0.58" top="0.63" bottom="0.76" header="0.11811023622047245" footer="0.5"/>
  <pageSetup orientation="portrait" paperSize="9" scale="80"/>
  <ignoredErrors>
    <ignoredError sqref="H37:H50 G37:G41 G45:G50 G15:H16 G18:H36" unlockedFormula="1"/>
    <ignoredError sqref="E42:F44" numberStoredAsText="1"/>
    <ignoredError sqref="I13:I14 I37:I53" formula="1"/>
    <ignoredError sqref="G42:G44 I15:I36" numberStoredAsText="1" unlockedFormula="1"/>
    <ignoredError sqref="I15:I36" formula="1" unlockedFormula="1"/>
  </ignoredErrors>
  <drawing r:id="rId1"/>
</worksheet>
</file>

<file path=xl/worksheets/sheet3.xml><?xml version="1.0" encoding="utf-8"?>
<worksheet xmlns="http://schemas.openxmlformats.org/spreadsheetml/2006/main" xmlns:r="http://schemas.openxmlformats.org/officeDocument/2006/relationships">
  <dimension ref="A1:T336"/>
  <sheetViews>
    <sheetView zoomScalePageLayoutView="0" workbookViewId="0" topLeftCell="A1">
      <selection activeCell="A2" sqref="A2:N2"/>
    </sheetView>
  </sheetViews>
  <sheetFormatPr defaultColWidth="8.8515625" defaultRowHeight="12.75"/>
  <cols>
    <col min="1" max="1" width="3.7109375" style="81" bestFit="1" customWidth="1"/>
    <col min="2" max="2" width="59.7109375" style="11" bestFit="1" customWidth="1"/>
    <col min="3" max="3" width="8.421875" style="16" bestFit="1" customWidth="1"/>
    <col min="4" max="4" width="22.00390625" style="10" bestFit="1" customWidth="1"/>
    <col min="5" max="5" width="6.8515625" style="250" customWidth="1"/>
    <col min="6" max="6" width="7.28125" style="251" customWidth="1"/>
    <col min="7" max="7" width="8.421875" style="252" customWidth="1"/>
    <col min="8" max="8" width="13.57421875" style="154" bestFit="1" customWidth="1"/>
    <col min="9" max="9" width="8.57421875" style="155" bestFit="1" customWidth="1"/>
    <col min="10" max="10" width="7.7109375" style="17" customWidth="1"/>
    <col min="11" max="11" width="7.00390625" style="18" customWidth="1"/>
    <col min="12" max="12" width="13.28125" style="19" bestFit="1" customWidth="1"/>
    <col min="13" max="13" width="9.421875" style="17" bestFit="1" customWidth="1"/>
    <col min="14" max="14" width="6.140625" style="61" customWidth="1"/>
    <col min="15" max="15" width="2.00390625" style="281" bestFit="1" customWidth="1"/>
    <col min="16" max="16" width="2.140625" style="267" bestFit="1" customWidth="1"/>
    <col min="17" max="18" width="4.00390625" style="0" customWidth="1"/>
    <col min="19" max="19" width="9.7109375" style="0" bestFit="1" customWidth="1"/>
    <col min="20" max="20" width="6.00390625" style="0" bestFit="1" customWidth="1"/>
  </cols>
  <sheetData>
    <row r="1" spans="1:16" s="1" customFormat="1" ht="72.75" customHeight="1">
      <c r="A1" s="94"/>
      <c r="B1" s="95"/>
      <c r="C1" s="96"/>
      <c r="D1" s="97"/>
      <c r="E1" s="98"/>
      <c r="F1" s="98"/>
      <c r="G1" s="98"/>
      <c r="H1" s="99"/>
      <c r="I1" s="100"/>
      <c r="J1" s="101"/>
      <c r="K1" s="102"/>
      <c r="L1" s="103"/>
      <c r="M1" s="104"/>
      <c r="N1" s="105"/>
      <c r="O1" s="62"/>
      <c r="P1" s="263"/>
    </row>
    <row r="2" spans="1:16" s="5" customFormat="1" ht="22.5" customHeight="1" thickBot="1">
      <c r="A2" s="551" t="s">
        <v>84</v>
      </c>
      <c r="B2" s="552"/>
      <c r="C2" s="552"/>
      <c r="D2" s="552"/>
      <c r="E2" s="552"/>
      <c r="F2" s="552"/>
      <c r="G2" s="552"/>
      <c r="H2" s="552"/>
      <c r="I2" s="552"/>
      <c r="J2" s="552"/>
      <c r="K2" s="552"/>
      <c r="L2" s="552"/>
      <c r="M2" s="552"/>
      <c r="N2" s="552"/>
      <c r="O2" s="63"/>
      <c r="P2" s="264"/>
    </row>
    <row r="3" spans="1:20" s="86" customFormat="1" ht="12.75">
      <c r="A3" s="116"/>
      <c r="B3" s="537" t="s">
        <v>6</v>
      </c>
      <c r="C3" s="541" t="s">
        <v>43</v>
      </c>
      <c r="D3" s="539" t="s">
        <v>33</v>
      </c>
      <c r="E3" s="535" t="s">
        <v>44</v>
      </c>
      <c r="F3" s="535" t="s">
        <v>51</v>
      </c>
      <c r="G3" s="535" t="s">
        <v>32</v>
      </c>
      <c r="H3" s="549" t="s">
        <v>45</v>
      </c>
      <c r="I3" s="549"/>
      <c r="J3" s="549"/>
      <c r="K3" s="549"/>
      <c r="L3" s="549" t="s">
        <v>46</v>
      </c>
      <c r="M3" s="549"/>
      <c r="N3" s="550"/>
      <c r="O3" s="279"/>
      <c r="P3" s="265"/>
      <c r="Q3" s="149"/>
      <c r="R3" s="149"/>
      <c r="S3" s="149"/>
      <c r="T3" s="149"/>
    </row>
    <row r="4" spans="1:20" s="86" customFormat="1" ht="39" thickBot="1">
      <c r="A4" s="117"/>
      <c r="B4" s="554"/>
      <c r="C4" s="555"/>
      <c r="D4" s="553"/>
      <c r="E4" s="553"/>
      <c r="F4" s="553"/>
      <c r="G4" s="556"/>
      <c r="H4" s="221" t="s">
        <v>47</v>
      </c>
      <c r="I4" s="222" t="s">
        <v>48</v>
      </c>
      <c r="J4" s="222" t="s">
        <v>38</v>
      </c>
      <c r="K4" s="223" t="s">
        <v>49</v>
      </c>
      <c r="L4" s="221" t="s">
        <v>47</v>
      </c>
      <c r="M4" s="222" t="s">
        <v>48</v>
      </c>
      <c r="N4" s="224" t="s">
        <v>50</v>
      </c>
      <c r="O4" s="280"/>
      <c r="P4" s="266"/>
      <c r="Q4" s="149"/>
      <c r="R4" s="149"/>
      <c r="S4" s="149"/>
      <c r="T4" s="149"/>
    </row>
    <row r="5" spans="1:20" ht="13.5" customHeight="1">
      <c r="A5" s="225">
        <v>1</v>
      </c>
      <c r="B5" s="449" t="s">
        <v>155</v>
      </c>
      <c r="C5" s="450">
        <v>40095</v>
      </c>
      <c r="D5" s="451" t="s">
        <v>119</v>
      </c>
      <c r="E5" s="452">
        <v>22</v>
      </c>
      <c r="F5" s="452">
        <v>1</v>
      </c>
      <c r="G5" s="452">
        <v>20</v>
      </c>
      <c r="H5" s="453">
        <v>952</v>
      </c>
      <c r="I5" s="454">
        <v>238</v>
      </c>
      <c r="J5" s="455">
        <f aca="true" t="shared" si="0" ref="J5:J17">(I5/F5)</f>
        <v>238</v>
      </c>
      <c r="K5" s="456">
        <f aca="true" t="shared" si="1" ref="K5:K28">H5/I5</f>
        <v>4</v>
      </c>
      <c r="L5" s="457">
        <f>158809.5+140713.25+103696.25+38523+19360+17458+1188+196+2484+3158+1780+2933+1780+2461+6600.5+2668.5+440+441+476+952</f>
        <v>506118</v>
      </c>
      <c r="M5" s="458">
        <f>14214+13110+10683+4685+3074+2645+297+16+571+596+445+584+445+466+837+295+44+65+72+238</f>
        <v>53382</v>
      </c>
      <c r="N5" s="459">
        <f aca="true" t="shared" si="2" ref="N5:N17">L5/M5</f>
        <v>9.481061031808474</v>
      </c>
      <c r="O5" s="316"/>
      <c r="P5" s="314"/>
      <c r="Q5" s="66"/>
      <c r="R5" s="66"/>
      <c r="S5" s="66"/>
      <c r="T5" s="66"/>
    </row>
    <row r="6" spans="1:20" ht="13.5" customHeight="1">
      <c r="A6" s="225">
        <v>2</v>
      </c>
      <c r="B6" s="211" t="s">
        <v>195</v>
      </c>
      <c r="C6" s="175">
        <v>39493</v>
      </c>
      <c r="D6" s="244" t="s">
        <v>26</v>
      </c>
      <c r="E6" s="243">
        <v>179</v>
      </c>
      <c r="F6" s="243">
        <v>1</v>
      </c>
      <c r="G6" s="243">
        <v>47</v>
      </c>
      <c r="H6" s="201">
        <v>1919</v>
      </c>
      <c r="I6" s="180">
        <v>320</v>
      </c>
      <c r="J6" s="172">
        <f t="shared" si="0"/>
        <v>320</v>
      </c>
      <c r="K6" s="194">
        <f t="shared" si="1"/>
        <v>5.996875</v>
      </c>
      <c r="L6" s="203">
        <f>5039812.5+1919</f>
        <v>5041731.5</v>
      </c>
      <c r="M6" s="168">
        <f>1038442+320</f>
        <v>1038762</v>
      </c>
      <c r="N6" s="212">
        <f t="shared" si="2"/>
        <v>4.853596396479656</v>
      </c>
      <c r="O6" s="327">
        <v>1</v>
      </c>
      <c r="P6" s="315"/>
      <c r="Q6" s="66"/>
      <c r="R6" s="66"/>
      <c r="S6" s="66"/>
      <c r="T6" s="66"/>
    </row>
    <row r="7" spans="1:20" ht="13.5" customHeight="1">
      <c r="A7" s="225">
        <v>3</v>
      </c>
      <c r="B7" s="460" t="s">
        <v>16</v>
      </c>
      <c r="C7" s="166">
        <v>40417</v>
      </c>
      <c r="D7" s="231" t="s">
        <v>119</v>
      </c>
      <c r="E7" s="243">
        <v>25</v>
      </c>
      <c r="F7" s="243">
        <v>1</v>
      </c>
      <c r="G7" s="243">
        <v>15</v>
      </c>
      <c r="H7" s="378">
        <v>807</v>
      </c>
      <c r="I7" s="179">
        <v>102</v>
      </c>
      <c r="J7" s="172">
        <f t="shared" si="0"/>
        <v>102</v>
      </c>
      <c r="K7" s="385">
        <f t="shared" si="1"/>
        <v>7.911764705882353</v>
      </c>
      <c r="L7" s="186">
        <f>87475.5+57473+42134+23624+14854.5+21662+13363.5+5246+6057+2099+300.5+763+292.5+496.5+807</f>
        <v>276648</v>
      </c>
      <c r="M7" s="171">
        <f>7817+5228+5394+3109+2109+2845+2026+770+762+416+44+111+45+73+102</f>
        <v>30851</v>
      </c>
      <c r="N7" s="187">
        <f t="shared" si="2"/>
        <v>8.96722958737156</v>
      </c>
      <c r="O7" s="317"/>
      <c r="P7" s="315"/>
      <c r="Q7" s="66"/>
      <c r="R7" s="66"/>
      <c r="S7" s="66"/>
      <c r="T7" s="66"/>
    </row>
    <row r="8" spans="1:20" ht="13.5" customHeight="1">
      <c r="A8" s="225">
        <v>4</v>
      </c>
      <c r="B8" s="207" t="s">
        <v>130</v>
      </c>
      <c r="C8" s="166">
        <v>40172</v>
      </c>
      <c r="D8" s="244" t="s">
        <v>119</v>
      </c>
      <c r="E8" s="243">
        <v>60</v>
      </c>
      <c r="F8" s="243">
        <v>3</v>
      </c>
      <c r="G8" s="243">
        <v>32</v>
      </c>
      <c r="H8" s="193">
        <v>5074</v>
      </c>
      <c r="I8" s="179">
        <v>1267</v>
      </c>
      <c r="J8" s="172">
        <f t="shared" si="0"/>
        <v>422.3333333333333</v>
      </c>
      <c r="K8" s="194">
        <f t="shared" si="1"/>
        <v>4.004735595895817</v>
      </c>
      <c r="L8" s="195">
        <f>421775.5+397095.5+287050+215248.5+189819.5+180729.5+86816.5+23840+19148+14942.5+8798.5+9599+13618.5+4298+4028+3310+8547+6712.5+1803+1172+973+2291+380.5+3015+1103.5+65+2061.5+1262+1020+2232+2970+5074</f>
        <v>1920799.5</v>
      </c>
      <c r="M8" s="171">
        <f>43739+40732+31780+27356+25902+24895+12153+4496+3179+3069+1650+2236+3335+954+829+540+1945+1297+429+261+173+594+53+613+200+10+480+240+102+533+743+1267</f>
        <v>235785</v>
      </c>
      <c r="N8" s="212">
        <f t="shared" si="2"/>
        <v>8.146402442903492</v>
      </c>
      <c r="O8" s="317"/>
      <c r="P8" s="314"/>
      <c r="Q8" s="66"/>
      <c r="R8" s="66"/>
      <c r="S8" s="66"/>
      <c r="T8" s="66"/>
    </row>
    <row r="9" spans="1:20" ht="13.5" customHeight="1">
      <c r="A9" s="225">
        <v>5</v>
      </c>
      <c r="B9" s="207" t="s">
        <v>130</v>
      </c>
      <c r="C9" s="166">
        <v>40172</v>
      </c>
      <c r="D9" s="231" t="s">
        <v>119</v>
      </c>
      <c r="E9" s="232">
        <v>60</v>
      </c>
      <c r="F9" s="232">
        <v>2</v>
      </c>
      <c r="G9" s="232">
        <v>33</v>
      </c>
      <c r="H9" s="193">
        <v>2970</v>
      </c>
      <c r="I9" s="179">
        <v>742</v>
      </c>
      <c r="J9" s="172">
        <f t="shared" si="0"/>
        <v>371</v>
      </c>
      <c r="K9" s="194">
        <f t="shared" si="1"/>
        <v>4.002695417789758</v>
      </c>
      <c r="L9" s="195">
        <f>421775.5+397095.5+287050+215248.5+189819.5+180729.5+86816.5+23840+19148+14942.5+8798.5+9599+13618.5+4298+4028+3310+8547+6712.5+1803+1172+973+2291+380.5+3015+1103.5+65+2061.5+1262+1020+2232+2970+5074+2970</f>
        <v>1923769.5</v>
      </c>
      <c r="M9" s="171">
        <f>43739+40732+31780+27356+25902+24895+12153+4496+3179+3069+1650+2236+3335+954+829+540+1945+1297+429+261+173+594+53+613+200+10+480+240+102+533+743+1267+742</f>
        <v>236527</v>
      </c>
      <c r="N9" s="212">
        <f t="shared" si="2"/>
        <v>8.133403374667585</v>
      </c>
      <c r="O9" s="318"/>
      <c r="P9" s="315"/>
      <c r="Q9" s="66"/>
      <c r="R9" s="66"/>
      <c r="S9" s="66"/>
      <c r="T9" s="66"/>
    </row>
    <row r="10" spans="1:20" ht="13.5" customHeight="1">
      <c r="A10" s="225">
        <v>6</v>
      </c>
      <c r="B10" s="207" t="s">
        <v>130</v>
      </c>
      <c r="C10" s="259">
        <v>40172</v>
      </c>
      <c r="D10" s="231" t="s">
        <v>119</v>
      </c>
      <c r="E10" s="232">
        <v>60</v>
      </c>
      <c r="F10" s="232">
        <v>1</v>
      </c>
      <c r="G10" s="232">
        <v>34</v>
      </c>
      <c r="H10" s="378">
        <v>1188</v>
      </c>
      <c r="I10" s="396">
        <v>297</v>
      </c>
      <c r="J10" s="397">
        <f t="shared" si="0"/>
        <v>297</v>
      </c>
      <c r="K10" s="385">
        <f t="shared" si="1"/>
        <v>4</v>
      </c>
      <c r="L10" s="186">
        <f>421775.5+397095.5+287050+215248.5+189819.5+180729.5+86816.5+23840+19148+14942.5+8798.5+9599+13618.5+4298+4028+3310+8547+6712.5+1803+1172+973+2291+380.5+3015+1103.5+65+2061.5+1262+1020+2232+2970+5074+2970+1188</f>
        <v>1924957.5</v>
      </c>
      <c r="M10" s="269">
        <f>43739+40732+31780+27356+25902+24895+12153+4496+3179+3069+1650+2236+3335+954+829+540+1945+1297+429+261+173+594+53+613+200+10+480+240+102+533+743+1267+742+297</f>
        <v>236824</v>
      </c>
      <c r="N10" s="187">
        <f t="shared" si="2"/>
        <v>8.128219690571902</v>
      </c>
      <c r="O10" s="316"/>
      <c r="P10" s="314"/>
      <c r="Q10" s="66"/>
      <c r="R10" s="66"/>
      <c r="S10" s="66"/>
      <c r="T10" s="66"/>
    </row>
    <row r="11" spans="1:20" ht="13.5" customHeight="1">
      <c r="A11" s="225">
        <v>7</v>
      </c>
      <c r="B11" s="461" t="s">
        <v>113</v>
      </c>
      <c r="C11" s="373">
        <v>40228</v>
      </c>
      <c r="D11" s="231" t="s">
        <v>119</v>
      </c>
      <c r="E11" s="375">
        <v>17</v>
      </c>
      <c r="F11" s="375">
        <v>1</v>
      </c>
      <c r="G11" s="375">
        <v>33</v>
      </c>
      <c r="H11" s="377">
        <v>1188</v>
      </c>
      <c r="I11" s="381">
        <v>297</v>
      </c>
      <c r="J11" s="382">
        <f t="shared" si="0"/>
        <v>297</v>
      </c>
      <c r="K11" s="384">
        <f t="shared" si="1"/>
        <v>4</v>
      </c>
      <c r="L11" s="387">
        <f>289107+1009.5+669+336+323+699+1238+121+1782+1782+1188</f>
        <v>298254.5</v>
      </c>
      <c r="M11" s="388">
        <f>30560+127+85+56+54+123+217+22+445+445+297</f>
        <v>32431</v>
      </c>
      <c r="N11" s="462">
        <f t="shared" si="2"/>
        <v>9.196586599241467</v>
      </c>
      <c r="O11" s="319"/>
      <c r="P11" s="314"/>
      <c r="Q11" s="66"/>
      <c r="R11" s="66"/>
      <c r="S11" s="66"/>
      <c r="T11" s="66"/>
    </row>
    <row r="12" spans="1:20" ht="13.5" customHeight="1">
      <c r="A12" s="225">
        <v>8</v>
      </c>
      <c r="B12" s="207" t="s">
        <v>177</v>
      </c>
      <c r="C12" s="166">
        <v>40459</v>
      </c>
      <c r="D12" s="244" t="s">
        <v>119</v>
      </c>
      <c r="E12" s="243">
        <v>142</v>
      </c>
      <c r="F12" s="243">
        <v>2</v>
      </c>
      <c r="G12" s="243">
        <v>17</v>
      </c>
      <c r="H12" s="195">
        <v>3207.5</v>
      </c>
      <c r="I12" s="171">
        <v>725</v>
      </c>
      <c r="J12" s="172">
        <f t="shared" si="0"/>
        <v>362.5</v>
      </c>
      <c r="K12" s="194">
        <f t="shared" si="1"/>
        <v>4.424137931034482</v>
      </c>
      <c r="L12" s="195">
        <f>569713+434829.5+295345.5+223420+26108+12415.5+5998+1904+1368+799+648+306+1782+594+1782+1425.5+3207.5</f>
        <v>1581645.5</v>
      </c>
      <c r="M12" s="171">
        <f>61050+47827+36467+29781+4601+2405+1000+284+287+123+103+51+445+113+446+267+725</f>
        <v>185975</v>
      </c>
      <c r="N12" s="212">
        <f t="shared" si="2"/>
        <v>8.504613523323027</v>
      </c>
      <c r="O12" s="320">
        <v>1</v>
      </c>
      <c r="P12" s="314"/>
      <c r="Q12" s="66"/>
      <c r="R12" s="66"/>
      <c r="S12" s="66"/>
      <c r="T12" s="66"/>
    </row>
    <row r="13" spans="1:20" ht="13.5" customHeight="1">
      <c r="A13" s="225">
        <v>9</v>
      </c>
      <c r="B13" s="207" t="s">
        <v>79</v>
      </c>
      <c r="C13" s="166">
        <v>40459</v>
      </c>
      <c r="D13" s="231" t="s">
        <v>119</v>
      </c>
      <c r="E13" s="243">
        <v>142</v>
      </c>
      <c r="F13" s="243">
        <v>1</v>
      </c>
      <c r="G13" s="243">
        <v>15</v>
      </c>
      <c r="H13" s="193">
        <v>1782</v>
      </c>
      <c r="I13" s="179">
        <v>446</v>
      </c>
      <c r="J13" s="172">
        <f t="shared" si="0"/>
        <v>446</v>
      </c>
      <c r="K13" s="194">
        <f t="shared" si="1"/>
        <v>3.995515695067265</v>
      </c>
      <c r="L13" s="195">
        <f>569713+434829.5+295345.5+223420+26108+12415.5+5998+1904+1368+799+648+306+1782+594+1782</f>
        <v>1577012.5</v>
      </c>
      <c r="M13" s="171">
        <f>61050+47827+36467+29781+4601+2405+1000+284+287+123+103+51+445+113+446</f>
        <v>184983</v>
      </c>
      <c r="N13" s="212">
        <f t="shared" si="2"/>
        <v>8.525175286377667</v>
      </c>
      <c r="O13" s="317">
        <v>1</v>
      </c>
      <c r="P13" s="314"/>
      <c r="Q13" s="66"/>
      <c r="R13" s="66"/>
      <c r="S13" s="66"/>
      <c r="T13" s="66"/>
    </row>
    <row r="14" spans="1:20" ht="13.5" customHeight="1">
      <c r="A14" s="225">
        <v>10</v>
      </c>
      <c r="B14" s="460" t="s">
        <v>79</v>
      </c>
      <c r="C14" s="166">
        <v>40459</v>
      </c>
      <c r="D14" s="231" t="s">
        <v>119</v>
      </c>
      <c r="E14" s="243">
        <v>142</v>
      </c>
      <c r="F14" s="243">
        <v>1</v>
      </c>
      <c r="G14" s="243">
        <v>13</v>
      </c>
      <c r="H14" s="378">
        <v>1782</v>
      </c>
      <c r="I14" s="179">
        <v>445</v>
      </c>
      <c r="J14" s="172">
        <f t="shared" si="0"/>
        <v>445</v>
      </c>
      <c r="K14" s="385">
        <f t="shared" si="1"/>
        <v>4.004494382022472</v>
      </c>
      <c r="L14" s="186">
        <f>569713+434829.5+295345.5+223420+26108+12415.5+5998+1904+1368+799+648+306+1782</f>
        <v>1574636.5</v>
      </c>
      <c r="M14" s="171">
        <f>61050+47827+36467+29781+4601+2405+1000+284+287+123+103+51+445</f>
        <v>184424</v>
      </c>
      <c r="N14" s="187">
        <f t="shared" si="2"/>
        <v>8.538132238754175</v>
      </c>
      <c r="O14" s="317"/>
      <c r="P14" s="314"/>
      <c r="Q14" s="66"/>
      <c r="R14" s="66"/>
      <c r="S14" s="66"/>
      <c r="T14" s="66"/>
    </row>
    <row r="15" spans="1:20" ht="13.5" customHeight="1">
      <c r="A15" s="225">
        <v>11</v>
      </c>
      <c r="B15" s="242" t="s">
        <v>79</v>
      </c>
      <c r="C15" s="259">
        <v>40459</v>
      </c>
      <c r="D15" s="231" t="s">
        <v>119</v>
      </c>
      <c r="E15" s="232">
        <v>142</v>
      </c>
      <c r="F15" s="232">
        <v>1</v>
      </c>
      <c r="G15" s="232">
        <v>16</v>
      </c>
      <c r="H15" s="193">
        <v>1425.5</v>
      </c>
      <c r="I15" s="179">
        <v>267</v>
      </c>
      <c r="J15" s="172">
        <f t="shared" si="0"/>
        <v>267</v>
      </c>
      <c r="K15" s="194">
        <f t="shared" si="1"/>
        <v>5.3389513108614235</v>
      </c>
      <c r="L15" s="195">
        <f>569713+434829.5+295345.5+223420+26108+12415.5+5998+1904+1368+799+648+306+1782+594+1782+1425.5</f>
        <v>1578438</v>
      </c>
      <c r="M15" s="171">
        <f>61050+47827+36467+29781+4601+2405+1000+284+287+123+103+51+445+113+446+267</f>
        <v>185250</v>
      </c>
      <c r="N15" s="212">
        <f t="shared" si="2"/>
        <v>8.520582995951417</v>
      </c>
      <c r="O15" s="316">
        <v>1</v>
      </c>
      <c r="P15" s="314"/>
      <c r="Q15" s="66"/>
      <c r="R15" s="66"/>
      <c r="S15" s="66"/>
      <c r="T15" s="66"/>
    </row>
    <row r="16" spans="1:20" ht="13.5" customHeight="1">
      <c r="A16" s="225">
        <v>12</v>
      </c>
      <c r="B16" s="461" t="s">
        <v>79</v>
      </c>
      <c r="C16" s="373">
        <v>40459</v>
      </c>
      <c r="D16" s="231" t="s">
        <v>119</v>
      </c>
      <c r="E16" s="375">
        <v>142</v>
      </c>
      <c r="F16" s="375">
        <v>1</v>
      </c>
      <c r="G16" s="375">
        <v>14</v>
      </c>
      <c r="H16" s="377">
        <v>594</v>
      </c>
      <c r="I16" s="381">
        <v>113</v>
      </c>
      <c r="J16" s="382">
        <f t="shared" si="0"/>
        <v>113</v>
      </c>
      <c r="K16" s="384">
        <f t="shared" si="1"/>
        <v>5.256637168141593</v>
      </c>
      <c r="L16" s="387">
        <f>569713+434829.5+295345.5+223420+26108+12415.5+5998+1904+1368+799+648+306+1782+594</f>
        <v>1575230.5</v>
      </c>
      <c r="M16" s="388">
        <f>61050+47827+36467+29781+4601+2405+1000+284+287+123+103+51+445+113</f>
        <v>184537</v>
      </c>
      <c r="N16" s="462">
        <f t="shared" si="2"/>
        <v>8.53612283715461</v>
      </c>
      <c r="O16" s="319">
        <v>1</v>
      </c>
      <c r="P16" s="315"/>
      <c r="Q16" s="66"/>
      <c r="R16" s="66"/>
      <c r="S16" s="66"/>
      <c r="T16" s="66"/>
    </row>
    <row r="17" spans="1:20" ht="13.5" customHeight="1">
      <c r="A17" s="225">
        <v>13</v>
      </c>
      <c r="B17" s="207" t="s">
        <v>177</v>
      </c>
      <c r="C17" s="166">
        <v>40459</v>
      </c>
      <c r="D17" s="244" t="s">
        <v>119</v>
      </c>
      <c r="E17" s="243">
        <v>142</v>
      </c>
      <c r="F17" s="243">
        <v>1</v>
      </c>
      <c r="G17" s="243">
        <v>18</v>
      </c>
      <c r="H17" s="193">
        <v>151</v>
      </c>
      <c r="I17" s="179">
        <v>24</v>
      </c>
      <c r="J17" s="172">
        <f t="shared" si="0"/>
        <v>24</v>
      </c>
      <c r="K17" s="194">
        <f t="shared" si="1"/>
        <v>6.291666666666667</v>
      </c>
      <c r="L17" s="195">
        <f>569713+434829.5+295345.5+223420+26108+12415.5+5998+1904+1368+799+648+306+1782+594+1782+1425.5+3089+151</f>
        <v>1581678</v>
      </c>
      <c r="M17" s="171">
        <f>61050+47827+36467+29781+4601+2405+1000+284+287+123+103+51+445+113+446+267+708+24</f>
        <v>185982</v>
      </c>
      <c r="N17" s="212">
        <f t="shared" si="2"/>
        <v>8.504468174339452</v>
      </c>
      <c r="O17" s="327">
        <v>1</v>
      </c>
      <c r="P17" s="315"/>
      <c r="Q17" s="66"/>
      <c r="R17" s="66"/>
      <c r="S17" s="66"/>
      <c r="T17" s="66"/>
    </row>
    <row r="18" spans="1:20" ht="13.5" customHeight="1">
      <c r="A18" s="225">
        <v>14</v>
      </c>
      <c r="B18" s="463" t="s">
        <v>70</v>
      </c>
      <c r="C18" s="163">
        <v>40515</v>
      </c>
      <c r="D18" s="398" t="s">
        <v>24</v>
      </c>
      <c r="E18" s="245">
        <v>337</v>
      </c>
      <c r="F18" s="245">
        <v>349</v>
      </c>
      <c r="G18" s="245">
        <v>5</v>
      </c>
      <c r="H18" s="399">
        <v>1719523</v>
      </c>
      <c r="I18" s="178">
        <v>182375</v>
      </c>
      <c r="J18" s="165">
        <f aca="true" t="shared" si="3" ref="J18:J28">I18/F18</f>
        <v>522.5644699140402</v>
      </c>
      <c r="K18" s="400">
        <f t="shared" si="1"/>
        <v>9.4285017135024</v>
      </c>
      <c r="L18" s="401">
        <v>18655018</v>
      </c>
      <c r="M18" s="164">
        <v>1982618</v>
      </c>
      <c r="N18" s="464">
        <f aca="true" t="shared" si="4" ref="N18:N28">+L18/M18</f>
        <v>9.409285096776081</v>
      </c>
      <c r="O18" s="320">
        <v>1</v>
      </c>
      <c r="P18" s="314"/>
      <c r="Q18" s="66"/>
      <c r="R18" s="66"/>
      <c r="S18" s="66"/>
      <c r="T18" s="66"/>
    </row>
    <row r="19" spans="1:20" ht="13.5" customHeight="1">
      <c r="A19" s="225">
        <v>15</v>
      </c>
      <c r="B19" s="209" t="s">
        <v>87</v>
      </c>
      <c r="C19" s="163">
        <v>40515</v>
      </c>
      <c r="D19" s="398" t="s">
        <v>24</v>
      </c>
      <c r="E19" s="245">
        <v>337</v>
      </c>
      <c r="F19" s="245">
        <v>292</v>
      </c>
      <c r="G19" s="245">
        <v>6</v>
      </c>
      <c r="H19" s="190">
        <v>638062</v>
      </c>
      <c r="I19" s="178">
        <v>72167</v>
      </c>
      <c r="J19" s="165">
        <f t="shared" si="3"/>
        <v>247.1472602739726</v>
      </c>
      <c r="K19" s="191">
        <f t="shared" si="1"/>
        <v>8.841464935496834</v>
      </c>
      <c r="L19" s="192">
        <v>19293080</v>
      </c>
      <c r="M19" s="164">
        <v>2054938</v>
      </c>
      <c r="N19" s="210">
        <f t="shared" si="4"/>
        <v>9.388643355663286</v>
      </c>
      <c r="O19" s="320">
        <v>1</v>
      </c>
      <c r="P19" s="314"/>
      <c r="Q19" s="66"/>
      <c r="R19" s="66"/>
      <c r="S19" s="66"/>
      <c r="T19" s="66"/>
    </row>
    <row r="20" spans="1:20" ht="13.5" customHeight="1">
      <c r="A20" s="225">
        <v>16</v>
      </c>
      <c r="B20" s="213" t="s">
        <v>70</v>
      </c>
      <c r="C20" s="163">
        <v>40515</v>
      </c>
      <c r="D20" s="234" t="s">
        <v>24</v>
      </c>
      <c r="E20" s="233">
        <v>337</v>
      </c>
      <c r="F20" s="233">
        <v>128</v>
      </c>
      <c r="G20" s="233">
        <v>7</v>
      </c>
      <c r="H20" s="190">
        <v>271404</v>
      </c>
      <c r="I20" s="178">
        <v>30669</v>
      </c>
      <c r="J20" s="165">
        <f t="shared" si="3"/>
        <v>239.6015625</v>
      </c>
      <c r="K20" s="191">
        <f t="shared" si="1"/>
        <v>8.849457106524504</v>
      </c>
      <c r="L20" s="192">
        <v>19564484</v>
      </c>
      <c r="M20" s="164">
        <v>2085607</v>
      </c>
      <c r="N20" s="210">
        <f t="shared" si="4"/>
        <v>9.380714583332335</v>
      </c>
      <c r="O20" s="316">
        <v>1</v>
      </c>
      <c r="P20" s="314"/>
      <c r="Q20" s="66"/>
      <c r="R20" s="66"/>
      <c r="S20" s="66"/>
      <c r="T20" s="66"/>
    </row>
    <row r="21" spans="1:20" ht="13.5" customHeight="1">
      <c r="A21" s="225">
        <v>17</v>
      </c>
      <c r="B21" s="463" t="s">
        <v>87</v>
      </c>
      <c r="C21" s="163">
        <v>40515</v>
      </c>
      <c r="D21" s="246" t="s">
        <v>24</v>
      </c>
      <c r="E21" s="245">
        <v>337</v>
      </c>
      <c r="F21" s="245">
        <v>32</v>
      </c>
      <c r="G21" s="245">
        <v>8</v>
      </c>
      <c r="H21" s="190">
        <v>59187</v>
      </c>
      <c r="I21" s="178">
        <v>7792</v>
      </c>
      <c r="J21" s="165">
        <f t="shared" si="3"/>
        <v>243.5</v>
      </c>
      <c r="K21" s="191">
        <f t="shared" si="1"/>
        <v>7.595867556468172</v>
      </c>
      <c r="L21" s="192">
        <v>19623671</v>
      </c>
      <c r="M21" s="164">
        <v>2093399</v>
      </c>
      <c r="N21" s="210">
        <f t="shared" si="4"/>
        <v>9.374071068152798</v>
      </c>
      <c r="O21" s="317">
        <v>1</v>
      </c>
      <c r="P21" s="314"/>
      <c r="Q21" s="66"/>
      <c r="R21" s="66"/>
      <c r="S21" s="66"/>
      <c r="T21" s="66"/>
    </row>
    <row r="22" spans="1:20" ht="13.5" customHeight="1">
      <c r="A22" s="225">
        <v>18</v>
      </c>
      <c r="B22" s="213" t="s">
        <v>87</v>
      </c>
      <c r="C22" s="402">
        <v>40515</v>
      </c>
      <c r="D22" s="234" t="s">
        <v>24</v>
      </c>
      <c r="E22" s="233">
        <v>337</v>
      </c>
      <c r="F22" s="233">
        <v>3</v>
      </c>
      <c r="G22" s="233">
        <v>12</v>
      </c>
      <c r="H22" s="190">
        <v>7416</v>
      </c>
      <c r="I22" s="178">
        <v>1461</v>
      </c>
      <c r="J22" s="165">
        <f t="shared" si="3"/>
        <v>487</v>
      </c>
      <c r="K22" s="191">
        <f t="shared" si="1"/>
        <v>5.075975359342916</v>
      </c>
      <c r="L22" s="192">
        <v>19636508</v>
      </c>
      <c r="M22" s="164">
        <v>2095488</v>
      </c>
      <c r="N22" s="210">
        <f t="shared" si="4"/>
        <v>9.370852040193025</v>
      </c>
      <c r="O22" s="316">
        <v>1</v>
      </c>
      <c r="P22" s="314"/>
      <c r="Q22" s="66"/>
      <c r="R22" s="66"/>
      <c r="S22" s="66"/>
      <c r="T22" s="66"/>
    </row>
    <row r="23" spans="1:20" ht="13.5" customHeight="1">
      <c r="A23" s="225">
        <v>19</v>
      </c>
      <c r="B23" s="209" t="s">
        <v>87</v>
      </c>
      <c r="C23" s="163">
        <v>40515</v>
      </c>
      <c r="D23" s="246" t="s">
        <v>24</v>
      </c>
      <c r="E23" s="245">
        <v>337</v>
      </c>
      <c r="F23" s="245">
        <v>6</v>
      </c>
      <c r="G23" s="245">
        <v>9</v>
      </c>
      <c r="H23" s="190">
        <v>3519</v>
      </c>
      <c r="I23" s="178">
        <v>429</v>
      </c>
      <c r="J23" s="165">
        <f t="shared" si="3"/>
        <v>71.5</v>
      </c>
      <c r="K23" s="191">
        <f t="shared" si="1"/>
        <v>8.202797202797203</v>
      </c>
      <c r="L23" s="192">
        <v>19627190</v>
      </c>
      <c r="M23" s="164">
        <v>2093828</v>
      </c>
      <c r="N23" s="210">
        <f t="shared" si="4"/>
        <v>9.373831088322442</v>
      </c>
      <c r="O23" s="317">
        <v>1</v>
      </c>
      <c r="P23" s="314"/>
      <c r="Q23" s="66"/>
      <c r="R23" s="66"/>
      <c r="S23" s="66"/>
      <c r="T23" s="66"/>
    </row>
    <row r="24" spans="1:20" ht="13.5" customHeight="1">
      <c r="A24" s="225">
        <v>20</v>
      </c>
      <c r="B24" s="213" t="s">
        <v>70</v>
      </c>
      <c r="C24" s="402">
        <v>40515</v>
      </c>
      <c r="D24" s="234" t="s">
        <v>24</v>
      </c>
      <c r="E24" s="233">
        <v>337</v>
      </c>
      <c r="F24" s="233">
        <v>1</v>
      </c>
      <c r="G24" s="233">
        <v>13</v>
      </c>
      <c r="H24" s="399">
        <v>2380</v>
      </c>
      <c r="I24" s="403">
        <v>476</v>
      </c>
      <c r="J24" s="404">
        <f t="shared" si="3"/>
        <v>476</v>
      </c>
      <c r="K24" s="400">
        <f t="shared" si="1"/>
        <v>5</v>
      </c>
      <c r="L24" s="401">
        <v>19638888</v>
      </c>
      <c r="M24" s="405">
        <v>2095964</v>
      </c>
      <c r="N24" s="464">
        <f t="shared" si="4"/>
        <v>9.369859405982163</v>
      </c>
      <c r="O24" s="316">
        <v>1</v>
      </c>
      <c r="P24" s="315"/>
      <c r="Q24" s="66"/>
      <c r="R24" s="66"/>
      <c r="S24" s="66"/>
      <c r="T24" s="66"/>
    </row>
    <row r="25" spans="1:20" ht="13.5" customHeight="1">
      <c r="A25" s="225">
        <v>21</v>
      </c>
      <c r="B25" s="209" t="s">
        <v>70</v>
      </c>
      <c r="C25" s="163">
        <v>40515</v>
      </c>
      <c r="D25" s="246" t="s">
        <v>24</v>
      </c>
      <c r="E25" s="245">
        <v>337</v>
      </c>
      <c r="F25" s="245">
        <v>1</v>
      </c>
      <c r="G25" s="245">
        <v>15</v>
      </c>
      <c r="H25" s="190">
        <v>2380</v>
      </c>
      <c r="I25" s="178">
        <v>476</v>
      </c>
      <c r="J25" s="165">
        <f t="shared" si="3"/>
        <v>476</v>
      </c>
      <c r="K25" s="191">
        <f t="shared" si="1"/>
        <v>5</v>
      </c>
      <c r="L25" s="192">
        <v>19643049</v>
      </c>
      <c r="M25" s="164">
        <v>2097746</v>
      </c>
      <c r="N25" s="210">
        <f t="shared" si="4"/>
        <v>9.363883425352736</v>
      </c>
      <c r="O25" s="327">
        <v>1</v>
      </c>
      <c r="P25" s="314"/>
      <c r="Q25" s="66"/>
      <c r="R25" s="66"/>
      <c r="S25" s="66"/>
      <c r="T25" s="66"/>
    </row>
    <row r="26" spans="1:20" ht="13.5" customHeight="1">
      <c r="A26" s="225">
        <v>22</v>
      </c>
      <c r="B26" s="209" t="s">
        <v>87</v>
      </c>
      <c r="C26" s="163">
        <v>40515</v>
      </c>
      <c r="D26" s="246" t="s">
        <v>24</v>
      </c>
      <c r="E26" s="245">
        <v>337</v>
      </c>
      <c r="F26" s="245">
        <v>1</v>
      </c>
      <c r="G26" s="245">
        <v>14</v>
      </c>
      <c r="H26" s="192">
        <v>1781</v>
      </c>
      <c r="I26" s="164">
        <v>1306</v>
      </c>
      <c r="J26" s="165">
        <f t="shared" si="3"/>
        <v>1306</v>
      </c>
      <c r="K26" s="191">
        <f t="shared" si="1"/>
        <v>1.3637059724349159</v>
      </c>
      <c r="L26" s="192">
        <v>19640669</v>
      </c>
      <c r="M26" s="164">
        <v>2097270</v>
      </c>
      <c r="N26" s="210">
        <f t="shared" si="4"/>
        <v>9.364873859827298</v>
      </c>
      <c r="O26" s="320">
        <v>1</v>
      </c>
      <c r="P26" s="314"/>
      <c r="Q26" s="66"/>
      <c r="R26" s="66"/>
      <c r="S26" s="66"/>
      <c r="T26" s="66"/>
    </row>
    <row r="27" spans="1:20" ht="13.5" customHeight="1">
      <c r="A27" s="225">
        <v>23</v>
      </c>
      <c r="B27" s="213" t="s">
        <v>87</v>
      </c>
      <c r="C27" s="163">
        <v>40515</v>
      </c>
      <c r="D27" s="234" t="s">
        <v>24</v>
      </c>
      <c r="E27" s="233">
        <v>337</v>
      </c>
      <c r="F27" s="233">
        <v>3</v>
      </c>
      <c r="G27" s="233">
        <v>10</v>
      </c>
      <c r="H27" s="190">
        <v>1124</v>
      </c>
      <c r="I27" s="178">
        <v>121</v>
      </c>
      <c r="J27" s="165">
        <f t="shared" si="3"/>
        <v>40.333333333333336</v>
      </c>
      <c r="K27" s="191">
        <f t="shared" si="1"/>
        <v>9.289256198347108</v>
      </c>
      <c r="L27" s="192">
        <v>19628314</v>
      </c>
      <c r="M27" s="164">
        <v>2093949</v>
      </c>
      <c r="N27" s="210">
        <f t="shared" si="4"/>
        <v>9.37382620111569</v>
      </c>
      <c r="O27" s="318"/>
      <c r="P27" s="314"/>
      <c r="Q27" s="66"/>
      <c r="R27" s="66"/>
      <c r="S27" s="66"/>
      <c r="T27" s="66"/>
    </row>
    <row r="28" spans="1:20" ht="13.5" customHeight="1">
      <c r="A28" s="225">
        <v>24</v>
      </c>
      <c r="B28" s="209" t="s">
        <v>87</v>
      </c>
      <c r="C28" s="163">
        <v>40515</v>
      </c>
      <c r="D28" s="246" t="s">
        <v>24</v>
      </c>
      <c r="E28" s="245">
        <v>337</v>
      </c>
      <c r="F28" s="245">
        <v>2</v>
      </c>
      <c r="G28" s="245">
        <v>11</v>
      </c>
      <c r="H28" s="190">
        <v>778</v>
      </c>
      <c r="I28" s="178">
        <v>78</v>
      </c>
      <c r="J28" s="165">
        <f t="shared" si="3"/>
        <v>39</v>
      </c>
      <c r="K28" s="191">
        <f t="shared" si="1"/>
        <v>9.974358974358974</v>
      </c>
      <c r="L28" s="192">
        <v>19629092</v>
      </c>
      <c r="M28" s="164">
        <v>2094027</v>
      </c>
      <c r="N28" s="210">
        <f t="shared" si="4"/>
        <v>9.373848570242886</v>
      </c>
      <c r="O28" s="321">
        <v>1</v>
      </c>
      <c r="P28" s="314"/>
      <c r="Q28" s="66"/>
      <c r="R28" s="66"/>
      <c r="S28" s="66"/>
      <c r="T28" s="66"/>
    </row>
    <row r="29" spans="1:20" ht="13.5" customHeight="1">
      <c r="A29" s="225">
        <v>25</v>
      </c>
      <c r="B29" s="213" t="s">
        <v>106</v>
      </c>
      <c r="C29" s="163">
        <v>40249</v>
      </c>
      <c r="D29" s="234" t="s">
        <v>17</v>
      </c>
      <c r="E29" s="233">
        <v>116</v>
      </c>
      <c r="F29" s="233">
        <v>1</v>
      </c>
      <c r="G29" s="233">
        <v>30</v>
      </c>
      <c r="H29" s="199">
        <v>3020</v>
      </c>
      <c r="I29" s="183">
        <v>604</v>
      </c>
      <c r="J29" s="170">
        <f>+I29/F29</f>
        <v>604</v>
      </c>
      <c r="K29" s="197">
        <f>+H29/I29</f>
        <v>5</v>
      </c>
      <c r="L29" s="200">
        <f>1547543.25+3020+3020</f>
        <v>1553583.25</v>
      </c>
      <c r="M29" s="167">
        <f>209803+604+604</f>
        <v>211011</v>
      </c>
      <c r="N29" s="214">
        <f>IF(L29&lt;&gt;0,L29/M29,"")</f>
        <v>7.36256996080773</v>
      </c>
      <c r="O29" s="316">
        <v>1</v>
      </c>
      <c r="P29" s="314"/>
      <c r="Q29" s="66"/>
      <c r="R29" s="66"/>
      <c r="S29" s="66"/>
      <c r="T29" s="66"/>
    </row>
    <row r="30" spans="1:20" ht="13.5" customHeight="1">
      <c r="A30" s="225">
        <v>26</v>
      </c>
      <c r="B30" s="463" t="s">
        <v>12</v>
      </c>
      <c r="C30" s="163">
        <v>40466</v>
      </c>
      <c r="D30" s="398" t="s">
        <v>17</v>
      </c>
      <c r="E30" s="245">
        <v>10</v>
      </c>
      <c r="F30" s="245">
        <v>2</v>
      </c>
      <c r="G30" s="245">
        <v>7</v>
      </c>
      <c r="H30" s="406">
        <v>325</v>
      </c>
      <c r="I30" s="183">
        <v>44</v>
      </c>
      <c r="J30" s="170">
        <f>IF(H30&lt;&gt;0,I30/F30,"")</f>
        <v>22</v>
      </c>
      <c r="K30" s="407">
        <f>IF(H30&lt;&gt;0,H30/I30,"")</f>
        <v>7.386363636363637</v>
      </c>
      <c r="L30" s="408">
        <f>7088+2486+815+33+201+698+H30</f>
        <v>11646</v>
      </c>
      <c r="M30" s="167">
        <f>735+318+126+5+29+108+I30</f>
        <v>1365</v>
      </c>
      <c r="N30" s="465">
        <f>IF(L30&lt;&gt;0,L30/M30,"")</f>
        <v>8.531868131868132</v>
      </c>
      <c r="O30" s="317"/>
      <c r="P30" s="314"/>
      <c r="Q30" s="66"/>
      <c r="R30" s="66"/>
      <c r="S30" s="66"/>
      <c r="T30" s="66"/>
    </row>
    <row r="31" spans="1:20" ht="13.5" customHeight="1">
      <c r="A31" s="225">
        <v>27</v>
      </c>
      <c r="B31" s="213" t="s">
        <v>12</v>
      </c>
      <c r="C31" s="163">
        <v>40466</v>
      </c>
      <c r="D31" s="234" t="s">
        <v>17</v>
      </c>
      <c r="E31" s="233">
        <v>10</v>
      </c>
      <c r="F31" s="233">
        <v>1</v>
      </c>
      <c r="G31" s="233">
        <v>8</v>
      </c>
      <c r="H31" s="199">
        <v>251</v>
      </c>
      <c r="I31" s="183">
        <v>68</v>
      </c>
      <c r="J31" s="170">
        <f>IF(H31&lt;&gt;0,I31/F31,"")</f>
        <v>68</v>
      </c>
      <c r="K31" s="197">
        <f>IF(H31&lt;&gt;0,H31/I31,"")</f>
        <v>3.6911764705882355</v>
      </c>
      <c r="L31" s="200">
        <f>7088+2486+815+33+201+698+325+251</f>
        <v>11897</v>
      </c>
      <c r="M31" s="167">
        <f>735+318+126+5+29+108+44+68</f>
        <v>1433</v>
      </c>
      <c r="N31" s="214">
        <f>IF(L31&lt;&gt;0,L31/M31,"")</f>
        <v>8.302163293789253</v>
      </c>
      <c r="O31" s="316"/>
      <c r="P31" s="315"/>
      <c r="Q31" s="66"/>
      <c r="R31" s="66"/>
      <c r="S31" s="66"/>
      <c r="T31" s="66"/>
    </row>
    <row r="32" spans="1:20" ht="13.5" customHeight="1">
      <c r="A32" s="225">
        <v>28</v>
      </c>
      <c r="B32" s="242" t="s">
        <v>4</v>
      </c>
      <c r="C32" s="175">
        <v>40529</v>
      </c>
      <c r="D32" s="409" t="s">
        <v>90</v>
      </c>
      <c r="E32" s="235">
        <v>5</v>
      </c>
      <c r="F32" s="235">
        <v>5</v>
      </c>
      <c r="G32" s="235">
        <v>4</v>
      </c>
      <c r="H32" s="201">
        <v>4388</v>
      </c>
      <c r="I32" s="180">
        <v>375</v>
      </c>
      <c r="J32" s="168">
        <f aca="true" t="shared" si="5" ref="J32:J37">I32/F32</f>
        <v>75</v>
      </c>
      <c r="K32" s="202">
        <f aca="true" t="shared" si="6" ref="K32:K39">H32/I32</f>
        <v>11.701333333333332</v>
      </c>
      <c r="L32" s="203">
        <v>19557</v>
      </c>
      <c r="M32" s="168">
        <v>1795</v>
      </c>
      <c r="N32" s="216">
        <f aca="true" t="shared" si="7" ref="N32:N39">L32/M32</f>
        <v>10.895264623955432</v>
      </c>
      <c r="O32" s="316"/>
      <c r="P32" s="315"/>
      <c r="Q32" s="66"/>
      <c r="R32" s="66"/>
      <c r="S32" s="66"/>
      <c r="T32" s="66"/>
    </row>
    <row r="33" spans="1:20" ht="13.5" customHeight="1">
      <c r="A33" s="225">
        <v>29</v>
      </c>
      <c r="B33" s="466" t="s">
        <v>4</v>
      </c>
      <c r="C33" s="175">
        <v>40529</v>
      </c>
      <c r="D33" s="248" t="s">
        <v>90</v>
      </c>
      <c r="E33" s="243">
        <v>5</v>
      </c>
      <c r="F33" s="243">
        <v>3</v>
      </c>
      <c r="G33" s="243">
        <v>5</v>
      </c>
      <c r="H33" s="201">
        <v>3391</v>
      </c>
      <c r="I33" s="180">
        <v>400</v>
      </c>
      <c r="J33" s="168">
        <f t="shared" si="5"/>
        <v>133.33333333333334</v>
      </c>
      <c r="K33" s="202">
        <f t="shared" si="6"/>
        <v>8.4775</v>
      </c>
      <c r="L33" s="203">
        <v>22948</v>
      </c>
      <c r="M33" s="168">
        <v>2195</v>
      </c>
      <c r="N33" s="216">
        <f t="shared" si="7"/>
        <v>10.454669703872437</v>
      </c>
      <c r="O33" s="317"/>
      <c r="P33" s="314"/>
      <c r="Q33" s="66"/>
      <c r="R33" s="66"/>
      <c r="S33" s="66"/>
      <c r="T33" s="66"/>
    </row>
    <row r="34" spans="1:20" ht="13.5" customHeight="1">
      <c r="A34" s="225">
        <v>30</v>
      </c>
      <c r="B34" s="240" t="s">
        <v>4</v>
      </c>
      <c r="C34" s="410">
        <v>40529</v>
      </c>
      <c r="D34" s="409" t="s">
        <v>90</v>
      </c>
      <c r="E34" s="411">
        <v>5</v>
      </c>
      <c r="F34" s="411">
        <v>5</v>
      </c>
      <c r="G34" s="411">
        <v>6</v>
      </c>
      <c r="H34" s="412">
        <v>2708</v>
      </c>
      <c r="I34" s="413">
        <v>400</v>
      </c>
      <c r="J34" s="230">
        <f t="shared" si="5"/>
        <v>80</v>
      </c>
      <c r="K34" s="414">
        <f t="shared" si="6"/>
        <v>6.77</v>
      </c>
      <c r="L34" s="415">
        <v>25656</v>
      </c>
      <c r="M34" s="230">
        <v>2595</v>
      </c>
      <c r="N34" s="467">
        <f t="shared" si="7"/>
        <v>9.88670520231214</v>
      </c>
      <c r="O34" s="321"/>
      <c r="P34" s="314"/>
      <c r="Q34" s="66"/>
      <c r="R34" s="66"/>
      <c r="S34" s="66"/>
      <c r="T34" s="66"/>
    </row>
    <row r="35" spans="1:20" ht="13.5" customHeight="1">
      <c r="A35" s="225">
        <v>31</v>
      </c>
      <c r="B35" s="466" t="s">
        <v>4</v>
      </c>
      <c r="C35" s="175">
        <v>40529</v>
      </c>
      <c r="D35" s="409" t="s">
        <v>90</v>
      </c>
      <c r="E35" s="243">
        <v>5</v>
      </c>
      <c r="F35" s="243">
        <v>4</v>
      </c>
      <c r="G35" s="243">
        <v>3</v>
      </c>
      <c r="H35" s="416">
        <v>2473</v>
      </c>
      <c r="I35" s="180">
        <v>284</v>
      </c>
      <c r="J35" s="168">
        <f t="shared" si="5"/>
        <v>71</v>
      </c>
      <c r="K35" s="417">
        <f t="shared" si="6"/>
        <v>8.70774647887324</v>
      </c>
      <c r="L35" s="255">
        <v>15169</v>
      </c>
      <c r="M35" s="168">
        <v>1420</v>
      </c>
      <c r="N35" s="256">
        <f t="shared" si="7"/>
        <v>10.682394366197183</v>
      </c>
      <c r="O35" s="317"/>
      <c r="P35" s="314"/>
      <c r="Q35" s="66"/>
      <c r="R35" s="66"/>
      <c r="S35" s="66"/>
      <c r="T35" s="66"/>
    </row>
    <row r="36" spans="1:20" ht="13.5" customHeight="1">
      <c r="A36" s="225">
        <v>32</v>
      </c>
      <c r="B36" s="242" t="s">
        <v>4</v>
      </c>
      <c r="C36" s="261">
        <v>40529</v>
      </c>
      <c r="D36" s="409" t="s">
        <v>90</v>
      </c>
      <c r="E36" s="418">
        <v>5</v>
      </c>
      <c r="F36" s="235">
        <v>4</v>
      </c>
      <c r="G36" s="418">
        <v>7</v>
      </c>
      <c r="H36" s="201">
        <v>1031</v>
      </c>
      <c r="I36" s="333">
        <v>163</v>
      </c>
      <c r="J36" s="168">
        <f t="shared" si="5"/>
        <v>40.75</v>
      </c>
      <c r="K36" s="334">
        <f t="shared" si="6"/>
        <v>6.325153374233129</v>
      </c>
      <c r="L36" s="203">
        <v>26687</v>
      </c>
      <c r="M36" s="176">
        <v>2758</v>
      </c>
      <c r="N36" s="216">
        <f t="shared" si="7"/>
        <v>9.676214648295867</v>
      </c>
      <c r="O36" s="316"/>
      <c r="P36" s="315"/>
      <c r="Q36" s="66"/>
      <c r="R36" s="66"/>
      <c r="S36" s="66"/>
      <c r="T36" s="66"/>
    </row>
    <row r="37" spans="1:20" ht="13.5" customHeight="1">
      <c r="A37" s="225">
        <v>33</v>
      </c>
      <c r="B37" s="211" t="s">
        <v>4</v>
      </c>
      <c r="C37" s="175">
        <v>40529</v>
      </c>
      <c r="D37" s="248" t="s">
        <v>171</v>
      </c>
      <c r="E37" s="243">
        <v>5</v>
      </c>
      <c r="F37" s="243">
        <v>1</v>
      </c>
      <c r="G37" s="243">
        <v>8</v>
      </c>
      <c r="H37" s="203">
        <v>747</v>
      </c>
      <c r="I37" s="168">
        <v>103</v>
      </c>
      <c r="J37" s="168">
        <f t="shared" si="5"/>
        <v>103</v>
      </c>
      <c r="K37" s="202">
        <f t="shared" si="6"/>
        <v>7.252427184466019</v>
      </c>
      <c r="L37" s="203">
        <v>27434</v>
      </c>
      <c r="M37" s="168">
        <v>2861</v>
      </c>
      <c r="N37" s="216">
        <f t="shared" si="7"/>
        <v>9.588954910870324</v>
      </c>
      <c r="O37" s="320"/>
      <c r="P37" s="315"/>
      <c r="Q37" s="66"/>
      <c r="R37" s="66"/>
      <c r="S37" s="66"/>
      <c r="T37" s="66"/>
    </row>
    <row r="38" spans="1:20" ht="13.5" customHeight="1">
      <c r="A38" s="225">
        <v>34</v>
      </c>
      <c r="B38" s="242" t="s">
        <v>140</v>
      </c>
      <c r="C38" s="166">
        <v>40298</v>
      </c>
      <c r="D38" s="231" t="s">
        <v>119</v>
      </c>
      <c r="E38" s="235">
        <v>10</v>
      </c>
      <c r="F38" s="232">
        <v>1</v>
      </c>
      <c r="G38" s="235">
        <v>21</v>
      </c>
      <c r="H38" s="193">
        <v>1307</v>
      </c>
      <c r="I38" s="179">
        <v>327</v>
      </c>
      <c r="J38" s="172">
        <f>(I38/F38)</f>
        <v>327</v>
      </c>
      <c r="K38" s="194">
        <f t="shared" si="6"/>
        <v>3.996941896024465</v>
      </c>
      <c r="L38" s="195">
        <f>83892.5+865+192+477+220.5+1901+2138.5+1307</f>
        <v>90993.5</v>
      </c>
      <c r="M38" s="171">
        <f>10300+144+24+59+48+475+534+327</f>
        <v>11911</v>
      </c>
      <c r="N38" s="212">
        <f t="shared" si="7"/>
        <v>7.639450927713878</v>
      </c>
      <c r="O38" s="318"/>
      <c r="P38" s="314"/>
      <c r="Q38" s="66"/>
      <c r="R38" s="66"/>
      <c r="S38" s="66"/>
      <c r="T38" s="66"/>
    </row>
    <row r="39" spans="1:20" ht="13.5" customHeight="1">
      <c r="A39" s="225">
        <v>35</v>
      </c>
      <c r="B39" s="242" t="s">
        <v>140</v>
      </c>
      <c r="C39" s="259">
        <v>40298</v>
      </c>
      <c r="D39" s="231" t="s">
        <v>119</v>
      </c>
      <c r="E39" s="232">
        <v>10</v>
      </c>
      <c r="F39" s="232">
        <v>1</v>
      </c>
      <c r="G39" s="232">
        <v>22</v>
      </c>
      <c r="H39" s="193">
        <v>952</v>
      </c>
      <c r="I39" s="179">
        <v>238</v>
      </c>
      <c r="J39" s="172">
        <f>(I39/F39)</f>
        <v>238</v>
      </c>
      <c r="K39" s="194">
        <f t="shared" si="6"/>
        <v>4</v>
      </c>
      <c r="L39" s="195">
        <f>83892.5+865+192+477+220.5+1901+2138.5+1307+952</f>
        <v>91945.5</v>
      </c>
      <c r="M39" s="171">
        <f>10300+144+24+59+48+475+534+327+238</f>
        <v>12149</v>
      </c>
      <c r="N39" s="212">
        <f t="shared" si="7"/>
        <v>7.568153757510906</v>
      </c>
      <c r="O39" s="316"/>
      <c r="P39" s="314"/>
      <c r="Q39" s="66"/>
      <c r="R39" s="66"/>
      <c r="S39" s="66"/>
      <c r="T39" s="66"/>
    </row>
    <row r="40" spans="1:20" ht="13.5" customHeight="1">
      <c r="A40" s="225">
        <v>36</v>
      </c>
      <c r="B40" s="207" t="s">
        <v>233</v>
      </c>
      <c r="C40" s="166">
        <v>39577</v>
      </c>
      <c r="D40" s="244" t="s">
        <v>103</v>
      </c>
      <c r="E40" s="243">
        <v>11</v>
      </c>
      <c r="F40" s="243">
        <v>1</v>
      </c>
      <c r="G40" s="243">
        <v>19</v>
      </c>
      <c r="H40" s="236">
        <v>712</v>
      </c>
      <c r="I40" s="237">
        <v>142</v>
      </c>
      <c r="J40" s="253">
        <v>142</v>
      </c>
      <c r="K40" s="254">
        <v>5.014084507042254</v>
      </c>
      <c r="L40" s="239">
        <v>102695</v>
      </c>
      <c r="M40" s="238">
        <v>11305</v>
      </c>
      <c r="N40" s="271">
        <v>9.084033613445378</v>
      </c>
      <c r="O40" s="327"/>
      <c r="P40" s="314"/>
      <c r="Q40" s="66"/>
      <c r="R40" s="66"/>
      <c r="S40" s="66"/>
      <c r="T40" s="66"/>
    </row>
    <row r="41" spans="1:20" ht="13.5" customHeight="1">
      <c r="A41" s="225">
        <v>37</v>
      </c>
      <c r="B41" s="463" t="s">
        <v>64</v>
      </c>
      <c r="C41" s="163">
        <v>40452</v>
      </c>
      <c r="D41" s="398" t="s">
        <v>17</v>
      </c>
      <c r="E41" s="245">
        <v>148</v>
      </c>
      <c r="F41" s="245">
        <v>3</v>
      </c>
      <c r="G41" s="245">
        <v>14</v>
      </c>
      <c r="H41" s="406">
        <v>4104.5</v>
      </c>
      <c r="I41" s="183">
        <v>531</v>
      </c>
      <c r="J41" s="170">
        <f>IF(H41&lt;&gt;0,I41/F41,"")</f>
        <v>177</v>
      </c>
      <c r="K41" s="407">
        <f>IF(H41&lt;&gt;0,H41/I41,"")</f>
        <v>7.7297551789077215</v>
      </c>
      <c r="L41" s="408">
        <f>699440.5+93480+55329+21058.5+2054+5186.5+3036+2522+4090+1329+2064+2423+H41</f>
        <v>896117</v>
      </c>
      <c r="M41" s="167">
        <f>74937+13125+8283+3296+346+1058+497+365+749+203+322+349+531</f>
        <v>104061</v>
      </c>
      <c r="N41" s="465">
        <f>IF(L41&lt;&gt;0,L41/M41,"")</f>
        <v>8.611458663668426</v>
      </c>
      <c r="O41" s="317">
        <v>1</v>
      </c>
      <c r="P41" s="314"/>
      <c r="Q41" s="66"/>
      <c r="R41" s="66"/>
      <c r="S41" s="66"/>
      <c r="T41" s="66"/>
    </row>
    <row r="42" spans="1:20" ht="13.5" customHeight="1">
      <c r="A42" s="225">
        <v>38</v>
      </c>
      <c r="B42" s="209" t="s">
        <v>64</v>
      </c>
      <c r="C42" s="163">
        <v>40452</v>
      </c>
      <c r="D42" s="398" t="s">
        <v>17</v>
      </c>
      <c r="E42" s="245">
        <v>148</v>
      </c>
      <c r="F42" s="245">
        <v>1</v>
      </c>
      <c r="G42" s="245">
        <v>15</v>
      </c>
      <c r="H42" s="199">
        <v>528</v>
      </c>
      <c r="I42" s="183">
        <v>88</v>
      </c>
      <c r="J42" s="170">
        <f>IF(H42&lt;&gt;0,I42/F42,"")</f>
        <v>88</v>
      </c>
      <c r="K42" s="197">
        <f>IF(H42&lt;&gt;0,H42/I42,"")</f>
        <v>6</v>
      </c>
      <c r="L42" s="200">
        <f>896117+528</f>
        <v>896645</v>
      </c>
      <c r="M42" s="176">
        <f>104061+88</f>
        <v>104149</v>
      </c>
      <c r="N42" s="214">
        <f>IF(L42&lt;&gt;0,L42/M42,"")</f>
        <v>8.609252129161106</v>
      </c>
      <c r="O42" s="320">
        <v>1</v>
      </c>
      <c r="P42" s="314"/>
      <c r="Q42" s="66"/>
      <c r="R42" s="66"/>
      <c r="S42" s="66"/>
      <c r="T42" s="66"/>
    </row>
    <row r="43" spans="1:20" ht="13.5" customHeight="1">
      <c r="A43" s="225">
        <v>39</v>
      </c>
      <c r="B43" s="463" t="s">
        <v>64</v>
      </c>
      <c r="C43" s="163">
        <v>40452</v>
      </c>
      <c r="D43" s="246" t="s">
        <v>17</v>
      </c>
      <c r="E43" s="245">
        <v>148</v>
      </c>
      <c r="F43" s="245">
        <v>1</v>
      </c>
      <c r="G43" s="245">
        <v>17</v>
      </c>
      <c r="H43" s="199">
        <v>468</v>
      </c>
      <c r="I43" s="183">
        <v>78</v>
      </c>
      <c r="J43" s="170">
        <f>IF(H43&lt;&gt;0,I43/F43,"")</f>
        <v>78</v>
      </c>
      <c r="K43" s="197">
        <f>IF(H43&lt;&gt;0,H43/I43,"")</f>
        <v>6</v>
      </c>
      <c r="L43" s="200">
        <f>896117+528+390+468</f>
        <v>897503</v>
      </c>
      <c r="M43" s="176">
        <f>104061+88+65+78</f>
        <v>104292</v>
      </c>
      <c r="N43" s="214">
        <f>IF(L43&lt;&gt;0,L43/M43,"")</f>
        <v>8.605674452498754</v>
      </c>
      <c r="O43" s="320">
        <v>1</v>
      </c>
      <c r="P43" s="315"/>
      <c r="Q43" s="66"/>
      <c r="R43" s="66"/>
      <c r="S43" s="66"/>
      <c r="T43" s="66"/>
    </row>
    <row r="44" spans="1:20" ht="13.5" customHeight="1">
      <c r="A44" s="225">
        <v>40</v>
      </c>
      <c r="B44" s="213" t="s">
        <v>64</v>
      </c>
      <c r="C44" s="163">
        <v>40452</v>
      </c>
      <c r="D44" s="234" t="s">
        <v>17</v>
      </c>
      <c r="E44" s="233">
        <v>148</v>
      </c>
      <c r="F44" s="233">
        <v>1</v>
      </c>
      <c r="G44" s="233">
        <v>16</v>
      </c>
      <c r="H44" s="199">
        <v>390</v>
      </c>
      <c r="I44" s="183">
        <v>65</v>
      </c>
      <c r="J44" s="170">
        <f>+I44/F44</f>
        <v>65</v>
      </c>
      <c r="K44" s="197">
        <f>+H44/I44</f>
        <v>6</v>
      </c>
      <c r="L44" s="200">
        <f>896117+528+390</f>
        <v>897035</v>
      </c>
      <c r="M44" s="167">
        <f>104061+88+65</f>
        <v>104214</v>
      </c>
      <c r="N44" s="214">
        <f>IF(L44&lt;&gt;0,L44/M44,"")</f>
        <v>8.607624695338439</v>
      </c>
      <c r="O44" s="316">
        <v>1</v>
      </c>
      <c r="P44" s="315"/>
      <c r="Q44" s="66"/>
      <c r="R44" s="66"/>
      <c r="S44" s="66"/>
      <c r="T44" s="66"/>
    </row>
    <row r="45" spans="1:20" ht="13.5" customHeight="1">
      <c r="A45" s="225">
        <v>41</v>
      </c>
      <c r="B45" s="460" t="s">
        <v>14</v>
      </c>
      <c r="C45" s="166">
        <v>40473</v>
      </c>
      <c r="D45" s="231" t="s">
        <v>119</v>
      </c>
      <c r="E45" s="243">
        <v>28</v>
      </c>
      <c r="F45" s="243">
        <v>1</v>
      </c>
      <c r="G45" s="243">
        <v>12</v>
      </c>
      <c r="H45" s="193">
        <v>2675</v>
      </c>
      <c r="I45" s="179">
        <v>301</v>
      </c>
      <c r="J45" s="172">
        <f>(I45/F45)</f>
        <v>301</v>
      </c>
      <c r="K45" s="194">
        <f>H45/I45</f>
        <v>8.887043189368772</v>
      </c>
      <c r="L45" s="195">
        <f>152569.5+122205.5+10562+6863.5+9619+5655+1726.5+3593+4508+310+2166+2675</f>
        <v>322453</v>
      </c>
      <c r="M45" s="171">
        <f>12992+10278+1201+886+1535+877+246+644+1351+56+302+301</f>
        <v>30669</v>
      </c>
      <c r="N45" s="212">
        <f>L45/M45</f>
        <v>10.51397176301803</v>
      </c>
      <c r="O45" s="317"/>
      <c r="P45" s="314"/>
      <c r="Q45" s="66"/>
      <c r="R45" s="66"/>
      <c r="S45" s="66"/>
      <c r="T45" s="66"/>
    </row>
    <row r="46" spans="1:20" ht="13.5" customHeight="1">
      <c r="A46" s="225">
        <v>42</v>
      </c>
      <c r="B46" s="460" t="s">
        <v>14</v>
      </c>
      <c r="C46" s="166">
        <v>40473</v>
      </c>
      <c r="D46" s="231" t="s">
        <v>119</v>
      </c>
      <c r="E46" s="243">
        <v>28</v>
      </c>
      <c r="F46" s="243">
        <v>3</v>
      </c>
      <c r="G46" s="243">
        <v>11</v>
      </c>
      <c r="H46" s="378">
        <v>2166</v>
      </c>
      <c r="I46" s="179">
        <v>302</v>
      </c>
      <c r="J46" s="172">
        <f>(I46/F46)</f>
        <v>100.66666666666667</v>
      </c>
      <c r="K46" s="385">
        <f>H46/I46</f>
        <v>7.172185430463577</v>
      </c>
      <c r="L46" s="186">
        <f>152569.5+122205.5+10562+6863.5+9619+5655+1726.5+3593+4508+310+2166</f>
        <v>319778</v>
      </c>
      <c r="M46" s="171">
        <f>12992+10278+1201+886+1535+877+246+644+1351+56+302</f>
        <v>30368</v>
      </c>
      <c r="N46" s="187">
        <f>L46/M46</f>
        <v>10.53009747102213</v>
      </c>
      <c r="O46" s="317">
        <v>1</v>
      </c>
      <c r="P46" s="314"/>
      <c r="Q46" s="66"/>
      <c r="R46" s="66"/>
      <c r="S46" s="66"/>
      <c r="T46" s="66"/>
    </row>
    <row r="47" spans="1:20" ht="13.5" customHeight="1">
      <c r="A47" s="225">
        <v>43</v>
      </c>
      <c r="B47" s="207" t="s">
        <v>14</v>
      </c>
      <c r="C47" s="166">
        <v>40473</v>
      </c>
      <c r="D47" s="231" t="s">
        <v>119</v>
      </c>
      <c r="E47" s="243">
        <v>28</v>
      </c>
      <c r="F47" s="243">
        <v>1</v>
      </c>
      <c r="G47" s="243">
        <v>13</v>
      </c>
      <c r="H47" s="193">
        <v>594</v>
      </c>
      <c r="I47" s="179">
        <v>115</v>
      </c>
      <c r="J47" s="172">
        <f>(I47/F47)</f>
        <v>115</v>
      </c>
      <c r="K47" s="194">
        <f>H47/I47</f>
        <v>5.165217391304348</v>
      </c>
      <c r="L47" s="195">
        <f>152569.5+122205.5+10562+6863.5+9619+5655+1726.5+3593+4508+310+2166+2675+594</f>
        <v>323047</v>
      </c>
      <c r="M47" s="171">
        <f>12992+10278+1201+886+1535+877+246+644+1351+56+302+301+115</f>
        <v>30784</v>
      </c>
      <c r="N47" s="212">
        <f>L47/M47</f>
        <v>10.493990384615385</v>
      </c>
      <c r="O47" s="317"/>
      <c r="P47" s="314"/>
      <c r="Q47" s="66"/>
      <c r="R47" s="66"/>
      <c r="S47" s="66"/>
      <c r="T47" s="66"/>
    </row>
    <row r="48" spans="1:20" ht="13.5" customHeight="1">
      <c r="A48" s="225">
        <v>44</v>
      </c>
      <c r="B48" s="207" t="s">
        <v>14</v>
      </c>
      <c r="C48" s="166">
        <v>40473</v>
      </c>
      <c r="D48" s="244" t="s">
        <v>119</v>
      </c>
      <c r="E48" s="243">
        <v>28</v>
      </c>
      <c r="F48" s="243">
        <v>1</v>
      </c>
      <c r="G48" s="243">
        <v>14</v>
      </c>
      <c r="H48" s="195">
        <v>555.5</v>
      </c>
      <c r="I48" s="171">
        <v>69</v>
      </c>
      <c r="J48" s="172">
        <f>(I48/F48)</f>
        <v>69</v>
      </c>
      <c r="K48" s="194">
        <f>H48/I48</f>
        <v>8.05072463768116</v>
      </c>
      <c r="L48" s="195">
        <f>152569.5+122205.5+10562+6863.5+9619+5655+1726.5+3593+4508+310+2166+2675+594+555.5</f>
        <v>323602.5</v>
      </c>
      <c r="M48" s="171">
        <f>12992+10278+1201+886+1535+877+246+644+1351+56+302+301+115+69</f>
        <v>30853</v>
      </c>
      <c r="N48" s="212">
        <f>L48/M48</f>
        <v>10.488526237318899</v>
      </c>
      <c r="O48" s="320"/>
      <c r="P48" s="314"/>
      <c r="Q48" s="66"/>
      <c r="R48" s="66"/>
      <c r="S48" s="66"/>
      <c r="T48" s="66"/>
    </row>
    <row r="49" spans="1:20" ht="13.5" customHeight="1">
      <c r="A49" s="225">
        <v>45</v>
      </c>
      <c r="B49" s="207" t="s">
        <v>136</v>
      </c>
      <c r="C49" s="166">
        <v>40333</v>
      </c>
      <c r="D49" s="231" t="s">
        <v>119</v>
      </c>
      <c r="E49" s="243">
        <v>5</v>
      </c>
      <c r="F49" s="243">
        <v>1</v>
      </c>
      <c r="G49" s="243">
        <v>17</v>
      </c>
      <c r="H49" s="193">
        <v>950.5</v>
      </c>
      <c r="I49" s="179">
        <v>238</v>
      </c>
      <c r="J49" s="172">
        <f>(I49/F49)</f>
        <v>238</v>
      </c>
      <c r="K49" s="194">
        <f>H49/I49</f>
        <v>3.9936974789915967</v>
      </c>
      <c r="L49" s="195">
        <f>36730.5+564+1413+1445+1680+605+2036+437+950.5</f>
        <v>45861</v>
      </c>
      <c r="M49" s="171">
        <f>3877+97+237+234+280+110+317+78+238</f>
        <v>5468</v>
      </c>
      <c r="N49" s="212">
        <f>L49/M49</f>
        <v>8.38716166788588</v>
      </c>
      <c r="O49" s="317"/>
      <c r="P49" s="314"/>
      <c r="Q49" s="66"/>
      <c r="R49" s="66"/>
      <c r="S49" s="66"/>
      <c r="T49" s="66"/>
    </row>
    <row r="50" spans="1:20" ht="13.5" customHeight="1">
      <c r="A50" s="225">
        <v>46</v>
      </c>
      <c r="B50" s="207" t="s">
        <v>232</v>
      </c>
      <c r="C50" s="166">
        <v>40123</v>
      </c>
      <c r="D50" s="244" t="s">
        <v>103</v>
      </c>
      <c r="E50" s="243">
        <v>25</v>
      </c>
      <c r="F50" s="243">
        <v>1</v>
      </c>
      <c r="G50" s="243">
        <v>15</v>
      </c>
      <c r="H50" s="236">
        <v>712</v>
      </c>
      <c r="I50" s="237">
        <v>142</v>
      </c>
      <c r="J50" s="253">
        <v>142</v>
      </c>
      <c r="K50" s="254">
        <v>5.014084507042254</v>
      </c>
      <c r="L50" s="239">
        <v>274310</v>
      </c>
      <c r="M50" s="238">
        <v>22843</v>
      </c>
      <c r="N50" s="271">
        <v>12.008492754892089</v>
      </c>
      <c r="O50" s="327"/>
      <c r="P50" s="314"/>
      <c r="Q50" s="66"/>
      <c r="R50" s="66"/>
      <c r="S50" s="66"/>
      <c r="T50" s="66"/>
    </row>
    <row r="51" spans="1:20" ht="13.5" customHeight="1">
      <c r="A51" s="225">
        <v>47</v>
      </c>
      <c r="B51" s="242" t="s">
        <v>156</v>
      </c>
      <c r="C51" s="259">
        <v>40102</v>
      </c>
      <c r="D51" s="231" t="s">
        <v>119</v>
      </c>
      <c r="E51" s="232">
        <v>22</v>
      </c>
      <c r="F51" s="232">
        <v>1</v>
      </c>
      <c r="G51" s="232">
        <v>13</v>
      </c>
      <c r="H51" s="193">
        <v>952</v>
      </c>
      <c r="I51" s="179">
        <v>238</v>
      </c>
      <c r="J51" s="172">
        <f>(I51/F51)</f>
        <v>238</v>
      </c>
      <c r="K51" s="194">
        <f aca="true" t="shared" si="8" ref="K51:K69">H51/I51</f>
        <v>4</v>
      </c>
      <c r="L51" s="195">
        <f>129717.5+110957+18478+6527+6853.5+1081.5+738.5+250+165+404+829.5+186+952</f>
        <v>277139.5</v>
      </c>
      <c r="M51" s="171">
        <f>10402+8975+1885+691+1109+369+262+48+23+69+109+24+238</f>
        <v>24204</v>
      </c>
      <c r="N51" s="212">
        <f>L51/M51</f>
        <v>11.450152867294662</v>
      </c>
      <c r="O51" s="316"/>
      <c r="P51" s="315"/>
      <c r="Q51" s="66"/>
      <c r="R51" s="66"/>
      <c r="S51" s="66"/>
      <c r="T51" s="66"/>
    </row>
    <row r="52" spans="1:20" ht="13.5" customHeight="1">
      <c r="A52" s="225">
        <v>48</v>
      </c>
      <c r="B52" s="468" t="s">
        <v>67</v>
      </c>
      <c r="C52" s="163">
        <v>40529</v>
      </c>
      <c r="D52" s="419" t="s">
        <v>25</v>
      </c>
      <c r="E52" s="233">
        <v>81</v>
      </c>
      <c r="F52" s="233">
        <v>69</v>
      </c>
      <c r="G52" s="233">
        <v>3</v>
      </c>
      <c r="H52" s="420">
        <v>90040</v>
      </c>
      <c r="I52" s="181">
        <v>10688</v>
      </c>
      <c r="J52" s="174">
        <f>I52/F52</f>
        <v>154.8985507246377</v>
      </c>
      <c r="K52" s="421">
        <f t="shared" si="8"/>
        <v>8.42440119760479</v>
      </c>
      <c r="L52" s="422">
        <v>472298</v>
      </c>
      <c r="M52" s="173">
        <v>55934</v>
      </c>
      <c r="N52" s="469">
        <f>+L52/M52</f>
        <v>8.443844531054458</v>
      </c>
      <c r="O52" s="317"/>
      <c r="P52" s="315"/>
      <c r="Q52" s="66"/>
      <c r="R52" s="66"/>
      <c r="S52" s="66"/>
      <c r="T52" s="66"/>
    </row>
    <row r="53" spans="1:20" ht="13.5" customHeight="1">
      <c r="A53" s="225">
        <v>49</v>
      </c>
      <c r="B53" s="213" t="s">
        <v>67</v>
      </c>
      <c r="C53" s="163">
        <v>40529</v>
      </c>
      <c r="D53" s="234" t="s">
        <v>25</v>
      </c>
      <c r="E53" s="233">
        <v>81</v>
      </c>
      <c r="F53" s="233">
        <v>5</v>
      </c>
      <c r="G53" s="233">
        <v>5</v>
      </c>
      <c r="H53" s="204">
        <v>5631</v>
      </c>
      <c r="I53" s="181">
        <v>879</v>
      </c>
      <c r="J53" s="174">
        <f>I53/F53</f>
        <v>175.8</v>
      </c>
      <c r="K53" s="205">
        <f t="shared" si="8"/>
        <v>6.406143344709897</v>
      </c>
      <c r="L53" s="206">
        <v>478360</v>
      </c>
      <c r="M53" s="173">
        <v>56856</v>
      </c>
      <c r="N53" s="217">
        <f>+L53/M53</f>
        <v>8.413535950471367</v>
      </c>
      <c r="O53" s="321">
        <v>1</v>
      </c>
      <c r="P53" s="314"/>
      <c r="Q53" s="66"/>
      <c r="R53" s="66"/>
      <c r="S53" s="66"/>
      <c r="T53" s="66"/>
    </row>
    <row r="54" spans="1:20" ht="13.5" customHeight="1">
      <c r="A54" s="225">
        <v>50</v>
      </c>
      <c r="B54" s="468" t="s">
        <v>67</v>
      </c>
      <c r="C54" s="163">
        <v>40529</v>
      </c>
      <c r="D54" s="234" t="s">
        <v>25</v>
      </c>
      <c r="E54" s="233">
        <v>81</v>
      </c>
      <c r="F54" s="233">
        <v>4</v>
      </c>
      <c r="G54" s="233">
        <v>6</v>
      </c>
      <c r="H54" s="204">
        <v>2875</v>
      </c>
      <c r="I54" s="181">
        <v>650</v>
      </c>
      <c r="J54" s="172">
        <f>(I54/F54)</f>
        <v>162.5</v>
      </c>
      <c r="K54" s="194">
        <f t="shared" si="8"/>
        <v>4.423076923076923</v>
      </c>
      <c r="L54" s="206">
        <v>481235</v>
      </c>
      <c r="M54" s="173">
        <v>57506</v>
      </c>
      <c r="N54" s="212">
        <f>L54/M54</f>
        <v>8.368431120230932</v>
      </c>
      <c r="O54" s="317">
        <v>1</v>
      </c>
      <c r="P54" s="314"/>
      <c r="Q54" s="66"/>
      <c r="R54" s="66"/>
      <c r="S54" s="66"/>
      <c r="T54" s="66"/>
    </row>
    <row r="55" spans="1:20" ht="13.5" customHeight="1">
      <c r="A55" s="225">
        <v>51</v>
      </c>
      <c r="B55" s="213" t="s">
        <v>67</v>
      </c>
      <c r="C55" s="163">
        <v>40529</v>
      </c>
      <c r="D55" s="234" t="s">
        <v>25</v>
      </c>
      <c r="E55" s="233">
        <v>81</v>
      </c>
      <c r="F55" s="233">
        <v>2</v>
      </c>
      <c r="G55" s="233">
        <v>7</v>
      </c>
      <c r="H55" s="204">
        <v>2351</v>
      </c>
      <c r="I55" s="181">
        <v>769</v>
      </c>
      <c r="J55" s="174">
        <f>I55/F55</f>
        <v>384.5</v>
      </c>
      <c r="K55" s="205">
        <f t="shared" si="8"/>
        <v>3.057217165149545</v>
      </c>
      <c r="L55" s="206">
        <v>483585</v>
      </c>
      <c r="M55" s="173">
        <v>58275</v>
      </c>
      <c r="N55" s="210">
        <f>+L55/M55</f>
        <v>8.298326898326899</v>
      </c>
      <c r="O55" s="317">
        <v>1</v>
      </c>
      <c r="P55" s="314"/>
      <c r="Q55" s="66"/>
      <c r="R55" s="66"/>
      <c r="S55" s="66"/>
      <c r="T55" s="66"/>
    </row>
    <row r="56" spans="1:20" ht="13.5" customHeight="1">
      <c r="A56" s="225">
        <v>52</v>
      </c>
      <c r="B56" s="213" t="s">
        <v>67</v>
      </c>
      <c r="C56" s="163">
        <v>40529</v>
      </c>
      <c r="D56" s="234" t="s">
        <v>25</v>
      </c>
      <c r="E56" s="233">
        <v>81</v>
      </c>
      <c r="F56" s="233">
        <v>1</v>
      </c>
      <c r="G56" s="233">
        <v>8</v>
      </c>
      <c r="H56" s="204">
        <v>997</v>
      </c>
      <c r="I56" s="181">
        <v>367</v>
      </c>
      <c r="J56" s="174">
        <f>I56/F56</f>
        <v>367</v>
      </c>
      <c r="K56" s="205">
        <f t="shared" si="8"/>
        <v>2.7166212534059944</v>
      </c>
      <c r="L56" s="206">
        <v>485472</v>
      </c>
      <c r="M56" s="173">
        <v>58973</v>
      </c>
      <c r="N56" s="217">
        <f>+L56/M56</f>
        <v>8.232106218099808</v>
      </c>
      <c r="O56" s="318"/>
      <c r="P56" s="314"/>
      <c r="Q56" s="66"/>
      <c r="R56" s="66"/>
      <c r="S56" s="66"/>
      <c r="T56" s="66"/>
    </row>
    <row r="57" spans="1:20" ht="13.5" customHeight="1">
      <c r="A57" s="225">
        <v>53</v>
      </c>
      <c r="B57" s="213" t="s">
        <v>67</v>
      </c>
      <c r="C57" s="163">
        <v>40529</v>
      </c>
      <c r="D57" s="419" t="s">
        <v>25</v>
      </c>
      <c r="E57" s="233">
        <v>81</v>
      </c>
      <c r="F57" s="233">
        <v>5</v>
      </c>
      <c r="G57" s="233">
        <v>4</v>
      </c>
      <c r="H57" s="204">
        <v>431</v>
      </c>
      <c r="I57" s="181">
        <v>43</v>
      </c>
      <c r="J57" s="174">
        <f>I57/F57</f>
        <v>8.6</v>
      </c>
      <c r="K57" s="205">
        <f t="shared" si="8"/>
        <v>10.023255813953488</v>
      </c>
      <c r="L57" s="206">
        <v>472729</v>
      </c>
      <c r="M57" s="173">
        <v>55977</v>
      </c>
      <c r="N57" s="217">
        <f>+L57/M57</f>
        <v>8.445057791592976</v>
      </c>
      <c r="O57" s="320">
        <v>1</v>
      </c>
      <c r="P57" s="314"/>
      <c r="Q57" s="66"/>
      <c r="R57" s="66"/>
      <c r="S57" s="66"/>
      <c r="T57" s="66"/>
    </row>
    <row r="58" spans="1:20" ht="13.5" customHeight="1">
      <c r="A58" s="225">
        <v>54</v>
      </c>
      <c r="B58" s="213" t="s">
        <v>67</v>
      </c>
      <c r="C58" s="163">
        <v>40529</v>
      </c>
      <c r="D58" s="234" t="s">
        <v>25</v>
      </c>
      <c r="E58" s="233">
        <v>81</v>
      </c>
      <c r="F58" s="233">
        <v>1</v>
      </c>
      <c r="G58" s="233">
        <v>9</v>
      </c>
      <c r="H58" s="204">
        <v>427</v>
      </c>
      <c r="I58" s="181">
        <v>52</v>
      </c>
      <c r="J58" s="174">
        <f>I58/F58</f>
        <v>52</v>
      </c>
      <c r="K58" s="205">
        <f t="shared" si="8"/>
        <v>8.211538461538462</v>
      </c>
      <c r="L58" s="206">
        <v>484902</v>
      </c>
      <c r="M58" s="173">
        <v>58658</v>
      </c>
      <c r="N58" s="217">
        <f>+L58/M58</f>
        <v>8.266596201711616</v>
      </c>
      <c r="O58" s="321">
        <v>1</v>
      </c>
      <c r="P58" s="315"/>
      <c r="Q58" s="66"/>
      <c r="R58" s="66"/>
      <c r="S58" s="66"/>
      <c r="T58" s="66"/>
    </row>
    <row r="59" spans="1:20" ht="13.5" customHeight="1">
      <c r="A59" s="225">
        <v>55</v>
      </c>
      <c r="B59" s="213" t="s">
        <v>67</v>
      </c>
      <c r="C59" s="163">
        <v>40529</v>
      </c>
      <c r="D59" s="234" t="s">
        <v>25</v>
      </c>
      <c r="E59" s="233">
        <v>81</v>
      </c>
      <c r="F59" s="233">
        <v>1</v>
      </c>
      <c r="G59" s="233">
        <v>12</v>
      </c>
      <c r="H59" s="206">
        <v>176</v>
      </c>
      <c r="I59" s="173">
        <v>26</v>
      </c>
      <c r="J59" s="174">
        <f>I59/F59</f>
        <v>26</v>
      </c>
      <c r="K59" s="205">
        <f t="shared" si="8"/>
        <v>6.769230769230769</v>
      </c>
      <c r="L59" s="206">
        <v>487699</v>
      </c>
      <c r="M59" s="173">
        <v>59278</v>
      </c>
      <c r="N59" s="217">
        <f>+L59/M59</f>
        <v>8.227318735449915</v>
      </c>
      <c r="O59" s="320">
        <v>1</v>
      </c>
      <c r="P59" s="314"/>
      <c r="Q59" s="66"/>
      <c r="R59" s="66"/>
      <c r="S59" s="66"/>
      <c r="T59" s="66"/>
    </row>
    <row r="60" spans="1:20" ht="13.5" customHeight="1">
      <c r="A60" s="225">
        <v>56</v>
      </c>
      <c r="B60" s="460" t="s">
        <v>57</v>
      </c>
      <c r="C60" s="166">
        <v>40529</v>
      </c>
      <c r="D60" s="231" t="s">
        <v>119</v>
      </c>
      <c r="E60" s="243">
        <v>147</v>
      </c>
      <c r="F60" s="243">
        <v>147</v>
      </c>
      <c r="G60" s="243">
        <v>3</v>
      </c>
      <c r="H60" s="378">
        <v>518408</v>
      </c>
      <c r="I60" s="179">
        <v>61133</v>
      </c>
      <c r="J60" s="172">
        <f aca="true" t="shared" si="9" ref="J60:J69">(I60/F60)</f>
        <v>415.8707482993197</v>
      </c>
      <c r="K60" s="385">
        <f t="shared" si="8"/>
        <v>8.480002617244368</v>
      </c>
      <c r="L60" s="186">
        <f>691567.5+648414.5+518408</f>
        <v>1858390</v>
      </c>
      <c r="M60" s="171">
        <f>79327+75064+61133</f>
        <v>215524</v>
      </c>
      <c r="N60" s="187">
        <f aca="true" t="shared" si="10" ref="N60:N69">L60/M60</f>
        <v>8.622659193407694</v>
      </c>
      <c r="O60" s="322"/>
      <c r="P60" s="314"/>
      <c r="Q60" s="66"/>
      <c r="R60" s="66"/>
      <c r="S60" s="66"/>
      <c r="T60" s="66"/>
    </row>
    <row r="61" spans="1:20" ht="13.5" customHeight="1">
      <c r="A61" s="225">
        <v>57</v>
      </c>
      <c r="B61" s="207" t="s">
        <v>88</v>
      </c>
      <c r="C61" s="166">
        <v>40529</v>
      </c>
      <c r="D61" s="231" t="s">
        <v>119</v>
      </c>
      <c r="E61" s="243">
        <v>147</v>
      </c>
      <c r="F61" s="243">
        <v>70</v>
      </c>
      <c r="G61" s="243">
        <v>4</v>
      </c>
      <c r="H61" s="193">
        <v>71112.5</v>
      </c>
      <c r="I61" s="179">
        <v>10235</v>
      </c>
      <c r="J61" s="172">
        <f t="shared" si="9"/>
        <v>146.21428571428572</v>
      </c>
      <c r="K61" s="194">
        <f t="shared" si="8"/>
        <v>6.947972642892037</v>
      </c>
      <c r="L61" s="195">
        <f>691567.5+648414.5+518408+71112.5</f>
        <v>1929502.5</v>
      </c>
      <c r="M61" s="171">
        <f>79327+75064+61133+10235</f>
        <v>225759</v>
      </c>
      <c r="N61" s="212">
        <f t="shared" si="10"/>
        <v>8.546735678311828</v>
      </c>
      <c r="O61" s="323">
        <v>1</v>
      </c>
      <c r="P61" s="314"/>
      <c r="Q61" s="66"/>
      <c r="R61" s="66"/>
      <c r="S61" s="66"/>
      <c r="T61" s="66"/>
    </row>
    <row r="62" spans="1:20" ht="13.5" customHeight="1">
      <c r="A62" s="225">
        <v>58</v>
      </c>
      <c r="B62" s="461" t="s">
        <v>88</v>
      </c>
      <c r="C62" s="373">
        <v>40529</v>
      </c>
      <c r="D62" s="231" t="s">
        <v>119</v>
      </c>
      <c r="E62" s="375">
        <v>147</v>
      </c>
      <c r="F62" s="375">
        <v>41</v>
      </c>
      <c r="G62" s="375">
        <v>5</v>
      </c>
      <c r="H62" s="377">
        <v>45526</v>
      </c>
      <c r="I62" s="381">
        <v>7792</v>
      </c>
      <c r="J62" s="382">
        <f t="shared" si="9"/>
        <v>190.0487804878049</v>
      </c>
      <c r="K62" s="384">
        <f t="shared" si="8"/>
        <v>5.842659137577002</v>
      </c>
      <c r="L62" s="387">
        <f>691567.5+648414.5+518408+71321.5+45526</f>
        <v>1975237.5</v>
      </c>
      <c r="M62" s="388">
        <f>79327+75064+61133+10266+7792</f>
        <v>233582</v>
      </c>
      <c r="N62" s="462">
        <f t="shared" si="10"/>
        <v>8.456291580686868</v>
      </c>
      <c r="O62" s="319">
        <v>1</v>
      </c>
      <c r="P62" s="314"/>
      <c r="Q62" s="66"/>
      <c r="R62" s="66"/>
      <c r="S62" s="66"/>
      <c r="T62" s="66"/>
    </row>
    <row r="63" spans="1:20" ht="13.5" customHeight="1">
      <c r="A63" s="225">
        <v>59</v>
      </c>
      <c r="B63" s="460" t="s">
        <v>57</v>
      </c>
      <c r="C63" s="166">
        <v>40529</v>
      </c>
      <c r="D63" s="231" t="s">
        <v>119</v>
      </c>
      <c r="E63" s="243">
        <v>147</v>
      </c>
      <c r="F63" s="243">
        <v>18</v>
      </c>
      <c r="G63" s="243">
        <v>6</v>
      </c>
      <c r="H63" s="193">
        <v>17480</v>
      </c>
      <c r="I63" s="179">
        <v>4345</v>
      </c>
      <c r="J63" s="172">
        <f t="shared" si="9"/>
        <v>241.38888888888889</v>
      </c>
      <c r="K63" s="194">
        <f t="shared" si="8"/>
        <v>4.02301495972382</v>
      </c>
      <c r="L63" s="195">
        <f>691567.5+648414.5+518408+71321.5+45526+17480</f>
        <v>1992717.5</v>
      </c>
      <c r="M63" s="171">
        <f>79327+75064+61133+10266+7792+4345</f>
        <v>237927</v>
      </c>
      <c r="N63" s="212">
        <f t="shared" si="10"/>
        <v>8.375331509244432</v>
      </c>
      <c r="O63" s="317">
        <v>1</v>
      </c>
      <c r="P63" s="314"/>
      <c r="Q63" s="66"/>
      <c r="R63" s="66"/>
      <c r="S63" s="66"/>
      <c r="T63" s="66"/>
    </row>
    <row r="64" spans="1:20" ht="13.5" customHeight="1">
      <c r="A64" s="225">
        <v>60</v>
      </c>
      <c r="B64" s="211" t="s">
        <v>88</v>
      </c>
      <c r="C64" s="175">
        <v>40529</v>
      </c>
      <c r="D64" s="409" t="s">
        <v>119</v>
      </c>
      <c r="E64" s="243">
        <v>147</v>
      </c>
      <c r="F64" s="243">
        <v>7</v>
      </c>
      <c r="G64" s="243">
        <v>7</v>
      </c>
      <c r="H64" s="193">
        <v>7409</v>
      </c>
      <c r="I64" s="179">
        <v>1731</v>
      </c>
      <c r="J64" s="172">
        <f t="shared" si="9"/>
        <v>247.28571428571428</v>
      </c>
      <c r="K64" s="194">
        <f t="shared" si="8"/>
        <v>4.280184864240323</v>
      </c>
      <c r="L64" s="195">
        <f>691567.5+648414.5+518408+71321.5+45526+17480+7409</f>
        <v>2000126.5</v>
      </c>
      <c r="M64" s="171">
        <f>79327+75064+61133+10266+7792+4345+1731</f>
        <v>239658</v>
      </c>
      <c r="N64" s="212">
        <f t="shared" si="10"/>
        <v>8.345753114855336</v>
      </c>
      <c r="O64" s="317">
        <v>1</v>
      </c>
      <c r="P64" s="314"/>
      <c r="Q64" s="66"/>
      <c r="R64" s="66"/>
      <c r="S64" s="66"/>
      <c r="T64" s="66"/>
    </row>
    <row r="65" spans="1:20" ht="13.5" customHeight="1">
      <c r="A65" s="225">
        <v>61</v>
      </c>
      <c r="B65" s="242" t="s">
        <v>88</v>
      </c>
      <c r="C65" s="261">
        <v>40529</v>
      </c>
      <c r="D65" s="409" t="s">
        <v>119</v>
      </c>
      <c r="E65" s="235">
        <v>147</v>
      </c>
      <c r="F65" s="235">
        <v>7</v>
      </c>
      <c r="G65" s="235">
        <v>10</v>
      </c>
      <c r="H65" s="193">
        <v>5445.5</v>
      </c>
      <c r="I65" s="179">
        <v>1176</v>
      </c>
      <c r="J65" s="172">
        <f t="shared" si="9"/>
        <v>168</v>
      </c>
      <c r="K65" s="194">
        <f t="shared" si="8"/>
        <v>4.630527210884353</v>
      </c>
      <c r="L65" s="195">
        <f>691567.5+648414.5+518408+71321.5+45526+17480+7409+4406.5+1874+5445.5</f>
        <v>2011852.5</v>
      </c>
      <c r="M65" s="171">
        <f>79327+75064+61133+10266+7792+4345+1731+935+303+1176</f>
        <v>242072</v>
      </c>
      <c r="N65" s="212">
        <f t="shared" si="10"/>
        <v>8.310967398129483</v>
      </c>
      <c r="O65" s="316">
        <v>1</v>
      </c>
      <c r="P65" s="314"/>
      <c r="Q65" s="66"/>
      <c r="R65" s="66"/>
      <c r="S65" s="66"/>
      <c r="T65" s="66"/>
    </row>
    <row r="66" spans="1:20" ht="13.5" customHeight="1">
      <c r="A66" s="225">
        <v>62</v>
      </c>
      <c r="B66" s="242" t="s">
        <v>57</v>
      </c>
      <c r="C66" s="166">
        <v>40529</v>
      </c>
      <c r="D66" s="231" t="s">
        <v>119</v>
      </c>
      <c r="E66" s="232">
        <v>147</v>
      </c>
      <c r="F66" s="232">
        <v>4</v>
      </c>
      <c r="G66" s="232">
        <v>8</v>
      </c>
      <c r="H66" s="193">
        <v>4406.5</v>
      </c>
      <c r="I66" s="179">
        <v>935</v>
      </c>
      <c r="J66" s="172">
        <f t="shared" si="9"/>
        <v>233.75</v>
      </c>
      <c r="K66" s="194">
        <f t="shared" si="8"/>
        <v>4.7128342245989305</v>
      </c>
      <c r="L66" s="195">
        <f>691567.5+648414.5+518408+71321.5+45526+17480+7409+4406.5</f>
        <v>2004533</v>
      </c>
      <c r="M66" s="171">
        <f>79327+75064+61133+10266+7792+4345+1731+935</f>
        <v>240593</v>
      </c>
      <c r="N66" s="212">
        <f t="shared" si="10"/>
        <v>8.331634752465783</v>
      </c>
      <c r="O66" s="318"/>
      <c r="P66" s="315"/>
      <c r="Q66" s="66"/>
      <c r="R66" s="66"/>
      <c r="S66" s="66"/>
      <c r="T66" s="66"/>
    </row>
    <row r="67" spans="1:20" ht="13.5" customHeight="1">
      <c r="A67" s="225">
        <v>63</v>
      </c>
      <c r="B67" s="242" t="s">
        <v>88</v>
      </c>
      <c r="C67" s="259">
        <v>40529</v>
      </c>
      <c r="D67" s="231" t="s">
        <v>119</v>
      </c>
      <c r="E67" s="232">
        <v>147</v>
      </c>
      <c r="F67" s="232">
        <v>5</v>
      </c>
      <c r="G67" s="232">
        <v>11</v>
      </c>
      <c r="H67" s="378">
        <v>4027</v>
      </c>
      <c r="I67" s="396">
        <v>784</v>
      </c>
      <c r="J67" s="397">
        <f t="shared" si="9"/>
        <v>156.8</v>
      </c>
      <c r="K67" s="385">
        <f t="shared" si="8"/>
        <v>5.136479591836735</v>
      </c>
      <c r="L67" s="186">
        <f>691567.5+648414.5+518408+71321.5+45526+17480+7409+4406.5+1874+5613.5+4027</f>
        <v>2016047.5</v>
      </c>
      <c r="M67" s="269">
        <f>79327+75064+61133+10266+7792+4345+1731+935+303+1204+784</f>
        <v>242884</v>
      </c>
      <c r="N67" s="187">
        <f t="shared" si="10"/>
        <v>8.300454126249567</v>
      </c>
      <c r="O67" s="316">
        <v>1</v>
      </c>
      <c r="P67" s="315"/>
      <c r="Q67" s="66"/>
      <c r="R67" s="66"/>
      <c r="S67" s="66"/>
      <c r="T67" s="66"/>
    </row>
    <row r="68" spans="1:20" ht="13.5" customHeight="1">
      <c r="A68" s="225">
        <v>64</v>
      </c>
      <c r="B68" s="461" t="s">
        <v>57</v>
      </c>
      <c r="C68" s="373">
        <v>40529</v>
      </c>
      <c r="D68" s="231" t="s">
        <v>119</v>
      </c>
      <c r="E68" s="375">
        <v>147</v>
      </c>
      <c r="F68" s="375">
        <v>2</v>
      </c>
      <c r="G68" s="375">
        <v>9</v>
      </c>
      <c r="H68" s="377">
        <v>1874</v>
      </c>
      <c r="I68" s="381">
        <v>303</v>
      </c>
      <c r="J68" s="382">
        <f t="shared" si="9"/>
        <v>151.5</v>
      </c>
      <c r="K68" s="384">
        <f t="shared" si="8"/>
        <v>6.184818481848184</v>
      </c>
      <c r="L68" s="387">
        <f>691567.5+648414.5+518408+71321.5+45526+17480+7409+4406.5+1874</f>
        <v>2006407</v>
      </c>
      <c r="M68" s="388">
        <f>79327+75064+61133+10266+7792+4345+1731+935+303</f>
        <v>240896</v>
      </c>
      <c r="N68" s="462">
        <f t="shared" si="10"/>
        <v>8.328934477948991</v>
      </c>
      <c r="O68" s="321">
        <v>1</v>
      </c>
      <c r="P68" s="315"/>
      <c r="Q68" s="66"/>
      <c r="R68" s="66"/>
      <c r="S68" s="66"/>
      <c r="T68" s="66"/>
    </row>
    <row r="69" spans="1:20" ht="13.5" customHeight="1">
      <c r="A69" s="225">
        <v>65</v>
      </c>
      <c r="B69" s="207" t="s">
        <v>57</v>
      </c>
      <c r="C69" s="166">
        <v>40529</v>
      </c>
      <c r="D69" s="244" t="s">
        <v>119</v>
      </c>
      <c r="E69" s="243">
        <v>147</v>
      </c>
      <c r="F69" s="243">
        <v>3</v>
      </c>
      <c r="G69" s="243">
        <v>12</v>
      </c>
      <c r="H69" s="195">
        <v>1099</v>
      </c>
      <c r="I69" s="171">
        <v>172</v>
      </c>
      <c r="J69" s="172">
        <f t="shared" si="9"/>
        <v>57.333333333333336</v>
      </c>
      <c r="K69" s="194">
        <f t="shared" si="8"/>
        <v>6.3895348837209305</v>
      </c>
      <c r="L69" s="195">
        <f>691567.5+648414.5+518408+71321.5+45526+17480+7409+4406.5+1874+5613.5+4027+1099</f>
        <v>2017146.5</v>
      </c>
      <c r="M69" s="171">
        <f>79327+75064+61133+10266+7792+4345+1731+935+303+1204+784+172</f>
        <v>243056</v>
      </c>
      <c r="N69" s="212">
        <f t="shared" si="10"/>
        <v>8.299101853070898</v>
      </c>
      <c r="O69" s="320">
        <v>1</v>
      </c>
      <c r="P69" s="315"/>
      <c r="Q69" s="66"/>
      <c r="R69" s="66"/>
      <c r="S69" s="66"/>
      <c r="T69" s="66"/>
    </row>
    <row r="70" spans="1:20" ht="13.5" customHeight="1">
      <c r="A70" s="225">
        <v>66</v>
      </c>
      <c r="B70" s="460" t="s">
        <v>62</v>
      </c>
      <c r="C70" s="166">
        <v>40466</v>
      </c>
      <c r="D70" s="372" t="s">
        <v>26</v>
      </c>
      <c r="E70" s="243">
        <v>22</v>
      </c>
      <c r="F70" s="243">
        <v>1</v>
      </c>
      <c r="G70" s="243">
        <v>12</v>
      </c>
      <c r="H70" s="379">
        <v>2002</v>
      </c>
      <c r="I70" s="180">
        <v>232</v>
      </c>
      <c r="J70" s="170">
        <f>IF(H70&lt;&gt;0,I70/F70,"")</f>
        <v>232</v>
      </c>
      <c r="K70" s="407">
        <f>IF(H70&lt;&gt;0,H70/I70,"")</f>
        <v>8.629310344827585</v>
      </c>
      <c r="L70" s="255">
        <f>75899.5+52129.5+37227.5+14454+10905+6815+10220.5+4115+4193+1577.5+113+940+2002</f>
        <v>220591.5</v>
      </c>
      <c r="M70" s="167">
        <f>7028+5164+3832+1471+1190+1095+1727+519+460+216+17+109+232</f>
        <v>23060</v>
      </c>
      <c r="N70" s="465">
        <f>IF(L70&lt;&gt;0,L70/M70,"")</f>
        <v>9.565980052038162</v>
      </c>
      <c r="O70" s="317"/>
      <c r="P70" s="315"/>
      <c r="Q70" s="66"/>
      <c r="R70" s="66"/>
      <c r="S70" s="66"/>
      <c r="T70" s="66"/>
    </row>
    <row r="71" spans="1:20" ht="13.5" customHeight="1">
      <c r="A71" s="225">
        <v>67</v>
      </c>
      <c r="B71" s="207" t="s">
        <v>99</v>
      </c>
      <c r="C71" s="166">
        <v>40466</v>
      </c>
      <c r="D71" s="372" t="s">
        <v>26</v>
      </c>
      <c r="E71" s="243">
        <v>22</v>
      </c>
      <c r="F71" s="243">
        <v>1</v>
      </c>
      <c r="G71" s="243">
        <v>13</v>
      </c>
      <c r="H71" s="188">
        <v>820.5</v>
      </c>
      <c r="I71" s="180">
        <v>274</v>
      </c>
      <c r="J71" s="167">
        <f>I71/F71</f>
        <v>274</v>
      </c>
      <c r="K71" s="202">
        <f>H71/I71</f>
        <v>2.9945255474452557</v>
      </c>
      <c r="L71" s="189">
        <f>75899.5+52129.5+37227.5+14454+10905+6815+10220.5+4115+4193+1577.5+113+940+2002+820.5</f>
        <v>221412</v>
      </c>
      <c r="M71" s="167">
        <f>7028+5164+3832+1471+1190+1095+1727+519+460+216+17+109+232+274</f>
        <v>23334</v>
      </c>
      <c r="N71" s="208">
        <f>L71/M71</f>
        <v>9.48881460529699</v>
      </c>
      <c r="O71" s="320">
        <v>1</v>
      </c>
      <c r="P71" s="314"/>
      <c r="Q71" s="66"/>
      <c r="R71" s="66"/>
      <c r="S71" s="66"/>
      <c r="T71" s="66"/>
    </row>
    <row r="72" spans="1:20" ht="13.5" customHeight="1">
      <c r="A72" s="225">
        <v>68</v>
      </c>
      <c r="B72" s="211" t="s">
        <v>96</v>
      </c>
      <c r="C72" s="166">
        <v>40424</v>
      </c>
      <c r="D72" s="374" t="s">
        <v>23</v>
      </c>
      <c r="E72" s="243">
        <v>107</v>
      </c>
      <c r="F72" s="243">
        <v>1</v>
      </c>
      <c r="G72" s="243">
        <v>19</v>
      </c>
      <c r="H72" s="188">
        <v>1204</v>
      </c>
      <c r="I72" s="180">
        <v>350</v>
      </c>
      <c r="J72" s="167">
        <f>I72/F72</f>
        <v>350</v>
      </c>
      <c r="K72" s="202">
        <f>+H72/I72</f>
        <v>3.44</v>
      </c>
      <c r="L72" s="189">
        <v>2166347</v>
      </c>
      <c r="M72" s="168">
        <v>195743</v>
      </c>
      <c r="N72" s="208">
        <f>+L72/M72</f>
        <v>11.067302534445677</v>
      </c>
      <c r="O72" s="324"/>
      <c r="P72" s="314"/>
      <c r="Q72" s="66"/>
      <c r="R72" s="66"/>
      <c r="S72" s="66"/>
      <c r="T72" s="66"/>
    </row>
    <row r="73" spans="1:20" ht="13.5" customHeight="1">
      <c r="A73" s="225">
        <v>69</v>
      </c>
      <c r="B73" s="240" t="s">
        <v>96</v>
      </c>
      <c r="C73" s="226">
        <v>40424</v>
      </c>
      <c r="D73" s="227" t="s">
        <v>23</v>
      </c>
      <c r="E73" s="228">
        <v>107</v>
      </c>
      <c r="F73" s="228">
        <v>1</v>
      </c>
      <c r="G73" s="228">
        <v>20</v>
      </c>
      <c r="H73" s="376">
        <v>1204</v>
      </c>
      <c r="I73" s="380">
        <v>350</v>
      </c>
      <c r="J73" s="230">
        <f>I73/F73</f>
        <v>350</v>
      </c>
      <c r="K73" s="383">
        <f>+H73/I73</f>
        <v>3.44</v>
      </c>
      <c r="L73" s="229">
        <v>2167551</v>
      </c>
      <c r="M73" s="230">
        <v>196093</v>
      </c>
      <c r="N73" s="241">
        <f>+L73/M73</f>
        <v>11.053688810921349</v>
      </c>
      <c r="O73" s="325"/>
      <c r="P73" s="314"/>
      <c r="Q73" s="66"/>
      <c r="R73" s="66"/>
      <c r="S73" s="66"/>
      <c r="T73" s="66"/>
    </row>
    <row r="74" spans="1:20" ht="13.5" customHeight="1">
      <c r="A74" s="225">
        <v>70</v>
      </c>
      <c r="B74" s="470" t="s">
        <v>115</v>
      </c>
      <c r="C74" s="423">
        <v>40396</v>
      </c>
      <c r="D74" s="231" t="s">
        <v>119</v>
      </c>
      <c r="E74" s="424">
        <v>4</v>
      </c>
      <c r="F74" s="424">
        <v>2</v>
      </c>
      <c r="G74" s="424">
        <v>22</v>
      </c>
      <c r="H74" s="193">
        <v>1323</v>
      </c>
      <c r="I74" s="179">
        <v>206</v>
      </c>
      <c r="J74" s="172">
        <f aca="true" t="shared" si="11" ref="J74:J82">(I74/F74)</f>
        <v>103</v>
      </c>
      <c r="K74" s="194">
        <f aca="true" t="shared" si="12" ref="K74:K88">H74/I74</f>
        <v>6.422330097087379</v>
      </c>
      <c r="L74" s="195">
        <f>14959+9646+7725+4386+3960+14571+6049+4818+2605+3811+4797+6372+2996+165+950.5+1598.5+276+381+768+800+1224+1323</f>
        <v>94181</v>
      </c>
      <c r="M74" s="171">
        <f>1646+1123+1125+547+522+2218+896+595+438+656+743+1047+452+23+148+219+42+85+83+91+196+206</f>
        <v>13101</v>
      </c>
      <c r="N74" s="212">
        <f aca="true" t="shared" si="13" ref="N74:N82">L74/M74</f>
        <v>7.188840546523166</v>
      </c>
      <c r="O74" s="316"/>
      <c r="P74" s="314"/>
      <c r="Q74" s="66"/>
      <c r="R74" s="66"/>
      <c r="S74" s="66"/>
      <c r="T74" s="66"/>
    </row>
    <row r="75" spans="1:20" ht="13.5" customHeight="1">
      <c r="A75" s="225">
        <v>71</v>
      </c>
      <c r="B75" s="471" t="s">
        <v>115</v>
      </c>
      <c r="C75" s="425">
        <v>40396</v>
      </c>
      <c r="D75" s="231" t="s">
        <v>119</v>
      </c>
      <c r="E75" s="426">
        <v>4</v>
      </c>
      <c r="F75" s="426">
        <v>1</v>
      </c>
      <c r="G75" s="426">
        <v>21</v>
      </c>
      <c r="H75" s="377">
        <v>1224</v>
      </c>
      <c r="I75" s="381">
        <v>196</v>
      </c>
      <c r="J75" s="382">
        <f t="shared" si="11"/>
        <v>196</v>
      </c>
      <c r="K75" s="384">
        <f t="shared" si="12"/>
        <v>6.244897959183674</v>
      </c>
      <c r="L75" s="387">
        <f>14959+9646+7725+4386+3960+14571+6049+4818+2605+3811+4797+6372+2996+165+950.5+1598.5+276+381+768+800+1224</f>
        <v>92858</v>
      </c>
      <c r="M75" s="388">
        <f>1646+1123+1125+547+522+2218+896+595+438+656+743+1047+452+23+148+219+42+85+83+91+196</f>
        <v>12895</v>
      </c>
      <c r="N75" s="462">
        <f t="shared" si="13"/>
        <v>7.201085692128732</v>
      </c>
      <c r="O75" s="321"/>
      <c r="P75" s="314"/>
      <c r="Q75" s="66"/>
      <c r="R75" s="66"/>
      <c r="S75" s="66"/>
      <c r="T75" s="66"/>
    </row>
    <row r="76" spans="1:20" ht="13.5" customHeight="1">
      <c r="A76" s="225">
        <v>72</v>
      </c>
      <c r="B76" s="472" t="s">
        <v>115</v>
      </c>
      <c r="C76" s="177">
        <v>40396</v>
      </c>
      <c r="D76" s="244" t="s">
        <v>119</v>
      </c>
      <c r="E76" s="249">
        <v>4</v>
      </c>
      <c r="F76" s="249">
        <v>1</v>
      </c>
      <c r="G76" s="249">
        <v>24</v>
      </c>
      <c r="H76" s="195">
        <v>915</v>
      </c>
      <c r="I76" s="171">
        <v>126</v>
      </c>
      <c r="J76" s="172">
        <f t="shared" si="11"/>
        <v>126</v>
      </c>
      <c r="K76" s="194">
        <f t="shared" si="12"/>
        <v>7.261904761904762</v>
      </c>
      <c r="L76" s="195">
        <f>14959+9646+7725+4386+3960+14571+6049+4818+2605+3811+4797+6372+2996+165+950.5+1598.5+276+381+768+800+1224+1323+280+915</f>
        <v>95376</v>
      </c>
      <c r="M76" s="171">
        <f>1646+1123+1125+547+522+2218+896+595+438+656+743+1047+452+23+148+219+42+85+83+91+196+206+40+126</f>
        <v>13267</v>
      </c>
      <c r="N76" s="212">
        <f t="shared" si="13"/>
        <v>7.188965101379362</v>
      </c>
      <c r="O76" s="320"/>
      <c r="P76" s="315"/>
      <c r="Q76" s="66"/>
      <c r="R76" s="66"/>
      <c r="S76" s="66"/>
      <c r="T76" s="66"/>
    </row>
    <row r="77" spans="1:20" ht="13.5" customHeight="1">
      <c r="A77" s="225">
        <v>73</v>
      </c>
      <c r="B77" s="473" t="s">
        <v>115</v>
      </c>
      <c r="C77" s="177">
        <v>40396</v>
      </c>
      <c r="D77" s="231" t="s">
        <v>119</v>
      </c>
      <c r="E77" s="249">
        <v>4</v>
      </c>
      <c r="F77" s="249">
        <v>1</v>
      </c>
      <c r="G77" s="249">
        <v>20</v>
      </c>
      <c r="H77" s="193">
        <v>800</v>
      </c>
      <c r="I77" s="179">
        <v>91</v>
      </c>
      <c r="J77" s="172">
        <f t="shared" si="11"/>
        <v>91</v>
      </c>
      <c r="K77" s="194">
        <f t="shared" si="12"/>
        <v>8.791208791208792</v>
      </c>
      <c r="L77" s="195">
        <f>14959+9646+7725+4386+3960+14571+6049+4818+2605+3811+4797+6372+2996+165+950.5+1598.5+276+381+768+800</f>
        <v>91634</v>
      </c>
      <c r="M77" s="171">
        <f>1646+1123+1125+547+522+2218+896+595+438+656+743+1047+452+23+148+219+42+85+83+91</f>
        <v>12699</v>
      </c>
      <c r="N77" s="212">
        <f t="shared" si="13"/>
        <v>7.215843767225766</v>
      </c>
      <c r="O77" s="317"/>
      <c r="P77" s="315"/>
      <c r="Q77" s="66"/>
      <c r="R77" s="66"/>
      <c r="S77" s="66"/>
      <c r="T77" s="66"/>
    </row>
    <row r="78" spans="1:20" ht="13.5" customHeight="1">
      <c r="A78" s="225">
        <v>74</v>
      </c>
      <c r="B78" s="471" t="s">
        <v>115</v>
      </c>
      <c r="C78" s="425">
        <v>40396</v>
      </c>
      <c r="D78" s="231" t="s">
        <v>119</v>
      </c>
      <c r="E78" s="426">
        <v>4</v>
      </c>
      <c r="F78" s="426">
        <v>1</v>
      </c>
      <c r="G78" s="426">
        <v>19</v>
      </c>
      <c r="H78" s="377">
        <v>768</v>
      </c>
      <c r="I78" s="381">
        <v>83</v>
      </c>
      <c r="J78" s="382">
        <f t="shared" si="11"/>
        <v>83</v>
      </c>
      <c r="K78" s="384">
        <f t="shared" si="12"/>
        <v>9.25301204819277</v>
      </c>
      <c r="L78" s="387">
        <f>14959+9646+7725+4386+3960+14571+6049+4818+2605+3811+4797+6372+2996+165+950.5+1598.5+276+381+768</f>
        <v>90834</v>
      </c>
      <c r="M78" s="388">
        <f>1646+1123+1125+547+522+2218+896+595+438+656+743+1047+452+23+148+219+42+85+83</f>
        <v>12608</v>
      </c>
      <c r="N78" s="462">
        <f t="shared" si="13"/>
        <v>7.204473350253807</v>
      </c>
      <c r="O78" s="326"/>
      <c r="P78" s="315"/>
      <c r="Q78" s="66"/>
      <c r="R78" s="66"/>
      <c r="S78" s="66"/>
      <c r="T78" s="66"/>
    </row>
    <row r="79" spans="1:20" ht="13.5" customHeight="1">
      <c r="A79" s="225">
        <v>75</v>
      </c>
      <c r="B79" s="470" t="s">
        <v>115</v>
      </c>
      <c r="C79" s="423">
        <v>40396</v>
      </c>
      <c r="D79" s="231" t="s">
        <v>119</v>
      </c>
      <c r="E79" s="424">
        <v>4</v>
      </c>
      <c r="F79" s="424">
        <v>1</v>
      </c>
      <c r="G79" s="424">
        <v>23</v>
      </c>
      <c r="H79" s="378">
        <v>280</v>
      </c>
      <c r="I79" s="396">
        <v>40</v>
      </c>
      <c r="J79" s="397">
        <f t="shared" si="11"/>
        <v>40</v>
      </c>
      <c r="K79" s="385">
        <f t="shared" si="12"/>
        <v>7</v>
      </c>
      <c r="L79" s="186">
        <f>14959+9646+7725+4386+3960+14571+6049+4818+2605+3811+4797+6372+2996+165+950.5+1598.5+276+381+768+800+1224+1323+280</f>
        <v>94461</v>
      </c>
      <c r="M79" s="269">
        <f>1646+1123+1125+547+522+2218+896+595+438+656+743+1047+452+23+148+219+42+85+83+91+196+206+40</f>
        <v>13141</v>
      </c>
      <c r="N79" s="187">
        <f t="shared" si="13"/>
        <v>7.188265733201431</v>
      </c>
      <c r="O79" s="316"/>
      <c r="P79" s="315"/>
      <c r="Q79" s="66"/>
      <c r="R79" s="66"/>
      <c r="S79" s="66"/>
      <c r="T79" s="66"/>
    </row>
    <row r="80" spans="1:20" ht="13.5" customHeight="1">
      <c r="A80" s="225">
        <v>76</v>
      </c>
      <c r="B80" s="242" t="s">
        <v>95</v>
      </c>
      <c r="C80" s="166">
        <v>40430</v>
      </c>
      <c r="D80" s="231" t="s">
        <v>119</v>
      </c>
      <c r="E80" s="232">
        <v>57</v>
      </c>
      <c r="F80" s="232">
        <v>2</v>
      </c>
      <c r="G80" s="232">
        <v>17</v>
      </c>
      <c r="H80" s="193">
        <v>4752</v>
      </c>
      <c r="I80" s="179">
        <v>1188</v>
      </c>
      <c r="J80" s="172">
        <f t="shared" si="11"/>
        <v>594</v>
      </c>
      <c r="K80" s="194">
        <f t="shared" si="12"/>
        <v>4</v>
      </c>
      <c r="L80" s="195">
        <f>15818.5+150711.5+75138.5+33591.5+30249.5+17415.5+8294.5+10566+6016+6121.5+888.5+2484+322+4243.5+950.5+1782+1782+4752</f>
        <v>371127.5</v>
      </c>
      <c r="M80" s="171">
        <f>1512+15643+7345+4634+4073+2646+1136+2027+1109+1483+117+572+47+1041+237+445+446+1188</f>
        <v>45701</v>
      </c>
      <c r="N80" s="212">
        <f t="shared" si="13"/>
        <v>8.120774162490974</v>
      </c>
      <c r="O80" s="318"/>
      <c r="P80" s="315"/>
      <c r="Q80" s="66"/>
      <c r="R80" s="66"/>
      <c r="S80" s="66"/>
      <c r="T80" s="66"/>
    </row>
    <row r="81" spans="1:20" ht="13.5" customHeight="1">
      <c r="A81" s="225">
        <v>77</v>
      </c>
      <c r="B81" s="207" t="s">
        <v>95</v>
      </c>
      <c r="C81" s="166">
        <v>40430</v>
      </c>
      <c r="D81" s="231" t="s">
        <v>119</v>
      </c>
      <c r="E81" s="243">
        <v>57</v>
      </c>
      <c r="F81" s="243">
        <v>1</v>
      </c>
      <c r="G81" s="243">
        <v>16</v>
      </c>
      <c r="H81" s="193">
        <v>1782</v>
      </c>
      <c r="I81" s="179">
        <v>446</v>
      </c>
      <c r="J81" s="172">
        <f t="shared" si="11"/>
        <v>446</v>
      </c>
      <c r="K81" s="194">
        <f t="shared" si="12"/>
        <v>3.995515695067265</v>
      </c>
      <c r="L81" s="195">
        <f>15818.5+150711.5+75138.5+33591.5+30249.5+17415.5+8294.5+10566+6016+6121.5+888.5+2484+322+4243.5+950.5+1782+1782</f>
        <v>366375.5</v>
      </c>
      <c r="M81" s="171">
        <f>1512+15643+7345+4634+4073+2646+1136+2027+1109+1483+117+572+47+1041+237+445+446</f>
        <v>44513</v>
      </c>
      <c r="N81" s="212">
        <f t="shared" si="13"/>
        <v>8.230752813784736</v>
      </c>
      <c r="O81" s="317"/>
      <c r="P81" s="315"/>
      <c r="Q81" s="66"/>
      <c r="R81" s="66"/>
      <c r="S81" s="66"/>
      <c r="T81" s="66"/>
    </row>
    <row r="82" spans="1:20" ht="13.5" customHeight="1">
      <c r="A82" s="225">
        <v>78</v>
      </c>
      <c r="B82" s="207" t="s">
        <v>95</v>
      </c>
      <c r="C82" s="166">
        <v>40430</v>
      </c>
      <c r="D82" s="231" t="s">
        <v>119</v>
      </c>
      <c r="E82" s="243">
        <v>57</v>
      </c>
      <c r="F82" s="243">
        <v>1</v>
      </c>
      <c r="G82" s="243">
        <v>15</v>
      </c>
      <c r="H82" s="193">
        <v>1782</v>
      </c>
      <c r="I82" s="179">
        <v>445</v>
      </c>
      <c r="J82" s="172">
        <f t="shared" si="11"/>
        <v>445</v>
      </c>
      <c r="K82" s="194">
        <f t="shared" si="12"/>
        <v>4.004494382022472</v>
      </c>
      <c r="L82" s="195">
        <f>15818.5+150711.5+75138.5+33591.5+30249.5+17415.5+8294.5+10566+6016+6121.5+888.5+2484+322+4243.5+950.5+1782</f>
        <v>364593.5</v>
      </c>
      <c r="M82" s="171">
        <f>1512+15643+7345+4634+4073+2646+1136+2027+1109+1483+117+572+47+1041+237+445</f>
        <v>44067</v>
      </c>
      <c r="N82" s="212">
        <f t="shared" si="13"/>
        <v>8.273617446161527</v>
      </c>
      <c r="O82" s="323"/>
      <c r="P82" s="315"/>
      <c r="Q82" s="66"/>
      <c r="R82" s="66"/>
      <c r="S82" s="66"/>
      <c r="T82" s="66"/>
    </row>
    <row r="83" spans="1:20" ht="13.5" customHeight="1">
      <c r="A83" s="225">
        <v>79</v>
      </c>
      <c r="B83" s="463" t="s">
        <v>34</v>
      </c>
      <c r="C83" s="163">
        <v>40508</v>
      </c>
      <c r="D83" s="398" t="s">
        <v>24</v>
      </c>
      <c r="E83" s="245">
        <v>72</v>
      </c>
      <c r="F83" s="245">
        <v>12</v>
      </c>
      <c r="G83" s="245">
        <v>6</v>
      </c>
      <c r="H83" s="399">
        <v>10277</v>
      </c>
      <c r="I83" s="178">
        <v>1355</v>
      </c>
      <c r="J83" s="165">
        <f>I83/F83</f>
        <v>112.91666666666667</v>
      </c>
      <c r="K83" s="400">
        <f t="shared" si="12"/>
        <v>7.58450184501845</v>
      </c>
      <c r="L83" s="401">
        <v>1208960</v>
      </c>
      <c r="M83" s="164">
        <v>105047</v>
      </c>
      <c r="N83" s="464">
        <f>+L83/M83</f>
        <v>11.508753224747018</v>
      </c>
      <c r="O83" s="317">
        <v>1</v>
      </c>
      <c r="P83" s="315"/>
      <c r="Q83" s="66"/>
      <c r="R83" s="66"/>
      <c r="S83" s="66"/>
      <c r="T83" s="66"/>
    </row>
    <row r="84" spans="1:20" ht="13.5" customHeight="1">
      <c r="A84" s="225">
        <v>80</v>
      </c>
      <c r="B84" s="213" t="s">
        <v>34</v>
      </c>
      <c r="C84" s="163">
        <v>40508</v>
      </c>
      <c r="D84" s="234" t="s">
        <v>24</v>
      </c>
      <c r="E84" s="233">
        <v>72</v>
      </c>
      <c r="F84" s="233">
        <v>2</v>
      </c>
      <c r="G84" s="233">
        <v>8</v>
      </c>
      <c r="H84" s="190">
        <v>2043</v>
      </c>
      <c r="I84" s="178">
        <v>282</v>
      </c>
      <c r="J84" s="165">
        <f>I84/F84</f>
        <v>141</v>
      </c>
      <c r="K84" s="191">
        <f t="shared" si="12"/>
        <v>7.24468085106383</v>
      </c>
      <c r="L84" s="192">
        <v>1211516</v>
      </c>
      <c r="M84" s="164">
        <v>105388</v>
      </c>
      <c r="N84" s="210">
        <f>+L84/M84</f>
        <v>11.495768019129313</v>
      </c>
      <c r="O84" s="316"/>
      <c r="P84" s="315"/>
      <c r="Q84" s="66"/>
      <c r="R84" s="66"/>
      <c r="S84" s="66"/>
      <c r="T84" s="66"/>
    </row>
    <row r="85" spans="1:20" ht="13.5" customHeight="1">
      <c r="A85" s="225">
        <v>81</v>
      </c>
      <c r="B85" s="209" t="s">
        <v>34</v>
      </c>
      <c r="C85" s="163">
        <v>40508</v>
      </c>
      <c r="D85" s="398" t="s">
        <v>24</v>
      </c>
      <c r="E85" s="245">
        <v>72</v>
      </c>
      <c r="F85" s="245">
        <v>1</v>
      </c>
      <c r="G85" s="245">
        <v>7</v>
      </c>
      <c r="H85" s="190">
        <v>513</v>
      </c>
      <c r="I85" s="178">
        <v>59</v>
      </c>
      <c r="J85" s="165">
        <f>I85/F85</f>
        <v>59</v>
      </c>
      <c r="K85" s="191">
        <f t="shared" si="12"/>
        <v>8.694915254237289</v>
      </c>
      <c r="L85" s="192">
        <v>1209473</v>
      </c>
      <c r="M85" s="164">
        <v>105106</v>
      </c>
      <c r="N85" s="210">
        <f>+L85/M85</f>
        <v>11.507173710349551</v>
      </c>
      <c r="O85" s="320"/>
      <c r="P85" s="315"/>
      <c r="Q85" s="66"/>
      <c r="R85" s="66"/>
      <c r="S85" s="66"/>
      <c r="T85" s="66"/>
    </row>
    <row r="86" spans="1:20" ht="13.5" customHeight="1">
      <c r="A86" s="225">
        <v>82</v>
      </c>
      <c r="B86" s="463" t="s">
        <v>10</v>
      </c>
      <c r="C86" s="163">
        <v>40459</v>
      </c>
      <c r="D86" s="398" t="s">
        <v>24</v>
      </c>
      <c r="E86" s="245">
        <v>55</v>
      </c>
      <c r="F86" s="245">
        <v>3</v>
      </c>
      <c r="G86" s="245">
        <v>13</v>
      </c>
      <c r="H86" s="399">
        <v>2794</v>
      </c>
      <c r="I86" s="178">
        <v>385</v>
      </c>
      <c r="J86" s="165">
        <f>I86/F86</f>
        <v>128.33333333333334</v>
      </c>
      <c r="K86" s="400">
        <f t="shared" si="12"/>
        <v>7.257142857142857</v>
      </c>
      <c r="L86" s="401">
        <v>2711808</v>
      </c>
      <c r="M86" s="164">
        <v>235959</v>
      </c>
      <c r="N86" s="464">
        <f>+L86/M86</f>
        <v>11.492708479015421</v>
      </c>
      <c r="O86" s="323"/>
      <c r="P86" s="315"/>
      <c r="Q86" s="66"/>
      <c r="R86" s="66"/>
      <c r="S86" s="66"/>
      <c r="T86" s="66"/>
    </row>
    <row r="87" spans="1:20" ht="13.5" customHeight="1">
      <c r="A87" s="225">
        <v>83</v>
      </c>
      <c r="B87" s="213" t="s">
        <v>10</v>
      </c>
      <c r="C87" s="163">
        <v>40459</v>
      </c>
      <c r="D87" s="234" t="s">
        <v>24</v>
      </c>
      <c r="E87" s="233">
        <v>55</v>
      </c>
      <c r="F87" s="233">
        <v>1</v>
      </c>
      <c r="G87" s="233">
        <v>14</v>
      </c>
      <c r="H87" s="190">
        <v>1190</v>
      </c>
      <c r="I87" s="178">
        <v>238</v>
      </c>
      <c r="J87" s="165">
        <f>I87/F87</f>
        <v>238</v>
      </c>
      <c r="K87" s="191">
        <f t="shared" si="12"/>
        <v>5</v>
      </c>
      <c r="L87" s="192">
        <v>2712998</v>
      </c>
      <c r="M87" s="164">
        <v>236197</v>
      </c>
      <c r="N87" s="210">
        <f>+L87/M87</f>
        <v>11.486166208715606</v>
      </c>
      <c r="O87" s="318"/>
      <c r="P87" s="315"/>
      <c r="Q87" s="66"/>
      <c r="R87" s="66"/>
      <c r="S87" s="66"/>
      <c r="T87" s="66"/>
    </row>
    <row r="88" spans="1:20" ht="13.5" customHeight="1">
      <c r="A88" s="225">
        <v>84</v>
      </c>
      <c r="B88" s="242" t="s">
        <v>166</v>
      </c>
      <c r="C88" s="259">
        <v>40333</v>
      </c>
      <c r="D88" s="231" t="s">
        <v>119</v>
      </c>
      <c r="E88" s="232">
        <v>2</v>
      </c>
      <c r="F88" s="232">
        <v>1</v>
      </c>
      <c r="G88" s="232">
        <v>18</v>
      </c>
      <c r="H88" s="378">
        <v>1307</v>
      </c>
      <c r="I88" s="396">
        <v>327</v>
      </c>
      <c r="J88" s="397">
        <f>(I88/F88)</f>
        <v>327</v>
      </c>
      <c r="K88" s="385">
        <f t="shared" si="12"/>
        <v>3.996941896024465</v>
      </c>
      <c r="L88" s="186">
        <f>20966+1047+769+1091.5+1901+1090.5+330+94+107+1307</f>
        <v>28703</v>
      </c>
      <c r="M88" s="269">
        <f>2304+127+92+121+475+146+92+18+21+327</f>
        <v>3723</v>
      </c>
      <c r="N88" s="187">
        <f>L88/M88</f>
        <v>7.7096427612140745</v>
      </c>
      <c r="O88" s="316"/>
      <c r="P88" s="315"/>
      <c r="Q88" s="66"/>
      <c r="R88" s="66"/>
      <c r="S88" s="66"/>
      <c r="T88" s="66"/>
    </row>
    <row r="89" spans="1:20" ht="13.5" customHeight="1">
      <c r="A89" s="225">
        <v>85</v>
      </c>
      <c r="B89" s="463" t="s">
        <v>20</v>
      </c>
      <c r="C89" s="163">
        <v>40207</v>
      </c>
      <c r="D89" s="398" t="s">
        <v>17</v>
      </c>
      <c r="E89" s="245">
        <v>47</v>
      </c>
      <c r="F89" s="245">
        <v>2</v>
      </c>
      <c r="G89" s="245">
        <v>40</v>
      </c>
      <c r="H89" s="406">
        <v>1782</v>
      </c>
      <c r="I89" s="183">
        <v>356</v>
      </c>
      <c r="J89" s="170">
        <f>IF(H89&lt;&gt;0,I89/F89,"")</f>
        <v>178</v>
      </c>
      <c r="K89" s="407">
        <f>IF(H89&lt;&gt;0,H89/I89,"")</f>
        <v>5.00561797752809</v>
      </c>
      <c r="L89" s="408">
        <f>1873890.5+5542+564+70+558+190+292+283.5+618+H89</f>
        <v>1883790</v>
      </c>
      <c r="M89" s="167">
        <f>160830+1202+112+10+80+27+42+44+119+I89</f>
        <v>162822</v>
      </c>
      <c r="N89" s="465">
        <f>IF(L89&lt;&gt;0,L89/M89,"")</f>
        <v>11.569628182923683</v>
      </c>
      <c r="O89" s="322">
        <v>1</v>
      </c>
      <c r="P89" s="315"/>
      <c r="Q89" s="66"/>
      <c r="R89" s="66"/>
      <c r="S89" s="66"/>
      <c r="T89" s="66"/>
    </row>
    <row r="90" spans="1:20" ht="13.5" customHeight="1">
      <c r="A90" s="225">
        <v>86</v>
      </c>
      <c r="B90" s="209" t="s">
        <v>20</v>
      </c>
      <c r="C90" s="163">
        <v>40207</v>
      </c>
      <c r="D90" s="398" t="s">
        <v>17</v>
      </c>
      <c r="E90" s="245">
        <v>47</v>
      </c>
      <c r="F90" s="245">
        <v>1</v>
      </c>
      <c r="G90" s="245">
        <v>41</v>
      </c>
      <c r="H90" s="199">
        <v>184</v>
      </c>
      <c r="I90" s="183">
        <v>46</v>
      </c>
      <c r="J90" s="170">
        <f>IF(H90&lt;&gt;0,I90/F90,"")</f>
        <v>46</v>
      </c>
      <c r="K90" s="197">
        <f>IF(H90&lt;&gt;0,H90/I90,"")</f>
        <v>4</v>
      </c>
      <c r="L90" s="200">
        <f>1883790+184</f>
        <v>1883974</v>
      </c>
      <c r="M90" s="167">
        <f>162822+46</f>
        <v>162868</v>
      </c>
      <c r="N90" s="214">
        <f>IF(L90&lt;&gt;0,L90/M90,"")</f>
        <v>11.567490237492938</v>
      </c>
      <c r="O90" s="320"/>
      <c r="P90" s="315"/>
      <c r="Q90" s="66"/>
      <c r="R90" s="66"/>
      <c r="S90" s="66"/>
      <c r="T90" s="66"/>
    </row>
    <row r="91" spans="1:20" ht="13.5" customHeight="1">
      <c r="A91" s="225">
        <v>87</v>
      </c>
      <c r="B91" s="209" t="s">
        <v>20</v>
      </c>
      <c r="C91" s="163">
        <v>40207</v>
      </c>
      <c r="D91" s="246" t="s">
        <v>17</v>
      </c>
      <c r="E91" s="245">
        <v>47</v>
      </c>
      <c r="F91" s="245">
        <v>1</v>
      </c>
      <c r="G91" s="245">
        <v>44</v>
      </c>
      <c r="H91" s="200">
        <v>110</v>
      </c>
      <c r="I91" s="257">
        <v>11</v>
      </c>
      <c r="J91" s="170">
        <f>IF(H91&lt;&gt;0,I91/F91,"")</f>
        <v>11</v>
      </c>
      <c r="K91" s="197">
        <f>IF(H91&lt;&gt;0,H91/I91,"")</f>
        <v>10</v>
      </c>
      <c r="L91" s="200">
        <f>1883790+184+100+80+110</f>
        <v>1884264</v>
      </c>
      <c r="M91" s="167">
        <f>162822+46+10+8+11</f>
        <v>162897</v>
      </c>
      <c r="N91" s="214">
        <f>IF(L91&lt;&gt;0,L91/M91,"")</f>
        <v>11.567211182526382</v>
      </c>
      <c r="O91" s="320"/>
      <c r="P91" s="315"/>
      <c r="Q91" s="66"/>
      <c r="R91" s="66"/>
      <c r="S91" s="66"/>
      <c r="T91" s="66"/>
    </row>
    <row r="92" spans="1:20" ht="13.5" customHeight="1">
      <c r="A92" s="225">
        <v>88</v>
      </c>
      <c r="B92" s="213" t="s">
        <v>20</v>
      </c>
      <c r="C92" s="402">
        <v>40207</v>
      </c>
      <c r="D92" s="234" t="s">
        <v>17</v>
      </c>
      <c r="E92" s="233">
        <v>47</v>
      </c>
      <c r="F92" s="233">
        <v>1</v>
      </c>
      <c r="G92" s="233">
        <v>42</v>
      </c>
      <c r="H92" s="199">
        <v>100</v>
      </c>
      <c r="I92" s="183">
        <v>10</v>
      </c>
      <c r="J92" s="170">
        <f>IF(H92&lt;&gt;0,I92/F92,"")</f>
        <v>10</v>
      </c>
      <c r="K92" s="197">
        <f>IF(H92&lt;&gt;0,H92/I92,"")</f>
        <v>10</v>
      </c>
      <c r="L92" s="200">
        <f>1883790+184+100</f>
        <v>1884074</v>
      </c>
      <c r="M92" s="167">
        <f>162822+46+10</f>
        <v>162878</v>
      </c>
      <c r="N92" s="214">
        <f>IF(L92&lt;&gt;0,L92/M92,"")</f>
        <v>11.56739400041749</v>
      </c>
      <c r="O92" s="316"/>
      <c r="P92" s="315"/>
      <c r="Q92" s="66"/>
      <c r="R92" s="66"/>
      <c r="S92" s="66"/>
      <c r="T92" s="66"/>
    </row>
    <row r="93" spans="1:20" ht="13.5" customHeight="1">
      <c r="A93" s="225">
        <v>89</v>
      </c>
      <c r="B93" s="213" t="s">
        <v>20</v>
      </c>
      <c r="C93" s="402">
        <v>40207</v>
      </c>
      <c r="D93" s="234" t="s">
        <v>17</v>
      </c>
      <c r="E93" s="233">
        <v>47</v>
      </c>
      <c r="F93" s="233">
        <v>1</v>
      </c>
      <c r="G93" s="233">
        <v>43</v>
      </c>
      <c r="H93" s="406">
        <v>80</v>
      </c>
      <c r="I93" s="427">
        <v>8</v>
      </c>
      <c r="J93" s="428">
        <f>IF(H93&lt;&gt;0,I93/F93,"")</f>
        <v>8</v>
      </c>
      <c r="K93" s="407">
        <f>IF(H93&lt;&gt;0,H93/I93,"")</f>
        <v>10</v>
      </c>
      <c r="L93" s="408">
        <f>1883790+184+100+80</f>
        <v>1884154</v>
      </c>
      <c r="M93" s="268">
        <f>162822+46+10+8</f>
        <v>162886</v>
      </c>
      <c r="N93" s="465">
        <f>IF(L93&lt;&gt;0,L93/M93,"")</f>
        <v>11.567317019265007</v>
      </c>
      <c r="O93" s="316"/>
      <c r="P93" s="315"/>
      <c r="Q93" s="66"/>
      <c r="R93" s="66"/>
      <c r="S93" s="66"/>
      <c r="T93" s="66"/>
    </row>
    <row r="94" spans="1:20" ht="13.5" customHeight="1">
      <c r="A94" s="225">
        <v>90</v>
      </c>
      <c r="B94" s="207" t="s">
        <v>180</v>
      </c>
      <c r="C94" s="166">
        <v>39878</v>
      </c>
      <c r="D94" s="244" t="s">
        <v>119</v>
      </c>
      <c r="E94" s="243">
        <v>39</v>
      </c>
      <c r="F94" s="243">
        <v>1</v>
      </c>
      <c r="G94" s="243">
        <v>38</v>
      </c>
      <c r="H94" s="195">
        <v>708</v>
      </c>
      <c r="I94" s="171">
        <v>164</v>
      </c>
      <c r="J94" s="172">
        <f>(I94/F94)</f>
        <v>164</v>
      </c>
      <c r="K94" s="194">
        <f aca="true" t="shared" si="14" ref="K94:K109">H94/I94</f>
        <v>4.317073170731708</v>
      </c>
      <c r="L94" s="195">
        <f>143992.5+82756.5+42509+41229+27290.5+16668+27602+17675+4710+8504.5+2403+4164+2272+3469+1997+135+299+674+178+30+240+1413+1006+209+393+680+1780+4040+1780+1780+952+745+2376+2376+2376+4752+2376+708</f>
        <v>458540</v>
      </c>
      <c r="M94" s="171">
        <f>15320+9228+5096+5970+4485+3115+5134+3946+1139+2307+509+879+411+637+472+29+62+165+32+6+48+348+139+43+54+68+445+1010+445+445+238+149+594+594+594+1188+594+164</f>
        <v>66102</v>
      </c>
      <c r="N94" s="212">
        <f>L94/M94</f>
        <v>6.93685516323258</v>
      </c>
      <c r="O94" s="320"/>
      <c r="P94" s="315"/>
      <c r="Q94" s="66"/>
      <c r="R94" s="66"/>
      <c r="S94" s="66"/>
      <c r="T94" s="66"/>
    </row>
    <row r="95" spans="1:20" ht="13.5" customHeight="1">
      <c r="A95" s="225">
        <v>91</v>
      </c>
      <c r="B95" s="463" t="s">
        <v>18</v>
      </c>
      <c r="C95" s="163">
        <v>40499</v>
      </c>
      <c r="D95" s="398" t="s">
        <v>24</v>
      </c>
      <c r="E95" s="245">
        <v>216</v>
      </c>
      <c r="F95" s="245">
        <v>34</v>
      </c>
      <c r="G95" s="245">
        <v>7</v>
      </c>
      <c r="H95" s="399">
        <v>30434</v>
      </c>
      <c r="I95" s="178">
        <v>4757</v>
      </c>
      <c r="J95" s="165">
        <f aca="true" t="shared" si="15" ref="J95:J101">I95/F95</f>
        <v>139.91176470588235</v>
      </c>
      <c r="K95" s="400">
        <f t="shared" si="14"/>
        <v>6.397729661551398</v>
      </c>
      <c r="L95" s="401">
        <v>7544141</v>
      </c>
      <c r="M95" s="164">
        <v>795478</v>
      </c>
      <c r="N95" s="464">
        <f aca="true" t="shared" si="16" ref="N95:N101">+L95/M95</f>
        <v>9.4837833353028</v>
      </c>
      <c r="O95" s="317"/>
      <c r="P95" s="315"/>
      <c r="Q95" s="66"/>
      <c r="R95" s="66"/>
      <c r="S95" s="66"/>
      <c r="T95" s="66"/>
    </row>
    <row r="96" spans="1:20" ht="13.5" customHeight="1">
      <c r="A96" s="225">
        <v>92</v>
      </c>
      <c r="B96" s="209" t="s">
        <v>18</v>
      </c>
      <c r="C96" s="163">
        <v>40499</v>
      </c>
      <c r="D96" s="398" t="s">
        <v>24</v>
      </c>
      <c r="E96" s="245">
        <v>216</v>
      </c>
      <c r="F96" s="245">
        <v>6</v>
      </c>
      <c r="G96" s="245">
        <v>8</v>
      </c>
      <c r="H96" s="190">
        <v>5700</v>
      </c>
      <c r="I96" s="178">
        <v>1097</v>
      </c>
      <c r="J96" s="165">
        <f t="shared" si="15"/>
        <v>182.83333333333334</v>
      </c>
      <c r="K96" s="191">
        <f t="shared" si="14"/>
        <v>5.195989061075661</v>
      </c>
      <c r="L96" s="192">
        <v>7549841</v>
      </c>
      <c r="M96" s="164">
        <v>796575</v>
      </c>
      <c r="N96" s="210">
        <f t="shared" si="16"/>
        <v>9.477878416972665</v>
      </c>
      <c r="O96" s="320"/>
      <c r="P96" s="315"/>
      <c r="Q96" s="66"/>
      <c r="R96" s="66"/>
      <c r="S96" s="66"/>
      <c r="T96" s="66"/>
    </row>
    <row r="97" spans="1:20" ht="13.5" customHeight="1">
      <c r="A97" s="225">
        <v>93</v>
      </c>
      <c r="B97" s="213" t="s">
        <v>18</v>
      </c>
      <c r="C97" s="163">
        <v>40499</v>
      </c>
      <c r="D97" s="234" t="s">
        <v>24</v>
      </c>
      <c r="E97" s="233">
        <v>216</v>
      </c>
      <c r="F97" s="233">
        <v>6</v>
      </c>
      <c r="G97" s="233">
        <v>9</v>
      </c>
      <c r="H97" s="190">
        <v>5414</v>
      </c>
      <c r="I97" s="178">
        <v>1277</v>
      </c>
      <c r="J97" s="165">
        <f t="shared" si="15"/>
        <v>212.83333333333334</v>
      </c>
      <c r="K97" s="191">
        <f t="shared" si="14"/>
        <v>4.239624119028974</v>
      </c>
      <c r="L97" s="192">
        <v>7555255</v>
      </c>
      <c r="M97" s="164">
        <v>797852</v>
      </c>
      <c r="N97" s="210">
        <f t="shared" si="16"/>
        <v>9.4694943423091</v>
      </c>
      <c r="O97" s="316"/>
      <c r="P97" s="315"/>
      <c r="Q97" s="66"/>
      <c r="R97" s="66"/>
      <c r="S97" s="66"/>
      <c r="T97" s="66"/>
    </row>
    <row r="98" spans="1:20" ht="13.5" customHeight="1">
      <c r="A98" s="225">
        <v>94</v>
      </c>
      <c r="B98" s="209" t="s">
        <v>18</v>
      </c>
      <c r="C98" s="163">
        <v>40499</v>
      </c>
      <c r="D98" s="246" t="s">
        <v>24</v>
      </c>
      <c r="E98" s="245">
        <v>216</v>
      </c>
      <c r="F98" s="245">
        <v>3</v>
      </c>
      <c r="G98" s="245">
        <v>13</v>
      </c>
      <c r="H98" s="190">
        <v>1907</v>
      </c>
      <c r="I98" s="178">
        <v>449</v>
      </c>
      <c r="J98" s="165">
        <f t="shared" si="15"/>
        <v>149.66666666666666</v>
      </c>
      <c r="K98" s="191">
        <f t="shared" si="14"/>
        <v>4.247216035634744</v>
      </c>
      <c r="L98" s="192">
        <v>7557967</v>
      </c>
      <c r="M98" s="164">
        <v>798432</v>
      </c>
      <c r="N98" s="210">
        <f t="shared" si="16"/>
        <v>9.466012133782213</v>
      </c>
      <c r="O98" s="321"/>
      <c r="P98" s="315"/>
      <c r="Q98" s="66"/>
      <c r="R98" s="66"/>
      <c r="S98" s="66"/>
      <c r="T98" s="66"/>
    </row>
    <row r="99" spans="1:20" ht="13.5" customHeight="1">
      <c r="A99" s="225">
        <v>95</v>
      </c>
      <c r="B99" s="463" t="s">
        <v>18</v>
      </c>
      <c r="C99" s="163">
        <v>40499</v>
      </c>
      <c r="D99" s="246" t="s">
        <v>24</v>
      </c>
      <c r="E99" s="245">
        <v>216</v>
      </c>
      <c r="F99" s="245">
        <v>1</v>
      </c>
      <c r="G99" s="245">
        <v>10</v>
      </c>
      <c r="H99" s="190">
        <v>280</v>
      </c>
      <c r="I99" s="178">
        <v>46</v>
      </c>
      <c r="J99" s="165">
        <f t="shared" si="15"/>
        <v>46</v>
      </c>
      <c r="K99" s="191">
        <f t="shared" si="14"/>
        <v>6.086956521739131</v>
      </c>
      <c r="L99" s="192">
        <v>7555535</v>
      </c>
      <c r="M99" s="164">
        <v>797898</v>
      </c>
      <c r="N99" s="210">
        <f t="shared" si="16"/>
        <v>9.469299334000086</v>
      </c>
      <c r="O99" s="317"/>
      <c r="P99" s="315"/>
      <c r="Q99" s="66"/>
      <c r="R99" s="66"/>
      <c r="S99" s="66"/>
      <c r="T99" s="66"/>
    </row>
    <row r="100" spans="1:20" ht="13.5" customHeight="1">
      <c r="A100" s="225">
        <v>96</v>
      </c>
      <c r="B100" s="213" t="s">
        <v>18</v>
      </c>
      <c r="C100" s="163">
        <v>40499</v>
      </c>
      <c r="D100" s="234" t="s">
        <v>24</v>
      </c>
      <c r="E100" s="233">
        <v>216</v>
      </c>
      <c r="F100" s="233">
        <v>1</v>
      </c>
      <c r="G100" s="233">
        <v>12</v>
      </c>
      <c r="H100" s="190">
        <v>265</v>
      </c>
      <c r="I100" s="178">
        <v>42</v>
      </c>
      <c r="J100" s="165">
        <f t="shared" si="15"/>
        <v>42</v>
      </c>
      <c r="K100" s="191">
        <f t="shared" si="14"/>
        <v>6.309523809523809</v>
      </c>
      <c r="L100" s="192">
        <v>7556060</v>
      </c>
      <c r="M100" s="164">
        <v>797983</v>
      </c>
      <c r="N100" s="210">
        <f t="shared" si="16"/>
        <v>9.468948586624025</v>
      </c>
      <c r="O100" s="318"/>
      <c r="P100" s="315"/>
      <c r="Q100" s="66"/>
      <c r="R100" s="66"/>
      <c r="S100" s="66"/>
      <c r="T100" s="66"/>
    </row>
    <row r="101" spans="1:20" ht="13.5" customHeight="1">
      <c r="A101" s="225">
        <v>97</v>
      </c>
      <c r="B101" s="209" t="s">
        <v>18</v>
      </c>
      <c r="C101" s="163">
        <v>40499</v>
      </c>
      <c r="D101" s="246" t="s">
        <v>24</v>
      </c>
      <c r="E101" s="245">
        <v>216</v>
      </c>
      <c r="F101" s="245">
        <v>1</v>
      </c>
      <c r="G101" s="245">
        <v>11</v>
      </c>
      <c r="H101" s="190">
        <v>260</v>
      </c>
      <c r="I101" s="178">
        <v>43</v>
      </c>
      <c r="J101" s="165">
        <f t="shared" si="15"/>
        <v>43</v>
      </c>
      <c r="K101" s="191">
        <f t="shared" si="14"/>
        <v>6.046511627906977</v>
      </c>
      <c r="L101" s="192">
        <v>7555795</v>
      </c>
      <c r="M101" s="164">
        <v>797941</v>
      </c>
      <c r="N101" s="210">
        <f t="shared" si="16"/>
        <v>9.46911488443381</v>
      </c>
      <c r="O101" s="317"/>
      <c r="P101" s="315"/>
      <c r="Q101" s="66"/>
      <c r="R101" s="66"/>
      <c r="S101" s="66"/>
      <c r="T101" s="66"/>
    </row>
    <row r="102" spans="1:20" ht="13.5" customHeight="1">
      <c r="A102" s="225">
        <v>98</v>
      </c>
      <c r="B102" s="207" t="s">
        <v>144</v>
      </c>
      <c r="C102" s="166">
        <v>39899</v>
      </c>
      <c r="D102" s="231" t="s">
        <v>119</v>
      </c>
      <c r="E102" s="243">
        <v>16</v>
      </c>
      <c r="F102" s="243">
        <v>1</v>
      </c>
      <c r="G102" s="243">
        <v>22</v>
      </c>
      <c r="H102" s="193">
        <v>2140</v>
      </c>
      <c r="I102" s="179">
        <v>535</v>
      </c>
      <c r="J102" s="172">
        <f aca="true" t="shared" si="17" ref="J102:J107">(I102/F102)</f>
        <v>535</v>
      </c>
      <c r="K102" s="194">
        <f t="shared" si="14"/>
        <v>4</v>
      </c>
      <c r="L102" s="195">
        <f>31480+15536+8716+2149+2897+1360+2390+1251+322+381+329+492+928+436+1103+1913+46+240+669.28+648.46+226+2140</f>
        <v>75652.74</v>
      </c>
      <c r="M102" s="171">
        <f>3450+1778+1361+440+508+248+548+290+68+72+58+96+96+70+137+309+9+48+150+151+48+535</f>
        <v>10470</v>
      </c>
      <c r="N102" s="212">
        <f aca="true" t="shared" si="18" ref="N102:N107">L102/M102</f>
        <v>7.225667621776505</v>
      </c>
      <c r="O102" s="321">
        <v>1</v>
      </c>
      <c r="P102" s="315"/>
      <c r="Q102" s="66"/>
      <c r="R102" s="66"/>
      <c r="S102" s="66"/>
      <c r="T102" s="66"/>
    </row>
    <row r="103" spans="1:20" ht="13.5" customHeight="1">
      <c r="A103" s="225">
        <v>99</v>
      </c>
      <c r="B103" s="242" t="s">
        <v>157</v>
      </c>
      <c r="C103" s="259">
        <v>39892</v>
      </c>
      <c r="D103" s="231" t="s">
        <v>119</v>
      </c>
      <c r="E103" s="232">
        <v>5</v>
      </c>
      <c r="F103" s="232">
        <v>1</v>
      </c>
      <c r="G103" s="232">
        <v>24</v>
      </c>
      <c r="H103" s="196">
        <v>952</v>
      </c>
      <c r="I103" s="182">
        <v>238</v>
      </c>
      <c r="J103" s="257">
        <f t="shared" si="17"/>
        <v>238</v>
      </c>
      <c r="K103" s="262">
        <f t="shared" si="14"/>
        <v>4</v>
      </c>
      <c r="L103" s="198">
        <f>18881.5+13473+6553+4173.5+2378+3269+2172+792+240+60+1236+552+1321+1757+465+884+565+65+261+952+114+51+2376+952</f>
        <v>63543</v>
      </c>
      <c r="M103" s="169">
        <f>2268+1745+795+568+579+610+541+209+80+20+215+68+169+337+93+144+93+15+56+238+23+20+594+238</f>
        <v>9718</v>
      </c>
      <c r="N103" s="474">
        <f t="shared" si="18"/>
        <v>6.538691088701379</v>
      </c>
      <c r="O103" s="316"/>
      <c r="P103" s="315"/>
      <c r="Q103" s="66"/>
      <c r="R103" s="66"/>
      <c r="S103" s="66"/>
      <c r="T103" s="66"/>
    </row>
    <row r="104" spans="1:20" ht="13.5" customHeight="1">
      <c r="A104" s="225">
        <v>100</v>
      </c>
      <c r="B104" s="470" t="s">
        <v>133</v>
      </c>
      <c r="C104" s="423">
        <v>39995</v>
      </c>
      <c r="D104" s="231" t="s">
        <v>119</v>
      </c>
      <c r="E104" s="424">
        <v>209</v>
      </c>
      <c r="F104" s="424">
        <v>1</v>
      </c>
      <c r="G104" s="424">
        <v>62</v>
      </c>
      <c r="H104" s="378">
        <v>1780</v>
      </c>
      <c r="I104" s="396">
        <v>445</v>
      </c>
      <c r="J104" s="397">
        <f t="shared" si="17"/>
        <v>445</v>
      </c>
      <c r="K104" s="385">
        <f t="shared" si="14"/>
        <v>4</v>
      </c>
      <c r="L104" s="186">
        <f>11405777.5+385+1188+6614+2968+1417+277+2612+1424+952+1780</f>
        <v>11425394.5</v>
      </c>
      <c r="M104" s="269">
        <f>1424397+63+297+1638+742+364+66+653+356+238+445</f>
        <v>1429259</v>
      </c>
      <c r="N104" s="187">
        <f t="shared" si="18"/>
        <v>7.993928672130104</v>
      </c>
      <c r="O104" s="316"/>
      <c r="P104" s="315"/>
      <c r="Q104" s="66"/>
      <c r="R104" s="66"/>
      <c r="S104" s="66"/>
      <c r="T104" s="66"/>
    </row>
    <row r="105" spans="1:20" ht="13.5" customHeight="1">
      <c r="A105" s="225">
        <v>101</v>
      </c>
      <c r="B105" s="472" t="s">
        <v>133</v>
      </c>
      <c r="C105" s="177">
        <v>39995</v>
      </c>
      <c r="D105" s="231" t="s">
        <v>119</v>
      </c>
      <c r="E105" s="249">
        <v>209</v>
      </c>
      <c r="F105" s="249">
        <v>1</v>
      </c>
      <c r="G105" s="249">
        <v>61</v>
      </c>
      <c r="H105" s="193">
        <v>952</v>
      </c>
      <c r="I105" s="179">
        <v>238</v>
      </c>
      <c r="J105" s="172">
        <f t="shared" si="17"/>
        <v>238</v>
      </c>
      <c r="K105" s="194">
        <f t="shared" si="14"/>
        <v>4</v>
      </c>
      <c r="L105" s="195">
        <f>11405777.5+385+1188+6614+2968+1417+277+2612+1424+952</f>
        <v>11423614.5</v>
      </c>
      <c r="M105" s="171">
        <f>1424397+63+297+1638+742+364+66+653+356+238</f>
        <v>1428814</v>
      </c>
      <c r="N105" s="212">
        <f t="shared" si="18"/>
        <v>7.995172569697665</v>
      </c>
      <c r="O105" s="317"/>
      <c r="P105" s="315"/>
      <c r="Q105" s="66"/>
      <c r="R105" s="66"/>
      <c r="S105" s="66"/>
      <c r="T105" s="66"/>
    </row>
    <row r="106" spans="1:20" ht="13.5" customHeight="1">
      <c r="A106" s="225">
        <v>102</v>
      </c>
      <c r="B106" s="242" t="s">
        <v>134</v>
      </c>
      <c r="C106" s="166">
        <v>39738</v>
      </c>
      <c r="D106" s="231" t="s">
        <v>119</v>
      </c>
      <c r="E106" s="232">
        <v>67</v>
      </c>
      <c r="F106" s="232">
        <v>1</v>
      </c>
      <c r="G106" s="232">
        <v>44</v>
      </c>
      <c r="H106" s="193">
        <v>1780</v>
      </c>
      <c r="I106" s="179">
        <v>445</v>
      </c>
      <c r="J106" s="172">
        <f t="shared" si="17"/>
        <v>445</v>
      </c>
      <c r="K106" s="194">
        <f t="shared" si="14"/>
        <v>4</v>
      </c>
      <c r="L106" s="195">
        <f>575413.5+2968+2376+2737+2376+2376+4752+2376+952+1780</f>
        <v>598106.5</v>
      </c>
      <c r="M106" s="171">
        <f>83313+742+594+635+594+594+1188+594+238+445</f>
        <v>88937</v>
      </c>
      <c r="N106" s="212">
        <f t="shared" si="18"/>
        <v>6.725058187256147</v>
      </c>
      <c r="O106" s="318"/>
      <c r="P106" s="315"/>
      <c r="Q106" s="66"/>
      <c r="R106" s="66"/>
      <c r="S106" s="66"/>
      <c r="T106" s="66"/>
    </row>
    <row r="107" spans="1:20" ht="13.5" customHeight="1">
      <c r="A107" s="225">
        <v>103</v>
      </c>
      <c r="B107" s="207" t="s">
        <v>134</v>
      </c>
      <c r="C107" s="166">
        <v>39738</v>
      </c>
      <c r="D107" s="231" t="s">
        <v>119</v>
      </c>
      <c r="E107" s="243">
        <v>67</v>
      </c>
      <c r="F107" s="243">
        <v>1</v>
      </c>
      <c r="G107" s="243">
        <v>43</v>
      </c>
      <c r="H107" s="193">
        <v>952</v>
      </c>
      <c r="I107" s="179">
        <v>238</v>
      </c>
      <c r="J107" s="172">
        <f t="shared" si="17"/>
        <v>238</v>
      </c>
      <c r="K107" s="194">
        <f t="shared" si="14"/>
        <v>4</v>
      </c>
      <c r="L107" s="195">
        <f>575413.5+2968+2376+2737+2376+2376+4752+2376+952</f>
        <v>596326.5</v>
      </c>
      <c r="M107" s="171">
        <f>83313+742+594+635+594+594+1188+594+238</f>
        <v>88492</v>
      </c>
      <c r="N107" s="212">
        <f t="shared" si="18"/>
        <v>6.738761695972517</v>
      </c>
      <c r="O107" s="317"/>
      <c r="P107" s="315"/>
      <c r="Q107" s="66"/>
      <c r="R107" s="66"/>
      <c r="S107" s="66"/>
      <c r="T107" s="66"/>
    </row>
    <row r="108" spans="1:20" ht="13.5" customHeight="1">
      <c r="A108" s="225">
        <v>104</v>
      </c>
      <c r="B108" s="209" t="s">
        <v>145</v>
      </c>
      <c r="C108" s="163">
        <v>40389</v>
      </c>
      <c r="D108" s="246" t="s">
        <v>24</v>
      </c>
      <c r="E108" s="245">
        <v>139</v>
      </c>
      <c r="F108" s="245">
        <v>1</v>
      </c>
      <c r="G108" s="245">
        <v>23</v>
      </c>
      <c r="H108" s="190">
        <v>9523</v>
      </c>
      <c r="I108" s="178">
        <v>1587</v>
      </c>
      <c r="J108" s="165">
        <f>I108/F108</f>
        <v>1587</v>
      </c>
      <c r="K108" s="191">
        <f t="shared" si="14"/>
        <v>6.000630119722747</v>
      </c>
      <c r="L108" s="192">
        <v>11041118</v>
      </c>
      <c r="M108" s="164">
        <v>1103147</v>
      </c>
      <c r="N108" s="210">
        <f>+L108/M108</f>
        <v>10.008745887900705</v>
      </c>
      <c r="O108" s="327"/>
      <c r="P108" s="315"/>
      <c r="Q108" s="66"/>
      <c r="R108" s="66"/>
      <c r="S108" s="66"/>
      <c r="T108" s="66"/>
    </row>
    <row r="109" spans="1:20" ht="13.5" customHeight="1">
      <c r="A109" s="225">
        <v>105</v>
      </c>
      <c r="B109" s="209" t="s">
        <v>145</v>
      </c>
      <c r="C109" s="163">
        <v>40389</v>
      </c>
      <c r="D109" s="246" t="s">
        <v>24</v>
      </c>
      <c r="E109" s="245">
        <v>139</v>
      </c>
      <c r="F109" s="245">
        <v>2</v>
      </c>
      <c r="G109" s="245">
        <v>22</v>
      </c>
      <c r="H109" s="190">
        <v>1178</v>
      </c>
      <c r="I109" s="178">
        <v>911</v>
      </c>
      <c r="J109" s="165">
        <f>I109/F109</f>
        <v>455.5</v>
      </c>
      <c r="K109" s="191">
        <f t="shared" si="14"/>
        <v>1.2930845225027443</v>
      </c>
      <c r="L109" s="192">
        <v>11031595</v>
      </c>
      <c r="M109" s="164">
        <v>1101560</v>
      </c>
      <c r="N109" s="210">
        <f>+L109/M109</f>
        <v>10.014520316641853</v>
      </c>
      <c r="O109" s="321"/>
      <c r="P109" s="315"/>
      <c r="Q109" s="66"/>
      <c r="R109" s="66"/>
      <c r="S109" s="66"/>
      <c r="T109" s="66"/>
    </row>
    <row r="110" spans="1:20" ht="13.5" customHeight="1">
      <c r="A110" s="225">
        <v>106</v>
      </c>
      <c r="B110" s="213" t="s">
        <v>22</v>
      </c>
      <c r="C110" s="163">
        <v>40480</v>
      </c>
      <c r="D110" s="247" t="s">
        <v>27</v>
      </c>
      <c r="E110" s="233">
        <v>1</v>
      </c>
      <c r="F110" s="233">
        <v>1</v>
      </c>
      <c r="G110" s="233">
        <v>9</v>
      </c>
      <c r="H110" s="196">
        <v>368</v>
      </c>
      <c r="I110" s="182">
        <v>57</v>
      </c>
      <c r="J110" s="170">
        <f>+I110/F110</f>
        <v>57</v>
      </c>
      <c r="K110" s="197">
        <f>+H110/I110</f>
        <v>6.456140350877193</v>
      </c>
      <c r="L110" s="198">
        <v>14543</v>
      </c>
      <c r="M110" s="169">
        <v>1072</v>
      </c>
      <c r="N110" s="214">
        <f>+L110/M110</f>
        <v>13.566231343283581</v>
      </c>
      <c r="O110" s="321"/>
      <c r="P110" s="315"/>
      <c r="Q110" s="66"/>
      <c r="R110" s="66"/>
      <c r="S110" s="66"/>
      <c r="T110" s="66"/>
    </row>
    <row r="111" spans="1:20" ht="13.5" customHeight="1">
      <c r="A111" s="225">
        <v>107</v>
      </c>
      <c r="B111" s="213" t="s">
        <v>22</v>
      </c>
      <c r="C111" s="163">
        <v>40480</v>
      </c>
      <c r="D111" s="247" t="s">
        <v>27</v>
      </c>
      <c r="E111" s="233">
        <v>1</v>
      </c>
      <c r="F111" s="233">
        <v>1</v>
      </c>
      <c r="G111" s="233">
        <v>10</v>
      </c>
      <c r="H111" s="198">
        <v>266</v>
      </c>
      <c r="I111" s="169">
        <v>38</v>
      </c>
      <c r="J111" s="170">
        <f>+I111/F111</f>
        <v>38</v>
      </c>
      <c r="K111" s="197">
        <f>+H111/I111</f>
        <v>7</v>
      </c>
      <c r="L111" s="198">
        <v>14809</v>
      </c>
      <c r="M111" s="169">
        <v>1110</v>
      </c>
      <c r="N111" s="214">
        <f>+L111/M111</f>
        <v>13.341441441441441</v>
      </c>
      <c r="O111" s="320"/>
      <c r="P111" s="315"/>
      <c r="Q111" s="66"/>
      <c r="R111" s="66"/>
      <c r="S111" s="66"/>
      <c r="T111" s="66"/>
    </row>
    <row r="112" spans="1:20" ht="13.5" customHeight="1">
      <c r="A112" s="225">
        <v>108</v>
      </c>
      <c r="B112" s="468" t="s">
        <v>22</v>
      </c>
      <c r="C112" s="163">
        <v>40480</v>
      </c>
      <c r="D112" s="429" t="s">
        <v>27</v>
      </c>
      <c r="E112" s="233">
        <v>1</v>
      </c>
      <c r="F112" s="233">
        <v>1</v>
      </c>
      <c r="G112" s="233">
        <v>8</v>
      </c>
      <c r="H112" s="430">
        <v>42</v>
      </c>
      <c r="I112" s="182">
        <v>6</v>
      </c>
      <c r="J112" s="170">
        <f>+I112/F112</f>
        <v>6</v>
      </c>
      <c r="K112" s="407">
        <f>+H112/I112</f>
        <v>7</v>
      </c>
      <c r="L112" s="431">
        <v>14175</v>
      </c>
      <c r="M112" s="169">
        <v>1015</v>
      </c>
      <c r="N112" s="465">
        <f>+L112/M112</f>
        <v>13.96551724137931</v>
      </c>
      <c r="O112" s="317"/>
      <c r="P112" s="315"/>
      <c r="Q112" s="66"/>
      <c r="R112" s="66"/>
      <c r="S112" s="66"/>
      <c r="T112" s="66"/>
    </row>
    <row r="113" spans="1:20" ht="13.5" customHeight="1">
      <c r="A113" s="225">
        <v>109</v>
      </c>
      <c r="B113" s="242" t="s">
        <v>170</v>
      </c>
      <c r="C113" s="259">
        <v>39710</v>
      </c>
      <c r="D113" s="231" t="s">
        <v>119</v>
      </c>
      <c r="E113" s="232">
        <v>1</v>
      </c>
      <c r="F113" s="232">
        <v>1</v>
      </c>
      <c r="G113" s="232">
        <v>16</v>
      </c>
      <c r="H113" s="378">
        <v>236</v>
      </c>
      <c r="I113" s="396">
        <v>59</v>
      </c>
      <c r="J113" s="397">
        <f>(I113/F113)</f>
        <v>59</v>
      </c>
      <c r="K113" s="385">
        <f>H113/I113</f>
        <v>4</v>
      </c>
      <c r="L113" s="186">
        <f>11305+5960+2538+2056+455+891+1621+1302+712+1484+1484+1424+1188+1188+1188+236</f>
        <v>35032</v>
      </c>
      <c r="M113" s="269">
        <f>835+676+295+239+136+275+187+148+178+371+371+356+297+297+297+59</f>
        <v>5017</v>
      </c>
      <c r="N113" s="187">
        <f>L113/M113</f>
        <v>6.982658959537572</v>
      </c>
      <c r="O113" s="316"/>
      <c r="P113" s="315"/>
      <c r="Q113" s="66"/>
      <c r="R113" s="66"/>
      <c r="S113" s="66"/>
      <c r="T113" s="66"/>
    </row>
    <row r="114" spans="1:20" ht="13.5" customHeight="1">
      <c r="A114" s="225">
        <v>110</v>
      </c>
      <c r="B114" s="242" t="s">
        <v>158</v>
      </c>
      <c r="C114" s="259">
        <v>39997</v>
      </c>
      <c r="D114" s="231" t="s">
        <v>119</v>
      </c>
      <c r="E114" s="232">
        <v>5</v>
      </c>
      <c r="F114" s="232">
        <v>1</v>
      </c>
      <c r="G114" s="232">
        <v>21</v>
      </c>
      <c r="H114" s="193">
        <v>952</v>
      </c>
      <c r="I114" s="179">
        <v>238</v>
      </c>
      <c r="J114" s="172">
        <f>(I114/F114)</f>
        <v>238</v>
      </c>
      <c r="K114" s="194">
        <f>H114/I114</f>
        <v>4</v>
      </c>
      <c r="L114" s="195">
        <f>18914.5+7321+4028.5+1674+6130+4818.5+6984.5+5012.5+1695+4556+3587.5+1286+2931+2868+2878.5+3369+1780+1780+162+63+952</f>
        <v>82791.5</v>
      </c>
      <c r="M114" s="171">
        <f>1467+674+673+324+645+765+779+620+311+670+508+195+503+424+502+755+445+445+35+21+238</f>
        <v>10999</v>
      </c>
      <c r="N114" s="212">
        <f>L114/M114</f>
        <v>7.527184289480862</v>
      </c>
      <c r="O114" s="316"/>
      <c r="P114" s="315"/>
      <c r="Q114" s="66"/>
      <c r="R114" s="66"/>
      <c r="S114" s="66"/>
      <c r="T114" s="66"/>
    </row>
    <row r="115" spans="1:20" ht="13.5" customHeight="1">
      <c r="A115" s="225">
        <v>111</v>
      </c>
      <c r="B115" s="207" t="s">
        <v>97</v>
      </c>
      <c r="C115" s="166">
        <v>40424</v>
      </c>
      <c r="D115" s="231" t="s">
        <v>119</v>
      </c>
      <c r="E115" s="243">
        <v>5</v>
      </c>
      <c r="F115" s="243">
        <v>1</v>
      </c>
      <c r="G115" s="243">
        <v>10</v>
      </c>
      <c r="H115" s="193">
        <v>1188</v>
      </c>
      <c r="I115" s="179">
        <v>297</v>
      </c>
      <c r="J115" s="172">
        <f>(I115/F115)</f>
        <v>297</v>
      </c>
      <c r="K115" s="194">
        <f>H115/I115</f>
        <v>4</v>
      </c>
      <c r="L115" s="195">
        <f>11822.5+3468.5+3273+3742.5+3152+1092+927+1058+2153.5+1188</f>
        <v>31877</v>
      </c>
      <c r="M115" s="171">
        <f>827+293+410+398+368+137+124+170+462+297</f>
        <v>3486</v>
      </c>
      <c r="N115" s="212">
        <f>L115/M115</f>
        <v>9.144291451520367</v>
      </c>
      <c r="O115" s="323"/>
      <c r="P115" s="315"/>
      <c r="Q115" s="66"/>
      <c r="R115" s="66"/>
      <c r="S115" s="66"/>
      <c r="T115" s="66"/>
    </row>
    <row r="116" spans="1:20" ht="13.5" customHeight="1">
      <c r="A116" s="225">
        <v>112</v>
      </c>
      <c r="B116" s="213" t="s">
        <v>107</v>
      </c>
      <c r="C116" s="163">
        <v>39647</v>
      </c>
      <c r="D116" s="234" t="s">
        <v>17</v>
      </c>
      <c r="E116" s="233">
        <v>108</v>
      </c>
      <c r="F116" s="233">
        <v>1</v>
      </c>
      <c r="G116" s="233">
        <v>20</v>
      </c>
      <c r="H116" s="199">
        <v>3020</v>
      </c>
      <c r="I116" s="183">
        <v>604</v>
      </c>
      <c r="J116" s="170">
        <f>+I116/F116</f>
        <v>604</v>
      </c>
      <c r="K116" s="197">
        <f>+H116/I116</f>
        <v>5</v>
      </c>
      <c r="L116" s="200">
        <f>4275145.5+3020</f>
        <v>4278165.5</v>
      </c>
      <c r="M116" s="167">
        <f>437002+604</f>
        <v>437606</v>
      </c>
      <c r="N116" s="214">
        <f>IF(L116&lt;&gt;0,L116/M116,"")</f>
        <v>9.776295343299681</v>
      </c>
      <c r="O116" s="316"/>
      <c r="P116" s="315"/>
      <c r="Q116" s="66"/>
      <c r="R116" s="66"/>
      <c r="S116" s="66"/>
      <c r="T116" s="66"/>
    </row>
    <row r="117" spans="1:20" ht="13.5" customHeight="1">
      <c r="A117" s="225">
        <v>113</v>
      </c>
      <c r="B117" s="463" t="s">
        <v>125</v>
      </c>
      <c r="C117" s="163">
        <v>40452</v>
      </c>
      <c r="D117" s="246" t="s">
        <v>17</v>
      </c>
      <c r="E117" s="245">
        <v>67</v>
      </c>
      <c r="F117" s="245">
        <v>3</v>
      </c>
      <c r="G117" s="245">
        <v>12</v>
      </c>
      <c r="H117" s="199">
        <v>1188</v>
      </c>
      <c r="I117" s="183">
        <v>297</v>
      </c>
      <c r="J117" s="170">
        <f>IF(H117&lt;&gt;0,I117/F117,"")</f>
        <v>99</v>
      </c>
      <c r="K117" s="197">
        <f>IF(H117&lt;&gt;0,H117/I117,"")</f>
        <v>4</v>
      </c>
      <c r="L117" s="200">
        <f>148907+7057+8529+4040+573.5+1227+412+727+521+258+1188</f>
        <v>173439.5</v>
      </c>
      <c r="M117" s="167">
        <f>14954+1128+1323+621+141+331+59+105+73+51+297</f>
        <v>19083</v>
      </c>
      <c r="N117" s="214">
        <f>IF(L117&lt;&gt;0,L117/M117,"")</f>
        <v>9.08869150552848</v>
      </c>
      <c r="O117" s="320">
        <v>1</v>
      </c>
      <c r="P117" s="315"/>
      <c r="Q117" s="66"/>
      <c r="R117" s="66"/>
      <c r="S117" s="66"/>
      <c r="T117" s="66"/>
    </row>
    <row r="118" spans="1:20" ht="13.5" customHeight="1">
      <c r="A118" s="225">
        <v>114</v>
      </c>
      <c r="B118" s="463" t="s">
        <v>66</v>
      </c>
      <c r="C118" s="163">
        <v>40452</v>
      </c>
      <c r="D118" s="398" t="s">
        <v>17</v>
      </c>
      <c r="E118" s="245">
        <v>67</v>
      </c>
      <c r="F118" s="245">
        <v>3</v>
      </c>
      <c r="G118" s="245">
        <v>11</v>
      </c>
      <c r="H118" s="406">
        <v>258</v>
      </c>
      <c r="I118" s="183">
        <v>51</v>
      </c>
      <c r="J118" s="170">
        <f>IF(H118&lt;&gt;0,I118/F118,"")</f>
        <v>17</v>
      </c>
      <c r="K118" s="407">
        <f>IF(H118&lt;&gt;0,H118/I118,"")</f>
        <v>5.0588235294117645</v>
      </c>
      <c r="L118" s="408">
        <f>148907+7057+8529+4040+573.5+1227+412+727+521+H118</f>
        <v>172251.5</v>
      </c>
      <c r="M118" s="167">
        <f>14954+1128+1323+621+141+331+59+105+73+I118</f>
        <v>18786</v>
      </c>
      <c r="N118" s="465">
        <f>IF(L118&lt;&gt;0,L118/M118,"")</f>
        <v>9.16914191419142</v>
      </c>
      <c r="O118" s="317">
        <v>1</v>
      </c>
      <c r="P118" s="315"/>
      <c r="Q118" s="66"/>
      <c r="R118" s="66"/>
      <c r="S118" s="66"/>
      <c r="T118" s="66"/>
    </row>
    <row r="119" spans="1:20" ht="13.5" customHeight="1">
      <c r="A119" s="225">
        <v>115</v>
      </c>
      <c r="B119" s="213" t="s">
        <v>125</v>
      </c>
      <c r="C119" s="402">
        <v>40452</v>
      </c>
      <c r="D119" s="234" t="s">
        <v>17</v>
      </c>
      <c r="E119" s="233">
        <v>67</v>
      </c>
      <c r="F119" s="233">
        <v>1</v>
      </c>
      <c r="G119" s="233">
        <v>13</v>
      </c>
      <c r="H119" s="406">
        <v>129</v>
      </c>
      <c r="I119" s="427">
        <v>19</v>
      </c>
      <c r="J119" s="428">
        <f>IF(H119&lt;&gt;0,I119/F119,"")</f>
        <v>19</v>
      </c>
      <c r="K119" s="407">
        <f>IF(H119&lt;&gt;0,H119/I119,"")</f>
        <v>6.7894736842105265</v>
      </c>
      <c r="L119" s="408">
        <f>148907+7057+8529+4040+573.5+1227+412+727+521+258+1188+129</f>
        <v>173568.5</v>
      </c>
      <c r="M119" s="268">
        <f>14954+1128+1323+621+141+331+59+105+73+51+297+19</f>
        <v>19102</v>
      </c>
      <c r="N119" s="465">
        <f>IF(L119&lt;&gt;0,L119/M119,"")</f>
        <v>9.086404564967019</v>
      </c>
      <c r="O119" s="316">
        <v>1</v>
      </c>
      <c r="P119" s="315"/>
      <c r="Q119" s="66"/>
      <c r="R119" s="66"/>
      <c r="S119" s="66"/>
      <c r="T119" s="66"/>
    </row>
    <row r="120" spans="1:20" ht="13.5" customHeight="1">
      <c r="A120" s="225">
        <v>116</v>
      </c>
      <c r="B120" s="470" t="s">
        <v>154</v>
      </c>
      <c r="C120" s="423">
        <v>40368</v>
      </c>
      <c r="D120" s="231" t="s">
        <v>119</v>
      </c>
      <c r="E120" s="424">
        <v>126</v>
      </c>
      <c r="F120" s="424">
        <v>1</v>
      </c>
      <c r="G120" s="424">
        <v>23</v>
      </c>
      <c r="H120" s="193">
        <v>1782</v>
      </c>
      <c r="I120" s="179">
        <v>445</v>
      </c>
      <c r="J120" s="172">
        <f>(I120/F120)</f>
        <v>445</v>
      </c>
      <c r="K120" s="194">
        <f>H120/I120</f>
        <v>4.004494382022472</v>
      </c>
      <c r="L120" s="195">
        <f>2106797.5+50230.5+32558.5+15249.5+15137+17418.5+7784.5+2808+2841.5+1328+2453+1693+613+726+713+1425.5+1782+1437+1782</f>
        <v>2264778</v>
      </c>
      <c r="M120" s="171">
        <f>220679+7944+5486+2451+2714+3159+1414+494+658+202+452+398+85+227+178+356+445+228+445</f>
        <v>248015</v>
      </c>
      <c r="N120" s="212">
        <f>L120/M120</f>
        <v>9.131617039291978</v>
      </c>
      <c r="O120" s="316"/>
      <c r="P120" s="315"/>
      <c r="Q120" s="66"/>
      <c r="R120" s="66"/>
      <c r="S120" s="66"/>
      <c r="T120" s="66"/>
    </row>
    <row r="121" spans="1:20" ht="13.5" customHeight="1">
      <c r="A121" s="225">
        <v>117</v>
      </c>
      <c r="B121" s="207" t="s">
        <v>197</v>
      </c>
      <c r="C121" s="166">
        <v>40284</v>
      </c>
      <c r="D121" s="244" t="s">
        <v>119</v>
      </c>
      <c r="E121" s="243">
        <v>14</v>
      </c>
      <c r="F121" s="243">
        <v>1</v>
      </c>
      <c r="G121" s="243">
        <v>22</v>
      </c>
      <c r="H121" s="193">
        <v>1307</v>
      </c>
      <c r="I121" s="179">
        <v>327</v>
      </c>
      <c r="J121" s="172">
        <f>(I121/F121)</f>
        <v>327</v>
      </c>
      <c r="K121" s="194">
        <f>H121/I121</f>
        <v>3.996941896024465</v>
      </c>
      <c r="L121" s="195">
        <f>45403.5+26416+19522+5885+5520+2576+2604+1325+840+957.5+196+2970+1095+960+1330+1159+1173+1901+475+2019.5+1188+1307</f>
        <v>126822.5</v>
      </c>
      <c r="M121" s="171">
        <f>4053+2594+2599+732+962+495+470+215+146+347+28+743+229+194+270+236+188+475+119+505+297+327</f>
        <v>16224</v>
      </c>
      <c r="N121" s="212">
        <f>L121/M121</f>
        <v>7.816968688362919</v>
      </c>
      <c r="O121" s="327">
        <v>1</v>
      </c>
      <c r="P121" s="315"/>
      <c r="Q121" s="66"/>
      <c r="R121" s="66"/>
      <c r="S121" s="66"/>
      <c r="T121" s="66"/>
    </row>
    <row r="122" spans="1:20" ht="13.5" customHeight="1">
      <c r="A122" s="225">
        <v>118</v>
      </c>
      <c r="B122" s="213" t="s">
        <v>81</v>
      </c>
      <c r="C122" s="163">
        <v>40480</v>
      </c>
      <c r="D122" s="234" t="s">
        <v>17</v>
      </c>
      <c r="E122" s="233">
        <v>71</v>
      </c>
      <c r="F122" s="233">
        <v>2</v>
      </c>
      <c r="G122" s="233">
        <v>11</v>
      </c>
      <c r="H122" s="199">
        <v>3270</v>
      </c>
      <c r="I122" s="183">
        <v>654</v>
      </c>
      <c r="J122" s="170">
        <f>IF(H122&lt;&gt;0,I122/F122,"")</f>
        <v>327</v>
      </c>
      <c r="K122" s="197">
        <f>IF(H122&lt;&gt;0,H122/I122,"")</f>
        <v>5</v>
      </c>
      <c r="L122" s="200">
        <f>72774.5+23673+5827+3625+7534.5+38620+936+11563+4979+496.5+3270</f>
        <v>173298.5</v>
      </c>
      <c r="M122" s="167">
        <f>8533+3652+916+601+1795+7393+145+2290+697+79+654</f>
        <v>26755</v>
      </c>
      <c r="N122" s="214">
        <f>IF(L122&lt;&gt;0,L122/M122,"")</f>
        <v>6.4772378994580455</v>
      </c>
      <c r="O122" s="316">
        <v>1</v>
      </c>
      <c r="P122" s="315"/>
      <c r="Q122" s="66"/>
      <c r="R122" s="66"/>
      <c r="S122" s="66"/>
      <c r="T122" s="66"/>
    </row>
    <row r="123" spans="1:20" ht="13.5" customHeight="1">
      <c r="A123" s="225">
        <v>119</v>
      </c>
      <c r="B123" s="463" t="s">
        <v>81</v>
      </c>
      <c r="C123" s="163">
        <v>40480</v>
      </c>
      <c r="D123" s="246" t="s">
        <v>17</v>
      </c>
      <c r="E123" s="245">
        <v>71</v>
      </c>
      <c r="F123" s="245">
        <v>1</v>
      </c>
      <c r="G123" s="245">
        <v>12</v>
      </c>
      <c r="H123" s="199">
        <v>526</v>
      </c>
      <c r="I123" s="183">
        <v>85</v>
      </c>
      <c r="J123" s="170">
        <f>IF(H123&lt;&gt;0,I123/F123,"")</f>
        <v>85</v>
      </c>
      <c r="K123" s="197">
        <f>IF(H123&lt;&gt;0,H123/I123,"")</f>
        <v>6.188235294117647</v>
      </c>
      <c r="L123" s="200">
        <f>72774.5+23673+5827+3625+7534.5+38620+936+11563+4979+496.5+3270+526</f>
        <v>173824.5</v>
      </c>
      <c r="M123" s="167">
        <f>8533+3652+916+601+1795+7393+145+2290+697+79+654+85</f>
        <v>26840</v>
      </c>
      <c r="N123" s="214">
        <f>IF(L123&lt;&gt;0,L123/M123,"")</f>
        <v>6.476322652757079</v>
      </c>
      <c r="O123" s="320">
        <v>1</v>
      </c>
      <c r="P123" s="315"/>
      <c r="Q123" s="66"/>
      <c r="R123" s="66"/>
      <c r="S123" s="66"/>
      <c r="T123" s="66"/>
    </row>
    <row r="124" spans="1:20" ht="13.5" customHeight="1">
      <c r="A124" s="225">
        <v>120</v>
      </c>
      <c r="B124" s="463" t="s">
        <v>81</v>
      </c>
      <c r="C124" s="163">
        <v>40480</v>
      </c>
      <c r="D124" s="398" t="s">
        <v>17</v>
      </c>
      <c r="E124" s="245">
        <v>71</v>
      </c>
      <c r="F124" s="245">
        <v>8</v>
      </c>
      <c r="G124" s="245">
        <v>10</v>
      </c>
      <c r="H124" s="406">
        <v>496.5</v>
      </c>
      <c r="I124" s="183">
        <v>79</v>
      </c>
      <c r="J124" s="170">
        <f>IF(H124&lt;&gt;0,I124/F124,"")</f>
        <v>9.875</v>
      </c>
      <c r="K124" s="407">
        <f>IF(H124&lt;&gt;0,H124/I124,"")</f>
        <v>6.284810126582278</v>
      </c>
      <c r="L124" s="408">
        <f>72774.5+23673+5827+3625+7534.5+38620+936+11563+4979+H124</f>
        <v>170028.5</v>
      </c>
      <c r="M124" s="167">
        <f>8533+3652+916+601+1795+7393+145+2290+697+I124</f>
        <v>26101</v>
      </c>
      <c r="N124" s="465">
        <f>IF(L124&lt;&gt;0,L124/M124,"")</f>
        <v>6.514252327497031</v>
      </c>
      <c r="O124" s="317">
        <v>1</v>
      </c>
      <c r="P124" s="315"/>
      <c r="Q124" s="66"/>
      <c r="R124" s="66"/>
      <c r="S124" s="66"/>
      <c r="T124" s="66"/>
    </row>
    <row r="125" spans="1:20" ht="13.5" customHeight="1">
      <c r="A125" s="225">
        <v>121</v>
      </c>
      <c r="B125" s="258" t="s">
        <v>143</v>
      </c>
      <c r="C125" s="163">
        <v>40067</v>
      </c>
      <c r="D125" s="246" t="s">
        <v>17</v>
      </c>
      <c r="E125" s="245">
        <v>105</v>
      </c>
      <c r="F125" s="245">
        <v>2</v>
      </c>
      <c r="G125" s="245">
        <v>48</v>
      </c>
      <c r="H125" s="199">
        <v>3071</v>
      </c>
      <c r="I125" s="183">
        <v>592</v>
      </c>
      <c r="J125" s="170">
        <f>IF(H125&lt;&gt;0,I125/F125,"")</f>
        <v>296</v>
      </c>
      <c r="K125" s="197">
        <f>IF(H125&lt;&gt;0,H125/I125,"")</f>
        <v>5.1875</v>
      </c>
      <c r="L125" s="200">
        <f>645861.5+391+1223+705+141+3564+3071</f>
        <v>654956.5</v>
      </c>
      <c r="M125" s="167">
        <f>78550+64+202+109+20+713+592</f>
        <v>80250</v>
      </c>
      <c r="N125" s="214">
        <f>IF(L125&lt;&gt;0,L125/M125,"")</f>
        <v>8.161451713395639</v>
      </c>
      <c r="O125" s="321"/>
      <c r="P125" s="315"/>
      <c r="Q125" s="66"/>
      <c r="R125" s="66"/>
      <c r="S125" s="66"/>
      <c r="T125" s="66"/>
    </row>
    <row r="126" spans="1:20" ht="13.5" customHeight="1">
      <c r="A126" s="225">
        <v>122</v>
      </c>
      <c r="B126" s="460" t="s">
        <v>15</v>
      </c>
      <c r="C126" s="166">
        <v>40473</v>
      </c>
      <c r="D126" s="231" t="s">
        <v>119</v>
      </c>
      <c r="E126" s="243">
        <v>30</v>
      </c>
      <c r="F126" s="243">
        <v>10</v>
      </c>
      <c r="G126" s="243">
        <v>11</v>
      </c>
      <c r="H126" s="378">
        <v>8357</v>
      </c>
      <c r="I126" s="179">
        <v>1374</v>
      </c>
      <c r="J126" s="172">
        <f aca="true" t="shared" si="19" ref="J126:J132">(I126/F126)</f>
        <v>137.4</v>
      </c>
      <c r="K126" s="385">
        <f aca="true" t="shared" si="20" ref="K126:K132">H126/I126</f>
        <v>6.082241630276565</v>
      </c>
      <c r="L126" s="186">
        <f>140269+106844+7979+4849+4700.5+7059+2232+1390+2769+13917+8357</f>
        <v>300365.5</v>
      </c>
      <c r="M126" s="171">
        <f>11518+8629+641+577+660+1341+325+348+324+2259+1374</f>
        <v>27996</v>
      </c>
      <c r="N126" s="187">
        <f aca="true" t="shared" si="21" ref="N126:N132">L126/M126</f>
        <v>10.728871981711674</v>
      </c>
      <c r="O126" s="323"/>
      <c r="P126" s="315"/>
      <c r="Q126" s="66"/>
      <c r="R126" s="66"/>
      <c r="S126" s="66"/>
      <c r="T126" s="66"/>
    </row>
    <row r="127" spans="1:20" ht="13.5" customHeight="1">
      <c r="A127" s="225">
        <v>123</v>
      </c>
      <c r="B127" s="461" t="s">
        <v>15</v>
      </c>
      <c r="C127" s="373">
        <v>40473</v>
      </c>
      <c r="D127" s="231" t="s">
        <v>119</v>
      </c>
      <c r="E127" s="375">
        <v>30</v>
      </c>
      <c r="F127" s="375">
        <v>3</v>
      </c>
      <c r="G127" s="375">
        <v>13</v>
      </c>
      <c r="H127" s="377">
        <v>4704</v>
      </c>
      <c r="I127" s="381">
        <v>506</v>
      </c>
      <c r="J127" s="382">
        <f t="shared" si="19"/>
        <v>168.66666666666666</v>
      </c>
      <c r="K127" s="384">
        <f t="shared" si="20"/>
        <v>9.296442687747035</v>
      </c>
      <c r="L127" s="387">
        <f>140269+106844+7979+4849+4700.5+7059+2232+1390+2769+13917+8357+891.5+4704</f>
        <v>305961</v>
      </c>
      <c r="M127" s="388">
        <f>11518+8629+641+577+660+1341+325+348+324+2259+1374+332+506</f>
        <v>28834</v>
      </c>
      <c r="N127" s="462">
        <f t="shared" si="21"/>
        <v>10.61111881806201</v>
      </c>
      <c r="O127" s="319"/>
      <c r="P127" s="315"/>
      <c r="Q127" s="66"/>
      <c r="R127" s="66"/>
      <c r="S127" s="66"/>
      <c r="T127" s="66"/>
    </row>
    <row r="128" spans="1:20" ht="13.5" customHeight="1">
      <c r="A128" s="225">
        <v>124</v>
      </c>
      <c r="B128" s="461" t="s">
        <v>15</v>
      </c>
      <c r="C128" s="373">
        <v>40473</v>
      </c>
      <c r="D128" s="231" t="s">
        <v>119</v>
      </c>
      <c r="E128" s="375">
        <v>30</v>
      </c>
      <c r="F128" s="375">
        <v>1</v>
      </c>
      <c r="G128" s="375">
        <v>14</v>
      </c>
      <c r="H128" s="377">
        <v>1307</v>
      </c>
      <c r="I128" s="381">
        <v>327</v>
      </c>
      <c r="J128" s="382">
        <f t="shared" si="19"/>
        <v>327</v>
      </c>
      <c r="K128" s="384">
        <f t="shared" si="20"/>
        <v>3.996941896024465</v>
      </c>
      <c r="L128" s="387">
        <f>140269+106844+7979+4849+4700.5+7059+2232+1390+2769+13917+8357+891.5+4704+1307</f>
        <v>307268</v>
      </c>
      <c r="M128" s="388">
        <f>11518+8629+641+577+660+1341+325+348+324+2259+1374+332+506+327</f>
        <v>29161</v>
      </c>
      <c r="N128" s="462">
        <f t="shared" si="21"/>
        <v>10.536950036006996</v>
      </c>
      <c r="O128" s="321"/>
      <c r="P128" s="315"/>
      <c r="Q128" s="66"/>
      <c r="R128" s="66"/>
      <c r="S128" s="66"/>
      <c r="T128" s="66"/>
    </row>
    <row r="129" spans="1:20" ht="13.5" customHeight="1">
      <c r="A129" s="225">
        <v>125</v>
      </c>
      <c r="B129" s="242" t="s">
        <v>15</v>
      </c>
      <c r="C129" s="259">
        <v>40473</v>
      </c>
      <c r="D129" s="231" t="s">
        <v>119</v>
      </c>
      <c r="E129" s="232">
        <v>30</v>
      </c>
      <c r="F129" s="232">
        <v>1</v>
      </c>
      <c r="G129" s="232">
        <v>15</v>
      </c>
      <c r="H129" s="193">
        <v>1076</v>
      </c>
      <c r="I129" s="179">
        <v>114</v>
      </c>
      <c r="J129" s="172">
        <f t="shared" si="19"/>
        <v>114</v>
      </c>
      <c r="K129" s="194">
        <f t="shared" si="20"/>
        <v>9.43859649122807</v>
      </c>
      <c r="L129" s="195">
        <f>140269+106844+7979+4849+4700.5+7059+2232+1390+2769+13917+8357+891.5+4704+1307+1076</f>
        <v>308344</v>
      </c>
      <c r="M129" s="171">
        <f>11518+8629+641+577+660+1341+325+348+324+2259+1374+332+506+327+114</f>
        <v>29275</v>
      </c>
      <c r="N129" s="212">
        <f t="shared" si="21"/>
        <v>10.53267292912041</v>
      </c>
      <c r="O129" s="316"/>
      <c r="P129" s="315"/>
      <c r="Q129" s="66"/>
      <c r="R129" s="66"/>
      <c r="S129" s="66"/>
      <c r="T129" s="66"/>
    </row>
    <row r="130" spans="1:20" ht="13.5" customHeight="1">
      <c r="A130" s="225">
        <v>126</v>
      </c>
      <c r="B130" s="207" t="s">
        <v>15</v>
      </c>
      <c r="C130" s="166">
        <v>40473</v>
      </c>
      <c r="D130" s="231" t="s">
        <v>119</v>
      </c>
      <c r="E130" s="243">
        <v>30</v>
      </c>
      <c r="F130" s="243">
        <v>1</v>
      </c>
      <c r="G130" s="243">
        <v>12</v>
      </c>
      <c r="H130" s="193">
        <v>891.5</v>
      </c>
      <c r="I130" s="179">
        <v>332</v>
      </c>
      <c r="J130" s="172">
        <f t="shared" si="19"/>
        <v>332</v>
      </c>
      <c r="K130" s="194">
        <f t="shared" si="20"/>
        <v>2.6852409638554215</v>
      </c>
      <c r="L130" s="195">
        <f>140269+106844+7979+4849+4700.5+7059+2232+1390+2769+13917+8357+891.5</f>
        <v>301257</v>
      </c>
      <c r="M130" s="171">
        <f>11518+8629+641+577+660+1341+325+348+324+2259+1374+332</f>
        <v>28328</v>
      </c>
      <c r="N130" s="212">
        <f t="shared" si="21"/>
        <v>10.63460180739904</v>
      </c>
      <c r="O130" s="323"/>
      <c r="P130" s="315"/>
      <c r="Q130" s="66"/>
      <c r="R130" s="66"/>
      <c r="S130" s="66"/>
      <c r="T130" s="66"/>
    </row>
    <row r="131" spans="1:20" ht="15">
      <c r="A131" s="225">
        <v>127</v>
      </c>
      <c r="B131" s="473" t="s">
        <v>9</v>
      </c>
      <c r="C131" s="177">
        <v>40438</v>
      </c>
      <c r="D131" s="231" t="s">
        <v>119</v>
      </c>
      <c r="E131" s="249">
        <v>19</v>
      </c>
      <c r="F131" s="249">
        <v>1</v>
      </c>
      <c r="G131" s="249">
        <v>13</v>
      </c>
      <c r="H131" s="378">
        <v>1188</v>
      </c>
      <c r="I131" s="179">
        <v>297</v>
      </c>
      <c r="J131" s="172">
        <f t="shared" si="19"/>
        <v>297</v>
      </c>
      <c r="K131" s="385">
        <f t="shared" si="20"/>
        <v>4</v>
      </c>
      <c r="L131" s="186">
        <f>56752.5+38871+22868.5+4839+2786+2829.5+8012+670+1368+140+42+628+1188</f>
        <v>140994.5</v>
      </c>
      <c r="M131" s="171">
        <f>4639+3072+2103+531+316+368+936+83+203+20+6+98+297</f>
        <v>12672</v>
      </c>
      <c r="N131" s="187">
        <f t="shared" si="21"/>
        <v>11.12645991161616</v>
      </c>
      <c r="O131" s="317">
        <v>1</v>
      </c>
      <c r="P131" s="315"/>
      <c r="Q131" s="66"/>
      <c r="R131" s="66"/>
      <c r="S131" s="66"/>
      <c r="T131" s="66"/>
    </row>
    <row r="132" spans="1:20" ht="15">
      <c r="A132" s="225">
        <v>128</v>
      </c>
      <c r="B132" s="242" t="s">
        <v>159</v>
      </c>
      <c r="C132" s="259">
        <v>39871</v>
      </c>
      <c r="D132" s="231" t="s">
        <v>119</v>
      </c>
      <c r="E132" s="232">
        <v>1</v>
      </c>
      <c r="F132" s="232">
        <v>1</v>
      </c>
      <c r="G132" s="232">
        <v>24</v>
      </c>
      <c r="H132" s="193">
        <v>952</v>
      </c>
      <c r="I132" s="179">
        <v>238</v>
      </c>
      <c r="J132" s="172">
        <f t="shared" si="19"/>
        <v>238</v>
      </c>
      <c r="K132" s="194">
        <f t="shared" si="20"/>
        <v>4</v>
      </c>
      <c r="L132" s="195">
        <f>1088+1510+1304+856+387+214+424+106+162+130+476+60.5+118+96+1664+1780+454+259.5+1188+119.5+1188+1780+1780+1780+952</f>
        <v>19876.5</v>
      </c>
      <c r="M132" s="171">
        <f>267+175+155+102+46+26+51+12+18+16+57+8+22+16+416+445+57+31+297+19+297+445+445+445+238</f>
        <v>4106</v>
      </c>
      <c r="N132" s="212">
        <f t="shared" si="21"/>
        <v>4.840842669264491</v>
      </c>
      <c r="O132" s="316"/>
      <c r="P132" s="315"/>
      <c r="Q132" s="66"/>
      <c r="R132" s="66"/>
      <c r="S132" s="66"/>
      <c r="T132" s="66"/>
    </row>
    <row r="133" spans="1:20" ht="15">
      <c r="A133" s="225">
        <v>129</v>
      </c>
      <c r="B133" s="463" t="s">
        <v>58</v>
      </c>
      <c r="C133" s="163">
        <v>40529</v>
      </c>
      <c r="D133" s="398" t="s">
        <v>24</v>
      </c>
      <c r="E133" s="245">
        <v>72</v>
      </c>
      <c r="F133" s="245">
        <v>71</v>
      </c>
      <c r="G133" s="245">
        <v>3</v>
      </c>
      <c r="H133" s="399">
        <v>165182</v>
      </c>
      <c r="I133" s="178">
        <v>14707</v>
      </c>
      <c r="J133" s="165">
        <f aca="true" t="shared" si="22" ref="J133:J138">I133/F133</f>
        <v>207.14084507042253</v>
      </c>
      <c r="K133" s="386">
        <f>+H133/I133</f>
        <v>11.231522404297273</v>
      </c>
      <c r="L133" s="401">
        <v>909930</v>
      </c>
      <c r="M133" s="164">
        <v>83118</v>
      </c>
      <c r="N133" s="464">
        <f aca="true" t="shared" si="23" ref="N133:N139">+L133/M133</f>
        <v>10.94744820616473</v>
      </c>
      <c r="O133" s="320">
        <v>1</v>
      </c>
      <c r="P133" s="315"/>
      <c r="Q133" s="66"/>
      <c r="R133" s="66"/>
      <c r="S133" s="66"/>
      <c r="T133" s="66"/>
    </row>
    <row r="134" spans="1:20" ht="15">
      <c r="A134" s="225">
        <v>130</v>
      </c>
      <c r="B134" s="213" t="s">
        <v>58</v>
      </c>
      <c r="C134" s="163">
        <v>40529</v>
      </c>
      <c r="D134" s="234" t="s">
        <v>24</v>
      </c>
      <c r="E134" s="233">
        <v>72</v>
      </c>
      <c r="F134" s="233">
        <v>3</v>
      </c>
      <c r="G134" s="233">
        <v>5</v>
      </c>
      <c r="H134" s="190">
        <v>3407</v>
      </c>
      <c r="I134" s="178">
        <v>461</v>
      </c>
      <c r="J134" s="165">
        <f t="shared" si="22"/>
        <v>153.66666666666666</v>
      </c>
      <c r="K134" s="191">
        <f>H134/I134</f>
        <v>7.390455531453362</v>
      </c>
      <c r="L134" s="192">
        <v>915738</v>
      </c>
      <c r="M134" s="164">
        <v>84149</v>
      </c>
      <c r="N134" s="210">
        <f t="shared" si="23"/>
        <v>10.88233965941366</v>
      </c>
      <c r="O134" s="316"/>
      <c r="P134" s="315"/>
      <c r="Q134" s="66"/>
      <c r="R134" s="66"/>
      <c r="S134" s="66"/>
      <c r="T134" s="66"/>
    </row>
    <row r="135" spans="1:20" ht="15">
      <c r="A135" s="225">
        <v>131</v>
      </c>
      <c r="B135" s="209" t="s">
        <v>58</v>
      </c>
      <c r="C135" s="163">
        <v>40529</v>
      </c>
      <c r="D135" s="398" t="s">
        <v>24</v>
      </c>
      <c r="E135" s="245">
        <v>72</v>
      </c>
      <c r="F135" s="245">
        <v>2</v>
      </c>
      <c r="G135" s="245">
        <v>4</v>
      </c>
      <c r="H135" s="190">
        <v>2401</v>
      </c>
      <c r="I135" s="178">
        <v>570</v>
      </c>
      <c r="J135" s="165">
        <f t="shared" si="22"/>
        <v>285</v>
      </c>
      <c r="K135" s="191">
        <f>H135/I135</f>
        <v>4.212280701754386</v>
      </c>
      <c r="L135" s="192">
        <v>912331</v>
      </c>
      <c r="M135" s="164">
        <v>83688</v>
      </c>
      <c r="N135" s="210">
        <f t="shared" si="23"/>
        <v>10.901574897237358</v>
      </c>
      <c r="O135" s="320"/>
      <c r="P135" s="315"/>
      <c r="Q135" s="66"/>
      <c r="R135" s="66"/>
      <c r="S135" s="66"/>
      <c r="T135" s="66"/>
    </row>
    <row r="136" spans="1:20" ht="15">
      <c r="A136" s="225">
        <v>132</v>
      </c>
      <c r="B136" s="209" t="s">
        <v>58</v>
      </c>
      <c r="C136" s="163">
        <v>40529</v>
      </c>
      <c r="D136" s="246" t="s">
        <v>24</v>
      </c>
      <c r="E136" s="245">
        <v>72</v>
      </c>
      <c r="F136" s="245">
        <v>4</v>
      </c>
      <c r="G136" s="245">
        <v>7</v>
      </c>
      <c r="H136" s="190">
        <v>2361</v>
      </c>
      <c r="I136" s="178">
        <v>403</v>
      </c>
      <c r="J136" s="165">
        <f t="shared" si="22"/>
        <v>100.75</v>
      </c>
      <c r="K136" s="191">
        <f>H136/I136</f>
        <v>5.858560794044665</v>
      </c>
      <c r="L136" s="192">
        <v>919279</v>
      </c>
      <c r="M136" s="164">
        <v>84735</v>
      </c>
      <c r="N136" s="210">
        <f t="shared" si="23"/>
        <v>10.848870006490824</v>
      </c>
      <c r="O136" s="321"/>
      <c r="P136" s="315"/>
      <c r="Q136" s="66"/>
      <c r="R136" s="66"/>
      <c r="S136" s="66"/>
      <c r="T136" s="66"/>
    </row>
    <row r="137" spans="1:20" ht="15">
      <c r="A137" s="225">
        <v>133</v>
      </c>
      <c r="B137" s="463" t="s">
        <v>58</v>
      </c>
      <c r="C137" s="163">
        <v>40529</v>
      </c>
      <c r="D137" s="246" t="s">
        <v>24</v>
      </c>
      <c r="E137" s="245">
        <v>72</v>
      </c>
      <c r="F137" s="245">
        <v>2</v>
      </c>
      <c r="G137" s="245">
        <v>6</v>
      </c>
      <c r="H137" s="190">
        <v>1181</v>
      </c>
      <c r="I137" s="178">
        <v>183</v>
      </c>
      <c r="J137" s="165">
        <f t="shared" si="22"/>
        <v>91.5</v>
      </c>
      <c r="K137" s="191">
        <f>H137/I137</f>
        <v>6.453551912568306</v>
      </c>
      <c r="L137" s="192">
        <v>916919</v>
      </c>
      <c r="M137" s="164">
        <v>84332</v>
      </c>
      <c r="N137" s="210">
        <f t="shared" si="23"/>
        <v>10.87272921311009</v>
      </c>
      <c r="O137" s="317"/>
      <c r="P137" s="315"/>
      <c r="Q137" s="66"/>
      <c r="R137" s="66"/>
      <c r="S137" s="66"/>
      <c r="T137" s="66"/>
    </row>
    <row r="138" spans="1:20" ht="15">
      <c r="A138" s="225">
        <v>134</v>
      </c>
      <c r="B138" s="213" t="s">
        <v>58</v>
      </c>
      <c r="C138" s="402">
        <v>40529</v>
      </c>
      <c r="D138" s="234" t="s">
        <v>24</v>
      </c>
      <c r="E138" s="233">
        <v>72</v>
      </c>
      <c r="F138" s="233">
        <v>1</v>
      </c>
      <c r="G138" s="233">
        <v>8</v>
      </c>
      <c r="H138" s="190">
        <v>500</v>
      </c>
      <c r="I138" s="178">
        <v>70</v>
      </c>
      <c r="J138" s="165">
        <f t="shared" si="22"/>
        <v>70</v>
      </c>
      <c r="K138" s="191">
        <f>H138/I138</f>
        <v>7.142857142857143</v>
      </c>
      <c r="L138" s="192">
        <v>919779</v>
      </c>
      <c r="M138" s="164">
        <v>84805</v>
      </c>
      <c r="N138" s="210">
        <f t="shared" si="23"/>
        <v>10.84581097812629</v>
      </c>
      <c r="O138" s="316"/>
      <c r="P138" s="315"/>
      <c r="Q138" s="66"/>
      <c r="R138" s="66"/>
      <c r="S138" s="66"/>
      <c r="T138" s="66"/>
    </row>
    <row r="139" spans="1:20" ht="15">
      <c r="A139" s="225">
        <v>135</v>
      </c>
      <c r="B139" s="475" t="s">
        <v>109</v>
      </c>
      <c r="C139" s="433">
        <v>40480</v>
      </c>
      <c r="D139" s="244" t="s">
        <v>103</v>
      </c>
      <c r="E139" s="434">
        <v>15</v>
      </c>
      <c r="F139" s="434">
        <v>1</v>
      </c>
      <c r="G139" s="434">
        <v>9</v>
      </c>
      <c r="H139" s="236">
        <v>2135</v>
      </c>
      <c r="I139" s="237">
        <v>427</v>
      </c>
      <c r="J139" s="253">
        <v>427</v>
      </c>
      <c r="K139" s="254">
        <v>5</v>
      </c>
      <c r="L139" s="239">
        <v>60143</v>
      </c>
      <c r="M139" s="238">
        <v>6696</v>
      </c>
      <c r="N139" s="210">
        <f t="shared" si="23"/>
        <v>8.981929510155316</v>
      </c>
      <c r="O139" s="317"/>
      <c r="P139" s="315"/>
      <c r="Q139" s="66"/>
      <c r="R139" s="66"/>
      <c r="S139" s="66"/>
      <c r="T139" s="66"/>
    </row>
    <row r="140" spans="1:20" ht="15">
      <c r="A140" s="225">
        <v>136</v>
      </c>
      <c r="B140" s="476" t="s">
        <v>109</v>
      </c>
      <c r="C140" s="433">
        <v>40480</v>
      </c>
      <c r="D140" s="435" t="s">
        <v>103</v>
      </c>
      <c r="E140" s="436">
        <v>15</v>
      </c>
      <c r="F140" s="436">
        <v>1</v>
      </c>
      <c r="G140" s="436">
        <v>7</v>
      </c>
      <c r="H140" s="236">
        <v>1779</v>
      </c>
      <c r="I140" s="237">
        <v>356</v>
      </c>
      <c r="J140" s="238">
        <v>356</v>
      </c>
      <c r="K140" s="437">
        <v>4.997191011235955</v>
      </c>
      <c r="L140" s="239">
        <v>57513</v>
      </c>
      <c r="M140" s="238">
        <v>6199</v>
      </c>
      <c r="N140" s="477">
        <v>9.277786739796742</v>
      </c>
      <c r="O140" s="316"/>
      <c r="P140" s="315"/>
      <c r="Q140" s="66"/>
      <c r="R140" s="66"/>
      <c r="S140" s="66"/>
      <c r="T140" s="66"/>
    </row>
    <row r="141" spans="1:20" ht="15">
      <c r="A141" s="225">
        <v>137</v>
      </c>
      <c r="B141" s="478" t="s">
        <v>109</v>
      </c>
      <c r="C141" s="433">
        <v>40480</v>
      </c>
      <c r="D141" s="432" t="s">
        <v>122</v>
      </c>
      <c r="E141" s="434">
        <v>15</v>
      </c>
      <c r="F141" s="434">
        <v>1</v>
      </c>
      <c r="G141" s="434">
        <v>8</v>
      </c>
      <c r="H141" s="236">
        <v>495</v>
      </c>
      <c r="I141" s="237">
        <v>70</v>
      </c>
      <c r="J141" s="172">
        <f>(I141/F141)</f>
        <v>70</v>
      </c>
      <c r="K141" s="194">
        <f>H141/I141</f>
        <v>7.071428571428571</v>
      </c>
      <c r="L141" s="239">
        <v>58008</v>
      </c>
      <c r="M141" s="238">
        <v>6269</v>
      </c>
      <c r="N141" s="212">
        <f>L141/M141</f>
        <v>9.253150422714947</v>
      </c>
      <c r="O141" s="317"/>
      <c r="P141" s="315"/>
      <c r="Q141" s="66"/>
      <c r="R141" s="66"/>
      <c r="S141" s="66"/>
      <c r="T141" s="66"/>
    </row>
    <row r="142" spans="1:20" ht="15">
      <c r="A142" s="225">
        <v>138</v>
      </c>
      <c r="B142" s="466" t="s">
        <v>72</v>
      </c>
      <c r="C142" s="166">
        <v>40536</v>
      </c>
      <c r="D142" s="374" t="s">
        <v>23</v>
      </c>
      <c r="E142" s="243">
        <v>91</v>
      </c>
      <c r="F142" s="243">
        <v>92</v>
      </c>
      <c r="G142" s="243">
        <v>2</v>
      </c>
      <c r="H142" s="379">
        <v>390086</v>
      </c>
      <c r="I142" s="180">
        <v>33581</v>
      </c>
      <c r="J142" s="167">
        <f aca="true" t="shared" si="24" ref="J142:J149">I142/F142</f>
        <v>365.0108695652174</v>
      </c>
      <c r="K142" s="386">
        <f aca="true" t="shared" si="25" ref="K142:K149">+H142/I142</f>
        <v>11.616271105684762</v>
      </c>
      <c r="L142" s="255">
        <v>972705</v>
      </c>
      <c r="M142" s="168">
        <v>84601</v>
      </c>
      <c r="N142" s="256">
        <f aca="true" t="shared" si="26" ref="N142:N149">+L142/M142</f>
        <v>11.497559130506732</v>
      </c>
      <c r="O142" s="317"/>
      <c r="P142" s="315"/>
      <c r="Q142" s="66"/>
      <c r="R142" s="66"/>
      <c r="S142" s="66"/>
      <c r="T142" s="66"/>
    </row>
    <row r="143" spans="1:20" ht="15">
      <c r="A143" s="225">
        <v>139</v>
      </c>
      <c r="B143" s="211" t="s">
        <v>72</v>
      </c>
      <c r="C143" s="166">
        <v>40536</v>
      </c>
      <c r="D143" s="374" t="s">
        <v>23</v>
      </c>
      <c r="E143" s="243">
        <v>91</v>
      </c>
      <c r="F143" s="243">
        <v>90</v>
      </c>
      <c r="G143" s="243">
        <v>3</v>
      </c>
      <c r="H143" s="188">
        <v>191201</v>
      </c>
      <c r="I143" s="180">
        <v>16807</v>
      </c>
      <c r="J143" s="167">
        <f t="shared" si="24"/>
        <v>186.74444444444444</v>
      </c>
      <c r="K143" s="202">
        <f t="shared" si="25"/>
        <v>11.37627179151544</v>
      </c>
      <c r="L143" s="189">
        <v>1163906</v>
      </c>
      <c r="M143" s="168">
        <v>101408</v>
      </c>
      <c r="N143" s="208">
        <f t="shared" si="26"/>
        <v>11.477457399810666</v>
      </c>
      <c r="O143" s="324"/>
      <c r="P143" s="315"/>
      <c r="Q143" s="66"/>
      <c r="R143" s="66"/>
      <c r="S143" s="66"/>
      <c r="T143" s="66"/>
    </row>
    <row r="144" spans="1:20" ht="15">
      <c r="A144" s="225">
        <v>140</v>
      </c>
      <c r="B144" s="240" t="s">
        <v>72</v>
      </c>
      <c r="C144" s="226">
        <v>40536</v>
      </c>
      <c r="D144" s="227" t="s">
        <v>23</v>
      </c>
      <c r="E144" s="228">
        <v>91</v>
      </c>
      <c r="F144" s="228">
        <v>22</v>
      </c>
      <c r="G144" s="228">
        <v>4</v>
      </c>
      <c r="H144" s="376">
        <v>28672</v>
      </c>
      <c r="I144" s="380">
        <v>2679</v>
      </c>
      <c r="J144" s="230">
        <f t="shared" si="24"/>
        <v>121.77272727272727</v>
      </c>
      <c r="K144" s="383">
        <f t="shared" si="25"/>
        <v>10.702500933184023</v>
      </c>
      <c r="L144" s="229">
        <v>1192578</v>
      </c>
      <c r="M144" s="230">
        <v>104087</v>
      </c>
      <c r="N144" s="241">
        <f t="shared" si="26"/>
        <v>11.45751150479887</v>
      </c>
      <c r="O144" s="325"/>
      <c r="P144" s="315"/>
      <c r="Q144" s="66"/>
      <c r="R144" s="66"/>
      <c r="S144" s="66"/>
      <c r="T144" s="66"/>
    </row>
    <row r="145" spans="1:20" ht="15">
      <c r="A145" s="225">
        <v>141</v>
      </c>
      <c r="B145" s="466" t="s">
        <v>72</v>
      </c>
      <c r="C145" s="166">
        <v>40536</v>
      </c>
      <c r="D145" s="329" t="s">
        <v>23</v>
      </c>
      <c r="E145" s="243">
        <v>91</v>
      </c>
      <c r="F145" s="243">
        <v>6</v>
      </c>
      <c r="G145" s="243">
        <v>5</v>
      </c>
      <c r="H145" s="188">
        <v>2455</v>
      </c>
      <c r="I145" s="180">
        <v>339</v>
      </c>
      <c r="J145" s="167">
        <f t="shared" si="24"/>
        <v>56.5</v>
      </c>
      <c r="K145" s="202">
        <f t="shared" si="25"/>
        <v>7.241887905604719</v>
      </c>
      <c r="L145" s="189">
        <v>1195033</v>
      </c>
      <c r="M145" s="168">
        <v>104426</v>
      </c>
      <c r="N145" s="208">
        <f t="shared" si="26"/>
        <v>11.443826250167582</v>
      </c>
      <c r="O145" s="324"/>
      <c r="P145" s="315"/>
      <c r="Q145" s="66"/>
      <c r="R145" s="66"/>
      <c r="S145" s="66"/>
      <c r="T145" s="66"/>
    </row>
    <row r="146" spans="1:20" ht="15">
      <c r="A146" s="225">
        <v>142</v>
      </c>
      <c r="B146" s="242" t="s">
        <v>72</v>
      </c>
      <c r="C146" s="259">
        <v>40536</v>
      </c>
      <c r="D146" s="231" t="s">
        <v>23</v>
      </c>
      <c r="E146" s="232">
        <v>91</v>
      </c>
      <c r="F146" s="232">
        <v>3</v>
      </c>
      <c r="G146" s="232">
        <v>10</v>
      </c>
      <c r="H146" s="379">
        <v>1793</v>
      </c>
      <c r="I146" s="438">
        <v>426</v>
      </c>
      <c r="J146" s="268">
        <f t="shared" si="24"/>
        <v>142</v>
      </c>
      <c r="K146" s="386">
        <f t="shared" si="25"/>
        <v>4.208920187793427</v>
      </c>
      <c r="L146" s="255">
        <v>1199776</v>
      </c>
      <c r="M146" s="268">
        <v>105815</v>
      </c>
      <c r="N146" s="256">
        <f t="shared" si="26"/>
        <v>11.338430279260974</v>
      </c>
      <c r="O146" s="316"/>
      <c r="P146" s="315"/>
      <c r="Q146" s="66"/>
      <c r="R146" s="66"/>
      <c r="S146" s="66"/>
      <c r="T146" s="66"/>
    </row>
    <row r="147" spans="1:20" ht="15">
      <c r="A147" s="225">
        <v>143</v>
      </c>
      <c r="B147" s="242" t="s">
        <v>72</v>
      </c>
      <c r="C147" s="259">
        <v>40536</v>
      </c>
      <c r="D147" s="231" t="s">
        <v>23</v>
      </c>
      <c r="E147" s="232">
        <v>91</v>
      </c>
      <c r="F147" s="232">
        <v>1</v>
      </c>
      <c r="G147" s="232">
        <v>9</v>
      </c>
      <c r="H147" s="188">
        <v>1546</v>
      </c>
      <c r="I147" s="180">
        <v>759</v>
      </c>
      <c r="J147" s="167">
        <f t="shared" si="24"/>
        <v>759</v>
      </c>
      <c r="K147" s="202">
        <f t="shared" si="25"/>
        <v>2.036890645586298</v>
      </c>
      <c r="L147" s="189">
        <v>1197983</v>
      </c>
      <c r="M147" s="168">
        <v>105389</v>
      </c>
      <c r="N147" s="208">
        <f t="shared" si="26"/>
        <v>11.367248953875642</v>
      </c>
      <c r="O147" s="316"/>
      <c r="P147" s="315"/>
      <c r="Q147" s="66"/>
      <c r="R147" s="66"/>
      <c r="S147" s="66"/>
      <c r="T147" s="66"/>
    </row>
    <row r="148" spans="1:20" ht="15">
      <c r="A148" s="225">
        <v>144</v>
      </c>
      <c r="B148" s="211" t="s">
        <v>72</v>
      </c>
      <c r="C148" s="166">
        <v>40536</v>
      </c>
      <c r="D148" s="329" t="s">
        <v>23</v>
      </c>
      <c r="E148" s="243">
        <v>91</v>
      </c>
      <c r="F148" s="243">
        <v>1</v>
      </c>
      <c r="G148" s="243">
        <v>6</v>
      </c>
      <c r="H148" s="188">
        <v>901</v>
      </c>
      <c r="I148" s="180">
        <v>123</v>
      </c>
      <c r="J148" s="167">
        <f t="shared" si="24"/>
        <v>123</v>
      </c>
      <c r="K148" s="202">
        <f t="shared" si="25"/>
        <v>7.32520325203252</v>
      </c>
      <c r="L148" s="189">
        <v>1195880</v>
      </c>
      <c r="M148" s="168">
        <v>104549</v>
      </c>
      <c r="N148" s="210">
        <f t="shared" si="26"/>
        <v>11.438464260777243</v>
      </c>
      <c r="O148" s="317"/>
      <c r="P148" s="315"/>
      <c r="Q148" s="66"/>
      <c r="R148" s="66"/>
      <c r="S148" s="66"/>
      <c r="T148" s="66"/>
    </row>
    <row r="149" spans="1:20" ht="15">
      <c r="A149" s="225">
        <v>145</v>
      </c>
      <c r="B149" s="240" t="s">
        <v>72</v>
      </c>
      <c r="C149" s="226">
        <v>40536</v>
      </c>
      <c r="D149" s="227" t="s">
        <v>23</v>
      </c>
      <c r="E149" s="228">
        <v>91</v>
      </c>
      <c r="F149" s="228">
        <v>1</v>
      </c>
      <c r="G149" s="228">
        <v>8</v>
      </c>
      <c r="H149" s="376">
        <v>557</v>
      </c>
      <c r="I149" s="380">
        <v>81</v>
      </c>
      <c r="J149" s="230">
        <f t="shared" si="24"/>
        <v>81</v>
      </c>
      <c r="K149" s="383">
        <f t="shared" si="25"/>
        <v>6.8765432098765435</v>
      </c>
      <c r="L149" s="229">
        <v>1196437</v>
      </c>
      <c r="M149" s="230">
        <v>104630</v>
      </c>
      <c r="N149" s="241">
        <f t="shared" si="26"/>
        <v>11.43493261970754</v>
      </c>
      <c r="O149" s="321"/>
      <c r="P149" s="315"/>
      <c r="Q149" s="66"/>
      <c r="R149" s="66"/>
      <c r="S149" s="66"/>
      <c r="T149" s="66"/>
    </row>
    <row r="150" spans="1:20" ht="15">
      <c r="A150" s="225">
        <v>146</v>
      </c>
      <c r="B150" s="478" t="s">
        <v>123</v>
      </c>
      <c r="C150" s="433">
        <v>40193</v>
      </c>
      <c r="D150" s="231" t="s">
        <v>119</v>
      </c>
      <c r="E150" s="434">
        <v>55</v>
      </c>
      <c r="F150" s="434">
        <v>1</v>
      </c>
      <c r="G150" s="434">
        <v>29</v>
      </c>
      <c r="H150" s="193">
        <v>1782</v>
      </c>
      <c r="I150" s="179">
        <v>445</v>
      </c>
      <c r="J150" s="172">
        <f>(I150/F150)</f>
        <v>445</v>
      </c>
      <c r="K150" s="194">
        <f>H150/I150</f>
        <v>4.004494382022472</v>
      </c>
      <c r="L150" s="195">
        <f>197266+158498+94472.5+25746.5+5341+4975+4175+3550+3868+6158+8020+1277+951+3397+4599+198+566+1146+2247.5+174+31.5+2775.5+1188+735+2376+307+324+2613.5+1782</f>
        <v>538758</v>
      </c>
      <c r="M150" s="171">
        <f>19567+17056+12441+3194+866+909+697+693+818+1478+1988+298+238+832+1154+55+212+207+411+57+12+610+297+71+594+46+71+653+445</f>
        <v>65970</v>
      </c>
      <c r="N150" s="212">
        <f>L150/M150</f>
        <v>8.166712141882673</v>
      </c>
      <c r="O150" s="317"/>
      <c r="P150" s="315"/>
      <c r="Q150" s="66"/>
      <c r="R150" s="66"/>
      <c r="S150" s="66"/>
      <c r="T150" s="66"/>
    </row>
    <row r="151" spans="1:20" ht="15">
      <c r="A151" s="225">
        <v>147</v>
      </c>
      <c r="B151" s="479" t="s">
        <v>123</v>
      </c>
      <c r="C151" s="330">
        <v>40193</v>
      </c>
      <c r="D151" s="231" t="s">
        <v>119</v>
      </c>
      <c r="E151" s="331">
        <v>55</v>
      </c>
      <c r="F151" s="331">
        <v>1</v>
      </c>
      <c r="G151" s="331">
        <v>30</v>
      </c>
      <c r="H151" s="193">
        <v>1782</v>
      </c>
      <c r="I151" s="179">
        <v>445</v>
      </c>
      <c r="J151" s="172">
        <f>(I151/F151)</f>
        <v>445</v>
      </c>
      <c r="K151" s="194">
        <f>H151/I151</f>
        <v>4.004494382022472</v>
      </c>
      <c r="L151" s="195">
        <f>197266+158498+94472.5+25746.5+5341+4975+4175+3550+3868+6158+8020+1277+951+3397+4599+198+566+1146+2247.5+174+31.5+2775.5+1188+735+2376+307+324+2613.5+1782+1782</f>
        <v>540540</v>
      </c>
      <c r="M151" s="171">
        <f>19567+17056+12441+3194+866+909+697+693+818+1478+1988+298+238+832+1154+55+212+207+411+57+12+610+297+71+594+46+71+653+445+445</f>
        <v>66415</v>
      </c>
      <c r="N151" s="212">
        <f>L151/M151</f>
        <v>8.138824060829633</v>
      </c>
      <c r="O151" s="321"/>
      <c r="P151" s="315"/>
      <c r="Q151" s="66"/>
      <c r="R151" s="66"/>
      <c r="S151" s="66"/>
      <c r="T151" s="66"/>
    </row>
    <row r="152" spans="1:20" ht="15">
      <c r="A152" s="225">
        <v>148</v>
      </c>
      <c r="B152" s="335" t="s">
        <v>123</v>
      </c>
      <c r="C152" s="330">
        <v>40193</v>
      </c>
      <c r="D152" s="244" t="s">
        <v>119</v>
      </c>
      <c r="E152" s="331">
        <v>55</v>
      </c>
      <c r="F152" s="331">
        <v>1</v>
      </c>
      <c r="G152" s="331">
        <v>31</v>
      </c>
      <c r="H152" s="193">
        <v>1782</v>
      </c>
      <c r="I152" s="179">
        <v>445</v>
      </c>
      <c r="J152" s="172">
        <f>(I152/F152)</f>
        <v>445</v>
      </c>
      <c r="K152" s="194">
        <f>H152/I152</f>
        <v>4.004494382022472</v>
      </c>
      <c r="L152" s="195">
        <f>197266+158498+94472.5+25746.5+5341+4975+4175+3550+3868+6158+8020+1277+951+3397+4599+198+566+1146+2247.5+174+31.5+2775.5+1188+735+2376+307+324+2613.5+1782+1782+1782</f>
        <v>542322</v>
      </c>
      <c r="M152" s="171">
        <f>19567+17056+12441+3194+866+909+697+693+818+1478+1988+298+238+832+1154+55+212+207+411+57+12+610+297+71+594+46+71+653+445+445+445</f>
        <v>66860</v>
      </c>
      <c r="N152" s="212">
        <f>L152/M152</f>
        <v>8.111307209093628</v>
      </c>
      <c r="O152" s="495"/>
      <c r="P152" s="315"/>
      <c r="Q152" s="66"/>
      <c r="R152" s="66"/>
      <c r="S152" s="66"/>
      <c r="T152" s="66"/>
    </row>
    <row r="153" spans="1:20" ht="15">
      <c r="A153" s="225">
        <v>149</v>
      </c>
      <c r="B153" s="460" t="s">
        <v>126</v>
      </c>
      <c r="C153" s="166">
        <v>40312</v>
      </c>
      <c r="D153" s="231" t="s">
        <v>119</v>
      </c>
      <c r="E153" s="243">
        <v>8</v>
      </c>
      <c r="F153" s="243">
        <v>1</v>
      </c>
      <c r="G153" s="243">
        <v>18</v>
      </c>
      <c r="H153" s="193">
        <v>1188</v>
      </c>
      <c r="I153" s="179">
        <v>297</v>
      </c>
      <c r="J153" s="172">
        <f>(I153/F153)</f>
        <v>297</v>
      </c>
      <c r="K153" s="194">
        <f>H153/I153</f>
        <v>4</v>
      </c>
      <c r="L153" s="195">
        <f>41764.5+663+13.5+1901+220.5+1188</f>
        <v>45750.5</v>
      </c>
      <c r="M153" s="171">
        <f>4847+89+1+475+63+297</f>
        <v>5772</v>
      </c>
      <c r="N153" s="212">
        <f>L153/M153</f>
        <v>7.926282051282051</v>
      </c>
      <c r="O153" s="317"/>
      <c r="P153" s="315"/>
      <c r="Q153" s="66"/>
      <c r="R153" s="66"/>
      <c r="S153" s="66"/>
      <c r="T153" s="66"/>
    </row>
    <row r="154" spans="1:20" ht="15">
      <c r="A154" s="225">
        <v>150</v>
      </c>
      <c r="B154" s="466" t="s">
        <v>61</v>
      </c>
      <c r="C154" s="166">
        <v>40515</v>
      </c>
      <c r="D154" s="374" t="s">
        <v>23</v>
      </c>
      <c r="E154" s="243">
        <v>122</v>
      </c>
      <c r="F154" s="243">
        <v>7</v>
      </c>
      <c r="G154" s="243">
        <v>4</v>
      </c>
      <c r="H154" s="379">
        <v>4679</v>
      </c>
      <c r="I154" s="180">
        <v>723</v>
      </c>
      <c r="J154" s="167">
        <f>I154/F154</f>
        <v>103.28571428571429</v>
      </c>
      <c r="K154" s="386">
        <f>+H154/I154</f>
        <v>6.4716459197787</v>
      </c>
      <c r="L154" s="255">
        <v>611175</v>
      </c>
      <c r="M154" s="168">
        <v>72305</v>
      </c>
      <c r="N154" s="256">
        <f>+L154/M154</f>
        <v>8.452734942258488</v>
      </c>
      <c r="O154" s="320">
        <v>1</v>
      </c>
      <c r="P154" s="315"/>
      <c r="Q154" s="66"/>
      <c r="R154" s="66"/>
      <c r="S154" s="66"/>
      <c r="T154" s="66"/>
    </row>
    <row r="155" spans="1:20" ht="15">
      <c r="A155" s="225">
        <v>151</v>
      </c>
      <c r="B155" s="211" t="s">
        <v>181</v>
      </c>
      <c r="C155" s="166">
        <v>40515</v>
      </c>
      <c r="D155" s="329" t="s">
        <v>23</v>
      </c>
      <c r="E155" s="243">
        <v>122</v>
      </c>
      <c r="F155" s="243">
        <v>1</v>
      </c>
      <c r="G155" s="243">
        <v>13</v>
      </c>
      <c r="H155" s="189">
        <v>519</v>
      </c>
      <c r="I155" s="167">
        <v>74</v>
      </c>
      <c r="J155" s="167">
        <f>I155/F155</f>
        <v>74</v>
      </c>
      <c r="K155" s="202">
        <f>+H155/I155</f>
        <v>7.013513513513513</v>
      </c>
      <c r="L155" s="189">
        <v>613786</v>
      </c>
      <c r="M155" s="168">
        <v>73223</v>
      </c>
      <c r="N155" s="208">
        <f>+L155/M155</f>
        <v>8.382420824058014</v>
      </c>
      <c r="O155" s="324">
        <v>1</v>
      </c>
      <c r="P155" s="315"/>
      <c r="Q155" s="66"/>
      <c r="R155" s="66"/>
      <c r="S155" s="66"/>
      <c r="T155" s="66"/>
    </row>
    <row r="156" spans="1:20" ht="15">
      <c r="A156" s="225">
        <v>152</v>
      </c>
      <c r="B156" s="211" t="s">
        <v>61</v>
      </c>
      <c r="C156" s="166">
        <v>40515</v>
      </c>
      <c r="D156" s="374" t="s">
        <v>23</v>
      </c>
      <c r="E156" s="243">
        <v>122</v>
      </c>
      <c r="F156" s="243">
        <v>2</v>
      </c>
      <c r="G156" s="243">
        <v>5</v>
      </c>
      <c r="H156" s="188">
        <v>474</v>
      </c>
      <c r="I156" s="180">
        <v>70</v>
      </c>
      <c r="J156" s="167">
        <f>I156/F156</f>
        <v>35</v>
      </c>
      <c r="K156" s="202">
        <f>+H156/I156</f>
        <v>6.771428571428571</v>
      </c>
      <c r="L156" s="189">
        <v>611649</v>
      </c>
      <c r="M156" s="168">
        <v>72375</v>
      </c>
      <c r="N156" s="208">
        <f>+L156/M156</f>
        <v>8.451108808290156</v>
      </c>
      <c r="O156" s="324">
        <v>1</v>
      </c>
      <c r="P156" s="315"/>
      <c r="Q156" s="66"/>
      <c r="R156" s="66"/>
      <c r="S156" s="66"/>
      <c r="T156" s="66"/>
    </row>
    <row r="157" spans="1:20" ht="15">
      <c r="A157" s="225">
        <v>153</v>
      </c>
      <c r="B157" s="309" t="s">
        <v>61</v>
      </c>
      <c r="C157" s="295">
        <v>40515</v>
      </c>
      <c r="D157" s="296" t="s">
        <v>23</v>
      </c>
      <c r="E157" s="297">
        <v>122</v>
      </c>
      <c r="F157" s="297">
        <v>1</v>
      </c>
      <c r="G157" s="297">
        <v>14</v>
      </c>
      <c r="H157" s="298">
        <v>147</v>
      </c>
      <c r="I157" s="299">
        <v>21</v>
      </c>
      <c r="J157" s="300">
        <f>I157/F157</f>
        <v>21</v>
      </c>
      <c r="K157" s="301">
        <f>+H157/I157</f>
        <v>7</v>
      </c>
      <c r="L157" s="302">
        <v>613933</v>
      </c>
      <c r="M157" s="303">
        <v>73244</v>
      </c>
      <c r="N157" s="310">
        <f>+L157/M157</f>
        <v>8.382024466167877</v>
      </c>
      <c r="O157" s="327">
        <v>1</v>
      </c>
      <c r="P157" s="315"/>
      <c r="Q157" s="66"/>
      <c r="R157" s="66"/>
      <c r="S157" s="66"/>
      <c r="T157" s="66"/>
    </row>
    <row r="158" spans="1:20" ht="15">
      <c r="A158" s="225">
        <v>154</v>
      </c>
      <c r="B158" s="461" t="s">
        <v>111</v>
      </c>
      <c r="C158" s="373">
        <v>40389</v>
      </c>
      <c r="D158" s="231" t="s">
        <v>119</v>
      </c>
      <c r="E158" s="375">
        <v>19</v>
      </c>
      <c r="F158" s="375">
        <v>1</v>
      </c>
      <c r="G158" s="375">
        <v>13</v>
      </c>
      <c r="H158" s="377">
        <v>1307</v>
      </c>
      <c r="I158" s="381">
        <v>327</v>
      </c>
      <c r="J158" s="382">
        <f>(I158/F158)</f>
        <v>327</v>
      </c>
      <c r="K158" s="384">
        <f>H158/I158</f>
        <v>3.996941896024465</v>
      </c>
      <c r="L158" s="387">
        <f>69032+15425.5+9802+4755.5+7049.5+3610.5+8536+6024.5+2322+245+405.5+1307</f>
        <v>128515</v>
      </c>
      <c r="M158" s="388">
        <f>5509+1589+1417+704+842+602+1038+829+323+37+46+327</f>
        <v>13263</v>
      </c>
      <c r="N158" s="462">
        <f>L158/M158</f>
        <v>9.68973836990123</v>
      </c>
      <c r="O158" s="319"/>
      <c r="P158" s="315"/>
      <c r="Q158" s="66"/>
      <c r="R158" s="66"/>
      <c r="S158" s="66"/>
      <c r="T158" s="66"/>
    </row>
    <row r="159" spans="1:20" ht="15">
      <c r="A159" s="225">
        <v>155</v>
      </c>
      <c r="B159" s="468" t="s">
        <v>11</v>
      </c>
      <c r="C159" s="163">
        <v>40459</v>
      </c>
      <c r="D159" s="429" t="s">
        <v>27</v>
      </c>
      <c r="E159" s="233">
        <v>50</v>
      </c>
      <c r="F159" s="233">
        <v>5</v>
      </c>
      <c r="G159" s="233">
        <v>13</v>
      </c>
      <c r="H159" s="430">
        <v>4218</v>
      </c>
      <c r="I159" s="182">
        <v>597</v>
      </c>
      <c r="J159" s="170">
        <f>+I159/F159</f>
        <v>119.4</v>
      </c>
      <c r="K159" s="407">
        <f>+H159/I159</f>
        <v>7.065326633165829</v>
      </c>
      <c r="L159" s="431">
        <v>377106</v>
      </c>
      <c r="M159" s="169">
        <v>34343</v>
      </c>
      <c r="N159" s="465">
        <f>+L159/M159</f>
        <v>10.980578283784178</v>
      </c>
      <c r="O159" s="317"/>
      <c r="P159" s="315"/>
      <c r="Q159" s="66"/>
      <c r="R159" s="66"/>
      <c r="S159" s="66"/>
      <c r="T159" s="66"/>
    </row>
    <row r="160" spans="1:20" ht="15">
      <c r="A160" s="225">
        <v>156</v>
      </c>
      <c r="B160" s="213" t="s">
        <v>11</v>
      </c>
      <c r="C160" s="163">
        <v>40459</v>
      </c>
      <c r="D160" s="429" t="s">
        <v>27</v>
      </c>
      <c r="E160" s="233">
        <v>50</v>
      </c>
      <c r="F160" s="233">
        <v>1</v>
      </c>
      <c r="G160" s="233">
        <v>14</v>
      </c>
      <c r="H160" s="196">
        <v>62</v>
      </c>
      <c r="I160" s="182">
        <v>10</v>
      </c>
      <c r="J160" s="170">
        <f>+I160/F160</f>
        <v>10</v>
      </c>
      <c r="K160" s="197">
        <f>+H160/I160</f>
        <v>6.2</v>
      </c>
      <c r="L160" s="198">
        <v>377168</v>
      </c>
      <c r="M160" s="169">
        <v>34353</v>
      </c>
      <c r="N160" s="214">
        <f>+L160/M160</f>
        <v>10.979186679474864</v>
      </c>
      <c r="O160" s="320"/>
      <c r="P160" s="315"/>
      <c r="Q160" s="66"/>
      <c r="R160" s="66"/>
      <c r="S160" s="66"/>
      <c r="T160" s="66"/>
    </row>
    <row r="161" spans="1:20" ht="15">
      <c r="A161" s="225">
        <v>157</v>
      </c>
      <c r="B161" s="460" t="s">
        <v>80</v>
      </c>
      <c r="C161" s="166">
        <v>40480</v>
      </c>
      <c r="D161" s="372" t="s">
        <v>26</v>
      </c>
      <c r="E161" s="243">
        <v>135</v>
      </c>
      <c r="F161" s="243">
        <v>5</v>
      </c>
      <c r="G161" s="243">
        <v>10</v>
      </c>
      <c r="H161" s="379">
        <v>604</v>
      </c>
      <c r="I161" s="180">
        <v>91</v>
      </c>
      <c r="J161" s="170">
        <f>IF(H161&lt;&gt;0,I161/F161,"")</f>
        <v>18.2</v>
      </c>
      <c r="K161" s="407">
        <f>IF(H161&lt;&gt;0,H161/I161,"")</f>
        <v>6.637362637362638</v>
      </c>
      <c r="L161" s="255">
        <f>151771.5+44278.5+20156+4831.5+5960.5+2697+3743.5+81+2518+2320+604</f>
        <v>238961.5</v>
      </c>
      <c r="M161" s="167">
        <f>19003+7410+3277+795+995+475+746+11+433+386+91</f>
        <v>33622</v>
      </c>
      <c r="N161" s="465">
        <f>IF(L161&lt;&gt;0,L161/M161,"")</f>
        <v>7.107295818214264</v>
      </c>
      <c r="O161" s="320">
        <v>1</v>
      </c>
      <c r="P161" s="315"/>
      <c r="Q161" s="66"/>
      <c r="R161" s="66"/>
      <c r="S161" s="66"/>
      <c r="T161" s="66"/>
    </row>
    <row r="162" spans="1:20" ht="15">
      <c r="A162" s="225">
        <v>158</v>
      </c>
      <c r="B162" s="207" t="s">
        <v>80</v>
      </c>
      <c r="C162" s="166">
        <v>40480</v>
      </c>
      <c r="D162" s="372" t="s">
        <v>26</v>
      </c>
      <c r="E162" s="243">
        <v>135</v>
      </c>
      <c r="F162" s="243">
        <v>1</v>
      </c>
      <c r="G162" s="243">
        <v>11</v>
      </c>
      <c r="H162" s="188">
        <v>265</v>
      </c>
      <c r="I162" s="180">
        <v>52</v>
      </c>
      <c r="J162" s="167">
        <f>I162/F162</f>
        <v>52</v>
      </c>
      <c r="K162" s="202">
        <f>H162/I162</f>
        <v>5.096153846153846</v>
      </c>
      <c r="L162" s="189">
        <f>151771.5+44278.5+20156+4831.5+5960.5+2697+3743.5+81+2518+2320+604+265</f>
        <v>239226.5</v>
      </c>
      <c r="M162" s="167">
        <f>19003+7410+3277+795+995+475+746+11+433+386+91+52</f>
        <v>33674</v>
      </c>
      <c r="N162" s="208">
        <f>L162/M162</f>
        <v>7.10419017639722</v>
      </c>
      <c r="O162" s="320">
        <v>1</v>
      </c>
      <c r="P162" s="315"/>
      <c r="Q162" s="66"/>
      <c r="R162" s="66"/>
      <c r="S162" s="66"/>
      <c r="T162" s="66"/>
    </row>
    <row r="163" spans="1:20" ht="15">
      <c r="A163" s="225">
        <v>159</v>
      </c>
      <c r="B163" s="468" t="s">
        <v>75</v>
      </c>
      <c r="C163" s="163">
        <v>40487</v>
      </c>
      <c r="D163" s="429" t="s">
        <v>27</v>
      </c>
      <c r="E163" s="233">
        <v>312</v>
      </c>
      <c r="F163" s="233">
        <v>86</v>
      </c>
      <c r="G163" s="233">
        <v>9</v>
      </c>
      <c r="H163" s="430">
        <v>125458</v>
      </c>
      <c r="I163" s="182">
        <v>15869</v>
      </c>
      <c r="J163" s="170">
        <f>+I163/F163</f>
        <v>184.52325581395348</v>
      </c>
      <c r="K163" s="407">
        <f>+H163/I163</f>
        <v>7.90585418110782</v>
      </c>
      <c r="L163" s="431">
        <v>31622053</v>
      </c>
      <c r="M163" s="169">
        <v>3470958</v>
      </c>
      <c r="N163" s="465">
        <f>+L163/M163</f>
        <v>9.110468349084028</v>
      </c>
      <c r="O163" s="320">
        <v>1</v>
      </c>
      <c r="P163" s="315"/>
      <c r="Q163" s="66"/>
      <c r="R163" s="66"/>
      <c r="S163" s="66"/>
      <c r="T163" s="66"/>
    </row>
    <row r="164" spans="1:20" ht="15">
      <c r="A164" s="225">
        <v>160</v>
      </c>
      <c r="B164" s="213" t="s">
        <v>91</v>
      </c>
      <c r="C164" s="163">
        <v>40487</v>
      </c>
      <c r="D164" s="429" t="s">
        <v>27</v>
      </c>
      <c r="E164" s="233">
        <v>312</v>
      </c>
      <c r="F164" s="233">
        <v>19</v>
      </c>
      <c r="G164" s="233">
        <v>10</v>
      </c>
      <c r="H164" s="196">
        <v>12589</v>
      </c>
      <c r="I164" s="182">
        <v>1965</v>
      </c>
      <c r="J164" s="170">
        <f>+I164/F164</f>
        <v>103.42105263157895</v>
      </c>
      <c r="K164" s="197">
        <f>+H164/I164</f>
        <v>6.406615776081425</v>
      </c>
      <c r="L164" s="198">
        <v>31634642</v>
      </c>
      <c r="M164" s="169">
        <v>3472923</v>
      </c>
      <c r="N164" s="214">
        <f>+L164/M164</f>
        <v>9.108938493597469</v>
      </c>
      <c r="O164" s="320">
        <v>1</v>
      </c>
      <c r="P164" s="315"/>
      <c r="Q164" s="66"/>
      <c r="R164" s="66"/>
      <c r="S164" s="66"/>
      <c r="T164" s="66"/>
    </row>
    <row r="165" spans="1:20" ht="15">
      <c r="A165" s="225">
        <v>161</v>
      </c>
      <c r="B165" s="213" t="s">
        <v>91</v>
      </c>
      <c r="C165" s="163">
        <v>40487</v>
      </c>
      <c r="D165" s="234" t="s">
        <v>27</v>
      </c>
      <c r="E165" s="233">
        <v>312</v>
      </c>
      <c r="F165" s="233">
        <v>12</v>
      </c>
      <c r="G165" s="233">
        <v>11</v>
      </c>
      <c r="H165" s="196">
        <v>5621</v>
      </c>
      <c r="I165" s="182">
        <v>841</v>
      </c>
      <c r="J165" s="170">
        <f>+I165/F165</f>
        <v>70.08333333333333</v>
      </c>
      <c r="K165" s="197">
        <f>+H165/I165</f>
        <v>6.683709869203329</v>
      </c>
      <c r="L165" s="198">
        <v>31640263</v>
      </c>
      <c r="M165" s="169">
        <v>3473764</v>
      </c>
      <c r="N165" s="214">
        <f>+L165/M165</f>
        <v>9.108351344535784</v>
      </c>
      <c r="O165" s="316">
        <v>1</v>
      </c>
      <c r="P165" s="315"/>
      <c r="Q165" s="66"/>
      <c r="R165" s="66"/>
      <c r="S165" s="66"/>
      <c r="T165" s="66"/>
    </row>
    <row r="166" spans="1:20" ht="15">
      <c r="A166" s="225">
        <v>162</v>
      </c>
      <c r="B166" s="468" t="s">
        <v>75</v>
      </c>
      <c r="C166" s="163">
        <v>40487</v>
      </c>
      <c r="D166" s="247" t="s">
        <v>27</v>
      </c>
      <c r="E166" s="233">
        <v>312</v>
      </c>
      <c r="F166" s="233">
        <v>7</v>
      </c>
      <c r="G166" s="233">
        <v>12</v>
      </c>
      <c r="H166" s="196">
        <v>4990</v>
      </c>
      <c r="I166" s="182">
        <v>695</v>
      </c>
      <c r="J166" s="172">
        <f>(I166/F166)</f>
        <v>99.28571428571429</v>
      </c>
      <c r="K166" s="194">
        <f>H166/I166</f>
        <v>7.179856115107913</v>
      </c>
      <c r="L166" s="198">
        <v>31645253</v>
      </c>
      <c r="M166" s="169">
        <v>3474459</v>
      </c>
      <c r="N166" s="212">
        <f>L166/M166</f>
        <v>9.107965585433588</v>
      </c>
      <c r="O166" s="317">
        <v>1</v>
      </c>
      <c r="P166" s="315"/>
      <c r="Q166" s="66"/>
      <c r="R166" s="66"/>
      <c r="S166" s="66"/>
      <c r="T166" s="66"/>
    </row>
    <row r="167" spans="1:20" ht="15">
      <c r="A167" s="225">
        <v>163</v>
      </c>
      <c r="B167" s="242" t="s">
        <v>169</v>
      </c>
      <c r="C167" s="259">
        <v>40473</v>
      </c>
      <c r="D167" s="231" t="s">
        <v>26</v>
      </c>
      <c r="E167" s="232">
        <v>36</v>
      </c>
      <c r="F167" s="232">
        <v>1</v>
      </c>
      <c r="G167" s="232">
        <v>9</v>
      </c>
      <c r="H167" s="379">
        <v>926</v>
      </c>
      <c r="I167" s="438">
        <v>136</v>
      </c>
      <c r="J167" s="428">
        <f>+I167/F167</f>
        <v>136</v>
      </c>
      <c r="K167" s="407">
        <f>+H167/I167</f>
        <v>6.8088235294117645</v>
      </c>
      <c r="L167" s="255">
        <f>34961.5+23009.5+1351+805+533+530+156+172+926</f>
        <v>62444</v>
      </c>
      <c r="M167" s="268">
        <f>4408+3132+214+122+62+78+26+27+136</f>
        <v>8205</v>
      </c>
      <c r="N167" s="465">
        <f>+L167/M167</f>
        <v>7.61048141377209</v>
      </c>
      <c r="O167" s="316">
        <v>1</v>
      </c>
      <c r="P167" s="315"/>
      <c r="Q167" s="66"/>
      <c r="R167" s="66"/>
      <c r="S167" s="66"/>
      <c r="T167" s="66"/>
    </row>
    <row r="168" spans="1:20" ht="15">
      <c r="A168" s="225">
        <v>164</v>
      </c>
      <c r="B168" s="460" t="s">
        <v>82</v>
      </c>
      <c r="C168" s="166">
        <v>40473</v>
      </c>
      <c r="D168" s="372" t="s">
        <v>26</v>
      </c>
      <c r="E168" s="243">
        <v>36</v>
      </c>
      <c r="F168" s="243">
        <v>1</v>
      </c>
      <c r="G168" s="243">
        <v>8</v>
      </c>
      <c r="H168" s="379">
        <v>172</v>
      </c>
      <c r="I168" s="180">
        <v>27</v>
      </c>
      <c r="J168" s="170">
        <f>IF(H168&lt;&gt;0,I168/F168,"")</f>
        <v>27</v>
      </c>
      <c r="K168" s="407">
        <f>IF(H168&lt;&gt;0,H168/I168,"")</f>
        <v>6.37037037037037</v>
      </c>
      <c r="L168" s="255">
        <f>34961.5+23009.5+1351+805+533+530+156+172</f>
        <v>61518</v>
      </c>
      <c r="M168" s="167">
        <f>4408+3132+214+122+62+78+26+27</f>
        <v>8069</v>
      </c>
      <c r="N168" s="465">
        <f>IF(L168&lt;&gt;0,L168/M168,"")</f>
        <v>7.6239930598587184</v>
      </c>
      <c r="O168" s="317"/>
      <c r="P168" s="315"/>
      <c r="Q168" s="66"/>
      <c r="R168" s="66"/>
      <c r="S168" s="66"/>
      <c r="T168" s="66"/>
    </row>
    <row r="169" spans="1:20" ht="15">
      <c r="A169" s="225">
        <v>165</v>
      </c>
      <c r="B169" s="207" t="s">
        <v>179</v>
      </c>
      <c r="C169" s="166">
        <v>40102</v>
      </c>
      <c r="D169" s="244" t="s">
        <v>119</v>
      </c>
      <c r="E169" s="243">
        <v>9</v>
      </c>
      <c r="F169" s="243">
        <v>1</v>
      </c>
      <c r="G169" s="243">
        <v>11</v>
      </c>
      <c r="H169" s="195">
        <v>1500</v>
      </c>
      <c r="I169" s="171">
        <v>150</v>
      </c>
      <c r="J169" s="172">
        <f aca="true" t="shared" si="27" ref="J169:J182">(I169/F169)</f>
        <v>150</v>
      </c>
      <c r="K169" s="194">
        <f aca="true" t="shared" si="28" ref="K169:K182">H169/I169</f>
        <v>10</v>
      </c>
      <c r="L169" s="195">
        <f>140093+133065.5+53545.5+8843.5+1143.5+938+558+224+456+4065+1500</f>
        <v>344432</v>
      </c>
      <c r="M169" s="171">
        <f>10984+10700+4415+806+91+134+57+28+33+335+150</f>
        <v>27733</v>
      </c>
      <c r="N169" s="212">
        <f aca="true" t="shared" si="29" ref="N169:N182">L169/M169</f>
        <v>12.419572350629215</v>
      </c>
      <c r="O169" s="320"/>
      <c r="P169" s="315"/>
      <c r="Q169" s="66"/>
      <c r="R169" s="66"/>
      <c r="S169" s="66"/>
      <c r="T169" s="66"/>
    </row>
    <row r="170" spans="1:20" ht="15">
      <c r="A170" s="225">
        <v>166</v>
      </c>
      <c r="B170" s="207" t="s">
        <v>179</v>
      </c>
      <c r="C170" s="166">
        <v>40102</v>
      </c>
      <c r="D170" s="244" t="s">
        <v>119</v>
      </c>
      <c r="E170" s="243">
        <v>9</v>
      </c>
      <c r="F170" s="243">
        <v>1</v>
      </c>
      <c r="G170" s="243">
        <v>12</v>
      </c>
      <c r="H170" s="193">
        <v>670</v>
      </c>
      <c r="I170" s="179">
        <v>67</v>
      </c>
      <c r="J170" s="172">
        <f t="shared" si="27"/>
        <v>67</v>
      </c>
      <c r="K170" s="194">
        <f t="shared" si="28"/>
        <v>10</v>
      </c>
      <c r="L170" s="195">
        <f>140093+133065.5+53545.5+8843.5+1143.5+938+558+224+456+4065+1500+670</f>
        <v>345102</v>
      </c>
      <c r="M170" s="171">
        <f>10984+10700+4415+806+91+134+57+28+33+335+150+67</f>
        <v>27800</v>
      </c>
      <c r="N170" s="212">
        <f t="shared" si="29"/>
        <v>12.413741007194245</v>
      </c>
      <c r="O170" s="327"/>
      <c r="P170" s="315"/>
      <c r="Q170" s="66"/>
      <c r="R170" s="66"/>
      <c r="S170" s="66"/>
      <c r="T170" s="66"/>
    </row>
    <row r="171" spans="1:20" ht="15">
      <c r="A171" s="225">
        <v>167</v>
      </c>
      <c r="B171" s="460" t="s">
        <v>19</v>
      </c>
      <c r="C171" s="166">
        <v>40515</v>
      </c>
      <c r="D171" s="231" t="s">
        <v>119</v>
      </c>
      <c r="E171" s="243">
        <v>62</v>
      </c>
      <c r="F171" s="243">
        <v>62</v>
      </c>
      <c r="G171" s="243">
        <v>5</v>
      </c>
      <c r="H171" s="378">
        <v>47812</v>
      </c>
      <c r="I171" s="179">
        <v>7581</v>
      </c>
      <c r="J171" s="172">
        <f t="shared" si="27"/>
        <v>122.2741935483871</v>
      </c>
      <c r="K171" s="385">
        <f t="shared" si="28"/>
        <v>6.3068196807809</v>
      </c>
      <c r="L171" s="186">
        <f>353151+191248+132731.5+71376+47812</f>
        <v>796318.5</v>
      </c>
      <c r="M171" s="171">
        <f>34650+19352+14525+10591+7581</f>
        <v>86699</v>
      </c>
      <c r="N171" s="187">
        <f t="shared" si="29"/>
        <v>9.184863723918385</v>
      </c>
      <c r="O171" s="317">
        <v>1</v>
      </c>
      <c r="P171" s="315"/>
      <c r="Q171" s="66"/>
      <c r="R171" s="66"/>
      <c r="S171" s="66"/>
      <c r="T171" s="66"/>
    </row>
    <row r="172" spans="1:20" ht="15">
      <c r="A172" s="225">
        <v>168</v>
      </c>
      <c r="B172" s="242" t="s">
        <v>19</v>
      </c>
      <c r="C172" s="166">
        <v>40515</v>
      </c>
      <c r="D172" s="231" t="s">
        <v>119</v>
      </c>
      <c r="E172" s="232">
        <v>62</v>
      </c>
      <c r="F172" s="232">
        <v>28</v>
      </c>
      <c r="G172" s="232">
        <v>10</v>
      </c>
      <c r="H172" s="193">
        <v>42312</v>
      </c>
      <c r="I172" s="179">
        <v>6589</v>
      </c>
      <c r="J172" s="172">
        <f t="shared" si="27"/>
        <v>235.32142857142858</v>
      </c>
      <c r="K172" s="194">
        <f t="shared" si="28"/>
        <v>6.421611777204432</v>
      </c>
      <c r="L172" s="195">
        <f>353151+191248+132731.5+71376+47862+26248.5+19265+34650.5+35095.5+42312</f>
        <v>953940</v>
      </c>
      <c r="M172" s="171">
        <f>34650+19352+14525+10591+7581+5012+3223+6065+6865+6589</f>
        <v>114453</v>
      </c>
      <c r="N172" s="212">
        <f t="shared" si="29"/>
        <v>8.334774973133076</v>
      </c>
      <c r="O172" s="318"/>
      <c r="P172" s="315"/>
      <c r="Q172" s="66"/>
      <c r="R172" s="66"/>
      <c r="S172" s="66"/>
      <c r="T172" s="66"/>
    </row>
    <row r="173" spans="1:20" ht="15">
      <c r="A173" s="225">
        <v>169</v>
      </c>
      <c r="B173" s="207" t="s">
        <v>19</v>
      </c>
      <c r="C173" s="166">
        <v>40515</v>
      </c>
      <c r="D173" s="231" t="s">
        <v>119</v>
      </c>
      <c r="E173" s="243">
        <v>62</v>
      </c>
      <c r="F173" s="243">
        <v>37</v>
      </c>
      <c r="G173" s="243">
        <v>9</v>
      </c>
      <c r="H173" s="193">
        <v>35095.5</v>
      </c>
      <c r="I173" s="179">
        <v>6865</v>
      </c>
      <c r="J173" s="172">
        <f t="shared" si="27"/>
        <v>185.54054054054055</v>
      </c>
      <c r="K173" s="194">
        <f t="shared" si="28"/>
        <v>5.112235979606701</v>
      </c>
      <c r="L173" s="195">
        <f>353151+191248+132731.5+71376+47862+26248.5+19265+34650.5+35095.5</f>
        <v>911628</v>
      </c>
      <c r="M173" s="171">
        <f>34650+19352+14525+10591+7581+5012+3223+6065+6865</f>
        <v>107864</v>
      </c>
      <c r="N173" s="212">
        <f t="shared" si="29"/>
        <v>8.451642809463769</v>
      </c>
      <c r="O173" s="317"/>
      <c r="P173" s="315"/>
      <c r="Q173" s="66"/>
      <c r="R173" s="66"/>
      <c r="S173" s="66"/>
      <c r="T173" s="66"/>
    </row>
    <row r="174" spans="1:20" ht="15">
      <c r="A174" s="225">
        <v>170</v>
      </c>
      <c r="B174" s="460" t="s">
        <v>19</v>
      </c>
      <c r="C174" s="166">
        <v>40515</v>
      </c>
      <c r="D174" s="231" t="s">
        <v>119</v>
      </c>
      <c r="E174" s="243">
        <v>62</v>
      </c>
      <c r="F174" s="243">
        <v>36</v>
      </c>
      <c r="G174" s="243">
        <v>8</v>
      </c>
      <c r="H174" s="193">
        <v>34650.5</v>
      </c>
      <c r="I174" s="179">
        <v>6065</v>
      </c>
      <c r="J174" s="172">
        <f t="shared" si="27"/>
        <v>168.47222222222223</v>
      </c>
      <c r="K174" s="194">
        <f t="shared" si="28"/>
        <v>5.713190436933224</v>
      </c>
      <c r="L174" s="195">
        <f>353151+191248+132731.5+71376+47862+26248.5+19265+34650.5</f>
        <v>876532.5</v>
      </c>
      <c r="M174" s="171">
        <f>34650+19352+14525+10591+7581+5012+3223+6065</f>
        <v>100999</v>
      </c>
      <c r="N174" s="212">
        <f t="shared" si="29"/>
        <v>8.678625530945851</v>
      </c>
      <c r="O174" s="317"/>
      <c r="P174" s="315"/>
      <c r="Q174" s="66"/>
      <c r="R174" s="66"/>
      <c r="S174" s="66"/>
      <c r="T174" s="66"/>
    </row>
    <row r="175" spans="1:20" ht="15">
      <c r="A175" s="225">
        <v>171</v>
      </c>
      <c r="B175" s="211" t="s">
        <v>19</v>
      </c>
      <c r="C175" s="175">
        <v>40515</v>
      </c>
      <c r="D175" s="231" t="s">
        <v>119</v>
      </c>
      <c r="E175" s="243">
        <v>62</v>
      </c>
      <c r="F175" s="243">
        <v>42</v>
      </c>
      <c r="G175" s="243">
        <v>6</v>
      </c>
      <c r="H175" s="193">
        <v>26248.5</v>
      </c>
      <c r="I175" s="179">
        <v>5012</v>
      </c>
      <c r="J175" s="172">
        <f t="shared" si="27"/>
        <v>119.33333333333333</v>
      </c>
      <c r="K175" s="194">
        <f t="shared" si="28"/>
        <v>5.237130885873903</v>
      </c>
      <c r="L175" s="195">
        <f>353151+191248+132731.5+71376+47862+26248.5</f>
        <v>822617</v>
      </c>
      <c r="M175" s="171">
        <f>34650+19352+14525+10591+7581+5012</f>
        <v>91711</v>
      </c>
      <c r="N175" s="212">
        <f t="shared" si="29"/>
        <v>8.96966557991953</v>
      </c>
      <c r="O175" s="323"/>
      <c r="P175" s="315"/>
      <c r="Q175" s="66"/>
      <c r="R175" s="66"/>
      <c r="S175" s="66"/>
      <c r="T175" s="66"/>
    </row>
    <row r="176" spans="1:20" ht="15">
      <c r="A176" s="225">
        <v>172</v>
      </c>
      <c r="B176" s="461" t="s">
        <v>19</v>
      </c>
      <c r="C176" s="373">
        <v>40515</v>
      </c>
      <c r="D176" s="231" t="s">
        <v>119</v>
      </c>
      <c r="E176" s="375">
        <v>62</v>
      </c>
      <c r="F176" s="375">
        <v>26</v>
      </c>
      <c r="G176" s="375">
        <v>11</v>
      </c>
      <c r="H176" s="377">
        <v>25849</v>
      </c>
      <c r="I176" s="381">
        <v>3930</v>
      </c>
      <c r="J176" s="382">
        <f t="shared" si="27"/>
        <v>151.15384615384616</v>
      </c>
      <c r="K176" s="384">
        <f t="shared" si="28"/>
        <v>6.57735368956743</v>
      </c>
      <c r="L176" s="387">
        <f>353151+191248+132731.5+71376+47862+26248.5+19265+34650.5+35095.5+42312+25849</f>
        <v>979789</v>
      </c>
      <c r="M176" s="388">
        <f>34650+19352+14525+10591+7581+5012+3223+6065+6865+6589+3930</f>
        <v>118383</v>
      </c>
      <c r="N176" s="462">
        <f t="shared" si="29"/>
        <v>8.276433271669074</v>
      </c>
      <c r="O176" s="321"/>
      <c r="P176" s="315"/>
      <c r="Q176" s="66"/>
      <c r="R176" s="66"/>
      <c r="S176" s="66"/>
      <c r="T176" s="66"/>
    </row>
    <row r="177" spans="1:20" ht="15">
      <c r="A177" s="225">
        <v>173</v>
      </c>
      <c r="B177" s="461" t="s">
        <v>19</v>
      </c>
      <c r="C177" s="373">
        <v>40515</v>
      </c>
      <c r="D177" s="231" t="s">
        <v>119</v>
      </c>
      <c r="E177" s="375">
        <v>62</v>
      </c>
      <c r="F177" s="375">
        <v>37</v>
      </c>
      <c r="G177" s="375">
        <v>7</v>
      </c>
      <c r="H177" s="377">
        <v>19265</v>
      </c>
      <c r="I177" s="381">
        <v>3223</v>
      </c>
      <c r="J177" s="382">
        <f t="shared" si="27"/>
        <v>87.10810810810811</v>
      </c>
      <c r="K177" s="384">
        <f t="shared" si="28"/>
        <v>5.977350294756438</v>
      </c>
      <c r="L177" s="387">
        <f>353151+191248+132731.5+71376+47862+26248.5+19265</f>
        <v>841882</v>
      </c>
      <c r="M177" s="388">
        <f>34650+19352+14525+10591+7581+5012+3223</f>
        <v>94934</v>
      </c>
      <c r="N177" s="462">
        <f t="shared" si="29"/>
        <v>8.868076769123812</v>
      </c>
      <c r="O177" s="319"/>
      <c r="P177" s="315"/>
      <c r="Q177" s="66"/>
      <c r="R177" s="66"/>
      <c r="S177" s="66"/>
      <c r="T177" s="66"/>
    </row>
    <row r="178" spans="1:20" ht="15">
      <c r="A178" s="225">
        <v>174</v>
      </c>
      <c r="B178" s="242" t="s">
        <v>19</v>
      </c>
      <c r="C178" s="259">
        <v>40515</v>
      </c>
      <c r="D178" s="231" t="s">
        <v>119</v>
      </c>
      <c r="E178" s="232">
        <v>62</v>
      </c>
      <c r="F178" s="232">
        <v>17</v>
      </c>
      <c r="G178" s="232">
        <v>12</v>
      </c>
      <c r="H178" s="193">
        <v>10987</v>
      </c>
      <c r="I178" s="179">
        <v>1782</v>
      </c>
      <c r="J178" s="172">
        <f t="shared" si="27"/>
        <v>104.82352941176471</v>
      </c>
      <c r="K178" s="194">
        <f t="shared" si="28"/>
        <v>6.165544332210999</v>
      </c>
      <c r="L178" s="195">
        <f>353151+191248+132731.5+71376+47862+26248.5+19265+34650.5+35095.5+42312+25849+10987</f>
        <v>990776</v>
      </c>
      <c r="M178" s="171">
        <f>34650+19352+14525+10591+7581+5012+3223+6065+6865+6589+3930+1782</f>
        <v>120165</v>
      </c>
      <c r="N178" s="212">
        <f t="shared" si="29"/>
        <v>8.245129613448176</v>
      </c>
      <c r="O178" s="316"/>
      <c r="P178" s="315"/>
      <c r="Q178" s="66"/>
      <c r="R178" s="66"/>
      <c r="S178" s="66"/>
      <c r="T178" s="66"/>
    </row>
    <row r="179" spans="1:20" ht="15">
      <c r="A179" s="225">
        <v>175</v>
      </c>
      <c r="B179" s="242" t="s">
        <v>19</v>
      </c>
      <c r="C179" s="259">
        <v>40515</v>
      </c>
      <c r="D179" s="231" t="s">
        <v>119</v>
      </c>
      <c r="E179" s="232">
        <v>62</v>
      </c>
      <c r="F179" s="232">
        <v>14</v>
      </c>
      <c r="G179" s="232">
        <v>13</v>
      </c>
      <c r="H179" s="378">
        <v>7528</v>
      </c>
      <c r="I179" s="396">
        <v>1091</v>
      </c>
      <c r="J179" s="397">
        <f t="shared" si="27"/>
        <v>77.92857142857143</v>
      </c>
      <c r="K179" s="385">
        <f t="shared" si="28"/>
        <v>6.900091659028415</v>
      </c>
      <c r="L179" s="186">
        <f>353151+191248+132731.5+71376+47862+26248.5+19265+34650.5+35095.5+42312+25849+10987+7528</f>
        <v>998304</v>
      </c>
      <c r="M179" s="269">
        <f>34650+19352+14525+10591+7581+5012+3223+6065+6865+6589+3930+1782+1091</f>
        <v>121256</v>
      </c>
      <c r="N179" s="187">
        <f t="shared" si="29"/>
        <v>8.233027643992875</v>
      </c>
      <c r="O179" s="316"/>
      <c r="P179" s="315"/>
      <c r="Q179" s="66"/>
      <c r="R179" s="66"/>
      <c r="S179" s="66"/>
      <c r="T179" s="66"/>
    </row>
    <row r="180" spans="1:20" ht="15">
      <c r="A180" s="225">
        <v>176</v>
      </c>
      <c r="B180" s="207" t="s">
        <v>19</v>
      </c>
      <c r="C180" s="166">
        <v>40515</v>
      </c>
      <c r="D180" s="244" t="s">
        <v>119</v>
      </c>
      <c r="E180" s="243">
        <v>62</v>
      </c>
      <c r="F180" s="243">
        <v>8</v>
      </c>
      <c r="G180" s="243">
        <v>16</v>
      </c>
      <c r="H180" s="193">
        <v>3280.5</v>
      </c>
      <c r="I180" s="179">
        <v>512</v>
      </c>
      <c r="J180" s="172">
        <f t="shared" si="27"/>
        <v>64</v>
      </c>
      <c r="K180" s="194">
        <f t="shared" si="28"/>
        <v>6.4072265625</v>
      </c>
      <c r="L180" s="195">
        <f>353151+191248+132731.5+71376+47862+26248.5+19265+34650.5+35095.5+42312+25849+10987+7528+3248+2395.5+3280.5</f>
        <v>1007228</v>
      </c>
      <c r="M180" s="171">
        <f>34650+19352+14525+10591+7581+5012+3223+6065+6865+6589+3930+1782+1091+624+468+512</f>
        <v>122860</v>
      </c>
      <c r="N180" s="212">
        <f t="shared" si="29"/>
        <v>8.198176786586359</v>
      </c>
      <c r="O180" s="495"/>
      <c r="P180" s="315"/>
      <c r="Q180" s="66"/>
      <c r="R180" s="66"/>
      <c r="S180" s="66"/>
      <c r="T180" s="66"/>
    </row>
    <row r="181" spans="1:20" ht="15">
      <c r="A181" s="225">
        <v>177</v>
      </c>
      <c r="B181" s="207" t="s">
        <v>19</v>
      </c>
      <c r="C181" s="166">
        <v>40515</v>
      </c>
      <c r="D181" s="244" t="s">
        <v>119</v>
      </c>
      <c r="E181" s="243">
        <v>62</v>
      </c>
      <c r="F181" s="243">
        <v>9</v>
      </c>
      <c r="G181" s="243">
        <v>14</v>
      </c>
      <c r="H181" s="195">
        <v>3248</v>
      </c>
      <c r="I181" s="171">
        <v>624</v>
      </c>
      <c r="J181" s="172">
        <f t="shared" si="27"/>
        <v>69.33333333333333</v>
      </c>
      <c r="K181" s="194">
        <f t="shared" si="28"/>
        <v>5.205128205128205</v>
      </c>
      <c r="L181" s="195">
        <f>353151+191248+132731.5+71376+47862+26248.5+19265+34650.5+35095.5+42312+25849+10987+7528+3248</f>
        <v>1001552</v>
      </c>
      <c r="M181" s="171">
        <f>34650+19352+14525+10591+7581+5012+3223+6065+6865+6589+3930+1782+1091+624</f>
        <v>121880</v>
      </c>
      <c r="N181" s="212">
        <f t="shared" si="29"/>
        <v>8.217525434853954</v>
      </c>
      <c r="O181" s="320"/>
      <c r="P181" s="315"/>
      <c r="Q181" s="66"/>
      <c r="R181" s="66"/>
      <c r="S181" s="66"/>
      <c r="T181" s="66"/>
    </row>
    <row r="182" spans="1:20" ht="15">
      <c r="A182" s="225">
        <v>178</v>
      </c>
      <c r="B182" s="207" t="s">
        <v>19</v>
      </c>
      <c r="C182" s="166">
        <v>40515</v>
      </c>
      <c r="D182" s="244" t="s">
        <v>119</v>
      </c>
      <c r="E182" s="243">
        <v>62</v>
      </c>
      <c r="F182" s="243">
        <v>8</v>
      </c>
      <c r="G182" s="243">
        <v>15</v>
      </c>
      <c r="H182" s="193">
        <v>2395.5</v>
      </c>
      <c r="I182" s="179">
        <v>468</v>
      </c>
      <c r="J182" s="172">
        <f t="shared" si="27"/>
        <v>58.5</v>
      </c>
      <c r="K182" s="194">
        <f t="shared" si="28"/>
        <v>5.118589743589744</v>
      </c>
      <c r="L182" s="195">
        <f>353151+191248+132731.5+71376+47862+26248.5+19265+34650.5+35095.5+42312+25849+10987+7528+3248+2395.5</f>
        <v>1003947.5</v>
      </c>
      <c r="M182" s="171">
        <f>34650+19352+14525+10591+7581+5012+3223+6065+6865+6589+3930+1782+1091+624+468</f>
        <v>122348</v>
      </c>
      <c r="N182" s="212">
        <f t="shared" si="29"/>
        <v>8.205671527119364</v>
      </c>
      <c r="O182" s="327"/>
      <c r="P182" s="315"/>
      <c r="Q182" s="66"/>
      <c r="R182" s="66"/>
      <c r="S182" s="66"/>
      <c r="T182" s="66"/>
    </row>
    <row r="183" spans="1:20" ht="15">
      <c r="A183" s="225">
        <v>179</v>
      </c>
      <c r="B183" s="466" t="s">
        <v>77</v>
      </c>
      <c r="C183" s="166">
        <v>40487</v>
      </c>
      <c r="D183" s="374" t="s">
        <v>23</v>
      </c>
      <c r="E183" s="243">
        <v>205</v>
      </c>
      <c r="F183" s="243">
        <v>3</v>
      </c>
      <c r="G183" s="243">
        <v>9</v>
      </c>
      <c r="H183" s="379">
        <v>2650</v>
      </c>
      <c r="I183" s="180">
        <v>405</v>
      </c>
      <c r="J183" s="167">
        <f>I183/F183</f>
        <v>135</v>
      </c>
      <c r="K183" s="417">
        <f>+H183/I183</f>
        <v>6.54320987654321</v>
      </c>
      <c r="L183" s="255">
        <v>1135918</v>
      </c>
      <c r="M183" s="176">
        <v>131505</v>
      </c>
      <c r="N183" s="256">
        <f>+L183/M183</f>
        <v>8.637831261168778</v>
      </c>
      <c r="O183" s="317"/>
      <c r="P183" s="315"/>
      <c r="Q183" s="66"/>
      <c r="R183" s="66"/>
      <c r="S183" s="66"/>
      <c r="T183" s="66"/>
    </row>
    <row r="184" spans="1:20" ht="15">
      <c r="A184" s="225">
        <v>180</v>
      </c>
      <c r="B184" s="466" t="s">
        <v>13</v>
      </c>
      <c r="C184" s="166">
        <v>40473</v>
      </c>
      <c r="D184" s="374" t="s">
        <v>23</v>
      </c>
      <c r="E184" s="243">
        <v>100</v>
      </c>
      <c r="F184" s="243">
        <v>1</v>
      </c>
      <c r="G184" s="243">
        <v>11</v>
      </c>
      <c r="H184" s="379">
        <v>846</v>
      </c>
      <c r="I184" s="180">
        <v>141</v>
      </c>
      <c r="J184" s="167">
        <f>I184/F184</f>
        <v>141</v>
      </c>
      <c r="K184" s="386">
        <f>+H184/I184</f>
        <v>6</v>
      </c>
      <c r="L184" s="255">
        <v>1818047</v>
      </c>
      <c r="M184" s="168">
        <v>188946</v>
      </c>
      <c r="N184" s="256">
        <f>+L184/M184</f>
        <v>9.622045452139766</v>
      </c>
      <c r="O184" s="323">
        <v>1</v>
      </c>
      <c r="P184" s="315"/>
      <c r="Q184" s="66"/>
      <c r="R184" s="66"/>
      <c r="S184" s="66"/>
      <c r="T184" s="66"/>
    </row>
    <row r="185" spans="1:20" ht="15">
      <c r="A185" s="225">
        <v>181</v>
      </c>
      <c r="B185" s="472" t="s">
        <v>93</v>
      </c>
      <c r="C185" s="177">
        <v>40347</v>
      </c>
      <c r="D185" s="231" t="s">
        <v>119</v>
      </c>
      <c r="E185" s="249">
        <v>66</v>
      </c>
      <c r="F185" s="249">
        <v>3</v>
      </c>
      <c r="G185" s="249">
        <v>27</v>
      </c>
      <c r="H185" s="193">
        <v>3382</v>
      </c>
      <c r="I185" s="179">
        <v>852</v>
      </c>
      <c r="J185" s="172">
        <f>(I185/F185)</f>
        <v>284</v>
      </c>
      <c r="K185" s="194">
        <f>H185/I185</f>
        <v>3.9694835680751175</v>
      </c>
      <c r="L185" s="195">
        <f>478213+7083+3309.5+6055+4900+8378+4378.5+2349+3103+2074+7679.5+6108+2991.5+2180+2234+642+2775.5+1757+1151+3382</f>
        <v>550743.5</v>
      </c>
      <c r="M185" s="171">
        <f>55327+1259+553+1133+756+1285+650+408+682+334+1688+1394+539+483+475+201+677+260+202+852</f>
        <v>69158</v>
      </c>
      <c r="N185" s="212">
        <f>L185/M185</f>
        <v>7.963554469475693</v>
      </c>
      <c r="O185" s="323"/>
      <c r="P185" s="315"/>
      <c r="Q185" s="66"/>
      <c r="R185" s="66"/>
      <c r="S185" s="66"/>
      <c r="T185" s="66"/>
    </row>
    <row r="186" spans="1:20" ht="15">
      <c r="A186" s="225">
        <v>182</v>
      </c>
      <c r="B186" s="472" t="s">
        <v>93</v>
      </c>
      <c r="C186" s="177">
        <v>40347</v>
      </c>
      <c r="D186" s="231" t="s">
        <v>119</v>
      </c>
      <c r="E186" s="249">
        <v>66</v>
      </c>
      <c r="F186" s="249">
        <v>1</v>
      </c>
      <c r="G186" s="249">
        <v>29</v>
      </c>
      <c r="H186" s="193">
        <v>1782</v>
      </c>
      <c r="I186" s="179">
        <v>445</v>
      </c>
      <c r="J186" s="172">
        <f>(I186/F186)</f>
        <v>445</v>
      </c>
      <c r="K186" s="194">
        <f>H186/I186</f>
        <v>4.004494382022472</v>
      </c>
      <c r="L186" s="195">
        <f>478213+7083+3309.5+6055+4900+8378+4378.5+2349+3103+2074+7679.5+6108+2991.5+2180+2234+642+2775.5+1757+1151+3382+60+1782</f>
        <v>552585.5</v>
      </c>
      <c r="M186" s="171">
        <f>55327+1259+553+1133+756+1285+650+408+682+334+1688+1394+539+483+475+201+677+260+202+852+20+445</f>
        <v>69623</v>
      </c>
      <c r="N186" s="212">
        <f>L186/M186</f>
        <v>7.936824038033408</v>
      </c>
      <c r="O186" s="317"/>
      <c r="P186" s="315"/>
      <c r="Q186" s="66"/>
      <c r="R186" s="66"/>
      <c r="S186" s="66"/>
      <c r="T186" s="66"/>
    </row>
    <row r="187" spans="1:20" ht="15">
      <c r="A187" s="225">
        <v>183</v>
      </c>
      <c r="B187" s="471" t="s">
        <v>93</v>
      </c>
      <c r="C187" s="425">
        <v>40347</v>
      </c>
      <c r="D187" s="231" t="s">
        <v>119</v>
      </c>
      <c r="E187" s="426">
        <v>66</v>
      </c>
      <c r="F187" s="426">
        <v>1</v>
      </c>
      <c r="G187" s="426">
        <v>28</v>
      </c>
      <c r="H187" s="377">
        <v>60</v>
      </c>
      <c r="I187" s="381">
        <v>20</v>
      </c>
      <c r="J187" s="382">
        <f>(I187/F187)</f>
        <v>20</v>
      </c>
      <c r="K187" s="384">
        <f>H187/I187</f>
        <v>3</v>
      </c>
      <c r="L187" s="387">
        <f>478213+7083+3309.5+6055+4900+8378+4378.5+2349+3103+2074+7679.5+6108+2991.5+2180+2234+642+2775.5+1757+1151+3382+60</f>
        <v>550803.5</v>
      </c>
      <c r="M187" s="388">
        <f>55327+1259+553+1133+756+1285+650+408+682+334+1688+1394+539+483+475+201+677+260+202+852+20</f>
        <v>69178</v>
      </c>
      <c r="N187" s="462">
        <f>L187/M187</f>
        <v>7.962119459943913</v>
      </c>
      <c r="O187" s="319"/>
      <c r="P187" s="315"/>
      <c r="Q187" s="66"/>
      <c r="R187" s="66"/>
      <c r="S187" s="66"/>
      <c r="T187" s="66"/>
    </row>
    <row r="188" spans="1:20" ht="15">
      <c r="A188" s="225">
        <v>184</v>
      </c>
      <c r="B188" s="463" t="s">
        <v>78</v>
      </c>
      <c r="C188" s="163">
        <v>38764</v>
      </c>
      <c r="D188" s="398" t="s">
        <v>17</v>
      </c>
      <c r="E188" s="245">
        <v>113</v>
      </c>
      <c r="F188" s="245">
        <v>1</v>
      </c>
      <c r="G188" s="245">
        <v>20</v>
      </c>
      <c r="H188" s="406">
        <v>2014</v>
      </c>
      <c r="I188" s="183">
        <v>403</v>
      </c>
      <c r="J188" s="170">
        <f>IF(H188&lt;&gt;0,I188/F188,"")</f>
        <v>403</v>
      </c>
      <c r="K188" s="407">
        <f>IF(H188&lt;&gt;0,H188/I188,"")</f>
        <v>4.997518610421836</v>
      </c>
      <c r="L188" s="408">
        <f>1551334+0+1188+H188</f>
        <v>1554536</v>
      </c>
      <c r="M188" s="167">
        <f>207370+0+238+I188</f>
        <v>208011</v>
      </c>
      <c r="N188" s="465">
        <f>IF(L188&lt;&gt;0,L188/M188,"")</f>
        <v>7.473335544754844</v>
      </c>
      <c r="O188" s="323"/>
      <c r="P188" s="315"/>
      <c r="Q188" s="66"/>
      <c r="R188" s="66"/>
      <c r="S188" s="66"/>
      <c r="T188" s="66"/>
    </row>
    <row r="189" spans="1:20" ht="15">
      <c r="A189" s="225">
        <v>185</v>
      </c>
      <c r="B189" s="242" t="s">
        <v>160</v>
      </c>
      <c r="C189" s="259">
        <v>40025</v>
      </c>
      <c r="D189" s="231" t="s">
        <v>119</v>
      </c>
      <c r="E189" s="232">
        <v>1</v>
      </c>
      <c r="F189" s="232">
        <v>1</v>
      </c>
      <c r="G189" s="232">
        <v>9</v>
      </c>
      <c r="H189" s="193">
        <v>952</v>
      </c>
      <c r="I189" s="179">
        <v>238</v>
      </c>
      <c r="J189" s="172">
        <f>(I189/F189)</f>
        <v>238</v>
      </c>
      <c r="K189" s="194">
        <f aca="true" t="shared" si="30" ref="K189:K200">H189/I189</f>
        <v>4</v>
      </c>
      <c r="L189" s="195">
        <f>6157+1979.5+2138+815+825+343+114+159+952</f>
        <v>13482.5</v>
      </c>
      <c r="M189" s="171">
        <f>452+147+247+163+165+40+19+36+238</f>
        <v>1507</v>
      </c>
      <c r="N189" s="212">
        <f>L189/M189</f>
        <v>8.946582614465827</v>
      </c>
      <c r="O189" s="316"/>
      <c r="P189" s="315"/>
      <c r="Q189" s="66"/>
      <c r="R189" s="66"/>
      <c r="S189" s="66"/>
      <c r="T189" s="66"/>
    </row>
    <row r="190" spans="1:20" ht="15">
      <c r="A190" s="225">
        <v>186</v>
      </c>
      <c r="B190" s="468" t="s">
        <v>68</v>
      </c>
      <c r="C190" s="163">
        <v>40501</v>
      </c>
      <c r="D190" s="419" t="s">
        <v>25</v>
      </c>
      <c r="E190" s="233">
        <v>121</v>
      </c>
      <c r="F190" s="233">
        <v>18</v>
      </c>
      <c r="G190" s="233">
        <v>7</v>
      </c>
      <c r="H190" s="420">
        <v>10646</v>
      </c>
      <c r="I190" s="181">
        <v>2164</v>
      </c>
      <c r="J190" s="174">
        <f>I190/F190</f>
        <v>120.22222222222223</v>
      </c>
      <c r="K190" s="421">
        <f t="shared" si="30"/>
        <v>4.919593345656192</v>
      </c>
      <c r="L190" s="422">
        <v>1582988</v>
      </c>
      <c r="M190" s="173">
        <v>158006</v>
      </c>
      <c r="N190" s="469">
        <f>+L190/M190</f>
        <v>10.018530941862966</v>
      </c>
      <c r="O190" s="317"/>
      <c r="P190" s="315"/>
      <c r="Q190" s="66"/>
      <c r="R190" s="66"/>
      <c r="S190" s="66"/>
      <c r="T190" s="66"/>
    </row>
    <row r="191" spans="1:20" ht="15">
      <c r="A191" s="225">
        <v>187</v>
      </c>
      <c r="B191" s="213" t="s">
        <v>68</v>
      </c>
      <c r="C191" s="163">
        <v>40501</v>
      </c>
      <c r="D191" s="419" t="s">
        <v>25</v>
      </c>
      <c r="E191" s="233">
        <v>121</v>
      </c>
      <c r="F191" s="233">
        <v>6</v>
      </c>
      <c r="G191" s="233">
        <v>8</v>
      </c>
      <c r="H191" s="204">
        <v>6256</v>
      </c>
      <c r="I191" s="181">
        <v>1715</v>
      </c>
      <c r="J191" s="174">
        <f>I191/F191</f>
        <v>285.8333333333333</v>
      </c>
      <c r="K191" s="205">
        <f t="shared" si="30"/>
        <v>3.647813411078717</v>
      </c>
      <c r="L191" s="206">
        <v>1589244</v>
      </c>
      <c r="M191" s="173">
        <v>159721</v>
      </c>
      <c r="N191" s="217">
        <f>+L191/M191</f>
        <v>9.95012553139537</v>
      </c>
      <c r="O191" s="320">
        <v>1</v>
      </c>
      <c r="P191" s="315"/>
      <c r="Q191" s="66"/>
      <c r="R191" s="66"/>
      <c r="S191" s="66"/>
      <c r="T191" s="66"/>
    </row>
    <row r="192" spans="1:20" ht="15">
      <c r="A192" s="225">
        <v>188</v>
      </c>
      <c r="B192" s="213" t="s">
        <v>68</v>
      </c>
      <c r="C192" s="402">
        <v>40501</v>
      </c>
      <c r="D192" s="234" t="s">
        <v>25</v>
      </c>
      <c r="E192" s="233">
        <v>121</v>
      </c>
      <c r="F192" s="233">
        <v>5</v>
      </c>
      <c r="G192" s="233">
        <v>15</v>
      </c>
      <c r="H192" s="420">
        <v>5491.95</v>
      </c>
      <c r="I192" s="439">
        <v>1653</v>
      </c>
      <c r="J192" s="440">
        <f>I192/F192</f>
        <v>330.6</v>
      </c>
      <c r="K192" s="421">
        <f t="shared" si="30"/>
        <v>3.3224137931034483</v>
      </c>
      <c r="L192" s="422">
        <v>1609599</v>
      </c>
      <c r="M192" s="441">
        <v>165154</v>
      </c>
      <c r="N192" s="469">
        <f>+L192/M192</f>
        <v>9.74604914201291</v>
      </c>
      <c r="O192" s="316">
        <v>1</v>
      </c>
      <c r="P192" s="315"/>
      <c r="Q192" s="66"/>
      <c r="R192" s="66"/>
      <c r="S192" s="66"/>
      <c r="T192" s="66"/>
    </row>
    <row r="193" spans="1:20" ht="15">
      <c r="A193" s="225">
        <v>189</v>
      </c>
      <c r="B193" s="468" t="s">
        <v>68</v>
      </c>
      <c r="C193" s="163">
        <v>40501</v>
      </c>
      <c r="D193" s="234" t="s">
        <v>25</v>
      </c>
      <c r="E193" s="233">
        <v>121</v>
      </c>
      <c r="F193" s="233">
        <v>4</v>
      </c>
      <c r="G193" s="233">
        <v>10</v>
      </c>
      <c r="H193" s="204">
        <v>4266.5</v>
      </c>
      <c r="I193" s="181">
        <v>780</v>
      </c>
      <c r="J193" s="172">
        <f>(I193/F193)</f>
        <v>195</v>
      </c>
      <c r="K193" s="194">
        <f t="shared" si="30"/>
        <v>5.4698717948717945</v>
      </c>
      <c r="L193" s="206">
        <v>1596605</v>
      </c>
      <c r="M193" s="173">
        <v>161481</v>
      </c>
      <c r="N193" s="212">
        <f>L193/M193</f>
        <v>9.887262278534317</v>
      </c>
      <c r="O193" s="317">
        <v>1</v>
      </c>
      <c r="P193" s="315"/>
      <c r="Q193" s="66"/>
      <c r="R193" s="66"/>
      <c r="S193" s="66"/>
      <c r="T193" s="66"/>
    </row>
    <row r="194" spans="1:20" ht="15">
      <c r="A194" s="225">
        <v>190</v>
      </c>
      <c r="B194" s="213" t="s">
        <v>139</v>
      </c>
      <c r="C194" s="163">
        <v>40501</v>
      </c>
      <c r="D194" s="234" t="s">
        <v>25</v>
      </c>
      <c r="E194" s="233">
        <v>121</v>
      </c>
      <c r="F194" s="233">
        <v>3</v>
      </c>
      <c r="G194" s="233">
        <v>12</v>
      </c>
      <c r="H194" s="204">
        <v>1882</v>
      </c>
      <c r="I194" s="181">
        <v>579</v>
      </c>
      <c r="J194" s="174">
        <f>I194/F194</f>
        <v>193</v>
      </c>
      <c r="K194" s="205">
        <f t="shared" si="30"/>
        <v>3.250431778929188</v>
      </c>
      <c r="L194" s="206">
        <v>1599042</v>
      </c>
      <c r="M194" s="173">
        <v>162149</v>
      </c>
      <c r="N194" s="217">
        <f>+L194/M194</f>
        <v>9.86155942990706</v>
      </c>
      <c r="O194" s="318"/>
      <c r="P194" s="315"/>
      <c r="Q194" s="66"/>
      <c r="R194" s="66"/>
      <c r="S194" s="66"/>
      <c r="T194" s="66"/>
    </row>
    <row r="195" spans="1:20" ht="15">
      <c r="A195" s="225">
        <v>191</v>
      </c>
      <c r="B195" s="213" t="s">
        <v>68</v>
      </c>
      <c r="C195" s="163">
        <v>40501</v>
      </c>
      <c r="D195" s="234" t="s">
        <v>25</v>
      </c>
      <c r="E195" s="233">
        <v>121</v>
      </c>
      <c r="F195" s="233">
        <v>2</v>
      </c>
      <c r="G195" s="233">
        <v>13</v>
      </c>
      <c r="H195" s="204">
        <v>1565</v>
      </c>
      <c r="I195" s="181">
        <v>369</v>
      </c>
      <c r="J195" s="174">
        <f>I195/F195</f>
        <v>184.5</v>
      </c>
      <c r="K195" s="205">
        <f t="shared" si="30"/>
        <v>4.2411924119241196</v>
      </c>
      <c r="L195" s="206">
        <v>1601521</v>
      </c>
      <c r="M195" s="173">
        <v>162757</v>
      </c>
      <c r="N195" s="217">
        <f>+L195/M195</f>
        <v>9.839951584263657</v>
      </c>
      <c r="O195" s="321">
        <v>1</v>
      </c>
      <c r="P195" s="315"/>
      <c r="Q195" s="66"/>
      <c r="R195" s="66"/>
      <c r="S195" s="66"/>
      <c r="T195" s="66"/>
    </row>
    <row r="196" spans="1:20" ht="15">
      <c r="A196" s="225">
        <v>192</v>
      </c>
      <c r="B196" s="213" t="s">
        <v>112</v>
      </c>
      <c r="C196" s="163">
        <v>40501</v>
      </c>
      <c r="D196" s="234" t="s">
        <v>25</v>
      </c>
      <c r="E196" s="233">
        <v>121</v>
      </c>
      <c r="F196" s="233">
        <v>3</v>
      </c>
      <c r="G196" s="233">
        <v>9</v>
      </c>
      <c r="H196" s="204">
        <v>1204</v>
      </c>
      <c r="I196" s="181">
        <v>296</v>
      </c>
      <c r="J196" s="174">
        <f>I196/F196</f>
        <v>98.66666666666667</v>
      </c>
      <c r="K196" s="205">
        <f t="shared" si="30"/>
        <v>4.0675675675675675</v>
      </c>
      <c r="L196" s="206">
        <v>1592338</v>
      </c>
      <c r="M196" s="173">
        <v>160701</v>
      </c>
      <c r="N196" s="217">
        <f>+L196/M196</f>
        <v>9.908700008089557</v>
      </c>
      <c r="O196" s="317">
        <v>1</v>
      </c>
      <c r="P196" s="315"/>
      <c r="Q196" s="66"/>
      <c r="R196" s="66"/>
      <c r="S196" s="66"/>
      <c r="T196" s="66"/>
    </row>
    <row r="197" spans="1:20" ht="15">
      <c r="A197" s="225">
        <v>193</v>
      </c>
      <c r="B197" s="213" t="s">
        <v>112</v>
      </c>
      <c r="C197" s="163">
        <v>40501</v>
      </c>
      <c r="D197" s="234" t="s">
        <v>25</v>
      </c>
      <c r="E197" s="233">
        <v>121</v>
      </c>
      <c r="F197" s="233">
        <v>2</v>
      </c>
      <c r="G197" s="233">
        <v>11</v>
      </c>
      <c r="H197" s="204">
        <v>556</v>
      </c>
      <c r="I197" s="181">
        <v>89</v>
      </c>
      <c r="J197" s="174">
        <f>I197/F197</f>
        <v>44.5</v>
      </c>
      <c r="K197" s="205">
        <f t="shared" si="30"/>
        <v>6.247191011235955</v>
      </c>
      <c r="L197" s="206">
        <v>1597161</v>
      </c>
      <c r="M197" s="173">
        <v>161570</v>
      </c>
      <c r="N197" s="210">
        <f>+L197/M197</f>
        <v>9.88525716407749</v>
      </c>
      <c r="O197" s="317">
        <v>1</v>
      </c>
      <c r="P197" s="315"/>
      <c r="Q197" s="66"/>
      <c r="R197" s="66"/>
      <c r="S197" s="66"/>
      <c r="T197" s="66"/>
    </row>
    <row r="198" spans="1:20" ht="15">
      <c r="A198" s="225">
        <v>194</v>
      </c>
      <c r="B198" s="461" t="s">
        <v>147</v>
      </c>
      <c r="C198" s="373">
        <v>40466</v>
      </c>
      <c r="D198" s="231" t="s">
        <v>119</v>
      </c>
      <c r="E198" s="375">
        <v>139</v>
      </c>
      <c r="F198" s="375">
        <v>1</v>
      </c>
      <c r="G198" s="375">
        <v>12</v>
      </c>
      <c r="H198" s="193">
        <v>770</v>
      </c>
      <c r="I198" s="179">
        <v>44</v>
      </c>
      <c r="J198" s="172">
        <f>(I198/F198)</f>
        <v>44</v>
      </c>
      <c r="K198" s="194">
        <f t="shared" si="30"/>
        <v>17.5</v>
      </c>
      <c r="L198" s="195">
        <f>859399.5+611922.5+597511+92540.5+35432.5+12313+8417+3230+2786+1901+208.5+770</f>
        <v>2226431.5</v>
      </c>
      <c r="M198" s="171">
        <f>81834+61457+58453+8463+3493+2070+1395+1040+668+474+59+44</f>
        <v>219450</v>
      </c>
      <c r="N198" s="212">
        <f>L198/M198</f>
        <v>10.14550694919116</v>
      </c>
      <c r="O198" s="321"/>
      <c r="P198" s="315"/>
      <c r="Q198" s="66"/>
      <c r="R198" s="66"/>
      <c r="S198" s="66"/>
      <c r="T198" s="66"/>
    </row>
    <row r="199" spans="1:20" ht="15">
      <c r="A199" s="225">
        <v>195</v>
      </c>
      <c r="B199" s="242" t="s">
        <v>127</v>
      </c>
      <c r="C199" s="259">
        <v>40466</v>
      </c>
      <c r="D199" s="231" t="s">
        <v>119</v>
      </c>
      <c r="E199" s="232">
        <v>139</v>
      </c>
      <c r="F199" s="232">
        <v>1</v>
      </c>
      <c r="G199" s="232">
        <v>13</v>
      </c>
      <c r="H199" s="378">
        <v>241</v>
      </c>
      <c r="I199" s="396">
        <v>42</v>
      </c>
      <c r="J199" s="397">
        <f>(I199/F199)</f>
        <v>42</v>
      </c>
      <c r="K199" s="385">
        <f t="shared" si="30"/>
        <v>5.738095238095238</v>
      </c>
      <c r="L199" s="186">
        <f>859399.5+611922.5+597511+92540.5+35432.5+12313+8417+3230+2786+1901+208.5+770+241</f>
        <v>2226672.5</v>
      </c>
      <c r="M199" s="269">
        <f>81834+61457+58453+8463+3493+2070+1395+1040+668+474+59+44+42</f>
        <v>219492</v>
      </c>
      <c r="N199" s="187">
        <f>L199/M199</f>
        <v>10.144663586827766</v>
      </c>
      <c r="O199" s="316"/>
      <c r="P199" s="315"/>
      <c r="Q199" s="66"/>
      <c r="R199" s="66"/>
      <c r="S199" s="66"/>
      <c r="T199" s="66"/>
    </row>
    <row r="200" spans="1:20" ht="15">
      <c r="A200" s="225">
        <v>196</v>
      </c>
      <c r="B200" s="460" t="s">
        <v>127</v>
      </c>
      <c r="C200" s="166">
        <v>40466</v>
      </c>
      <c r="D200" s="231" t="s">
        <v>119</v>
      </c>
      <c r="E200" s="243">
        <v>139</v>
      </c>
      <c r="F200" s="243">
        <v>1</v>
      </c>
      <c r="G200" s="243">
        <v>11</v>
      </c>
      <c r="H200" s="193">
        <v>208.5</v>
      </c>
      <c r="I200" s="179">
        <v>59</v>
      </c>
      <c r="J200" s="172">
        <f>(I200/F200)</f>
        <v>59</v>
      </c>
      <c r="K200" s="194">
        <f t="shared" si="30"/>
        <v>3.5338983050847457</v>
      </c>
      <c r="L200" s="195">
        <f>859399.5+611922.5+597511+92540.5+35432.5+12313+8417+3230+2786+1901+208.5</f>
        <v>2225661.5</v>
      </c>
      <c r="M200" s="171">
        <f>81834+61457+58453+8463+3493+2070+1395+1040+668+474+59</f>
        <v>219406</v>
      </c>
      <c r="N200" s="212">
        <f>L200/M200</f>
        <v>10.14403206840287</v>
      </c>
      <c r="O200" s="317"/>
      <c r="P200" s="315"/>
      <c r="Q200" s="66"/>
      <c r="R200" s="66"/>
      <c r="S200" s="66"/>
      <c r="T200" s="66"/>
    </row>
    <row r="201" spans="1:20" ht="15">
      <c r="A201" s="225">
        <v>197</v>
      </c>
      <c r="B201" s="468" t="s">
        <v>0</v>
      </c>
      <c r="C201" s="163">
        <v>40431</v>
      </c>
      <c r="D201" s="429" t="s">
        <v>27</v>
      </c>
      <c r="E201" s="233">
        <v>124</v>
      </c>
      <c r="F201" s="233">
        <v>1</v>
      </c>
      <c r="G201" s="233">
        <v>12</v>
      </c>
      <c r="H201" s="430">
        <v>567</v>
      </c>
      <c r="I201" s="182">
        <v>95</v>
      </c>
      <c r="J201" s="170">
        <f>+I201/F201</f>
        <v>95</v>
      </c>
      <c r="K201" s="407">
        <f>+H201/I201</f>
        <v>5.968421052631579</v>
      </c>
      <c r="L201" s="431">
        <v>3688296</v>
      </c>
      <c r="M201" s="169">
        <v>331614</v>
      </c>
      <c r="N201" s="465">
        <f>+L201/M201</f>
        <v>11.12225659954043</v>
      </c>
      <c r="O201" s="323"/>
      <c r="P201" s="315"/>
      <c r="Q201" s="66"/>
      <c r="R201" s="66"/>
      <c r="S201" s="66"/>
      <c r="T201" s="66"/>
    </row>
    <row r="202" spans="1:20" ht="15">
      <c r="A202" s="225">
        <v>198</v>
      </c>
      <c r="B202" s="211" t="s">
        <v>146</v>
      </c>
      <c r="C202" s="175">
        <v>40081</v>
      </c>
      <c r="D202" s="409" t="s">
        <v>119</v>
      </c>
      <c r="E202" s="243">
        <v>10</v>
      </c>
      <c r="F202" s="243">
        <v>1</v>
      </c>
      <c r="G202" s="243">
        <v>9</v>
      </c>
      <c r="H202" s="193">
        <v>952</v>
      </c>
      <c r="I202" s="179">
        <v>238</v>
      </c>
      <c r="J202" s="172">
        <f>(I202/F202)</f>
        <v>238</v>
      </c>
      <c r="K202" s="194">
        <f>H202/I202</f>
        <v>4</v>
      </c>
      <c r="L202" s="195">
        <f>15355.5+7416.5+5376.5+1210+1050.5+1780+1780+1780+952</f>
        <v>36701</v>
      </c>
      <c r="M202" s="171">
        <f>1226+729+733+198+202+445+445+445+238</f>
        <v>4661</v>
      </c>
      <c r="N202" s="212">
        <f>L202/M202</f>
        <v>7.874061360223128</v>
      </c>
      <c r="O202" s="321"/>
      <c r="P202" s="315"/>
      <c r="Q202" s="66"/>
      <c r="R202" s="66"/>
      <c r="S202" s="66"/>
      <c r="T202" s="66"/>
    </row>
    <row r="203" spans="1:20" ht="15">
      <c r="A203" s="225">
        <v>199</v>
      </c>
      <c r="B203" s="480" t="s">
        <v>30</v>
      </c>
      <c r="C203" s="175">
        <v>40466</v>
      </c>
      <c r="D203" s="329" t="s">
        <v>23</v>
      </c>
      <c r="E203" s="243">
        <v>119</v>
      </c>
      <c r="F203" s="243">
        <v>3</v>
      </c>
      <c r="G203" s="243">
        <v>15</v>
      </c>
      <c r="H203" s="201">
        <v>2636</v>
      </c>
      <c r="I203" s="180">
        <v>738</v>
      </c>
      <c r="J203" s="176">
        <f aca="true" t="shared" si="31" ref="J203:J217">I203/F203</f>
        <v>246</v>
      </c>
      <c r="K203" s="334">
        <f aca="true" t="shared" si="32" ref="K203:K209">+H203/I203</f>
        <v>3.5718157181571817</v>
      </c>
      <c r="L203" s="203">
        <v>2014015</v>
      </c>
      <c r="M203" s="176">
        <v>175303</v>
      </c>
      <c r="N203" s="216">
        <f aca="true" t="shared" si="33" ref="N203:N217">+L203/M203</f>
        <v>11.488765166597263</v>
      </c>
      <c r="O203" s="324"/>
      <c r="P203" s="315"/>
      <c r="Q203" s="66"/>
      <c r="R203" s="66"/>
      <c r="S203" s="66"/>
      <c r="T203" s="66"/>
    </row>
    <row r="204" spans="1:20" ht="15">
      <c r="A204" s="225">
        <v>200</v>
      </c>
      <c r="B204" s="466" t="s">
        <v>30</v>
      </c>
      <c r="C204" s="166">
        <v>40466</v>
      </c>
      <c r="D204" s="374" t="s">
        <v>23</v>
      </c>
      <c r="E204" s="243">
        <v>119</v>
      </c>
      <c r="F204" s="243">
        <v>3</v>
      </c>
      <c r="G204" s="243">
        <v>12</v>
      </c>
      <c r="H204" s="379">
        <v>999</v>
      </c>
      <c r="I204" s="180">
        <v>212</v>
      </c>
      <c r="J204" s="167">
        <f t="shared" si="31"/>
        <v>70.66666666666667</v>
      </c>
      <c r="K204" s="386">
        <f t="shared" si="32"/>
        <v>4.712264150943396</v>
      </c>
      <c r="L204" s="255">
        <v>2010636</v>
      </c>
      <c r="M204" s="168">
        <v>174432</v>
      </c>
      <c r="N204" s="256">
        <f t="shared" si="33"/>
        <v>11.526761144744084</v>
      </c>
      <c r="O204" s="317"/>
      <c r="P204" s="315"/>
      <c r="Q204" s="66"/>
      <c r="R204" s="66"/>
      <c r="S204" s="66"/>
      <c r="T204" s="66"/>
    </row>
    <row r="205" spans="1:20" ht="15">
      <c r="A205" s="225">
        <v>201</v>
      </c>
      <c r="B205" s="240" t="s">
        <v>30</v>
      </c>
      <c r="C205" s="226">
        <v>40466</v>
      </c>
      <c r="D205" s="227" t="s">
        <v>23</v>
      </c>
      <c r="E205" s="228">
        <v>119</v>
      </c>
      <c r="F205" s="228">
        <v>1</v>
      </c>
      <c r="G205" s="228">
        <v>14</v>
      </c>
      <c r="H205" s="376">
        <v>558</v>
      </c>
      <c r="I205" s="380">
        <v>93</v>
      </c>
      <c r="J205" s="230">
        <f t="shared" si="31"/>
        <v>93</v>
      </c>
      <c r="K205" s="383">
        <f t="shared" si="32"/>
        <v>6</v>
      </c>
      <c r="L205" s="229">
        <v>2011379</v>
      </c>
      <c r="M205" s="230">
        <v>174565</v>
      </c>
      <c r="N205" s="241">
        <f t="shared" si="33"/>
        <v>11.522235270529603</v>
      </c>
      <c r="O205" s="325"/>
      <c r="P205" s="315"/>
      <c r="Q205" s="66"/>
      <c r="R205" s="66"/>
      <c r="S205" s="66"/>
      <c r="T205" s="66"/>
    </row>
    <row r="206" spans="1:20" ht="15">
      <c r="A206" s="225">
        <v>202</v>
      </c>
      <c r="B206" s="211" t="s">
        <v>30</v>
      </c>
      <c r="C206" s="166">
        <v>40466</v>
      </c>
      <c r="D206" s="374" t="s">
        <v>23</v>
      </c>
      <c r="E206" s="243">
        <v>119</v>
      </c>
      <c r="F206" s="243">
        <v>2</v>
      </c>
      <c r="G206" s="243">
        <v>13</v>
      </c>
      <c r="H206" s="188">
        <v>185</v>
      </c>
      <c r="I206" s="180">
        <v>40</v>
      </c>
      <c r="J206" s="167">
        <f t="shared" si="31"/>
        <v>20</v>
      </c>
      <c r="K206" s="202">
        <f t="shared" si="32"/>
        <v>4.625</v>
      </c>
      <c r="L206" s="189">
        <v>2010821</v>
      </c>
      <c r="M206" s="168">
        <v>174472</v>
      </c>
      <c r="N206" s="208">
        <f t="shared" si="33"/>
        <v>11.525178825255628</v>
      </c>
      <c r="O206" s="324"/>
      <c r="P206" s="315"/>
      <c r="Q206" s="66"/>
      <c r="R206" s="66"/>
      <c r="S206" s="66"/>
      <c r="T206" s="66"/>
    </row>
    <row r="207" spans="1:20" ht="15">
      <c r="A207" s="225">
        <v>203</v>
      </c>
      <c r="B207" s="242" t="s">
        <v>30</v>
      </c>
      <c r="C207" s="166">
        <v>40466</v>
      </c>
      <c r="D207" s="231" t="s">
        <v>23</v>
      </c>
      <c r="E207" s="232">
        <v>119</v>
      </c>
      <c r="F207" s="232">
        <v>1</v>
      </c>
      <c r="G207" s="232">
        <v>17</v>
      </c>
      <c r="H207" s="188">
        <v>168</v>
      </c>
      <c r="I207" s="180">
        <v>28</v>
      </c>
      <c r="J207" s="167">
        <f t="shared" si="31"/>
        <v>28</v>
      </c>
      <c r="K207" s="202">
        <f t="shared" si="32"/>
        <v>6</v>
      </c>
      <c r="L207" s="189">
        <v>2014279</v>
      </c>
      <c r="M207" s="168">
        <v>175347</v>
      </c>
      <c r="N207" s="208">
        <f t="shared" si="33"/>
        <v>11.487387865204424</v>
      </c>
      <c r="O207" s="318"/>
      <c r="P207" s="315"/>
      <c r="Q207" s="66"/>
      <c r="R207" s="66"/>
      <c r="S207" s="66"/>
      <c r="T207" s="66"/>
    </row>
    <row r="208" spans="1:20" ht="15">
      <c r="A208" s="225">
        <v>204</v>
      </c>
      <c r="B208" s="211" t="s">
        <v>30</v>
      </c>
      <c r="C208" s="166">
        <v>40466</v>
      </c>
      <c r="D208" s="329" t="s">
        <v>23</v>
      </c>
      <c r="E208" s="243">
        <v>119</v>
      </c>
      <c r="F208" s="243">
        <v>1</v>
      </c>
      <c r="G208" s="243">
        <v>16</v>
      </c>
      <c r="H208" s="188">
        <v>96</v>
      </c>
      <c r="I208" s="180">
        <v>16</v>
      </c>
      <c r="J208" s="167">
        <f t="shared" si="31"/>
        <v>16</v>
      </c>
      <c r="K208" s="202">
        <f t="shared" si="32"/>
        <v>6</v>
      </c>
      <c r="L208" s="189">
        <v>2014111</v>
      </c>
      <c r="M208" s="168">
        <v>175319</v>
      </c>
      <c r="N208" s="210">
        <f t="shared" si="33"/>
        <v>11.488264249739046</v>
      </c>
      <c r="O208" s="317"/>
      <c r="P208" s="315"/>
      <c r="Q208" s="66"/>
      <c r="R208" s="66"/>
      <c r="S208" s="66"/>
      <c r="T208" s="66"/>
    </row>
    <row r="209" spans="1:15" ht="15">
      <c r="A209" s="225">
        <v>205</v>
      </c>
      <c r="B209" s="240" t="s">
        <v>30</v>
      </c>
      <c r="C209" s="226">
        <v>40466</v>
      </c>
      <c r="D209" s="227" t="s">
        <v>23</v>
      </c>
      <c r="E209" s="228">
        <v>119</v>
      </c>
      <c r="F209" s="228">
        <v>1</v>
      </c>
      <c r="G209" s="228">
        <v>18</v>
      </c>
      <c r="H209" s="376">
        <v>66</v>
      </c>
      <c r="I209" s="380">
        <v>11</v>
      </c>
      <c r="J209" s="230">
        <f t="shared" si="31"/>
        <v>11</v>
      </c>
      <c r="K209" s="383">
        <f t="shared" si="32"/>
        <v>6</v>
      </c>
      <c r="L209" s="229">
        <v>2014345</v>
      </c>
      <c r="M209" s="230">
        <v>175358</v>
      </c>
      <c r="N209" s="241">
        <f t="shared" si="33"/>
        <v>11.487043647851824</v>
      </c>
      <c r="O209" s="321"/>
    </row>
    <row r="210" spans="1:15" ht="15">
      <c r="A210" s="225">
        <v>206</v>
      </c>
      <c r="B210" s="463" t="s">
        <v>29</v>
      </c>
      <c r="C210" s="163">
        <v>40494</v>
      </c>
      <c r="D210" s="398" t="s">
        <v>24</v>
      </c>
      <c r="E210" s="245">
        <v>144</v>
      </c>
      <c r="F210" s="245">
        <v>16</v>
      </c>
      <c r="G210" s="245">
        <v>8</v>
      </c>
      <c r="H210" s="399">
        <v>13943</v>
      </c>
      <c r="I210" s="178">
        <v>2193</v>
      </c>
      <c r="J210" s="165">
        <f t="shared" si="31"/>
        <v>137.0625</v>
      </c>
      <c r="K210" s="400">
        <f aca="true" t="shared" si="34" ref="K210:K215">H210/I210</f>
        <v>6.357957136342909</v>
      </c>
      <c r="L210" s="401">
        <v>6055992</v>
      </c>
      <c r="M210" s="164">
        <v>521768</v>
      </c>
      <c r="N210" s="464">
        <f t="shared" si="33"/>
        <v>11.606675763941062</v>
      </c>
      <c r="O210" s="323"/>
    </row>
    <row r="211" spans="1:15" ht="15">
      <c r="A211" s="225">
        <v>207</v>
      </c>
      <c r="B211" s="213" t="s">
        <v>29</v>
      </c>
      <c r="C211" s="163">
        <v>40494</v>
      </c>
      <c r="D211" s="234" t="s">
        <v>24</v>
      </c>
      <c r="E211" s="233">
        <v>144</v>
      </c>
      <c r="F211" s="233">
        <v>6</v>
      </c>
      <c r="G211" s="233">
        <v>10</v>
      </c>
      <c r="H211" s="190">
        <v>8265</v>
      </c>
      <c r="I211" s="178">
        <v>1244</v>
      </c>
      <c r="J211" s="165">
        <f t="shared" si="31"/>
        <v>207.33333333333334</v>
      </c>
      <c r="K211" s="191">
        <f t="shared" si="34"/>
        <v>6.643890675241158</v>
      </c>
      <c r="L211" s="192">
        <v>6066619</v>
      </c>
      <c r="M211" s="164">
        <v>523537</v>
      </c>
      <c r="N211" s="210">
        <f t="shared" si="33"/>
        <v>11.587755975222382</v>
      </c>
      <c r="O211" s="316"/>
    </row>
    <row r="212" spans="1:15" ht="15">
      <c r="A212" s="225">
        <v>208</v>
      </c>
      <c r="B212" s="463" t="s">
        <v>29</v>
      </c>
      <c r="C212" s="163">
        <v>40494</v>
      </c>
      <c r="D212" s="246" t="s">
        <v>24</v>
      </c>
      <c r="E212" s="245">
        <v>144</v>
      </c>
      <c r="F212" s="245">
        <v>3</v>
      </c>
      <c r="G212" s="245">
        <v>11</v>
      </c>
      <c r="H212" s="190">
        <v>2600</v>
      </c>
      <c r="I212" s="178">
        <v>454</v>
      </c>
      <c r="J212" s="165">
        <f t="shared" si="31"/>
        <v>151.33333333333334</v>
      </c>
      <c r="K212" s="191">
        <f t="shared" si="34"/>
        <v>5.726872246696035</v>
      </c>
      <c r="L212" s="192">
        <v>6069219</v>
      </c>
      <c r="M212" s="164">
        <v>523991</v>
      </c>
      <c r="N212" s="210">
        <f t="shared" si="33"/>
        <v>11.582677946758627</v>
      </c>
      <c r="O212" s="317"/>
    </row>
    <row r="213" spans="1:15" ht="15">
      <c r="A213" s="225">
        <v>209</v>
      </c>
      <c r="B213" s="209" t="s">
        <v>29</v>
      </c>
      <c r="C213" s="163">
        <v>40494</v>
      </c>
      <c r="D213" s="398" t="s">
        <v>24</v>
      </c>
      <c r="E213" s="245">
        <v>144</v>
      </c>
      <c r="F213" s="245">
        <v>3</v>
      </c>
      <c r="G213" s="245">
        <v>9</v>
      </c>
      <c r="H213" s="190">
        <v>2362</v>
      </c>
      <c r="I213" s="178">
        <v>525</v>
      </c>
      <c r="J213" s="165">
        <f t="shared" si="31"/>
        <v>175</v>
      </c>
      <c r="K213" s="191">
        <f t="shared" si="34"/>
        <v>4.499047619047619</v>
      </c>
      <c r="L213" s="192">
        <v>6058354</v>
      </c>
      <c r="M213" s="164">
        <v>522293</v>
      </c>
      <c r="N213" s="210">
        <f t="shared" si="33"/>
        <v>11.599531297566692</v>
      </c>
      <c r="O213" s="320"/>
    </row>
    <row r="214" spans="1:15" ht="15">
      <c r="A214" s="225">
        <v>210</v>
      </c>
      <c r="B214" s="213" t="s">
        <v>29</v>
      </c>
      <c r="C214" s="402">
        <v>40494</v>
      </c>
      <c r="D214" s="234" t="s">
        <v>24</v>
      </c>
      <c r="E214" s="233">
        <v>144</v>
      </c>
      <c r="F214" s="233">
        <v>1</v>
      </c>
      <c r="G214" s="233">
        <v>13</v>
      </c>
      <c r="H214" s="190">
        <v>2042</v>
      </c>
      <c r="I214" s="178">
        <v>495</v>
      </c>
      <c r="J214" s="165">
        <f t="shared" si="31"/>
        <v>495</v>
      </c>
      <c r="K214" s="191">
        <f t="shared" si="34"/>
        <v>4.125252525252526</v>
      </c>
      <c r="L214" s="192">
        <v>6072415</v>
      </c>
      <c r="M214" s="164">
        <v>524703</v>
      </c>
      <c r="N214" s="210">
        <f t="shared" si="33"/>
        <v>11.573051802638826</v>
      </c>
      <c r="O214" s="316"/>
    </row>
    <row r="215" spans="1:15" ht="15">
      <c r="A215" s="225">
        <v>211</v>
      </c>
      <c r="B215" s="209" t="s">
        <v>29</v>
      </c>
      <c r="C215" s="163">
        <v>40494</v>
      </c>
      <c r="D215" s="246" t="s">
        <v>24</v>
      </c>
      <c r="E215" s="245">
        <v>144</v>
      </c>
      <c r="F215" s="245">
        <v>1</v>
      </c>
      <c r="G215" s="245">
        <v>12</v>
      </c>
      <c r="H215" s="190">
        <v>1154</v>
      </c>
      <c r="I215" s="178">
        <v>217</v>
      </c>
      <c r="J215" s="165">
        <f t="shared" si="31"/>
        <v>217</v>
      </c>
      <c r="K215" s="191">
        <f t="shared" si="34"/>
        <v>5.317972350230415</v>
      </c>
      <c r="L215" s="192">
        <v>6070373</v>
      </c>
      <c r="M215" s="164">
        <v>524208</v>
      </c>
      <c r="N215" s="210">
        <f t="shared" si="33"/>
        <v>11.58008462289778</v>
      </c>
      <c r="O215" s="317"/>
    </row>
    <row r="216" spans="1:15" ht="15">
      <c r="A216" s="225">
        <v>212</v>
      </c>
      <c r="B216" s="466" t="s">
        <v>52</v>
      </c>
      <c r="C216" s="166">
        <v>40494</v>
      </c>
      <c r="D216" s="374" t="s">
        <v>23</v>
      </c>
      <c r="E216" s="243">
        <v>72</v>
      </c>
      <c r="F216" s="243">
        <v>2</v>
      </c>
      <c r="G216" s="243">
        <v>8</v>
      </c>
      <c r="H216" s="379">
        <v>1110</v>
      </c>
      <c r="I216" s="180">
        <v>180</v>
      </c>
      <c r="J216" s="167">
        <f t="shared" si="31"/>
        <v>90</v>
      </c>
      <c r="K216" s="386">
        <f>+H216/I216</f>
        <v>6.166666666666667</v>
      </c>
      <c r="L216" s="255">
        <v>906333</v>
      </c>
      <c r="M216" s="168">
        <v>84860</v>
      </c>
      <c r="N216" s="256">
        <f t="shared" si="33"/>
        <v>10.680332312043365</v>
      </c>
      <c r="O216" s="317">
        <v>1</v>
      </c>
    </row>
    <row r="217" spans="1:15" ht="15">
      <c r="A217" s="225">
        <v>213</v>
      </c>
      <c r="B217" s="211" t="s">
        <v>94</v>
      </c>
      <c r="C217" s="166">
        <v>40459</v>
      </c>
      <c r="D217" s="374" t="s">
        <v>23</v>
      </c>
      <c r="E217" s="243">
        <v>93</v>
      </c>
      <c r="F217" s="243">
        <v>1</v>
      </c>
      <c r="G217" s="243">
        <v>14</v>
      </c>
      <c r="H217" s="188">
        <v>2415</v>
      </c>
      <c r="I217" s="180">
        <v>875</v>
      </c>
      <c r="J217" s="167">
        <f t="shared" si="31"/>
        <v>875</v>
      </c>
      <c r="K217" s="202">
        <f>+H217/I217</f>
        <v>2.76</v>
      </c>
      <c r="L217" s="189">
        <v>1072374</v>
      </c>
      <c r="M217" s="167">
        <v>99383</v>
      </c>
      <c r="N217" s="208">
        <f t="shared" si="33"/>
        <v>10.790316251270339</v>
      </c>
      <c r="O217" s="324"/>
    </row>
    <row r="218" spans="1:15" ht="15">
      <c r="A218" s="225">
        <v>214</v>
      </c>
      <c r="B218" s="463" t="s">
        <v>59</v>
      </c>
      <c r="C218" s="163">
        <v>40529</v>
      </c>
      <c r="D218" s="398" t="s">
        <v>17</v>
      </c>
      <c r="E218" s="245">
        <v>134</v>
      </c>
      <c r="F218" s="245">
        <v>121</v>
      </c>
      <c r="G218" s="245">
        <v>3</v>
      </c>
      <c r="H218" s="406">
        <v>49789.5</v>
      </c>
      <c r="I218" s="183">
        <v>7079</v>
      </c>
      <c r="J218" s="170">
        <f aca="true" t="shared" si="35" ref="J218:J226">IF(H218&lt;&gt;0,I218/F218,"")</f>
        <v>58.50413223140496</v>
      </c>
      <c r="K218" s="407">
        <f aca="true" t="shared" si="36" ref="K218:K226">IF(H218&lt;&gt;0,H218/I218,"")</f>
        <v>7.0334086735414605</v>
      </c>
      <c r="L218" s="408">
        <f>244174+121219.5+H218</f>
        <v>415183</v>
      </c>
      <c r="M218" s="167">
        <f>29518+15718+I218</f>
        <v>52315</v>
      </c>
      <c r="N218" s="465">
        <f aca="true" t="shared" si="37" ref="N218:N226">IF(L218&lt;&gt;0,L218/M218,"")</f>
        <v>7.936213323138679</v>
      </c>
      <c r="O218" s="317"/>
    </row>
    <row r="219" spans="1:15" ht="15">
      <c r="A219" s="225">
        <v>215</v>
      </c>
      <c r="B219" s="209" t="s">
        <v>92</v>
      </c>
      <c r="C219" s="163">
        <v>40529</v>
      </c>
      <c r="D219" s="246" t="s">
        <v>17</v>
      </c>
      <c r="E219" s="245">
        <v>134</v>
      </c>
      <c r="F219" s="245">
        <v>2</v>
      </c>
      <c r="G219" s="245">
        <v>10</v>
      </c>
      <c r="H219" s="200">
        <v>4630</v>
      </c>
      <c r="I219" s="257">
        <v>683</v>
      </c>
      <c r="J219" s="170">
        <f t="shared" si="35"/>
        <v>341.5</v>
      </c>
      <c r="K219" s="197">
        <f t="shared" si="36"/>
        <v>6.77891654465593</v>
      </c>
      <c r="L219" s="200">
        <f>415183+3929+3246+2363+1074+230+2072+4630</f>
        <v>432727</v>
      </c>
      <c r="M219" s="167">
        <f>52315+638+476+361+299+38+414+683</f>
        <v>55224</v>
      </c>
      <c r="N219" s="214">
        <f t="shared" si="37"/>
        <v>7.8358503549181515</v>
      </c>
      <c r="O219" s="320">
        <v>1</v>
      </c>
    </row>
    <row r="220" spans="1:15" ht="15">
      <c r="A220" s="225">
        <v>216</v>
      </c>
      <c r="B220" s="209" t="s">
        <v>92</v>
      </c>
      <c r="C220" s="163">
        <v>40529</v>
      </c>
      <c r="D220" s="398" t="s">
        <v>17</v>
      </c>
      <c r="E220" s="245">
        <v>134</v>
      </c>
      <c r="F220" s="245">
        <v>12</v>
      </c>
      <c r="G220" s="245">
        <v>4</v>
      </c>
      <c r="H220" s="199">
        <v>3929</v>
      </c>
      <c r="I220" s="183">
        <v>638</v>
      </c>
      <c r="J220" s="170">
        <f t="shared" si="35"/>
        <v>53.166666666666664</v>
      </c>
      <c r="K220" s="197">
        <f t="shared" si="36"/>
        <v>6.158307210031348</v>
      </c>
      <c r="L220" s="200">
        <f>415183+3929</f>
        <v>419112</v>
      </c>
      <c r="M220" s="167">
        <f>52315+638</f>
        <v>52953</v>
      </c>
      <c r="N220" s="214">
        <f t="shared" si="37"/>
        <v>7.914792363038921</v>
      </c>
      <c r="O220" s="320">
        <v>1</v>
      </c>
    </row>
    <row r="221" spans="1:15" ht="15">
      <c r="A221" s="225">
        <v>217</v>
      </c>
      <c r="B221" s="213" t="s">
        <v>92</v>
      </c>
      <c r="C221" s="163">
        <v>40529</v>
      </c>
      <c r="D221" s="234" t="s">
        <v>17</v>
      </c>
      <c r="E221" s="233">
        <v>134</v>
      </c>
      <c r="F221" s="233">
        <v>8</v>
      </c>
      <c r="G221" s="233">
        <v>5</v>
      </c>
      <c r="H221" s="199">
        <v>3246</v>
      </c>
      <c r="I221" s="183">
        <v>476</v>
      </c>
      <c r="J221" s="170">
        <f t="shared" si="35"/>
        <v>59.5</v>
      </c>
      <c r="K221" s="197">
        <f t="shared" si="36"/>
        <v>6.819327731092437</v>
      </c>
      <c r="L221" s="200">
        <f>415183+3929+3246</f>
        <v>422358</v>
      </c>
      <c r="M221" s="167">
        <f>52315+638+476</f>
        <v>53429</v>
      </c>
      <c r="N221" s="214">
        <f t="shared" si="37"/>
        <v>7.9050328473301015</v>
      </c>
      <c r="O221" s="316">
        <v>1</v>
      </c>
    </row>
    <row r="222" spans="1:15" ht="15">
      <c r="A222" s="225">
        <v>218</v>
      </c>
      <c r="B222" s="463" t="s">
        <v>59</v>
      </c>
      <c r="C222" s="163">
        <v>40529</v>
      </c>
      <c r="D222" s="246" t="s">
        <v>17</v>
      </c>
      <c r="E222" s="245">
        <v>134</v>
      </c>
      <c r="F222" s="245">
        <v>6</v>
      </c>
      <c r="G222" s="245">
        <v>6</v>
      </c>
      <c r="H222" s="199">
        <v>2363</v>
      </c>
      <c r="I222" s="183">
        <v>361</v>
      </c>
      <c r="J222" s="170">
        <f t="shared" si="35"/>
        <v>60.166666666666664</v>
      </c>
      <c r="K222" s="197">
        <f t="shared" si="36"/>
        <v>6.545706371191136</v>
      </c>
      <c r="L222" s="200">
        <f>415183+3929+3246+2363</f>
        <v>424721</v>
      </c>
      <c r="M222" s="167">
        <f>52315+638+476+361</f>
        <v>53790</v>
      </c>
      <c r="N222" s="214">
        <f t="shared" si="37"/>
        <v>7.8959100204498975</v>
      </c>
      <c r="O222" s="320">
        <v>1</v>
      </c>
    </row>
    <row r="223" spans="1:15" ht="15">
      <c r="A223" s="225">
        <v>219</v>
      </c>
      <c r="B223" s="213" t="s">
        <v>59</v>
      </c>
      <c r="C223" s="402">
        <v>40529</v>
      </c>
      <c r="D223" s="234" t="s">
        <v>17</v>
      </c>
      <c r="E223" s="233">
        <v>134</v>
      </c>
      <c r="F223" s="233">
        <v>2</v>
      </c>
      <c r="G223" s="233">
        <v>9</v>
      </c>
      <c r="H223" s="406">
        <v>2072</v>
      </c>
      <c r="I223" s="427">
        <v>414</v>
      </c>
      <c r="J223" s="428">
        <f t="shared" si="35"/>
        <v>207</v>
      </c>
      <c r="K223" s="407">
        <f t="shared" si="36"/>
        <v>5.004830917874396</v>
      </c>
      <c r="L223" s="408">
        <f>415183+3929+3246+2363+1074+230+2072</f>
        <v>428097</v>
      </c>
      <c r="M223" s="268">
        <f>52315+638+476+361+299+38+414</f>
        <v>54541</v>
      </c>
      <c r="N223" s="465">
        <f t="shared" si="37"/>
        <v>7.84908600869071</v>
      </c>
      <c r="O223" s="316">
        <v>1</v>
      </c>
    </row>
    <row r="224" spans="1:15" ht="15">
      <c r="A224" s="225">
        <v>220</v>
      </c>
      <c r="B224" s="258" t="s">
        <v>59</v>
      </c>
      <c r="C224" s="308">
        <v>40529</v>
      </c>
      <c r="D224" s="304" t="s">
        <v>17</v>
      </c>
      <c r="E224" s="305">
        <v>134</v>
      </c>
      <c r="F224" s="305">
        <v>1</v>
      </c>
      <c r="G224" s="305">
        <v>11</v>
      </c>
      <c r="H224" s="199">
        <v>1180</v>
      </c>
      <c r="I224" s="183">
        <v>192</v>
      </c>
      <c r="J224" s="306">
        <f t="shared" si="35"/>
        <v>192</v>
      </c>
      <c r="K224" s="307">
        <f t="shared" si="36"/>
        <v>6.145833333333333</v>
      </c>
      <c r="L224" s="200">
        <f>415183+3929+3246+2363+1074+230+2072+4630+1180</f>
        <v>433907</v>
      </c>
      <c r="M224" s="167">
        <f>52315+638+476+361+299+38+414+683+192</f>
        <v>55416</v>
      </c>
      <c r="N224" s="311">
        <f t="shared" si="37"/>
        <v>7.829994947307637</v>
      </c>
      <c r="O224" s="327">
        <v>1</v>
      </c>
    </row>
    <row r="225" spans="1:15" ht="15">
      <c r="A225" s="225">
        <v>221</v>
      </c>
      <c r="B225" s="258" t="s">
        <v>59</v>
      </c>
      <c r="C225" s="163">
        <v>40529</v>
      </c>
      <c r="D225" s="246" t="s">
        <v>17</v>
      </c>
      <c r="E225" s="245">
        <v>134</v>
      </c>
      <c r="F225" s="245">
        <v>6</v>
      </c>
      <c r="G225" s="245">
        <v>6</v>
      </c>
      <c r="H225" s="199">
        <v>1074</v>
      </c>
      <c r="I225" s="183">
        <v>299</v>
      </c>
      <c r="J225" s="170">
        <f t="shared" si="35"/>
        <v>49.833333333333336</v>
      </c>
      <c r="K225" s="197">
        <f t="shared" si="36"/>
        <v>3.591973244147157</v>
      </c>
      <c r="L225" s="200">
        <f>415183+3929+3246+2363+1074</f>
        <v>425795</v>
      </c>
      <c r="M225" s="167">
        <f>52315+638+476+361+299</f>
        <v>54089</v>
      </c>
      <c r="N225" s="214">
        <f t="shared" si="37"/>
        <v>7.872118175599475</v>
      </c>
      <c r="O225" s="321">
        <v>1</v>
      </c>
    </row>
    <row r="226" spans="1:15" ht="15">
      <c r="A226" s="225">
        <v>222</v>
      </c>
      <c r="B226" s="213" t="s">
        <v>92</v>
      </c>
      <c r="C226" s="402">
        <v>40529</v>
      </c>
      <c r="D226" s="234" t="s">
        <v>17</v>
      </c>
      <c r="E226" s="233">
        <v>134</v>
      </c>
      <c r="F226" s="233">
        <v>1</v>
      </c>
      <c r="G226" s="233">
        <v>8</v>
      </c>
      <c r="H226" s="199">
        <v>230</v>
      </c>
      <c r="I226" s="183">
        <v>38</v>
      </c>
      <c r="J226" s="170">
        <f t="shared" si="35"/>
        <v>38</v>
      </c>
      <c r="K226" s="197">
        <f t="shared" si="36"/>
        <v>6.052631578947368</v>
      </c>
      <c r="L226" s="200">
        <f>415183+3929+3246+2363+1074+230</f>
        <v>426025</v>
      </c>
      <c r="M226" s="167">
        <f>52315+638+476+361+299+38</f>
        <v>54127</v>
      </c>
      <c r="N226" s="214">
        <f t="shared" si="37"/>
        <v>7.870840800339941</v>
      </c>
      <c r="O226" s="316">
        <v>1</v>
      </c>
    </row>
    <row r="227" spans="1:15" ht="15">
      <c r="A227" s="225">
        <v>223</v>
      </c>
      <c r="B227" s="242" t="s">
        <v>161</v>
      </c>
      <c r="C227" s="259">
        <v>40053</v>
      </c>
      <c r="D227" s="231" t="s">
        <v>119</v>
      </c>
      <c r="E227" s="232">
        <v>14</v>
      </c>
      <c r="F227" s="232">
        <v>1</v>
      </c>
      <c r="G227" s="232">
        <v>11</v>
      </c>
      <c r="H227" s="193">
        <v>952</v>
      </c>
      <c r="I227" s="179">
        <v>238</v>
      </c>
      <c r="J227" s="172">
        <f>(I227/F227)</f>
        <v>238</v>
      </c>
      <c r="K227" s="194">
        <f>H227/I227</f>
        <v>4</v>
      </c>
      <c r="L227" s="195">
        <f>46744+27773.5+29652+15092+1850+3126+1717.5+468+83+54+952</f>
        <v>127512</v>
      </c>
      <c r="M227" s="171">
        <f>3724+2772+2752+1903+308+472+380+135+20+18+238</f>
        <v>12722</v>
      </c>
      <c r="N227" s="212">
        <f>L227/M227</f>
        <v>10.022952365980192</v>
      </c>
      <c r="O227" s="316"/>
    </row>
    <row r="228" spans="1:15" ht="15">
      <c r="A228" s="225">
        <v>224</v>
      </c>
      <c r="B228" s="242" t="s">
        <v>161</v>
      </c>
      <c r="C228" s="259">
        <v>40053</v>
      </c>
      <c r="D228" s="231" t="s">
        <v>119</v>
      </c>
      <c r="E228" s="232">
        <v>14</v>
      </c>
      <c r="F228" s="232">
        <v>1</v>
      </c>
      <c r="G228" s="232">
        <v>12</v>
      </c>
      <c r="H228" s="378">
        <v>236</v>
      </c>
      <c r="I228" s="396">
        <v>59</v>
      </c>
      <c r="J228" s="397">
        <f>(I228/F228)</f>
        <v>59</v>
      </c>
      <c r="K228" s="385">
        <f>H228/I228</f>
        <v>4</v>
      </c>
      <c r="L228" s="186">
        <f>46744+27773.5+29652+15092+1850+3126+1717.5+468+83+54+952+236</f>
        <v>127748</v>
      </c>
      <c r="M228" s="269">
        <f>3724+2772+2752+1903+308+472+380+135+20+18+238+59</f>
        <v>12781</v>
      </c>
      <c r="N228" s="187">
        <f>L228/M228</f>
        <v>9.99514904937016</v>
      </c>
      <c r="O228" s="316"/>
    </row>
    <row r="229" spans="1:15" ht="15">
      <c r="A229" s="225">
        <v>225</v>
      </c>
      <c r="B229" s="468" t="s">
        <v>152</v>
      </c>
      <c r="C229" s="163">
        <v>40529</v>
      </c>
      <c r="D229" s="429" t="s">
        <v>27</v>
      </c>
      <c r="E229" s="233">
        <v>32</v>
      </c>
      <c r="F229" s="233">
        <v>5</v>
      </c>
      <c r="G229" s="233">
        <v>3</v>
      </c>
      <c r="H229" s="430">
        <v>964</v>
      </c>
      <c r="I229" s="182">
        <v>140</v>
      </c>
      <c r="J229" s="170">
        <f>+I229/F229</f>
        <v>28</v>
      </c>
      <c r="K229" s="407">
        <f>+H229/I229</f>
        <v>6.885714285714286</v>
      </c>
      <c r="L229" s="431">
        <v>18563</v>
      </c>
      <c r="M229" s="169">
        <v>1767</v>
      </c>
      <c r="N229" s="465">
        <f>+L229/M229</f>
        <v>10.505376344086022</v>
      </c>
      <c r="O229" s="323"/>
    </row>
    <row r="230" spans="1:15" ht="15">
      <c r="A230" s="225">
        <v>226</v>
      </c>
      <c r="B230" s="213" t="s">
        <v>101</v>
      </c>
      <c r="C230" s="163">
        <v>40529</v>
      </c>
      <c r="D230" s="429" t="s">
        <v>27</v>
      </c>
      <c r="E230" s="233">
        <v>32</v>
      </c>
      <c r="F230" s="233">
        <v>1</v>
      </c>
      <c r="G230" s="233">
        <v>4</v>
      </c>
      <c r="H230" s="196">
        <v>523</v>
      </c>
      <c r="I230" s="182">
        <v>92</v>
      </c>
      <c r="J230" s="170">
        <f>+I230/F230</f>
        <v>92</v>
      </c>
      <c r="K230" s="197">
        <f>+H230/I230</f>
        <v>5.684782608695652</v>
      </c>
      <c r="L230" s="198">
        <v>19085</v>
      </c>
      <c r="M230" s="169">
        <v>1859</v>
      </c>
      <c r="N230" s="214">
        <f>+L230/M230</f>
        <v>10.266272189349113</v>
      </c>
      <c r="O230" s="320">
        <v>1</v>
      </c>
    </row>
    <row r="231" spans="1:15" ht="15">
      <c r="A231" s="225">
        <v>227</v>
      </c>
      <c r="B231" s="460" t="s">
        <v>8</v>
      </c>
      <c r="C231" s="166">
        <v>40347</v>
      </c>
      <c r="D231" s="231" t="s">
        <v>119</v>
      </c>
      <c r="E231" s="243">
        <v>2</v>
      </c>
      <c r="F231" s="243">
        <v>1</v>
      </c>
      <c r="G231" s="243">
        <v>20</v>
      </c>
      <c r="H231" s="378">
        <v>713</v>
      </c>
      <c r="I231" s="179">
        <v>178</v>
      </c>
      <c r="J231" s="172">
        <f>(I231/F231)</f>
        <v>178</v>
      </c>
      <c r="K231" s="385">
        <f>H231/I231</f>
        <v>4.00561797752809</v>
      </c>
      <c r="L231" s="186">
        <f>15693+762+1031+1133+707+492+1323.5+1397+447+357+524+229+713</f>
        <v>24808.5</v>
      </c>
      <c r="M231" s="171">
        <f>1559+119+194+179+86+57+150+195+165+58+85+48+178</f>
        <v>3073</v>
      </c>
      <c r="N231" s="187">
        <f>L231/M231</f>
        <v>8.073055645948584</v>
      </c>
      <c r="O231" s="317">
        <v>1</v>
      </c>
    </row>
    <row r="232" spans="1:15" ht="15">
      <c r="A232" s="225">
        <v>228</v>
      </c>
      <c r="B232" s="466" t="s">
        <v>71</v>
      </c>
      <c r="C232" s="166">
        <v>40536</v>
      </c>
      <c r="D232" s="374" t="s">
        <v>23</v>
      </c>
      <c r="E232" s="243">
        <v>112</v>
      </c>
      <c r="F232" s="243">
        <v>116</v>
      </c>
      <c r="G232" s="243">
        <v>2</v>
      </c>
      <c r="H232" s="379">
        <v>694227</v>
      </c>
      <c r="I232" s="180">
        <v>58647</v>
      </c>
      <c r="J232" s="167">
        <f aca="true" t="shared" si="38" ref="J232:J243">I232/F232</f>
        <v>505.57758620689657</v>
      </c>
      <c r="K232" s="386">
        <f aca="true" t="shared" si="39" ref="K232:K243">+H232/I232</f>
        <v>11.837382986342012</v>
      </c>
      <c r="L232" s="255">
        <v>1663782</v>
      </c>
      <c r="M232" s="168">
        <v>141056</v>
      </c>
      <c r="N232" s="256">
        <f aca="true" t="shared" si="40" ref="N232:N243">+L232/M232</f>
        <v>11.795187726860254</v>
      </c>
      <c r="O232" s="320"/>
    </row>
    <row r="233" spans="1:15" ht="15">
      <c r="A233" s="225">
        <v>229</v>
      </c>
      <c r="B233" s="211" t="s">
        <v>71</v>
      </c>
      <c r="C233" s="166">
        <v>40536</v>
      </c>
      <c r="D233" s="374" t="s">
        <v>23</v>
      </c>
      <c r="E233" s="243">
        <v>112</v>
      </c>
      <c r="F233" s="243">
        <v>114</v>
      </c>
      <c r="G233" s="243">
        <v>3</v>
      </c>
      <c r="H233" s="188">
        <v>439081</v>
      </c>
      <c r="I233" s="180">
        <v>38093</v>
      </c>
      <c r="J233" s="167">
        <f t="shared" si="38"/>
        <v>334.14912280701753</v>
      </c>
      <c r="K233" s="202">
        <f t="shared" si="39"/>
        <v>11.526553435014307</v>
      </c>
      <c r="L233" s="189">
        <v>2102863</v>
      </c>
      <c r="M233" s="168">
        <v>179149</v>
      </c>
      <c r="N233" s="208">
        <f t="shared" si="40"/>
        <v>11.738067195462994</v>
      </c>
      <c r="O233" s="324"/>
    </row>
    <row r="234" spans="1:15" ht="15">
      <c r="A234" s="225">
        <v>230</v>
      </c>
      <c r="B234" s="242" t="s">
        <v>71</v>
      </c>
      <c r="C234" s="166">
        <v>40536</v>
      </c>
      <c r="D234" s="231" t="s">
        <v>23</v>
      </c>
      <c r="E234" s="232">
        <v>112</v>
      </c>
      <c r="F234" s="232">
        <v>67</v>
      </c>
      <c r="G234" s="232">
        <v>7</v>
      </c>
      <c r="H234" s="188">
        <v>251883</v>
      </c>
      <c r="I234" s="180">
        <v>23368</v>
      </c>
      <c r="J234" s="167">
        <f t="shared" si="38"/>
        <v>348.7761194029851</v>
      </c>
      <c r="K234" s="202">
        <f t="shared" si="39"/>
        <v>10.778971242725094</v>
      </c>
      <c r="L234" s="189">
        <v>2567209</v>
      </c>
      <c r="M234" s="168">
        <v>225627</v>
      </c>
      <c r="N234" s="208">
        <f t="shared" si="40"/>
        <v>11.378110775749356</v>
      </c>
      <c r="O234" s="318"/>
    </row>
    <row r="235" spans="1:15" ht="15">
      <c r="A235" s="225">
        <v>231</v>
      </c>
      <c r="B235" s="240" t="s">
        <v>71</v>
      </c>
      <c r="C235" s="226">
        <v>40536</v>
      </c>
      <c r="D235" s="227" t="s">
        <v>23</v>
      </c>
      <c r="E235" s="228">
        <v>112</v>
      </c>
      <c r="F235" s="228">
        <v>51</v>
      </c>
      <c r="G235" s="228">
        <v>4</v>
      </c>
      <c r="H235" s="376">
        <v>136869</v>
      </c>
      <c r="I235" s="380">
        <v>12796</v>
      </c>
      <c r="J235" s="230">
        <f t="shared" si="38"/>
        <v>250.90196078431373</v>
      </c>
      <c r="K235" s="383">
        <f t="shared" si="39"/>
        <v>10.696233197874335</v>
      </c>
      <c r="L235" s="229">
        <v>2239732</v>
      </c>
      <c r="M235" s="230">
        <v>191945</v>
      </c>
      <c r="N235" s="241">
        <f t="shared" si="40"/>
        <v>11.668613404881606</v>
      </c>
      <c r="O235" s="325"/>
    </row>
    <row r="236" spans="1:15" ht="15">
      <c r="A236" s="225">
        <v>232</v>
      </c>
      <c r="B236" s="240" t="s">
        <v>71</v>
      </c>
      <c r="C236" s="226">
        <v>40536</v>
      </c>
      <c r="D236" s="227" t="s">
        <v>23</v>
      </c>
      <c r="E236" s="228">
        <v>112</v>
      </c>
      <c r="F236" s="228">
        <v>76</v>
      </c>
      <c r="G236" s="228">
        <v>8</v>
      </c>
      <c r="H236" s="376">
        <v>133175</v>
      </c>
      <c r="I236" s="380">
        <v>12385</v>
      </c>
      <c r="J236" s="230">
        <f t="shared" si="38"/>
        <v>162.96052631578948</v>
      </c>
      <c r="K236" s="383">
        <f t="shared" si="39"/>
        <v>10.752926927735164</v>
      </c>
      <c r="L236" s="229">
        <v>2700384</v>
      </c>
      <c r="M236" s="230">
        <v>238012</v>
      </c>
      <c r="N236" s="241">
        <f t="shared" si="40"/>
        <v>11.345579214493387</v>
      </c>
      <c r="O236" s="321"/>
    </row>
    <row r="237" spans="1:15" ht="15">
      <c r="A237" s="225">
        <v>233</v>
      </c>
      <c r="B237" s="211" t="s">
        <v>71</v>
      </c>
      <c r="C237" s="166">
        <v>40536</v>
      </c>
      <c r="D237" s="329" t="s">
        <v>23</v>
      </c>
      <c r="E237" s="243">
        <v>112</v>
      </c>
      <c r="F237" s="243">
        <v>16</v>
      </c>
      <c r="G237" s="243">
        <v>6</v>
      </c>
      <c r="H237" s="188">
        <v>40300</v>
      </c>
      <c r="I237" s="180">
        <v>4735</v>
      </c>
      <c r="J237" s="167">
        <f t="shared" si="38"/>
        <v>295.9375</v>
      </c>
      <c r="K237" s="202">
        <f t="shared" si="39"/>
        <v>8.511087645195353</v>
      </c>
      <c r="L237" s="189">
        <v>2315326</v>
      </c>
      <c r="M237" s="168">
        <v>202259</v>
      </c>
      <c r="N237" s="210">
        <f t="shared" si="40"/>
        <v>11.447332380759324</v>
      </c>
      <c r="O237" s="317"/>
    </row>
    <row r="238" spans="1:15" ht="15">
      <c r="A238" s="225">
        <v>234</v>
      </c>
      <c r="B238" s="466" t="s">
        <v>71</v>
      </c>
      <c r="C238" s="166">
        <v>40536</v>
      </c>
      <c r="D238" s="329" t="s">
        <v>23</v>
      </c>
      <c r="E238" s="243">
        <v>112</v>
      </c>
      <c r="F238" s="243">
        <v>26</v>
      </c>
      <c r="G238" s="243">
        <v>5</v>
      </c>
      <c r="H238" s="188">
        <v>35294</v>
      </c>
      <c r="I238" s="180">
        <v>5579</v>
      </c>
      <c r="J238" s="167">
        <f t="shared" si="38"/>
        <v>214.57692307692307</v>
      </c>
      <c r="K238" s="202">
        <f t="shared" si="39"/>
        <v>6.3262233375156836</v>
      </c>
      <c r="L238" s="189">
        <v>2275026</v>
      </c>
      <c r="M238" s="168">
        <v>197524</v>
      </c>
      <c r="N238" s="208">
        <f t="shared" si="40"/>
        <v>11.51771936574796</v>
      </c>
      <c r="O238" s="324"/>
    </row>
    <row r="239" spans="1:15" ht="15">
      <c r="A239" s="225">
        <v>235</v>
      </c>
      <c r="B239" s="242" t="s">
        <v>71</v>
      </c>
      <c r="C239" s="259">
        <v>40536</v>
      </c>
      <c r="D239" s="231" t="s">
        <v>23</v>
      </c>
      <c r="E239" s="232">
        <v>112</v>
      </c>
      <c r="F239" s="232">
        <v>21</v>
      </c>
      <c r="G239" s="232">
        <v>9</v>
      </c>
      <c r="H239" s="188">
        <v>25605</v>
      </c>
      <c r="I239" s="180">
        <v>2458</v>
      </c>
      <c r="J239" s="167">
        <f t="shared" si="38"/>
        <v>117.04761904761905</v>
      </c>
      <c r="K239" s="202">
        <f t="shared" si="39"/>
        <v>10.417005695687552</v>
      </c>
      <c r="L239" s="189">
        <v>2725989</v>
      </c>
      <c r="M239" s="168">
        <v>240471</v>
      </c>
      <c r="N239" s="208">
        <f t="shared" si="40"/>
        <v>11.33604052047856</v>
      </c>
      <c r="O239" s="316"/>
    </row>
    <row r="240" spans="1:15" ht="15">
      <c r="A240" s="225">
        <v>236</v>
      </c>
      <c r="B240" s="242" t="s">
        <v>71</v>
      </c>
      <c r="C240" s="259">
        <v>40536</v>
      </c>
      <c r="D240" s="231" t="s">
        <v>23</v>
      </c>
      <c r="E240" s="232">
        <v>112</v>
      </c>
      <c r="F240" s="232">
        <v>15</v>
      </c>
      <c r="G240" s="232">
        <v>10</v>
      </c>
      <c r="H240" s="379">
        <v>6766</v>
      </c>
      <c r="I240" s="438">
        <v>855</v>
      </c>
      <c r="J240" s="268">
        <f t="shared" si="38"/>
        <v>57</v>
      </c>
      <c r="K240" s="386">
        <f t="shared" si="39"/>
        <v>7.913450292397661</v>
      </c>
      <c r="L240" s="255">
        <v>2732755</v>
      </c>
      <c r="M240" s="268">
        <v>241326</v>
      </c>
      <c r="N240" s="256">
        <f t="shared" si="40"/>
        <v>11.323914538839578</v>
      </c>
      <c r="O240" s="316"/>
    </row>
    <row r="241" spans="1:15" ht="15">
      <c r="A241" s="225">
        <v>237</v>
      </c>
      <c r="B241" s="211" t="s">
        <v>71</v>
      </c>
      <c r="C241" s="166">
        <v>40536</v>
      </c>
      <c r="D241" s="329" t="s">
        <v>23</v>
      </c>
      <c r="E241" s="243">
        <v>112</v>
      </c>
      <c r="F241" s="243">
        <v>11</v>
      </c>
      <c r="G241" s="243">
        <v>11</v>
      </c>
      <c r="H241" s="189">
        <v>4094</v>
      </c>
      <c r="I241" s="167">
        <v>695</v>
      </c>
      <c r="J241" s="167">
        <f t="shared" si="38"/>
        <v>63.18181818181818</v>
      </c>
      <c r="K241" s="202">
        <f t="shared" si="39"/>
        <v>5.890647482014389</v>
      </c>
      <c r="L241" s="189">
        <v>2736849</v>
      </c>
      <c r="M241" s="168">
        <v>242021</v>
      </c>
      <c r="N241" s="208">
        <f t="shared" si="40"/>
        <v>11.30831208862041</v>
      </c>
      <c r="O241" s="324"/>
    </row>
    <row r="242" spans="1:15" ht="15">
      <c r="A242" s="225">
        <v>238</v>
      </c>
      <c r="B242" s="309" t="s">
        <v>71</v>
      </c>
      <c r="C242" s="295">
        <v>40536</v>
      </c>
      <c r="D242" s="296" t="s">
        <v>23</v>
      </c>
      <c r="E242" s="297">
        <v>112</v>
      </c>
      <c r="F242" s="297">
        <v>7</v>
      </c>
      <c r="G242" s="297">
        <v>12</v>
      </c>
      <c r="H242" s="298">
        <v>3805</v>
      </c>
      <c r="I242" s="299">
        <v>818</v>
      </c>
      <c r="J242" s="300">
        <f t="shared" si="38"/>
        <v>116.85714285714286</v>
      </c>
      <c r="K242" s="301">
        <f t="shared" si="39"/>
        <v>4.65158924205379</v>
      </c>
      <c r="L242" s="302">
        <v>2740654</v>
      </c>
      <c r="M242" s="303">
        <v>242839</v>
      </c>
      <c r="N242" s="310">
        <f t="shared" si="40"/>
        <v>11.28588900464917</v>
      </c>
      <c r="O242" s="327"/>
    </row>
    <row r="243" spans="1:15" ht="15">
      <c r="A243" s="225">
        <v>239</v>
      </c>
      <c r="B243" s="211" t="s">
        <v>71</v>
      </c>
      <c r="C243" s="166">
        <v>40536</v>
      </c>
      <c r="D243" s="329" t="s">
        <v>23</v>
      </c>
      <c r="E243" s="243">
        <v>112</v>
      </c>
      <c r="F243" s="243">
        <v>4</v>
      </c>
      <c r="G243" s="243">
        <v>13</v>
      </c>
      <c r="H243" s="188">
        <v>2777</v>
      </c>
      <c r="I243" s="180">
        <v>596</v>
      </c>
      <c r="J243" s="167">
        <f t="shared" si="38"/>
        <v>149</v>
      </c>
      <c r="K243" s="202">
        <f t="shared" si="39"/>
        <v>4.659395973154362</v>
      </c>
      <c r="L243" s="189">
        <v>2743431</v>
      </c>
      <c r="M243" s="168">
        <v>243435</v>
      </c>
      <c r="N243" s="208">
        <f t="shared" si="40"/>
        <v>11.269665413765482</v>
      </c>
      <c r="O243" s="496"/>
    </row>
    <row r="244" spans="1:15" ht="15">
      <c r="A244" s="225">
        <v>240</v>
      </c>
      <c r="B244" s="207" t="s">
        <v>231</v>
      </c>
      <c r="C244" s="166">
        <v>40319</v>
      </c>
      <c r="D244" s="244" t="s">
        <v>119</v>
      </c>
      <c r="E244" s="243">
        <v>2</v>
      </c>
      <c r="F244" s="243">
        <v>1</v>
      </c>
      <c r="G244" s="243">
        <v>16</v>
      </c>
      <c r="H244" s="193">
        <v>1188</v>
      </c>
      <c r="I244" s="179">
        <v>297</v>
      </c>
      <c r="J244" s="172">
        <f>(I244/F244)</f>
        <v>297</v>
      </c>
      <c r="K244" s="194">
        <f>H244/I244</f>
        <v>4</v>
      </c>
      <c r="L244" s="195">
        <f>4143+1077+726+775+2269+1451+561+189+370+613+538+181+79+246+238+1188</f>
        <v>14644</v>
      </c>
      <c r="M244" s="171">
        <f>330+90+108+118+312+209+62+36+139+104+67+25+11+37+68+297</f>
        <v>2013</v>
      </c>
      <c r="N244" s="212">
        <f>L244/M244</f>
        <v>7.27471435668157</v>
      </c>
      <c r="O244" s="495"/>
    </row>
    <row r="245" spans="1:15" ht="15">
      <c r="A245" s="225">
        <v>241</v>
      </c>
      <c r="B245" s="460" t="s">
        <v>63</v>
      </c>
      <c r="C245" s="166">
        <v>40529</v>
      </c>
      <c r="D245" s="372" t="s">
        <v>26</v>
      </c>
      <c r="E245" s="243">
        <v>5</v>
      </c>
      <c r="F245" s="243">
        <v>3</v>
      </c>
      <c r="G245" s="243">
        <v>3</v>
      </c>
      <c r="H245" s="379">
        <v>2915</v>
      </c>
      <c r="I245" s="180">
        <v>305</v>
      </c>
      <c r="J245" s="170">
        <f>IF(H245&lt;&gt;0,I245/F245,"")</f>
        <v>101.66666666666667</v>
      </c>
      <c r="K245" s="407">
        <f>IF(H245&lt;&gt;0,H245/I245,"")</f>
        <v>9.557377049180328</v>
      </c>
      <c r="L245" s="255">
        <f>9892.5+4913+2915</f>
        <v>17720.5</v>
      </c>
      <c r="M245" s="167">
        <f>1037+523+305</f>
        <v>1865</v>
      </c>
      <c r="N245" s="465">
        <f>IF(L245&lt;&gt;0,L245/M245,"")</f>
        <v>9.501608579088472</v>
      </c>
      <c r="O245" s="317"/>
    </row>
    <row r="246" spans="1:15" ht="15">
      <c r="A246" s="225">
        <v>242</v>
      </c>
      <c r="B246" s="460" t="s">
        <v>98</v>
      </c>
      <c r="C246" s="166">
        <v>40410</v>
      </c>
      <c r="D246" s="231" t="s">
        <v>119</v>
      </c>
      <c r="E246" s="243">
        <v>100</v>
      </c>
      <c r="F246" s="243">
        <v>1</v>
      </c>
      <c r="G246" s="243">
        <v>18</v>
      </c>
      <c r="H246" s="193">
        <v>1782</v>
      </c>
      <c r="I246" s="179">
        <v>445</v>
      </c>
      <c r="J246" s="172">
        <f aca="true" t="shared" si="41" ref="J246:J267">(I246/F246)</f>
        <v>445</v>
      </c>
      <c r="K246" s="194">
        <f aca="true" t="shared" si="42" ref="K246:K268">H246/I246</f>
        <v>4.004494382022472</v>
      </c>
      <c r="L246" s="195">
        <f>4793.5+233907+173006+95171+69286+22212.5+11921.5+10683+6473+5548+3621+5930+360+5346+2138.5+6058.5+4752+950.5+1782</f>
        <v>663940</v>
      </c>
      <c r="M246" s="171">
        <f>312+25267+17706+10642+10638+3791+2335+2134+1501+1673+635+1434+72+1336+534+1515+1188+238+445</f>
        <v>83396</v>
      </c>
      <c r="N246" s="212">
        <f aca="true" t="shared" si="43" ref="N246:N267">L246/M246</f>
        <v>7.9612931075830975</v>
      </c>
      <c r="O246" s="317"/>
    </row>
    <row r="247" spans="1:15" ht="15">
      <c r="A247" s="225">
        <v>243</v>
      </c>
      <c r="B247" s="207" t="s">
        <v>98</v>
      </c>
      <c r="C247" s="166">
        <v>40410</v>
      </c>
      <c r="D247" s="231" t="s">
        <v>119</v>
      </c>
      <c r="E247" s="243">
        <v>100</v>
      </c>
      <c r="F247" s="243">
        <v>1</v>
      </c>
      <c r="G247" s="243">
        <v>17</v>
      </c>
      <c r="H247" s="193">
        <v>950.5</v>
      </c>
      <c r="I247" s="179">
        <v>238</v>
      </c>
      <c r="J247" s="172">
        <f t="shared" si="41"/>
        <v>238</v>
      </c>
      <c r="K247" s="194">
        <f t="shared" si="42"/>
        <v>3.9936974789915967</v>
      </c>
      <c r="L247" s="195">
        <f>4793.5+233907+173006+95171+69286+22212.5+11921.5+10683+6473+5548+3621+5930+360+5346+2138.5+6058.5+4752+950.5</f>
        <v>662158</v>
      </c>
      <c r="M247" s="171">
        <f>312+25267+17706+10642+10638+3791+2335+2134+1501+1673+635+1434+72+1336+534+1515+1188+238</f>
        <v>82951</v>
      </c>
      <c r="N247" s="212">
        <f t="shared" si="43"/>
        <v>7.9825198008462825</v>
      </c>
      <c r="O247" s="323"/>
    </row>
    <row r="248" spans="1:15" ht="15">
      <c r="A248" s="225">
        <v>244</v>
      </c>
      <c r="B248" s="242" t="s">
        <v>162</v>
      </c>
      <c r="C248" s="259">
        <v>40039</v>
      </c>
      <c r="D248" s="231" t="s">
        <v>119</v>
      </c>
      <c r="E248" s="232">
        <v>8</v>
      </c>
      <c r="F248" s="232">
        <v>1</v>
      </c>
      <c r="G248" s="232">
        <v>11</v>
      </c>
      <c r="H248" s="193">
        <v>952</v>
      </c>
      <c r="I248" s="179">
        <v>238</v>
      </c>
      <c r="J248" s="172">
        <f t="shared" si="41"/>
        <v>238</v>
      </c>
      <c r="K248" s="194">
        <f t="shared" si="42"/>
        <v>4</v>
      </c>
      <c r="L248" s="195">
        <f>29121.25+9335.5+10783.5+6805.5+6780.5+3746+1541.5+84+273+1188+952</f>
        <v>70610.75</v>
      </c>
      <c r="M248" s="171">
        <f>2428+976+1509+1029+1087+466+273+24+62+297+238</f>
        <v>8389</v>
      </c>
      <c r="N248" s="212">
        <f t="shared" si="43"/>
        <v>8.417064012397187</v>
      </c>
      <c r="O248" s="316"/>
    </row>
    <row r="249" spans="1:15" ht="15">
      <c r="A249" s="225">
        <v>245</v>
      </c>
      <c r="B249" s="481" t="s">
        <v>2</v>
      </c>
      <c r="C249" s="166">
        <v>40522</v>
      </c>
      <c r="D249" s="231" t="s">
        <v>119</v>
      </c>
      <c r="E249" s="243">
        <v>127</v>
      </c>
      <c r="F249" s="243">
        <v>65</v>
      </c>
      <c r="G249" s="243">
        <v>4</v>
      </c>
      <c r="H249" s="378">
        <v>70165.5</v>
      </c>
      <c r="I249" s="179">
        <v>8841</v>
      </c>
      <c r="J249" s="172">
        <f t="shared" si="41"/>
        <v>136.01538461538462</v>
      </c>
      <c r="K249" s="385">
        <f t="shared" si="42"/>
        <v>7.9363759755683745</v>
      </c>
      <c r="L249" s="186">
        <f>1048675+809166.5+457718.5+70165.5</f>
        <v>2385725.5</v>
      </c>
      <c r="M249" s="171">
        <f>92481+73795+43350+8841</f>
        <v>218467</v>
      </c>
      <c r="N249" s="187">
        <f t="shared" si="43"/>
        <v>10.92030146429438</v>
      </c>
      <c r="O249" s="323">
        <v>1</v>
      </c>
    </row>
    <row r="250" spans="1:15" ht="15">
      <c r="A250" s="225">
        <v>246</v>
      </c>
      <c r="B250" s="215" t="s">
        <v>2</v>
      </c>
      <c r="C250" s="373">
        <v>40522</v>
      </c>
      <c r="D250" s="231" t="s">
        <v>119</v>
      </c>
      <c r="E250" s="375">
        <v>127</v>
      </c>
      <c r="F250" s="375">
        <v>11</v>
      </c>
      <c r="G250" s="375">
        <v>6</v>
      </c>
      <c r="H250" s="377">
        <v>12164</v>
      </c>
      <c r="I250" s="381">
        <v>2869</v>
      </c>
      <c r="J250" s="382">
        <f t="shared" si="41"/>
        <v>260.8181818181818</v>
      </c>
      <c r="K250" s="384">
        <f t="shared" si="42"/>
        <v>4.239804810038341</v>
      </c>
      <c r="L250" s="387">
        <f>1048675+809166.5+457718.5+70165.5+7102+12164</f>
        <v>2404991.5</v>
      </c>
      <c r="M250" s="388">
        <f>92481+73795+43350+8841+1153+2869</f>
        <v>222489</v>
      </c>
      <c r="N250" s="462">
        <f t="shared" si="43"/>
        <v>10.809484963301557</v>
      </c>
      <c r="O250" s="319"/>
    </row>
    <row r="251" spans="1:15" ht="15">
      <c r="A251" s="225">
        <v>247</v>
      </c>
      <c r="B251" s="215" t="s">
        <v>2</v>
      </c>
      <c r="C251" s="166">
        <v>40522</v>
      </c>
      <c r="D251" s="231" t="s">
        <v>119</v>
      </c>
      <c r="E251" s="243">
        <v>127</v>
      </c>
      <c r="F251" s="243">
        <v>8</v>
      </c>
      <c r="G251" s="243">
        <v>8</v>
      </c>
      <c r="H251" s="193">
        <v>11777.5</v>
      </c>
      <c r="I251" s="179">
        <v>2831</v>
      </c>
      <c r="J251" s="172">
        <f t="shared" si="41"/>
        <v>353.875</v>
      </c>
      <c r="K251" s="194">
        <f t="shared" si="42"/>
        <v>4.160190745319675</v>
      </c>
      <c r="L251" s="195">
        <f>1048675+809166.5+457718.5+70165.5+7102+12164+8619.5+11777.5</f>
        <v>2425388.5</v>
      </c>
      <c r="M251" s="171">
        <f>92481+73795+43350+8841+1153+2869+1615+2831</f>
        <v>226935</v>
      </c>
      <c r="N251" s="212">
        <f t="shared" si="43"/>
        <v>10.68759116046445</v>
      </c>
      <c r="O251" s="317"/>
    </row>
    <row r="252" spans="1:15" ht="15">
      <c r="A252" s="225">
        <v>248</v>
      </c>
      <c r="B252" s="242" t="s">
        <v>2</v>
      </c>
      <c r="C252" s="259">
        <v>40522</v>
      </c>
      <c r="D252" s="231" t="s">
        <v>119</v>
      </c>
      <c r="E252" s="232">
        <v>127</v>
      </c>
      <c r="F252" s="232">
        <v>10</v>
      </c>
      <c r="G252" s="232">
        <v>11</v>
      </c>
      <c r="H252" s="193">
        <v>10420.5</v>
      </c>
      <c r="I252" s="179">
        <v>2477</v>
      </c>
      <c r="J252" s="172">
        <f t="shared" si="41"/>
        <v>247.7</v>
      </c>
      <c r="K252" s="194">
        <f t="shared" si="42"/>
        <v>4.206903512313282</v>
      </c>
      <c r="L252" s="195">
        <f>1048675+809166.5+457718.5+70165.5+7102+12164+8619.5+11777.5+6559.5+3338.5+10420.5</f>
        <v>2445707</v>
      </c>
      <c r="M252" s="171">
        <f>92481+73795+43350+8841+1153+2869+1615+2831+1620+630+2477</f>
        <v>231662</v>
      </c>
      <c r="N252" s="212">
        <f t="shared" si="43"/>
        <v>10.557221296544103</v>
      </c>
      <c r="O252" s="316"/>
    </row>
    <row r="253" spans="1:15" ht="15">
      <c r="A253" s="225">
        <v>249</v>
      </c>
      <c r="B253" s="481" t="s">
        <v>2</v>
      </c>
      <c r="C253" s="166">
        <v>40522</v>
      </c>
      <c r="D253" s="231" t="s">
        <v>119</v>
      </c>
      <c r="E253" s="243">
        <v>127</v>
      </c>
      <c r="F253" s="243">
        <v>10</v>
      </c>
      <c r="G253" s="243">
        <v>7</v>
      </c>
      <c r="H253" s="193">
        <v>8619.5</v>
      </c>
      <c r="I253" s="179">
        <v>1615</v>
      </c>
      <c r="J253" s="172">
        <f t="shared" si="41"/>
        <v>161.5</v>
      </c>
      <c r="K253" s="194">
        <f t="shared" si="42"/>
        <v>5.337151702786378</v>
      </c>
      <c r="L253" s="195">
        <f>1048675+809166.5+457718.5+70165.5+7102+12164+8619.5</f>
        <v>2413611</v>
      </c>
      <c r="M253" s="171">
        <f>92481+73795+43350+8841+1153+2869+1615</f>
        <v>224104</v>
      </c>
      <c r="N253" s="212">
        <f t="shared" si="43"/>
        <v>10.770048727376576</v>
      </c>
      <c r="O253" s="317"/>
    </row>
    <row r="254" spans="1:15" ht="15">
      <c r="A254" s="225">
        <v>250</v>
      </c>
      <c r="B254" s="215" t="s">
        <v>2</v>
      </c>
      <c r="C254" s="166">
        <v>40522</v>
      </c>
      <c r="D254" s="231" t="s">
        <v>119</v>
      </c>
      <c r="E254" s="243">
        <v>127</v>
      </c>
      <c r="F254" s="243">
        <v>10</v>
      </c>
      <c r="G254" s="243">
        <v>5</v>
      </c>
      <c r="H254" s="193">
        <v>7102</v>
      </c>
      <c r="I254" s="179">
        <v>1153</v>
      </c>
      <c r="J254" s="172">
        <f t="shared" si="41"/>
        <v>115.3</v>
      </c>
      <c r="K254" s="194">
        <f t="shared" si="42"/>
        <v>6.159583694709454</v>
      </c>
      <c r="L254" s="195">
        <f>1048675+809166.5+457718.5+70165.5+7102</f>
        <v>2392827.5</v>
      </c>
      <c r="M254" s="171">
        <f>92481+73795+43350+8841+1153</f>
        <v>219620</v>
      </c>
      <c r="N254" s="212">
        <f t="shared" si="43"/>
        <v>10.8953078043894</v>
      </c>
      <c r="O254" s="323"/>
    </row>
    <row r="255" spans="1:15" ht="15">
      <c r="A255" s="225">
        <v>251</v>
      </c>
      <c r="B255" s="242" t="s">
        <v>2</v>
      </c>
      <c r="C255" s="166">
        <v>40522</v>
      </c>
      <c r="D255" s="231" t="s">
        <v>119</v>
      </c>
      <c r="E255" s="232">
        <v>127</v>
      </c>
      <c r="F255" s="232">
        <v>5</v>
      </c>
      <c r="G255" s="232">
        <v>9</v>
      </c>
      <c r="H255" s="193">
        <v>6559.5</v>
      </c>
      <c r="I255" s="179">
        <v>1620</v>
      </c>
      <c r="J255" s="172">
        <f t="shared" si="41"/>
        <v>324</v>
      </c>
      <c r="K255" s="194">
        <f t="shared" si="42"/>
        <v>4.049074074074074</v>
      </c>
      <c r="L255" s="195">
        <f>1048675+809166.5+457718.5+70165.5+7102+12164+8619.5+11777.5+6559.5</f>
        <v>2431948</v>
      </c>
      <c r="M255" s="171">
        <f>92481+73795+43350+8841+1153+2869+1615+2831+1620</f>
        <v>228555</v>
      </c>
      <c r="N255" s="212">
        <f t="shared" si="43"/>
        <v>10.640537288617619</v>
      </c>
      <c r="O255" s="318"/>
    </row>
    <row r="256" spans="1:15" ht="15">
      <c r="A256" s="225">
        <v>252</v>
      </c>
      <c r="B256" s="482" t="s">
        <v>2</v>
      </c>
      <c r="C256" s="373">
        <v>40522</v>
      </c>
      <c r="D256" s="231" t="s">
        <v>119</v>
      </c>
      <c r="E256" s="375">
        <v>127</v>
      </c>
      <c r="F256" s="375">
        <v>5</v>
      </c>
      <c r="G256" s="375">
        <v>10</v>
      </c>
      <c r="H256" s="377">
        <v>3338.5</v>
      </c>
      <c r="I256" s="381">
        <v>630</v>
      </c>
      <c r="J256" s="382">
        <f t="shared" si="41"/>
        <v>126</v>
      </c>
      <c r="K256" s="384">
        <f t="shared" si="42"/>
        <v>5.299206349206349</v>
      </c>
      <c r="L256" s="387">
        <f>1048675+809166.5+457718.5+70165.5+7102+12164+8619.5+11777.5+6559.5+3338.5</f>
        <v>2435286.5</v>
      </c>
      <c r="M256" s="388">
        <f>92481+73795+43350+8841+1153+2869+1615+2831+1620+630</f>
        <v>229185</v>
      </c>
      <c r="N256" s="462">
        <f t="shared" si="43"/>
        <v>10.625854658900016</v>
      </c>
      <c r="O256" s="321"/>
    </row>
    <row r="257" spans="1:15" ht="15">
      <c r="A257" s="225">
        <v>253</v>
      </c>
      <c r="B257" s="242" t="s">
        <v>2</v>
      </c>
      <c r="C257" s="259">
        <v>40522</v>
      </c>
      <c r="D257" s="231" t="s">
        <v>119</v>
      </c>
      <c r="E257" s="232">
        <v>127</v>
      </c>
      <c r="F257" s="232">
        <v>6</v>
      </c>
      <c r="G257" s="232">
        <v>12</v>
      </c>
      <c r="H257" s="378">
        <v>3303</v>
      </c>
      <c r="I257" s="396">
        <v>726</v>
      </c>
      <c r="J257" s="397">
        <f t="shared" si="41"/>
        <v>121</v>
      </c>
      <c r="K257" s="385">
        <f t="shared" si="42"/>
        <v>4.549586776859504</v>
      </c>
      <c r="L257" s="186">
        <f>1048675+809166.5+457718.5+70165.5+7102+12164+8619.5+11777.5+6559.5+3338.5+10420.5+3303</f>
        <v>2449010</v>
      </c>
      <c r="M257" s="269">
        <f>92481+73795+43350+8841+1153+2869+1615+2831+1620+630+2477+726</f>
        <v>232388</v>
      </c>
      <c r="N257" s="187">
        <f t="shared" si="43"/>
        <v>10.538452932165171</v>
      </c>
      <c r="O257" s="316"/>
    </row>
    <row r="258" spans="1:15" ht="15">
      <c r="A258" s="225">
        <v>254</v>
      </c>
      <c r="B258" s="215" t="s">
        <v>2</v>
      </c>
      <c r="C258" s="166">
        <v>40522</v>
      </c>
      <c r="D258" s="244" t="s">
        <v>119</v>
      </c>
      <c r="E258" s="243">
        <v>127</v>
      </c>
      <c r="F258" s="243">
        <v>5</v>
      </c>
      <c r="G258" s="243">
        <v>13</v>
      </c>
      <c r="H258" s="195">
        <v>3205</v>
      </c>
      <c r="I258" s="171">
        <v>513</v>
      </c>
      <c r="J258" s="172">
        <f t="shared" si="41"/>
        <v>102.6</v>
      </c>
      <c r="K258" s="194">
        <f t="shared" si="42"/>
        <v>6.247563352826511</v>
      </c>
      <c r="L258" s="195">
        <f>1048675+809166.5+457718.5+70165.5+7102+12164+8619.5+11777.5+6559.5+3338.5+10420.5+3303+3205</f>
        <v>2452215</v>
      </c>
      <c r="M258" s="171">
        <f>92481+73795+43350+8841+1153+2869+1615+2831+1620+630+2477+726+513</f>
        <v>232901</v>
      </c>
      <c r="N258" s="212">
        <f t="shared" si="43"/>
        <v>10.529001592951511</v>
      </c>
      <c r="O258" s="320"/>
    </row>
    <row r="259" spans="1:15" ht="15">
      <c r="A259" s="225">
        <v>255</v>
      </c>
      <c r="B259" s="215" t="s">
        <v>2</v>
      </c>
      <c r="C259" s="166">
        <v>40522</v>
      </c>
      <c r="D259" s="244" t="s">
        <v>119</v>
      </c>
      <c r="E259" s="243">
        <v>127</v>
      </c>
      <c r="F259" s="243">
        <v>2</v>
      </c>
      <c r="G259" s="243">
        <v>14</v>
      </c>
      <c r="H259" s="193">
        <v>2076</v>
      </c>
      <c r="I259" s="179">
        <v>481</v>
      </c>
      <c r="J259" s="172">
        <f t="shared" si="41"/>
        <v>240.5</v>
      </c>
      <c r="K259" s="194">
        <f t="shared" si="42"/>
        <v>4.316008316008316</v>
      </c>
      <c r="L259" s="195">
        <f>1048675+809166.5+457718.5+70165.5+7102+12164+8619.5+11777.5+6559.5+3338.5+10420.5+3303+3205+2076</f>
        <v>2454291</v>
      </c>
      <c r="M259" s="171">
        <f>92481+73795+43350+8841+1153+2869+1615+2831+1620+630+2477+726+513+481</f>
        <v>233382</v>
      </c>
      <c r="N259" s="212">
        <f t="shared" si="43"/>
        <v>10.516196621847444</v>
      </c>
      <c r="O259" s="327"/>
    </row>
    <row r="260" spans="1:15" ht="15">
      <c r="A260" s="225">
        <v>256</v>
      </c>
      <c r="B260" s="215" t="s">
        <v>2</v>
      </c>
      <c r="C260" s="166">
        <v>40522</v>
      </c>
      <c r="D260" s="244" t="s">
        <v>119</v>
      </c>
      <c r="E260" s="243">
        <v>127</v>
      </c>
      <c r="F260" s="243">
        <v>2</v>
      </c>
      <c r="G260" s="243">
        <v>15</v>
      </c>
      <c r="H260" s="193">
        <v>1722.5</v>
      </c>
      <c r="I260" s="179">
        <v>318</v>
      </c>
      <c r="J260" s="172">
        <f t="shared" si="41"/>
        <v>159</v>
      </c>
      <c r="K260" s="194">
        <f t="shared" si="42"/>
        <v>5.416666666666667</v>
      </c>
      <c r="L260" s="195">
        <f>1048675+809166.5+457718.5+70165.5+7102+12164+8619.5+11777.5+6559.5+3338.5+10420.5+3303+3205+2076+1722.5</f>
        <v>2456013.5</v>
      </c>
      <c r="M260" s="171">
        <f>92481+73795+43350+8841+1153+2869+1615+2831+1620+630+2477+726+513+481+318</f>
        <v>233700</v>
      </c>
      <c r="N260" s="212">
        <f t="shared" si="43"/>
        <v>10.509257595207531</v>
      </c>
      <c r="O260" s="495"/>
    </row>
    <row r="261" spans="1:15" ht="15">
      <c r="A261" s="225">
        <v>257</v>
      </c>
      <c r="B261" s="207" t="s">
        <v>229</v>
      </c>
      <c r="C261" s="166">
        <v>40151</v>
      </c>
      <c r="D261" s="244" t="s">
        <v>119</v>
      </c>
      <c r="E261" s="243">
        <v>2</v>
      </c>
      <c r="F261" s="243">
        <v>1</v>
      </c>
      <c r="G261" s="243">
        <v>10</v>
      </c>
      <c r="H261" s="193">
        <v>2138.5</v>
      </c>
      <c r="I261" s="179">
        <v>534</v>
      </c>
      <c r="J261" s="172">
        <f t="shared" si="41"/>
        <v>534</v>
      </c>
      <c r="K261" s="194">
        <f t="shared" si="42"/>
        <v>4.004681647940075</v>
      </c>
      <c r="L261" s="195">
        <f>14952+6112+2196+2975+2853+674+1006+530+2139+2138.5</f>
        <v>35575.5</v>
      </c>
      <c r="M261" s="171">
        <f>1468+666+254+478+502+81+130+107+535+534</f>
        <v>4755</v>
      </c>
      <c r="N261" s="212">
        <f t="shared" si="43"/>
        <v>7.481703470031546</v>
      </c>
      <c r="O261" s="495"/>
    </row>
    <row r="262" spans="1:15" ht="15">
      <c r="A262" s="225">
        <v>258</v>
      </c>
      <c r="B262" s="460" t="s">
        <v>151</v>
      </c>
      <c r="C262" s="166">
        <v>40529</v>
      </c>
      <c r="D262" s="231" t="s">
        <v>119</v>
      </c>
      <c r="E262" s="243">
        <v>27</v>
      </c>
      <c r="F262" s="243">
        <v>11</v>
      </c>
      <c r="G262" s="243">
        <v>3</v>
      </c>
      <c r="H262" s="378">
        <v>7073.5</v>
      </c>
      <c r="I262" s="179">
        <v>920</v>
      </c>
      <c r="J262" s="172">
        <f t="shared" si="41"/>
        <v>83.63636363636364</v>
      </c>
      <c r="K262" s="385">
        <f t="shared" si="42"/>
        <v>7.688586956521739</v>
      </c>
      <c r="L262" s="186">
        <f>68045+25663+7073.5</f>
        <v>100781.5</v>
      </c>
      <c r="M262" s="171">
        <f>5442+2277+920</f>
        <v>8639</v>
      </c>
      <c r="N262" s="187">
        <f t="shared" si="43"/>
        <v>11.665875680055562</v>
      </c>
      <c r="O262" s="317">
        <v>1</v>
      </c>
    </row>
    <row r="263" spans="1:15" ht="15">
      <c r="A263" s="225">
        <v>259</v>
      </c>
      <c r="B263" s="461" t="s">
        <v>105</v>
      </c>
      <c r="C263" s="373">
        <v>40529</v>
      </c>
      <c r="D263" s="231" t="s">
        <v>119</v>
      </c>
      <c r="E263" s="375">
        <v>27</v>
      </c>
      <c r="F263" s="375">
        <v>4</v>
      </c>
      <c r="G263" s="375">
        <v>4</v>
      </c>
      <c r="H263" s="193">
        <v>5233</v>
      </c>
      <c r="I263" s="179">
        <v>1185</v>
      </c>
      <c r="J263" s="172">
        <f t="shared" si="41"/>
        <v>296.25</v>
      </c>
      <c r="K263" s="194">
        <f t="shared" si="42"/>
        <v>4.4160337552742615</v>
      </c>
      <c r="L263" s="195">
        <f>68045+25663+7073.5+5233</f>
        <v>106014.5</v>
      </c>
      <c r="M263" s="171">
        <f>5442+2277+920+1185</f>
        <v>9824</v>
      </c>
      <c r="N263" s="212">
        <f t="shared" si="43"/>
        <v>10.79137825732899</v>
      </c>
      <c r="O263" s="323"/>
    </row>
    <row r="264" spans="1:15" ht="15">
      <c r="A264" s="225">
        <v>260</v>
      </c>
      <c r="B264" s="460" t="s">
        <v>105</v>
      </c>
      <c r="C264" s="166">
        <v>40529</v>
      </c>
      <c r="D264" s="231" t="s">
        <v>119</v>
      </c>
      <c r="E264" s="243">
        <v>27</v>
      </c>
      <c r="F264" s="243">
        <v>2</v>
      </c>
      <c r="G264" s="243">
        <v>5</v>
      </c>
      <c r="H264" s="193">
        <v>3859</v>
      </c>
      <c r="I264" s="179">
        <v>711</v>
      </c>
      <c r="J264" s="172">
        <f t="shared" si="41"/>
        <v>355.5</v>
      </c>
      <c r="K264" s="194">
        <f t="shared" si="42"/>
        <v>5.427566807313643</v>
      </c>
      <c r="L264" s="195">
        <f>68045+25663+7073.5+5233+3859</f>
        <v>109873.5</v>
      </c>
      <c r="M264" s="171">
        <f>5442+2277+920+1185+711</f>
        <v>10535</v>
      </c>
      <c r="N264" s="212">
        <f t="shared" si="43"/>
        <v>10.42937826293308</v>
      </c>
      <c r="O264" s="317"/>
    </row>
    <row r="265" spans="1:15" ht="15">
      <c r="A265" s="225">
        <v>261</v>
      </c>
      <c r="B265" s="207" t="s">
        <v>105</v>
      </c>
      <c r="C265" s="166">
        <v>40529</v>
      </c>
      <c r="D265" s="244" t="s">
        <v>119</v>
      </c>
      <c r="E265" s="243">
        <v>27</v>
      </c>
      <c r="F265" s="243">
        <v>1</v>
      </c>
      <c r="G265" s="243">
        <v>8</v>
      </c>
      <c r="H265" s="195">
        <v>1497</v>
      </c>
      <c r="I265" s="171">
        <v>218</v>
      </c>
      <c r="J265" s="172">
        <f t="shared" si="41"/>
        <v>218</v>
      </c>
      <c r="K265" s="194">
        <f t="shared" si="42"/>
        <v>6.86697247706422</v>
      </c>
      <c r="L265" s="195">
        <f>68045+25663+7073.5+5233+3859+470+100+1497</f>
        <v>111940.5</v>
      </c>
      <c r="M265" s="171">
        <f>5442+2277+920+1185+711+78+13+218</f>
        <v>10844</v>
      </c>
      <c r="N265" s="212">
        <f t="shared" si="43"/>
        <v>10.322805237919587</v>
      </c>
      <c r="O265" s="320"/>
    </row>
    <row r="266" spans="1:15" ht="15">
      <c r="A266" s="225">
        <v>262</v>
      </c>
      <c r="B266" s="461" t="s">
        <v>105</v>
      </c>
      <c r="C266" s="373">
        <v>40529</v>
      </c>
      <c r="D266" s="231" t="s">
        <v>119</v>
      </c>
      <c r="E266" s="375">
        <v>27</v>
      </c>
      <c r="F266" s="375">
        <v>1</v>
      </c>
      <c r="G266" s="375">
        <v>6</v>
      </c>
      <c r="H266" s="193">
        <v>470</v>
      </c>
      <c r="I266" s="179">
        <v>78</v>
      </c>
      <c r="J266" s="172">
        <f t="shared" si="41"/>
        <v>78</v>
      </c>
      <c r="K266" s="194">
        <f t="shared" si="42"/>
        <v>6.0256410256410255</v>
      </c>
      <c r="L266" s="195">
        <f>68045+25663+7073.5+5233+3859+470</f>
        <v>110343.5</v>
      </c>
      <c r="M266" s="171">
        <f>5442+2277+920+1185+711+78</f>
        <v>10613</v>
      </c>
      <c r="N266" s="212">
        <f t="shared" si="43"/>
        <v>10.397013097145011</v>
      </c>
      <c r="O266" s="321"/>
    </row>
    <row r="267" spans="1:15" ht="15">
      <c r="A267" s="225">
        <v>263</v>
      </c>
      <c r="B267" s="242" t="s">
        <v>105</v>
      </c>
      <c r="C267" s="259">
        <v>40529</v>
      </c>
      <c r="D267" s="231" t="s">
        <v>119</v>
      </c>
      <c r="E267" s="232">
        <v>27</v>
      </c>
      <c r="F267" s="232">
        <v>1</v>
      </c>
      <c r="G267" s="232">
        <v>7</v>
      </c>
      <c r="H267" s="193">
        <v>100</v>
      </c>
      <c r="I267" s="179">
        <v>13</v>
      </c>
      <c r="J267" s="172">
        <f t="shared" si="41"/>
        <v>13</v>
      </c>
      <c r="K267" s="194">
        <f t="shared" si="42"/>
        <v>7.6923076923076925</v>
      </c>
      <c r="L267" s="195">
        <f>68045+25663+7073.5+5233+3859+470+100</f>
        <v>110443.5</v>
      </c>
      <c r="M267" s="171">
        <f>5442+2277+920+1185+711+78+13</f>
        <v>10626</v>
      </c>
      <c r="N267" s="212">
        <f t="shared" si="43"/>
        <v>10.393704121964992</v>
      </c>
      <c r="O267" s="316"/>
    </row>
    <row r="268" spans="1:15" ht="15">
      <c r="A268" s="225">
        <v>264</v>
      </c>
      <c r="B268" s="213" t="s">
        <v>114</v>
      </c>
      <c r="C268" s="163">
        <v>40417</v>
      </c>
      <c r="D268" s="234" t="s">
        <v>24</v>
      </c>
      <c r="E268" s="233">
        <v>119</v>
      </c>
      <c r="F268" s="233">
        <v>1</v>
      </c>
      <c r="G268" s="233">
        <v>15</v>
      </c>
      <c r="H268" s="190">
        <v>941</v>
      </c>
      <c r="I268" s="178">
        <v>843</v>
      </c>
      <c r="J268" s="165">
        <f>I268/F268</f>
        <v>843</v>
      </c>
      <c r="K268" s="191">
        <f t="shared" si="42"/>
        <v>1.1162514827995256</v>
      </c>
      <c r="L268" s="192">
        <v>859853</v>
      </c>
      <c r="M268" s="164">
        <v>97516</v>
      </c>
      <c r="N268" s="210">
        <f aca="true" t="shared" si="44" ref="N268:N278">+L268/M268</f>
        <v>8.817558144304524</v>
      </c>
      <c r="O268" s="316"/>
    </row>
    <row r="269" spans="1:15" ht="15">
      <c r="A269" s="225">
        <v>265</v>
      </c>
      <c r="B269" s="468" t="s">
        <v>37</v>
      </c>
      <c r="C269" s="163">
        <v>40480</v>
      </c>
      <c r="D269" s="429" t="s">
        <v>27</v>
      </c>
      <c r="E269" s="233">
        <v>21</v>
      </c>
      <c r="F269" s="233">
        <v>12</v>
      </c>
      <c r="G269" s="233">
        <v>10</v>
      </c>
      <c r="H269" s="430">
        <v>8985</v>
      </c>
      <c r="I269" s="182">
        <v>1356</v>
      </c>
      <c r="J269" s="170">
        <f aca="true" t="shared" si="45" ref="J269:J275">+I269/F269</f>
        <v>113</v>
      </c>
      <c r="K269" s="407">
        <f aca="true" t="shared" si="46" ref="K269:K275">+H269/I269</f>
        <v>6.626106194690266</v>
      </c>
      <c r="L269" s="431">
        <v>295457</v>
      </c>
      <c r="M269" s="169">
        <v>26551</v>
      </c>
      <c r="N269" s="465">
        <f t="shared" si="44"/>
        <v>11.127904787013671</v>
      </c>
      <c r="O269" s="323"/>
    </row>
    <row r="270" spans="1:15" ht="15">
      <c r="A270" s="225">
        <v>266</v>
      </c>
      <c r="B270" s="213" t="s">
        <v>37</v>
      </c>
      <c r="C270" s="402">
        <v>40480</v>
      </c>
      <c r="D270" s="234" t="s">
        <v>27</v>
      </c>
      <c r="E270" s="233">
        <v>21</v>
      </c>
      <c r="F270" s="233">
        <v>3</v>
      </c>
      <c r="G270" s="233">
        <v>13</v>
      </c>
      <c r="H270" s="196">
        <v>2972</v>
      </c>
      <c r="I270" s="182">
        <v>535</v>
      </c>
      <c r="J270" s="170">
        <f t="shared" si="45"/>
        <v>178.33333333333334</v>
      </c>
      <c r="K270" s="197">
        <f t="shared" si="46"/>
        <v>5.555140186915888</v>
      </c>
      <c r="L270" s="198">
        <v>302074</v>
      </c>
      <c r="M270" s="169">
        <v>27572</v>
      </c>
      <c r="N270" s="214">
        <f t="shared" si="44"/>
        <v>10.95582474974612</v>
      </c>
      <c r="O270" s="316"/>
    </row>
    <row r="271" spans="1:15" ht="15">
      <c r="A271" s="225">
        <v>267</v>
      </c>
      <c r="B271" s="213" t="s">
        <v>37</v>
      </c>
      <c r="C271" s="163">
        <v>40480</v>
      </c>
      <c r="D271" s="247" t="s">
        <v>27</v>
      </c>
      <c r="E271" s="233">
        <v>21</v>
      </c>
      <c r="F271" s="233">
        <v>1</v>
      </c>
      <c r="G271" s="233">
        <v>12</v>
      </c>
      <c r="H271" s="196">
        <v>1139</v>
      </c>
      <c r="I271" s="182">
        <v>203</v>
      </c>
      <c r="J271" s="170">
        <f t="shared" si="45"/>
        <v>203</v>
      </c>
      <c r="K271" s="197">
        <f t="shared" si="46"/>
        <v>5.610837438423645</v>
      </c>
      <c r="L271" s="198">
        <v>299102</v>
      </c>
      <c r="M271" s="169">
        <v>27037</v>
      </c>
      <c r="N271" s="214">
        <f t="shared" si="44"/>
        <v>11.062691866701186</v>
      </c>
      <c r="O271" s="321"/>
    </row>
    <row r="272" spans="1:15" ht="15">
      <c r="A272" s="225">
        <v>268</v>
      </c>
      <c r="B272" s="213" t="s">
        <v>37</v>
      </c>
      <c r="C272" s="402">
        <v>40480</v>
      </c>
      <c r="D272" s="234" t="s">
        <v>27</v>
      </c>
      <c r="E272" s="233">
        <v>21</v>
      </c>
      <c r="F272" s="233">
        <v>1</v>
      </c>
      <c r="G272" s="233">
        <v>14</v>
      </c>
      <c r="H272" s="430">
        <v>1028</v>
      </c>
      <c r="I272" s="442">
        <v>201</v>
      </c>
      <c r="J272" s="428">
        <f t="shared" si="45"/>
        <v>201</v>
      </c>
      <c r="K272" s="407">
        <f t="shared" si="46"/>
        <v>5.114427860696518</v>
      </c>
      <c r="L272" s="431">
        <v>303102</v>
      </c>
      <c r="M272" s="443">
        <v>27773</v>
      </c>
      <c r="N272" s="465">
        <f t="shared" si="44"/>
        <v>10.913549130450438</v>
      </c>
      <c r="O272" s="316"/>
    </row>
    <row r="273" spans="1:15" ht="15">
      <c r="A273" s="225">
        <v>269</v>
      </c>
      <c r="B273" s="213" t="s">
        <v>37</v>
      </c>
      <c r="C273" s="163">
        <v>40480</v>
      </c>
      <c r="D273" s="247" t="s">
        <v>27</v>
      </c>
      <c r="E273" s="233">
        <v>21</v>
      </c>
      <c r="F273" s="233">
        <v>1</v>
      </c>
      <c r="G273" s="233">
        <v>15</v>
      </c>
      <c r="H273" s="198">
        <v>484</v>
      </c>
      <c r="I273" s="169">
        <v>96</v>
      </c>
      <c r="J273" s="170">
        <f t="shared" si="45"/>
        <v>96</v>
      </c>
      <c r="K273" s="197">
        <f t="shared" si="46"/>
        <v>5.041666666666667</v>
      </c>
      <c r="L273" s="198">
        <v>303586</v>
      </c>
      <c r="M273" s="169">
        <v>27869</v>
      </c>
      <c r="N273" s="214">
        <f t="shared" si="44"/>
        <v>10.89332232947002</v>
      </c>
      <c r="O273" s="320"/>
    </row>
    <row r="274" spans="1:15" ht="15">
      <c r="A274" s="225">
        <v>270</v>
      </c>
      <c r="B274" s="213" t="s">
        <v>37</v>
      </c>
      <c r="C274" s="163">
        <v>40480</v>
      </c>
      <c r="D274" s="247" t="s">
        <v>27</v>
      </c>
      <c r="E274" s="233">
        <v>21</v>
      </c>
      <c r="F274" s="233">
        <v>1</v>
      </c>
      <c r="G274" s="233">
        <v>16</v>
      </c>
      <c r="H274" s="196">
        <v>273</v>
      </c>
      <c r="I274" s="182">
        <v>53</v>
      </c>
      <c r="J274" s="170">
        <f t="shared" si="45"/>
        <v>53</v>
      </c>
      <c r="K274" s="197">
        <f t="shared" si="46"/>
        <v>5.150943396226415</v>
      </c>
      <c r="L274" s="198">
        <v>303859</v>
      </c>
      <c r="M274" s="169">
        <v>27922</v>
      </c>
      <c r="N274" s="214">
        <f t="shared" si="44"/>
        <v>10.882422462574315</v>
      </c>
      <c r="O274" s="327"/>
    </row>
    <row r="275" spans="1:15" ht="15">
      <c r="A275" s="225">
        <v>271</v>
      </c>
      <c r="B275" s="213" t="s">
        <v>108</v>
      </c>
      <c r="C275" s="163">
        <v>37193</v>
      </c>
      <c r="D275" s="234" t="s">
        <v>27</v>
      </c>
      <c r="E275" s="233">
        <v>21</v>
      </c>
      <c r="F275" s="233">
        <v>1</v>
      </c>
      <c r="G275" s="233">
        <v>11</v>
      </c>
      <c r="H275" s="196">
        <v>2506</v>
      </c>
      <c r="I275" s="182">
        <v>283</v>
      </c>
      <c r="J275" s="170">
        <f t="shared" si="45"/>
        <v>283</v>
      </c>
      <c r="K275" s="197">
        <f t="shared" si="46"/>
        <v>8.855123674911662</v>
      </c>
      <c r="L275" s="198">
        <v>297963</v>
      </c>
      <c r="M275" s="169">
        <v>26834</v>
      </c>
      <c r="N275" s="214">
        <f t="shared" si="44"/>
        <v>11.103935305955131</v>
      </c>
      <c r="O275" s="316"/>
    </row>
    <row r="276" spans="1:15" ht="15">
      <c r="A276" s="225">
        <v>272</v>
      </c>
      <c r="B276" s="209" t="s">
        <v>131</v>
      </c>
      <c r="C276" s="163">
        <v>40473</v>
      </c>
      <c r="D276" s="246" t="s">
        <v>24</v>
      </c>
      <c r="E276" s="245">
        <v>74</v>
      </c>
      <c r="F276" s="245">
        <v>1</v>
      </c>
      <c r="G276" s="245">
        <v>9</v>
      </c>
      <c r="H276" s="190">
        <v>3572</v>
      </c>
      <c r="I276" s="178">
        <v>893</v>
      </c>
      <c r="J276" s="165">
        <f>I276/F276</f>
        <v>893</v>
      </c>
      <c r="K276" s="191">
        <f>H276/I276</f>
        <v>4</v>
      </c>
      <c r="L276" s="192">
        <v>981252</v>
      </c>
      <c r="M276" s="164">
        <v>84379</v>
      </c>
      <c r="N276" s="210">
        <f t="shared" si="44"/>
        <v>11.62910202775572</v>
      </c>
      <c r="O276" s="317"/>
    </row>
    <row r="277" spans="1:15" ht="15">
      <c r="A277" s="225">
        <v>273</v>
      </c>
      <c r="B277" s="209" t="s">
        <v>131</v>
      </c>
      <c r="C277" s="163">
        <v>40473</v>
      </c>
      <c r="D277" s="246" t="s">
        <v>24</v>
      </c>
      <c r="E277" s="245">
        <v>74</v>
      </c>
      <c r="F277" s="245">
        <v>1</v>
      </c>
      <c r="G277" s="245">
        <v>11</v>
      </c>
      <c r="H277" s="190">
        <v>1190</v>
      </c>
      <c r="I277" s="178">
        <v>238</v>
      </c>
      <c r="J277" s="165">
        <f>I277/F277</f>
        <v>238</v>
      </c>
      <c r="K277" s="191">
        <f>H277/I277</f>
        <v>5</v>
      </c>
      <c r="L277" s="192">
        <v>983217</v>
      </c>
      <c r="M277" s="164">
        <v>84696</v>
      </c>
      <c r="N277" s="210">
        <f t="shared" si="44"/>
        <v>11.608777274015301</v>
      </c>
      <c r="O277" s="327"/>
    </row>
    <row r="278" spans="1:15" ht="15">
      <c r="A278" s="225">
        <v>274</v>
      </c>
      <c r="B278" s="209" t="s">
        <v>131</v>
      </c>
      <c r="C278" s="163">
        <v>40473</v>
      </c>
      <c r="D278" s="246" t="s">
        <v>24</v>
      </c>
      <c r="E278" s="245">
        <v>74</v>
      </c>
      <c r="F278" s="245">
        <v>1</v>
      </c>
      <c r="G278" s="245">
        <v>10</v>
      </c>
      <c r="H278" s="192">
        <v>775</v>
      </c>
      <c r="I278" s="164">
        <v>79</v>
      </c>
      <c r="J278" s="165">
        <f>I278/F278</f>
        <v>79</v>
      </c>
      <c r="K278" s="191">
        <f>H278/I278</f>
        <v>9.810126582278482</v>
      </c>
      <c r="L278" s="192">
        <f>981252+775</f>
        <v>982027</v>
      </c>
      <c r="M278" s="164">
        <f>84379+79</f>
        <v>84458</v>
      </c>
      <c r="N278" s="210">
        <f t="shared" si="44"/>
        <v>11.627400601482394</v>
      </c>
      <c r="O278" s="320"/>
    </row>
    <row r="279" spans="1:15" ht="15">
      <c r="A279" s="225">
        <v>275</v>
      </c>
      <c r="B279" s="209" t="s">
        <v>228</v>
      </c>
      <c r="C279" s="163">
        <v>40312</v>
      </c>
      <c r="D279" s="246" t="s">
        <v>17</v>
      </c>
      <c r="E279" s="245">
        <v>64</v>
      </c>
      <c r="F279" s="245">
        <v>1</v>
      </c>
      <c r="G279" s="245">
        <v>22</v>
      </c>
      <c r="H279" s="199">
        <v>2376</v>
      </c>
      <c r="I279" s="183">
        <v>475</v>
      </c>
      <c r="J279" s="170">
        <f>IF(H279&lt;&gt;0,I279/F279,"")</f>
        <v>475</v>
      </c>
      <c r="K279" s="197">
        <f>IF(H279&lt;&gt;0,H279/I279,"")</f>
        <v>5.002105263157895</v>
      </c>
      <c r="L279" s="200">
        <f>384993+315+150+24+2376</f>
        <v>387858</v>
      </c>
      <c r="M279" s="167">
        <f>43717+38+25+4+475</f>
        <v>44259</v>
      </c>
      <c r="N279" s="214">
        <f>IF(L279&lt;&gt;0,L279/M279,"")</f>
        <v>8.76337016200095</v>
      </c>
      <c r="O279" s="496"/>
    </row>
    <row r="280" spans="1:15" ht="15">
      <c r="A280" s="225">
        <v>276</v>
      </c>
      <c r="B280" s="468" t="s">
        <v>1</v>
      </c>
      <c r="C280" s="163">
        <v>40522</v>
      </c>
      <c r="D280" s="429" t="s">
        <v>27</v>
      </c>
      <c r="E280" s="233">
        <v>110</v>
      </c>
      <c r="F280" s="233">
        <v>110</v>
      </c>
      <c r="G280" s="233">
        <v>4</v>
      </c>
      <c r="H280" s="430">
        <v>694041</v>
      </c>
      <c r="I280" s="182">
        <v>64977</v>
      </c>
      <c r="J280" s="170">
        <f>+I280/F280</f>
        <v>590.7</v>
      </c>
      <c r="K280" s="407">
        <f>+H280/I280</f>
        <v>10.681333394893578</v>
      </c>
      <c r="L280" s="431">
        <v>4602088</v>
      </c>
      <c r="M280" s="169">
        <v>434759</v>
      </c>
      <c r="N280" s="465">
        <f>+L280/M280</f>
        <v>10.5853771859812</v>
      </c>
      <c r="O280" s="323"/>
    </row>
    <row r="281" spans="1:15" ht="15">
      <c r="A281" s="225">
        <v>277</v>
      </c>
      <c r="B281" s="213" t="s">
        <v>1</v>
      </c>
      <c r="C281" s="163">
        <v>40522</v>
      </c>
      <c r="D281" s="429" t="s">
        <v>27</v>
      </c>
      <c r="E281" s="233">
        <v>110</v>
      </c>
      <c r="F281" s="233">
        <v>71</v>
      </c>
      <c r="G281" s="233">
        <v>5</v>
      </c>
      <c r="H281" s="196">
        <v>224162</v>
      </c>
      <c r="I281" s="182">
        <v>19224</v>
      </c>
      <c r="J281" s="170">
        <f>+I281/F281</f>
        <v>270.76056338028167</v>
      </c>
      <c r="K281" s="197">
        <f>+H281/I281</f>
        <v>11.660528506034124</v>
      </c>
      <c r="L281" s="198">
        <v>4826250</v>
      </c>
      <c r="M281" s="169">
        <v>453983</v>
      </c>
      <c r="N281" s="214">
        <f>+L281/M281</f>
        <v>10.63090468145283</v>
      </c>
      <c r="O281" s="320"/>
    </row>
    <row r="282" spans="1:15" ht="15">
      <c r="A282" s="225">
        <v>278</v>
      </c>
      <c r="B282" s="213" t="s">
        <v>1</v>
      </c>
      <c r="C282" s="163">
        <v>40522</v>
      </c>
      <c r="D282" s="234" t="s">
        <v>27</v>
      </c>
      <c r="E282" s="233">
        <v>110</v>
      </c>
      <c r="F282" s="233">
        <v>66</v>
      </c>
      <c r="G282" s="233">
        <v>6</v>
      </c>
      <c r="H282" s="196">
        <v>118638</v>
      </c>
      <c r="I282" s="182">
        <v>12477</v>
      </c>
      <c r="J282" s="170">
        <f>+I282/F282</f>
        <v>189.04545454545453</v>
      </c>
      <c r="K282" s="197">
        <f>+H282/I282</f>
        <v>9.508535705698485</v>
      </c>
      <c r="L282" s="198">
        <v>4944888</v>
      </c>
      <c r="M282" s="169">
        <v>466460</v>
      </c>
      <c r="N282" s="214">
        <f>+L282/M282</f>
        <v>10.600883248295673</v>
      </c>
      <c r="O282" s="316"/>
    </row>
    <row r="283" spans="1:15" ht="15">
      <c r="A283" s="225">
        <v>279</v>
      </c>
      <c r="B283" s="468" t="s">
        <v>1</v>
      </c>
      <c r="C283" s="163">
        <v>40522</v>
      </c>
      <c r="D283" s="247" t="s">
        <v>27</v>
      </c>
      <c r="E283" s="233">
        <v>110</v>
      </c>
      <c r="F283" s="233">
        <v>32</v>
      </c>
      <c r="G283" s="233">
        <v>7</v>
      </c>
      <c r="H283" s="196">
        <v>51075</v>
      </c>
      <c r="I283" s="182">
        <v>6840</v>
      </c>
      <c r="J283" s="172">
        <f>(I283/F283)</f>
        <v>213.75</v>
      </c>
      <c r="K283" s="194">
        <f>H283/I283</f>
        <v>7.467105263157895</v>
      </c>
      <c r="L283" s="198">
        <v>4995963</v>
      </c>
      <c r="M283" s="169">
        <v>473300</v>
      </c>
      <c r="N283" s="212">
        <f>L283/M283</f>
        <v>10.55559476019438</v>
      </c>
      <c r="O283" s="317"/>
    </row>
    <row r="284" spans="1:15" ht="15">
      <c r="A284" s="225">
        <v>280</v>
      </c>
      <c r="B284" s="213" t="s">
        <v>1</v>
      </c>
      <c r="C284" s="163">
        <v>40522</v>
      </c>
      <c r="D284" s="247" t="s">
        <v>27</v>
      </c>
      <c r="E284" s="233">
        <v>110</v>
      </c>
      <c r="F284" s="233">
        <v>6</v>
      </c>
      <c r="G284" s="233">
        <v>10</v>
      </c>
      <c r="H284" s="196">
        <v>4744</v>
      </c>
      <c r="I284" s="182">
        <v>1467</v>
      </c>
      <c r="J284" s="170">
        <f aca="true" t="shared" si="47" ref="J284:J289">+I284/F284</f>
        <v>244.5</v>
      </c>
      <c r="K284" s="197">
        <f aca="true" t="shared" si="48" ref="K284:K290">+H284/I284</f>
        <v>3.2338104976141784</v>
      </c>
      <c r="L284" s="198">
        <v>5008119</v>
      </c>
      <c r="M284" s="169">
        <v>476107</v>
      </c>
      <c r="N284" s="214">
        <f aca="true" t="shared" si="49" ref="N284:N299">+L284/M284</f>
        <v>10.518893862094025</v>
      </c>
      <c r="O284" s="321"/>
    </row>
    <row r="285" spans="1:15" ht="15">
      <c r="A285" s="225">
        <v>281</v>
      </c>
      <c r="B285" s="213" t="s">
        <v>1</v>
      </c>
      <c r="C285" s="163">
        <v>40522</v>
      </c>
      <c r="D285" s="234" t="s">
        <v>27</v>
      </c>
      <c r="E285" s="233">
        <v>110</v>
      </c>
      <c r="F285" s="233">
        <v>6</v>
      </c>
      <c r="G285" s="233">
        <v>9</v>
      </c>
      <c r="H285" s="196">
        <v>4075</v>
      </c>
      <c r="I285" s="182">
        <v>848</v>
      </c>
      <c r="J285" s="170">
        <f t="shared" si="47"/>
        <v>141.33333333333334</v>
      </c>
      <c r="K285" s="197">
        <f t="shared" si="48"/>
        <v>4.805424528301887</v>
      </c>
      <c r="L285" s="198">
        <v>5003375</v>
      </c>
      <c r="M285" s="169">
        <v>474640</v>
      </c>
      <c r="N285" s="214">
        <f t="shared" si="49"/>
        <v>10.541410332041126</v>
      </c>
      <c r="O285" s="318"/>
    </row>
    <row r="286" spans="1:15" ht="15">
      <c r="A286" s="225">
        <v>282</v>
      </c>
      <c r="B286" s="213" t="s">
        <v>1</v>
      </c>
      <c r="C286" s="402">
        <v>40522</v>
      </c>
      <c r="D286" s="234" t="s">
        <v>27</v>
      </c>
      <c r="E286" s="233">
        <v>110</v>
      </c>
      <c r="F286" s="233">
        <v>9</v>
      </c>
      <c r="G286" s="233">
        <v>11</v>
      </c>
      <c r="H286" s="196">
        <v>3734</v>
      </c>
      <c r="I286" s="182">
        <v>594</v>
      </c>
      <c r="J286" s="170">
        <f t="shared" si="47"/>
        <v>66</v>
      </c>
      <c r="K286" s="197">
        <f t="shared" si="48"/>
        <v>6.286195286195286</v>
      </c>
      <c r="L286" s="198">
        <v>5011853</v>
      </c>
      <c r="M286" s="169">
        <v>476701</v>
      </c>
      <c r="N286" s="214">
        <f t="shared" si="49"/>
        <v>10.513619648374977</v>
      </c>
      <c r="O286" s="316"/>
    </row>
    <row r="287" spans="1:15" ht="15">
      <c r="A287" s="225">
        <v>283</v>
      </c>
      <c r="B287" s="213" t="s">
        <v>1</v>
      </c>
      <c r="C287" s="163">
        <v>40522</v>
      </c>
      <c r="D287" s="247" t="s">
        <v>27</v>
      </c>
      <c r="E287" s="233">
        <v>110</v>
      </c>
      <c r="F287" s="233">
        <v>7</v>
      </c>
      <c r="G287" s="233">
        <v>8</v>
      </c>
      <c r="H287" s="196">
        <v>3338</v>
      </c>
      <c r="I287" s="182">
        <v>492</v>
      </c>
      <c r="J287" s="170">
        <f t="shared" si="47"/>
        <v>70.28571428571429</v>
      </c>
      <c r="K287" s="197">
        <f t="shared" si="48"/>
        <v>6.784552845528455</v>
      </c>
      <c r="L287" s="198">
        <v>4999300</v>
      </c>
      <c r="M287" s="169">
        <v>473792</v>
      </c>
      <c r="N287" s="210">
        <f t="shared" si="49"/>
        <v>10.551676685127651</v>
      </c>
      <c r="O287" s="317"/>
    </row>
    <row r="288" spans="1:15" ht="15">
      <c r="A288" s="225">
        <v>284</v>
      </c>
      <c r="B288" s="213" t="s">
        <v>1</v>
      </c>
      <c r="C288" s="163">
        <v>40522</v>
      </c>
      <c r="D288" s="247" t="s">
        <v>27</v>
      </c>
      <c r="E288" s="233">
        <v>110</v>
      </c>
      <c r="F288" s="233">
        <v>4</v>
      </c>
      <c r="G288" s="233">
        <v>13</v>
      </c>
      <c r="H288" s="198">
        <v>2400</v>
      </c>
      <c r="I288" s="169">
        <v>492</v>
      </c>
      <c r="J288" s="170">
        <f t="shared" si="47"/>
        <v>123</v>
      </c>
      <c r="K288" s="197">
        <f t="shared" si="48"/>
        <v>4.878048780487805</v>
      </c>
      <c r="L288" s="198">
        <v>5014749</v>
      </c>
      <c r="M288" s="169">
        <v>477268</v>
      </c>
      <c r="N288" s="214">
        <f t="shared" si="49"/>
        <v>10.507197214143835</v>
      </c>
      <c r="O288" s="320"/>
    </row>
    <row r="289" spans="1:15" ht="15">
      <c r="A289" s="225">
        <v>285</v>
      </c>
      <c r="B289" s="213" t="s">
        <v>1</v>
      </c>
      <c r="C289" s="402">
        <v>40522</v>
      </c>
      <c r="D289" s="234" t="s">
        <v>27</v>
      </c>
      <c r="E289" s="233">
        <v>110</v>
      </c>
      <c r="F289" s="233">
        <v>2</v>
      </c>
      <c r="G289" s="233">
        <v>12</v>
      </c>
      <c r="H289" s="430">
        <v>496</v>
      </c>
      <c r="I289" s="442">
        <v>75</v>
      </c>
      <c r="J289" s="428">
        <f t="shared" si="47"/>
        <v>37.5</v>
      </c>
      <c r="K289" s="407">
        <f t="shared" si="48"/>
        <v>6.613333333333333</v>
      </c>
      <c r="L289" s="431">
        <v>5012349</v>
      </c>
      <c r="M289" s="443">
        <v>476776</v>
      </c>
      <c r="N289" s="465">
        <f t="shared" si="49"/>
        <v>10.513006107689984</v>
      </c>
      <c r="O289" s="316"/>
    </row>
    <row r="290" spans="1:15" ht="15">
      <c r="A290" s="225">
        <v>286</v>
      </c>
      <c r="B290" s="463" t="s">
        <v>73</v>
      </c>
      <c r="C290" s="163">
        <v>40536</v>
      </c>
      <c r="D290" s="398" t="s">
        <v>24</v>
      </c>
      <c r="E290" s="245">
        <v>48</v>
      </c>
      <c r="F290" s="245">
        <v>48</v>
      </c>
      <c r="G290" s="245">
        <v>2</v>
      </c>
      <c r="H290" s="399">
        <v>281047</v>
      </c>
      <c r="I290" s="178">
        <v>23436</v>
      </c>
      <c r="J290" s="165">
        <f aca="true" t="shared" si="50" ref="J290:J299">I290/F290</f>
        <v>488.25</v>
      </c>
      <c r="K290" s="386">
        <f t="shared" si="48"/>
        <v>11.992106161461</v>
      </c>
      <c r="L290" s="401">
        <v>605758</v>
      </c>
      <c r="M290" s="164">
        <v>52142</v>
      </c>
      <c r="N290" s="464">
        <f t="shared" si="49"/>
        <v>11.61746768440029</v>
      </c>
      <c r="O290" s="322"/>
    </row>
    <row r="291" spans="1:15" ht="15">
      <c r="A291" s="225">
        <v>287</v>
      </c>
      <c r="B291" s="209" t="s">
        <v>73</v>
      </c>
      <c r="C291" s="163">
        <v>40536</v>
      </c>
      <c r="D291" s="398" t="s">
        <v>24</v>
      </c>
      <c r="E291" s="245">
        <v>48</v>
      </c>
      <c r="F291" s="245">
        <v>36</v>
      </c>
      <c r="G291" s="245">
        <v>3</v>
      </c>
      <c r="H291" s="190">
        <v>66790</v>
      </c>
      <c r="I291" s="178">
        <v>5435</v>
      </c>
      <c r="J291" s="165">
        <f t="shared" si="50"/>
        <v>150.97222222222223</v>
      </c>
      <c r="K291" s="191">
        <f aca="true" t="shared" si="51" ref="K291:K317">H291/I291</f>
        <v>12.288868445262189</v>
      </c>
      <c r="L291" s="192">
        <v>672548</v>
      </c>
      <c r="M291" s="164">
        <v>57577</v>
      </c>
      <c r="N291" s="210">
        <f t="shared" si="49"/>
        <v>11.6808447817705</v>
      </c>
      <c r="O291" s="320"/>
    </row>
    <row r="292" spans="1:15" ht="15">
      <c r="A292" s="225">
        <v>288</v>
      </c>
      <c r="B292" s="463" t="s">
        <v>73</v>
      </c>
      <c r="C292" s="163">
        <v>40536</v>
      </c>
      <c r="D292" s="246" t="s">
        <v>24</v>
      </c>
      <c r="E292" s="245">
        <v>48</v>
      </c>
      <c r="F292" s="245">
        <v>10</v>
      </c>
      <c r="G292" s="245">
        <v>5</v>
      </c>
      <c r="H292" s="190">
        <v>11003</v>
      </c>
      <c r="I292" s="178">
        <v>1816</v>
      </c>
      <c r="J292" s="165">
        <f t="shared" si="50"/>
        <v>181.6</v>
      </c>
      <c r="K292" s="191">
        <f t="shared" si="51"/>
        <v>6.058920704845815</v>
      </c>
      <c r="L292" s="192">
        <v>691927</v>
      </c>
      <c r="M292" s="164">
        <v>60452</v>
      </c>
      <c r="N292" s="210">
        <f t="shared" si="49"/>
        <v>11.445890954807119</v>
      </c>
      <c r="O292" s="317"/>
    </row>
    <row r="293" spans="1:15" ht="15">
      <c r="A293" s="225">
        <v>289</v>
      </c>
      <c r="B293" s="213" t="s">
        <v>73</v>
      </c>
      <c r="C293" s="163">
        <v>40536</v>
      </c>
      <c r="D293" s="234" t="s">
        <v>24</v>
      </c>
      <c r="E293" s="233">
        <v>48</v>
      </c>
      <c r="F293" s="233">
        <v>7</v>
      </c>
      <c r="G293" s="233">
        <v>4</v>
      </c>
      <c r="H293" s="190">
        <v>8376</v>
      </c>
      <c r="I293" s="178">
        <v>1059</v>
      </c>
      <c r="J293" s="165">
        <f t="shared" si="50"/>
        <v>151.28571428571428</v>
      </c>
      <c r="K293" s="191">
        <f t="shared" si="51"/>
        <v>7.909348441926346</v>
      </c>
      <c r="L293" s="192">
        <v>680924</v>
      </c>
      <c r="M293" s="164">
        <v>58636</v>
      </c>
      <c r="N293" s="210">
        <f t="shared" si="49"/>
        <v>11.612729381267481</v>
      </c>
      <c r="O293" s="316"/>
    </row>
    <row r="294" spans="1:15" ht="15">
      <c r="A294" s="225">
        <v>290</v>
      </c>
      <c r="B294" s="213" t="s">
        <v>73</v>
      </c>
      <c r="C294" s="402">
        <v>40536</v>
      </c>
      <c r="D294" s="234" t="s">
        <v>24</v>
      </c>
      <c r="E294" s="233">
        <v>48</v>
      </c>
      <c r="F294" s="233">
        <v>4</v>
      </c>
      <c r="G294" s="233">
        <v>9</v>
      </c>
      <c r="H294" s="190">
        <v>3417</v>
      </c>
      <c r="I294" s="178">
        <v>493</v>
      </c>
      <c r="J294" s="165">
        <f t="shared" si="50"/>
        <v>123.25</v>
      </c>
      <c r="K294" s="191">
        <f t="shared" si="51"/>
        <v>6.931034482758621</v>
      </c>
      <c r="L294" s="192">
        <v>702704</v>
      </c>
      <c r="M294" s="164">
        <v>62786</v>
      </c>
      <c r="N294" s="210">
        <f t="shared" si="49"/>
        <v>11.192049182938872</v>
      </c>
      <c r="O294" s="316"/>
    </row>
    <row r="295" spans="1:15" ht="15">
      <c r="A295" s="225">
        <v>291</v>
      </c>
      <c r="B295" s="209" t="s">
        <v>73</v>
      </c>
      <c r="C295" s="163">
        <v>40536</v>
      </c>
      <c r="D295" s="246" t="s">
        <v>24</v>
      </c>
      <c r="E295" s="245">
        <v>48</v>
      </c>
      <c r="F295" s="245">
        <v>5</v>
      </c>
      <c r="G295" s="245">
        <v>8</v>
      </c>
      <c r="H295" s="190">
        <v>2592</v>
      </c>
      <c r="I295" s="178">
        <v>363</v>
      </c>
      <c r="J295" s="165">
        <f t="shared" si="50"/>
        <v>72.6</v>
      </c>
      <c r="K295" s="191">
        <f t="shared" si="51"/>
        <v>7.140495867768595</v>
      </c>
      <c r="L295" s="192">
        <v>699287</v>
      </c>
      <c r="M295" s="164">
        <v>62293</v>
      </c>
      <c r="N295" s="210">
        <f t="shared" si="49"/>
        <v>11.225771756056057</v>
      </c>
      <c r="O295" s="321"/>
    </row>
    <row r="296" spans="1:15" ht="15">
      <c r="A296" s="225">
        <v>292</v>
      </c>
      <c r="B296" s="213" t="s">
        <v>73</v>
      </c>
      <c r="C296" s="163">
        <v>40536</v>
      </c>
      <c r="D296" s="234" t="s">
        <v>24</v>
      </c>
      <c r="E296" s="233">
        <v>48</v>
      </c>
      <c r="F296" s="233">
        <v>2</v>
      </c>
      <c r="G296" s="233">
        <v>7</v>
      </c>
      <c r="H296" s="190">
        <v>2498</v>
      </c>
      <c r="I296" s="178">
        <v>822</v>
      </c>
      <c r="J296" s="165">
        <f t="shared" si="50"/>
        <v>411</v>
      </c>
      <c r="K296" s="191">
        <f t="shared" si="51"/>
        <v>3.0389294403892944</v>
      </c>
      <c r="L296" s="192">
        <v>696695</v>
      </c>
      <c r="M296" s="164">
        <v>61930</v>
      </c>
      <c r="N296" s="210">
        <f t="shared" si="49"/>
        <v>11.249717422896818</v>
      </c>
      <c r="O296" s="318"/>
    </row>
    <row r="297" spans="1:15" ht="15">
      <c r="A297" s="225">
        <v>293</v>
      </c>
      <c r="B297" s="209" t="s">
        <v>73</v>
      </c>
      <c r="C297" s="163">
        <v>40536</v>
      </c>
      <c r="D297" s="246" t="s">
        <v>24</v>
      </c>
      <c r="E297" s="245">
        <v>48</v>
      </c>
      <c r="F297" s="245">
        <v>3</v>
      </c>
      <c r="G297" s="245">
        <v>6</v>
      </c>
      <c r="H297" s="190">
        <v>2270</v>
      </c>
      <c r="I297" s="178">
        <v>656</v>
      </c>
      <c r="J297" s="165">
        <f t="shared" si="50"/>
        <v>218.66666666666666</v>
      </c>
      <c r="K297" s="191">
        <f t="shared" si="51"/>
        <v>3.4603658536585367</v>
      </c>
      <c r="L297" s="192">
        <v>694197</v>
      </c>
      <c r="M297" s="164">
        <v>61108</v>
      </c>
      <c r="N297" s="210">
        <f t="shared" si="49"/>
        <v>11.360165608430975</v>
      </c>
      <c r="O297" s="317"/>
    </row>
    <row r="298" spans="1:15" ht="15">
      <c r="A298" s="225">
        <v>294</v>
      </c>
      <c r="B298" s="209" t="s">
        <v>73</v>
      </c>
      <c r="C298" s="163">
        <v>40536</v>
      </c>
      <c r="D298" s="246" t="s">
        <v>24</v>
      </c>
      <c r="E298" s="245">
        <v>48</v>
      </c>
      <c r="F298" s="245">
        <v>1</v>
      </c>
      <c r="G298" s="245">
        <v>10</v>
      </c>
      <c r="H298" s="192">
        <v>1190</v>
      </c>
      <c r="I298" s="164">
        <v>396</v>
      </c>
      <c r="J298" s="165">
        <f t="shared" si="50"/>
        <v>396</v>
      </c>
      <c r="K298" s="191">
        <f t="shared" si="51"/>
        <v>3.005050505050505</v>
      </c>
      <c r="L298" s="192">
        <v>703894</v>
      </c>
      <c r="M298" s="164">
        <v>63182</v>
      </c>
      <c r="N298" s="210">
        <f t="shared" si="49"/>
        <v>11.140736285650977</v>
      </c>
      <c r="O298" s="320"/>
    </row>
    <row r="299" spans="1:15" ht="15">
      <c r="A299" s="225">
        <v>295</v>
      </c>
      <c r="B299" s="213" t="s">
        <v>167</v>
      </c>
      <c r="C299" s="402">
        <v>39577</v>
      </c>
      <c r="D299" s="234" t="s">
        <v>168</v>
      </c>
      <c r="E299" s="233">
        <v>26</v>
      </c>
      <c r="F299" s="233">
        <v>1</v>
      </c>
      <c r="G299" s="233">
        <v>16</v>
      </c>
      <c r="H299" s="430">
        <v>1188</v>
      </c>
      <c r="I299" s="442">
        <v>198</v>
      </c>
      <c r="J299" s="444">
        <f t="shared" si="50"/>
        <v>198</v>
      </c>
      <c r="K299" s="445">
        <f t="shared" si="51"/>
        <v>6</v>
      </c>
      <c r="L299" s="431">
        <v>117962.42</v>
      </c>
      <c r="M299" s="443">
        <v>13895</v>
      </c>
      <c r="N299" s="483">
        <f t="shared" si="49"/>
        <v>8.48955883411299</v>
      </c>
      <c r="O299" s="316"/>
    </row>
    <row r="300" spans="1:15" ht="15">
      <c r="A300" s="225">
        <v>296</v>
      </c>
      <c r="B300" s="460" t="s">
        <v>65</v>
      </c>
      <c r="C300" s="166">
        <v>40508</v>
      </c>
      <c r="D300" s="231" t="s">
        <v>119</v>
      </c>
      <c r="E300" s="243">
        <v>44</v>
      </c>
      <c r="F300" s="243">
        <v>2</v>
      </c>
      <c r="G300" s="243">
        <v>6</v>
      </c>
      <c r="H300" s="378">
        <v>1171.5</v>
      </c>
      <c r="I300" s="179">
        <v>282</v>
      </c>
      <c r="J300" s="172">
        <f aca="true" t="shared" si="52" ref="J300:J317">(I300/F300)</f>
        <v>141</v>
      </c>
      <c r="K300" s="385">
        <f t="shared" si="51"/>
        <v>4.154255319148936</v>
      </c>
      <c r="L300" s="186">
        <f>49086+11854+1926+2212.5+1180+1171.5</f>
        <v>67430</v>
      </c>
      <c r="M300" s="171">
        <f>5689+1635+274+420+165+282</f>
        <v>8465</v>
      </c>
      <c r="N300" s="187">
        <f aca="true" t="shared" si="53" ref="N300:N317">L300/M300</f>
        <v>7.96574128765505</v>
      </c>
      <c r="O300" s="323"/>
    </row>
    <row r="301" spans="1:15" ht="15">
      <c r="A301" s="225">
        <v>297</v>
      </c>
      <c r="B301" s="470" t="s">
        <v>3</v>
      </c>
      <c r="C301" s="423">
        <v>40473</v>
      </c>
      <c r="D301" s="231" t="s">
        <v>119</v>
      </c>
      <c r="E301" s="424">
        <v>2</v>
      </c>
      <c r="F301" s="424">
        <v>1</v>
      </c>
      <c r="G301" s="424">
        <v>8</v>
      </c>
      <c r="H301" s="378">
        <v>2138.5</v>
      </c>
      <c r="I301" s="396">
        <v>534</v>
      </c>
      <c r="J301" s="397">
        <f t="shared" si="52"/>
        <v>534</v>
      </c>
      <c r="K301" s="385">
        <f t="shared" si="51"/>
        <v>4.004681647940075</v>
      </c>
      <c r="L301" s="186">
        <f>6832+2665+3612+1330+1973+129+396+2138.5</f>
        <v>19075.5</v>
      </c>
      <c r="M301" s="269">
        <f>659+312+817+151+365+14+89+534</f>
        <v>2941</v>
      </c>
      <c r="N301" s="187">
        <f t="shared" si="53"/>
        <v>6.486059163549813</v>
      </c>
      <c r="O301" s="316"/>
    </row>
    <row r="302" spans="1:15" ht="15">
      <c r="A302" s="225">
        <v>298</v>
      </c>
      <c r="B302" s="472" t="s">
        <v>3</v>
      </c>
      <c r="C302" s="177">
        <v>40473</v>
      </c>
      <c r="D302" s="244" t="s">
        <v>119</v>
      </c>
      <c r="E302" s="249">
        <v>2</v>
      </c>
      <c r="F302" s="249">
        <v>1</v>
      </c>
      <c r="G302" s="249">
        <v>9</v>
      </c>
      <c r="H302" s="195">
        <v>1307</v>
      </c>
      <c r="I302" s="171">
        <v>327</v>
      </c>
      <c r="J302" s="172">
        <f t="shared" si="52"/>
        <v>327</v>
      </c>
      <c r="K302" s="194">
        <f t="shared" si="51"/>
        <v>3.996941896024465</v>
      </c>
      <c r="L302" s="195">
        <f>6832+2665+3612+1330+1973+129+396+2138.5+1307</f>
        <v>20382.5</v>
      </c>
      <c r="M302" s="171">
        <f>659+312+817+151+365+14+89+534+327</f>
        <v>3268</v>
      </c>
      <c r="N302" s="212">
        <f t="shared" si="53"/>
        <v>6.236995104039168</v>
      </c>
      <c r="O302" s="320"/>
    </row>
    <row r="303" spans="1:15" ht="15">
      <c r="A303" s="225">
        <v>299</v>
      </c>
      <c r="B303" s="472" t="s">
        <v>3</v>
      </c>
      <c r="C303" s="177">
        <v>40473</v>
      </c>
      <c r="D303" s="231" t="s">
        <v>119</v>
      </c>
      <c r="E303" s="249">
        <v>2</v>
      </c>
      <c r="F303" s="249">
        <v>1</v>
      </c>
      <c r="G303" s="249">
        <v>7</v>
      </c>
      <c r="H303" s="193">
        <v>396</v>
      </c>
      <c r="I303" s="179">
        <v>89</v>
      </c>
      <c r="J303" s="172">
        <f t="shared" si="52"/>
        <v>89</v>
      </c>
      <c r="K303" s="194">
        <f t="shared" si="51"/>
        <v>4.449438202247191</v>
      </c>
      <c r="L303" s="195">
        <f>6832+2665+3612+1330+1973+129+396</f>
        <v>16937</v>
      </c>
      <c r="M303" s="171">
        <f>659+312+817+151+365+14+89</f>
        <v>2407</v>
      </c>
      <c r="N303" s="212">
        <f t="shared" si="53"/>
        <v>7.036560033236394</v>
      </c>
      <c r="O303" s="323"/>
    </row>
    <row r="304" spans="1:15" ht="15">
      <c r="A304" s="225">
        <v>300</v>
      </c>
      <c r="B304" s="473" t="s">
        <v>3</v>
      </c>
      <c r="C304" s="177">
        <v>40473</v>
      </c>
      <c r="D304" s="231" t="s">
        <v>119</v>
      </c>
      <c r="E304" s="249">
        <v>2</v>
      </c>
      <c r="F304" s="249">
        <v>1</v>
      </c>
      <c r="G304" s="249">
        <v>6</v>
      </c>
      <c r="H304" s="378">
        <v>129</v>
      </c>
      <c r="I304" s="179">
        <v>14</v>
      </c>
      <c r="J304" s="172">
        <f t="shared" si="52"/>
        <v>14</v>
      </c>
      <c r="K304" s="385">
        <f t="shared" si="51"/>
        <v>9.214285714285714</v>
      </c>
      <c r="L304" s="186">
        <f>6832+2665+3612+1330+1973+129</f>
        <v>16541</v>
      </c>
      <c r="M304" s="171">
        <f>659+312+817+151+365+14</f>
        <v>2318</v>
      </c>
      <c r="N304" s="187">
        <f t="shared" si="53"/>
        <v>7.135893011216566</v>
      </c>
      <c r="O304" s="317"/>
    </row>
    <row r="305" spans="1:15" ht="15">
      <c r="A305" s="225">
        <v>301</v>
      </c>
      <c r="B305" s="460" t="s">
        <v>53</v>
      </c>
      <c r="C305" s="166">
        <v>40494</v>
      </c>
      <c r="D305" s="231" t="s">
        <v>119</v>
      </c>
      <c r="E305" s="243">
        <v>80</v>
      </c>
      <c r="F305" s="243">
        <v>13</v>
      </c>
      <c r="G305" s="243">
        <v>8</v>
      </c>
      <c r="H305" s="378">
        <v>11751.5</v>
      </c>
      <c r="I305" s="179">
        <v>2055</v>
      </c>
      <c r="J305" s="172">
        <f t="shared" si="52"/>
        <v>158.07692307692307</v>
      </c>
      <c r="K305" s="385">
        <f t="shared" si="51"/>
        <v>5.718491484184915</v>
      </c>
      <c r="L305" s="186">
        <f>400584.5+260220.5+91588.5+26738.5+6598.5+10112.5+8832+11751.5</f>
        <v>816426.5</v>
      </c>
      <c r="M305" s="171">
        <f>34427+24318+9929+5066+1310+1866+1322+2055</f>
        <v>80293</v>
      </c>
      <c r="N305" s="187">
        <f t="shared" si="53"/>
        <v>10.168090618111167</v>
      </c>
      <c r="O305" s="323"/>
    </row>
    <row r="306" spans="1:15" ht="15">
      <c r="A306" s="225">
        <v>302</v>
      </c>
      <c r="B306" s="460" t="s">
        <v>53</v>
      </c>
      <c r="C306" s="166">
        <v>40494</v>
      </c>
      <c r="D306" s="231" t="s">
        <v>119</v>
      </c>
      <c r="E306" s="243">
        <v>80</v>
      </c>
      <c r="F306" s="243">
        <v>1</v>
      </c>
      <c r="G306" s="243">
        <v>11</v>
      </c>
      <c r="H306" s="193">
        <v>3564</v>
      </c>
      <c r="I306" s="179">
        <v>891</v>
      </c>
      <c r="J306" s="172">
        <f t="shared" si="52"/>
        <v>891</v>
      </c>
      <c r="K306" s="194">
        <f t="shared" si="51"/>
        <v>4</v>
      </c>
      <c r="L306" s="195">
        <f>400584.5+260220.5+91588.5+26738.5+6598.5+10112.5+8832+11751.5+1782+1570.5+3564</f>
        <v>823343</v>
      </c>
      <c r="M306" s="171">
        <f>34427+24318+9929+5066+1310+1866+1322+2055+445+470+891</f>
        <v>82099</v>
      </c>
      <c r="N306" s="212">
        <f t="shared" si="53"/>
        <v>10.02866051961656</v>
      </c>
      <c r="O306" s="317"/>
    </row>
    <row r="307" spans="1:15" ht="15">
      <c r="A307" s="225">
        <v>303</v>
      </c>
      <c r="B307" s="207" t="s">
        <v>53</v>
      </c>
      <c r="C307" s="166">
        <v>40494</v>
      </c>
      <c r="D307" s="231" t="s">
        <v>119</v>
      </c>
      <c r="E307" s="243">
        <v>80</v>
      </c>
      <c r="F307" s="243">
        <v>1</v>
      </c>
      <c r="G307" s="243">
        <v>9</v>
      </c>
      <c r="H307" s="193">
        <v>1782</v>
      </c>
      <c r="I307" s="179">
        <v>445</v>
      </c>
      <c r="J307" s="172">
        <f t="shared" si="52"/>
        <v>445</v>
      </c>
      <c r="K307" s="194">
        <f t="shared" si="51"/>
        <v>4.004494382022472</v>
      </c>
      <c r="L307" s="195">
        <f>400584.5+260220.5+91588.5+26738.5+6598.5+10112.5+8832+11751.5+1782</f>
        <v>818208.5</v>
      </c>
      <c r="M307" s="171">
        <f>34427+24318+9929+5066+1310+1866+1322+2055+445</f>
        <v>80738</v>
      </c>
      <c r="N307" s="212">
        <f t="shared" si="53"/>
        <v>10.134119002204661</v>
      </c>
      <c r="O307" s="323"/>
    </row>
    <row r="308" spans="1:15" ht="15">
      <c r="A308" s="225">
        <v>304</v>
      </c>
      <c r="B308" s="461" t="s">
        <v>53</v>
      </c>
      <c r="C308" s="373">
        <v>40494</v>
      </c>
      <c r="D308" s="231" t="s">
        <v>119</v>
      </c>
      <c r="E308" s="375">
        <v>80</v>
      </c>
      <c r="F308" s="375">
        <v>2</v>
      </c>
      <c r="G308" s="375">
        <v>10</v>
      </c>
      <c r="H308" s="377">
        <v>1570.5</v>
      </c>
      <c r="I308" s="381">
        <v>470</v>
      </c>
      <c r="J308" s="382">
        <f t="shared" si="52"/>
        <v>235</v>
      </c>
      <c r="K308" s="384">
        <f t="shared" si="51"/>
        <v>3.3414893617021275</v>
      </c>
      <c r="L308" s="387">
        <f>400584.5+260220.5+91588.5+26738.5+6598.5+10112.5+8832+11751.5+1782+1570.5</f>
        <v>819779</v>
      </c>
      <c r="M308" s="388">
        <f>34427+24318+9929+5066+1310+1866+1322+2055+445+470</f>
        <v>81208</v>
      </c>
      <c r="N308" s="462">
        <f t="shared" si="53"/>
        <v>10.094805930450201</v>
      </c>
      <c r="O308" s="319"/>
    </row>
    <row r="309" spans="1:15" ht="15">
      <c r="A309" s="225">
        <v>305</v>
      </c>
      <c r="B309" s="207" t="s">
        <v>132</v>
      </c>
      <c r="C309" s="166">
        <v>40445</v>
      </c>
      <c r="D309" s="231" t="s">
        <v>119</v>
      </c>
      <c r="E309" s="243">
        <v>99</v>
      </c>
      <c r="F309" s="243">
        <v>1</v>
      </c>
      <c r="G309" s="243">
        <v>13</v>
      </c>
      <c r="H309" s="193">
        <v>966</v>
      </c>
      <c r="I309" s="179">
        <v>317</v>
      </c>
      <c r="J309" s="172">
        <f t="shared" si="52"/>
        <v>317</v>
      </c>
      <c r="K309" s="194">
        <f t="shared" si="51"/>
        <v>3.047318611987382</v>
      </c>
      <c r="L309" s="195">
        <f>321502+248658+168337.5+120626.5+93787.5+82596.5+8900+14133+4789+1421+2440+594+966</f>
        <v>1068751</v>
      </c>
      <c r="M309" s="171">
        <f>37510+29635+22309+17930+15012+11746+1292+2243+804+260+600+115+317</f>
        <v>139773</v>
      </c>
      <c r="N309" s="212">
        <f t="shared" si="53"/>
        <v>7.64633369821067</v>
      </c>
      <c r="O309" s="317">
        <v>1</v>
      </c>
    </row>
    <row r="310" spans="1:15" ht="15">
      <c r="A310" s="225">
        <v>306</v>
      </c>
      <c r="B310" s="242" t="s">
        <v>163</v>
      </c>
      <c r="C310" s="259">
        <v>40445</v>
      </c>
      <c r="D310" s="231" t="s">
        <v>119</v>
      </c>
      <c r="E310" s="232">
        <v>99</v>
      </c>
      <c r="F310" s="232">
        <v>1</v>
      </c>
      <c r="G310" s="232">
        <v>14</v>
      </c>
      <c r="H310" s="193">
        <v>678</v>
      </c>
      <c r="I310" s="179">
        <v>102</v>
      </c>
      <c r="J310" s="172">
        <f t="shared" si="52"/>
        <v>102</v>
      </c>
      <c r="K310" s="194">
        <f t="shared" si="51"/>
        <v>6.647058823529412</v>
      </c>
      <c r="L310" s="195">
        <f>321502+248658+168337.5+120626.5+93787.5+82596.5+8900+14133+4789+1421+2440+594+966+678</f>
        <v>1069429</v>
      </c>
      <c r="M310" s="171">
        <f>37510+29635+22309+17930+15012+11746+1292+2243+804+260+600+115+317+102</f>
        <v>139875</v>
      </c>
      <c r="N310" s="212">
        <f t="shared" si="53"/>
        <v>7.645605004468275</v>
      </c>
      <c r="O310" s="316">
        <v>1</v>
      </c>
    </row>
    <row r="311" spans="1:15" ht="15">
      <c r="A311" s="225">
        <v>307</v>
      </c>
      <c r="B311" s="207" t="s">
        <v>100</v>
      </c>
      <c r="C311" s="166">
        <v>40445</v>
      </c>
      <c r="D311" s="231" t="s">
        <v>119</v>
      </c>
      <c r="E311" s="243">
        <v>99</v>
      </c>
      <c r="F311" s="243">
        <v>1</v>
      </c>
      <c r="G311" s="243">
        <v>12</v>
      </c>
      <c r="H311" s="193">
        <v>594</v>
      </c>
      <c r="I311" s="179">
        <v>115</v>
      </c>
      <c r="J311" s="172">
        <f t="shared" si="52"/>
        <v>115</v>
      </c>
      <c r="K311" s="194">
        <f t="shared" si="51"/>
        <v>5.165217391304348</v>
      </c>
      <c r="L311" s="195">
        <f>321502+248658+168337.5+120626.5+93787.5+82596.5+8900+14133+4789+1421+2440+594</f>
        <v>1067785</v>
      </c>
      <c r="M311" s="171">
        <f>37510+29635+22309+17930+15012+11746+1292+2243+804+260+600+115</f>
        <v>139456</v>
      </c>
      <c r="N311" s="212">
        <f t="shared" si="53"/>
        <v>7.65678780403855</v>
      </c>
      <c r="O311" s="323">
        <v>1</v>
      </c>
    </row>
    <row r="312" spans="1:15" ht="15">
      <c r="A312" s="225">
        <v>308</v>
      </c>
      <c r="B312" s="460" t="s">
        <v>35</v>
      </c>
      <c r="C312" s="166">
        <v>40508</v>
      </c>
      <c r="D312" s="231" t="s">
        <v>119</v>
      </c>
      <c r="E312" s="243">
        <v>34</v>
      </c>
      <c r="F312" s="243">
        <v>17</v>
      </c>
      <c r="G312" s="243">
        <v>6</v>
      </c>
      <c r="H312" s="378">
        <v>14630.5</v>
      </c>
      <c r="I312" s="179">
        <v>2283</v>
      </c>
      <c r="J312" s="172">
        <f t="shared" si="52"/>
        <v>134.2941176470588</v>
      </c>
      <c r="K312" s="385">
        <f t="shared" si="51"/>
        <v>6.408453788874288</v>
      </c>
      <c r="L312" s="186">
        <f>122173+87330+23120+25637+29159.5+14630.5</f>
        <v>302050</v>
      </c>
      <c r="M312" s="171">
        <f>10588+8153+2702+3877+4807+2283</f>
        <v>32410</v>
      </c>
      <c r="N312" s="187">
        <f t="shared" si="53"/>
        <v>9.319654427645789</v>
      </c>
      <c r="O312" s="320"/>
    </row>
    <row r="313" spans="1:15" ht="15">
      <c r="A313" s="225">
        <v>309</v>
      </c>
      <c r="B313" s="207" t="s">
        <v>35</v>
      </c>
      <c r="C313" s="166">
        <v>40508</v>
      </c>
      <c r="D313" s="244" t="s">
        <v>119</v>
      </c>
      <c r="E313" s="243">
        <v>34</v>
      </c>
      <c r="F313" s="243">
        <v>1</v>
      </c>
      <c r="G313" s="243">
        <v>11</v>
      </c>
      <c r="H313" s="193">
        <v>1632.5</v>
      </c>
      <c r="I313" s="179">
        <v>203</v>
      </c>
      <c r="J313" s="172">
        <f t="shared" si="52"/>
        <v>203</v>
      </c>
      <c r="K313" s="194">
        <f t="shared" si="51"/>
        <v>8.041871921182265</v>
      </c>
      <c r="L313" s="195">
        <f>122173+87330+23120+25637+29159.5+14630.5+403+1246+229+767+1632.5</f>
        <v>306327.5</v>
      </c>
      <c r="M313" s="171">
        <f>10588+8153+2702+3877+4807+2283+58+199+33+115+203</f>
        <v>33018</v>
      </c>
      <c r="N313" s="212">
        <f t="shared" si="53"/>
        <v>9.277591010963716</v>
      </c>
      <c r="O313" s="497"/>
    </row>
    <row r="314" spans="1:15" ht="15">
      <c r="A314" s="225">
        <v>310</v>
      </c>
      <c r="B314" s="460" t="s">
        <v>35</v>
      </c>
      <c r="C314" s="166">
        <v>40508</v>
      </c>
      <c r="D314" s="231" t="s">
        <v>119</v>
      </c>
      <c r="E314" s="243">
        <v>34</v>
      </c>
      <c r="F314" s="243">
        <v>2</v>
      </c>
      <c r="G314" s="243">
        <v>8</v>
      </c>
      <c r="H314" s="193">
        <v>1246</v>
      </c>
      <c r="I314" s="179">
        <v>199</v>
      </c>
      <c r="J314" s="172">
        <f t="shared" si="52"/>
        <v>99.5</v>
      </c>
      <c r="K314" s="194">
        <f t="shared" si="51"/>
        <v>6.261306532663316</v>
      </c>
      <c r="L314" s="195">
        <f>122173+87330+23120+25637+29159.5+14630.5+403+1246</f>
        <v>303699</v>
      </c>
      <c r="M314" s="171">
        <f>10588+8153+2702+3877+4807+2283+58+199</f>
        <v>32667</v>
      </c>
      <c r="N314" s="212">
        <f t="shared" si="53"/>
        <v>9.296813297823492</v>
      </c>
      <c r="O314" s="317"/>
    </row>
    <row r="315" spans="1:15" ht="15">
      <c r="A315" s="225">
        <v>311</v>
      </c>
      <c r="B315" s="207" t="s">
        <v>35</v>
      </c>
      <c r="C315" s="166">
        <v>40508</v>
      </c>
      <c r="D315" s="244" t="s">
        <v>119</v>
      </c>
      <c r="E315" s="243">
        <v>34</v>
      </c>
      <c r="F315" s="243">
        <v>1</v>
      </c>
      <c r="G315" s="243">
        <v>10</v>
      </c>
      <c r="H315" s="195">
        <v>767</v>
      </c>
      <c r="I315" s="171">
        <v>115</v>
      </c>
      <c r="J315" s="172">
        <f t="shared" si="52"/>
        <v>115</v>
      </c>
      <c r="K315" s="194">
        <f t="shared" si="51"/>
        <v>6.6695652173913045</v>
      </c>
      <c r="L315" s="195">
        <f>122173+87330+23120+25637+29159.5+14630.5+403+1246+229+767</f>
        <v>304695</v>
      </c>
      <c r="M315" s="171">
        <f>10588+8153+2702+3877+4807+2283+58+199+33+115</f>
        <v>32815</v>
      </c>
      <c r="N315" s="212">
        <f t="shared" si="53"/>
        <v>9.28523541063538</v>
      </c>
      <c r="O315" s="320"/>
    </row>
    <row r="316" spans="1:15" ht="15">
      <c r="A316" s="225">
        <v>312</v>
      </c>
      <c r="B316" s="207" t="s">
        <v>35</v>
      </c>
      <c r="C316" s="166">
        <v>40508</v>
      </c>
      <c r="D316" s="231" t="s">
        <v>119</v>
      </c>
      <c r="E316" s="243">
        <v>34</v>
      </c>
      <c r="F316" s="243">
        <v>1</v>
      </c>
      <c r="G316" s="243">
        <v>7</v>
      </c>
      <c r="H316" s="193">
        <v>403</v>
      </c>
      <c r="I316" s="179">
        <v>58</v>
      </c>
      <c r="J316" s="172">
        <f t="shared" si="52"/>
        <v>58</v>
      </c>
      <c r="K316" s="194">
        <f t="shared" si="51"/>
        <v>6.948275862068965</v>
      </c>
      <c r="L316" s="195">
        <f>122173+87330+23120+25637+29159.5+14630.5+403</f>
        <v>302453</v>
      </c>
      <c r="M316" s="171">
        <f>10588+8153+2702+3877+4807+2283+58</f>
        <v>32468</v>
      </c>
      <c r="N316" s="212">
        <f t="shared" si="53"/>
        <v>9.315418257977084</v>
      </c>
      <c r="O316" s="323"/>
    </row>
    <row r="317" spans="1:15" ht="15">
      <c r="A317" s="225">
        <v>313</v>
      </c>
      <c r="B317" s="242" t="s">
        <v>35</v>
      </c>
      <c r="C317" s="259">
        <v>40508</v>
      </c>
      <c r="D317" s="231" t="s">
        <v>119</v>
      </c>
      <c r="E317" s="232">
        <v>34</v>
      </c>
      <c r="F317" s="232">
        <v>1</v>
      </c>
      <c r="G317" s="232">
        <v>9</v>
      </c>
      <c r="H317" s="378">
        <v>229</v>
      </c>
      <c r="I317" s="396">
        <v>33</v>
      </c>
      <c r="J317" s="397">
        <f t="shared" si="52"/>
        <v>33</v>
      </c>
      <c r="K317" s="385">
        <f t="shared" si="51"/>
        <v>6.9393939393939394</v>
      </c>
      <c r="L317" s="186">
        <f>122173+87330+23120+25637+29159.5+14630.5+403+1246+229</f>
        <v>303928</v>
      </c>
      <c r="M317" s="269">
        <f>10588+8153+2702+3877+4807+2283+58+199+33</f>
        <v>32700</v>
      </c>
      <c r="N317" s="187">
        <f t="shared" si="53"/>
        <v>9.294434250764526</v>
      </c>
      <c r="O317" s="316"/>
    </row>
    <row r="318" spans="1:15" ht="15">
      <c r="A318" s="225">
        <v>314</v>
      </c>
      <c r="B318" s="242" t="s">
        <v>110</v>
      </c>
      <c r="C318" s="166">
        <v>40487</v>
      </c>
      <c r="D318" s="231" t="s">
        <v>26</v>
      </c>
      <c r="E318" s="232">
        <v>162</v>
      </c>
      <c r="F318" s="232">
        <v>2</v>
      </c>
      <c r="G318" s="232">
        <v>10</v>
      </c>
      <c r="H318" s="188">
        <v>1340</v>
      </c>
      <c r="I318" s="180">
        <v>198</v>
      </c>
      <c r="J318" s="170">
        <f>IF(H318&lt;&gt;0,I318/F318,"")</f>
        <v>99</v>
      </c>
      <c r="K318" s="197">
        <f>IF(H318&lt;&gt;0,H318/I318,"")</f>
        <v>6.767676767676767</v>
      </c>
      <c r="L318" s="189">
        <f>525983.5+915356-20+520720.5+229861+37809.5+41066.5+9062.5+5020+8527+1340</f>
        <v>2294726.5</v>
      </c>
      <c r="M318" s="167">
        <f>56225+93965-2+58841+28041+5233+5910+1474+785+1182+198</f>
        <v>251852</v>
      </c>
      <c r="N318" s="214">
        <f>IF(L318&lt;&gt;0,L318/M318,"")</f>
        <v>9.111408684465479</v>
      </c>
      <c r="O318" s="316"/>
    </row>
    <row r="319" spans="1:15" ht="15">
      <c r="A319" s="225">
        <v>315</v>
      </c>
      <c r="B319" s="480" t="s">
        <v>76</v>
      </c>
      <c r="C319" s="175">
        <v>40487</v>
      </c>
      <c r="D319" s="372" t="s">
        <v>26</v>
      </c>
      <c r="E319" s="243">
        <v>162</v>
      </c>
      <c r="F319" s="243">
        <v>8</v>
      </c>
      <c r="G319" s="243">
        <v>9</v>
      </c>
      <c r="H319" s="416">
        <v>8527</v>
      </c>
      <c r="I319" s="180">
        <v>1182</v>
      </c>
      <c r="J319" s="170">
        <f>IF(H319&lt;&gt;0,I319/F319,"")</f>
        <v>147.75</v>
      </c>
      <c r="K319" s="407">
        <f>IF(H319&lt;&gt;0,H319/I319,"")</f>
        <v>7.214043993231811</v>
      </c>
      <c r="L319" s="255">
        <f>525983.5+915356-20+520720.5+229861+37809.5+41066.5+9062.5+5020+8527</f>
        <v>2293386.5</v>
      </c>
      <c r="M319" s="176">
        <f>56225+93965-2+58841+28041+5233+5910+1474+785+1182</f>
        <v>251654</v>
      </c>
      <c r="N319" s="465">
        <f>IF(L319&lt;&gt;0,L319/M319,"")</f>
        <v>9.11325272000445</v>
      </c>
      <c r="O319" s="317"/>
    </row>
    <row r="320" spans="1:15" ht="15">
      <c r="A320" s="225">
        <v>316</v>
      </c>
      <c r="B320" s="207" t="s">
        <v>76</v>
      </c>
      <c r="C320" s="166">
        <v>40487</v>
      </c>
      <c r="D320" s="244" t="s">
        <v>26</v>
      </c>
      <c r="E320" s="243">
        <v>162</v>
      </c>
      <c r="F320" s="243">
        <v>1</v>
      </c>
      <c r="G320" s="243">
        <v>12</v>
      </c>
      <c r="H320" s="188">
        <v>1941</v>
      </c>
      <c r="I320" s="180">
        <v>388</v>
      </c>
      <c r="J320" s="167">
        <f>I320/F320</f>
        <v>388</v>
      </c>
      <c r="K320" s="202">
        <f>+H320/I320</f>
        <v>5.002577319587629</v>
      </c>
      <c r="L320" s="189">
        <f>525983.5+915356-20+520720.5+229861+37809.5+41066.5+9062.5+5020+8527+1340+1644+1941</f>
        <v>2298311.5</v>
      </c>
      <c r="M320" s="167">
        <f>56225+93965-2+58841+28041+5233+5910+1474+785+1182+198+319+388</f>
        <v>252559</v>
      </c>
      <c r="N320" s="210">
        <f>+L320/M320</f>
        <v>9.100097402983065</v>
      </c>
      <c r="O320" s="317">
        <v>1</v>
      </c>
    </row>
    <row r="321" spans="1:15" ht="15">
      <c r="A321" s="225">
        <v>317</v>
      </c>
      <c r="B321" s="460" t="s">
        <v>124</v>
      </c>
      <c r="C321" s="166">
        <v>40487</v>
      </c>
      <c r="D321" s="244" t="s">
        <v>26</v>
      </c>
      <c r="E321" s="243">
        <v>162</v>
      </c>
      <c r="F321" s="243">
        <v>3</v>
      </c>
      <c r="G321" s="243">
        <v>11</v>
      </c>
      <c r="H321" s="188">
        <v>1644</v>
      </c>
      <c r="I321" s="180">
        <v>319</v>
      </c>
      <c r="J321" s="172">
        <f>(I321/F321)</f>
        <v>106.33333333333333</v>
      </c>
      <c r="K321" s="194">
        <f>H321/I321</f>
        <v>5.153605015673981</v>
      </c>
      <c r="L321" s="189">
        <f>525983.5+915356-20+520720.5+229861+37809.5+41066.5+9062.5+5020+8527+1340+1644</f>
        <v>2296370.5</v>
      </c>
      <c r="M321" s="167">
        <f>56225+93965-2+58841+28041+5233+5910+1474+785+1182+198+319</f>
        <v>252171</v>
      </c>
      <c r="N321" s="212">
        <f>L321/M321</f>
        <v>9.106402004988679</v>
      </c>
      <c r="O321" s="317">
        <v>1</v>
      </c>
    </row>
    <row r="322" spans="1:15" ht="15">
      <c r="A322" s="225">
        <v>318</v>
      </c>
      <c r="B322" s="207" t="s">
        <v>76</v>
      </c>
      <c r="C322" s="166">
        <v>40487</v>
      </c>
      <c r="D322" s="244" t="s">
        <v>26</v>
      </c>
      <c r="E322" s="243">
        <v>162</v>
      </c>
      <c r="F322" s="243">
        <v>1</v>
      </c>
      <c r="G322" s="243">
        <v>16</v>
      </c>
      <c r="H322" s="189">
        <v>1503</v>
      </c>
      <c r="I322" s="167">
        <v>288</v>
      </c>
      <c r="J322" s="253">
        <v>19.8181818181821</v>
      </c>
      <c r="K322" s="254">
        <v>6.92102754237288</v>
      </c>
      <c r="L322" s="189">
        <f>525983.5+915356-20+520720.5+229861+37809.5+41066.5+9062.5+5020+8527+1340+1644+1941+1056+313+102+1503</f>
        <v>2301285.5</v>
      </c>
      <c r="M322" s="167">
        <f>56225+93965-2+58841+28041+5233+5910+1474+785+1182+198+319+388+171+52+17+288</f>
        <v>253087</v>
      </c>
      <c r="N322" s="271">
        <v>2.1488509451776</v>
      </c>
      <c r="O322" s="320">
        <v>1</v>
      </c>
    </row>
    <row r="323" spans="1:15" ht="15">
      <c r="A323" s="225">
        <v>319</v>
      </c>
      <c r="B323" s="240" t="s">
        <v>124</v>
      </c>
      <c r="C323" s="410">
        <v>40487</v>
      </c>
      <c r="D323" s="446" t="s">
        <v>26</v>
      </c>
      <c r="E323" s="228">
        <v>162</v>
      </c>
      <c r="F323" s="228">
        <v>1</v>
      </c>
      <c r="G323" s="228">
        <v>13</v>
      </c>
      <c r="H323" s="447">
        <v>1056</v>
      </c>
      <c r="I323" s="380">
        <v>171</v>
      </c>
      <c r="J323" s="230">
        <f>I323/F323</f>
        <v>171</v>
      </c>
      <c r="K323" s="414">
        <f>H323/I323</f>
        <v>6.175438596491228</v>
      </c>
      <c r="L323" s="448">
        <f>525983.5+915356-20+520720.5+229861+37809.5+41066.5+9062.5+5020+8527+1340+1644+1941+1056</f>
        <v>2299367.5</v>
      </c>
      <c r="M323" s="230">
        <f>56225+93965-2+58841+28041+5233+5910+1474+785+1182+198+319+388+171</f>
        <v>252730</v>
      </c>
      <c r="N323" s="467">
        <f>L323/M323</f>
        <v>9.098118545483322</v>
      </c>
      <c r="O323" s="321">
        <v>1</v>
      </c>
    </row>
    <row r="324" spans="1:15" ht="15">
      <c r="A324" s="225">
        <v>320</v>
      </c>
      <c r="B324" s="242" t="s">
        <v>76</v>
      </c>
      <c r="C324" s="259">
        <v>40487</v>
      </c>
      <c r="D324" s="231" t="s">
        <v>26</v>
      </c>
      <c r="E324" s="232">
        <v>162</v>
      </c>
      <c r="F324" s="232">
        <v>1</v>
      </c>
      <c r="G324" s="232">
        <v>14</v>
      </c>
      <c r="H324" s="188">
        <v>313</v>
      </c>
      <c r="I324" s="180">
        <v>52</v>
      </c>
      <c r="J324" s="170">
        <f>+I324/F324</f>
        <v>52</v>
      </c>
      <c r="K324" s="197">
        <f>+H324/I324</f>
        <v>6.019230769230769</v>
      </c>
      <c r="L324" s="189">
        <f>525983.5+915356-20+520720.5+229861+37809.5+41066.5+9062.5+5020+8527+1340+1644+1941+1056+313</f>
        <v>2299680.5</v>
      </c>
      <c r="M324" s="167">
        <f>56225+93965-2+58841+28041+5233+5910+1474+785+1182+198+319+388+171+52</f>
        <v>252782</v>
      </c>
      <c r="N324" s="214">
        <f>+L324/M324</f>
        <v>9.097485184862846</v>
      </c>
      <c r="O324" s="316">
        <v>1</v>
      </c>
    </row>
    <row r="325" spans="1:15" ht="15">
      <c r="A325" s="225">
        <v>321</v>
      </c>
      <c r="B325" s="242" t="s">
        <v>76</v>
      </c>
      <c r="C325" s="259">
        <v>40487</v>
      </c>
      <c r="D325" s="231" t="s">
        <v>26</v>
      </c>
      <c r="E325" s="232">
        <v>162</v>
      </c>
      <c r="F325" s="232">
        <v>1</v>
      </c>
      <c r="G325" s="232">
        <v>15</v>
      </c>
      <c r="H325" s="379">
        <v>102</v>
      </c>
      <c r="I325" s="438">
        <v>17</v>
      </c>
      <c r="J325" s="428">
        <f>+I325/F325</f>
        <v>17</v>
      </c>
      <c r="K325" s="407">
        <f>+H325/I325</f>
        <v>6</v>
      </c>
      <c r="L325" s="255">
        <f>525983.5+915356-20+520720.5+229861+37809.5+41066.5+9062.5+5020+8527+1340+1644+1941+1056+313+102</f>
        <v>2299782.5</v>
      </c>
      <c r="M325" s="268">
        <f>56225+93965-2+58841+28041+5233+5910+1474+785+1182+198+319+388+171+52+17</f>
        <v>252799</v>
      </c>
      <c r="N325" s="465">
        <f>+L325/M325</f>
        <v>9.097276887962373</v>
      </c>
      <c r="O325" s="316">
        <v>1</v>
      </c>
    </row>
    <row r="326" spans="1:15" ht="15">
      <c r="A326" s="225">
        <v>322</v>
      </c>
      <c r="B326" s="207" t="s">
        <v>135</v>
      </c>
      <c r="C326" s="166">
        <v>40235</v>
      </c>
      <c r="D326" s="231" t="s">
        <v>119</v>
      </c>
      <c r="E326" s="243">
        <v>227</v>
      </c>
      <c r="F326" s="243">
        <v>1</v>
      </c>
      <c r="G326" s="243">
        <v>30</v>
      </c>
      <c r="H326" s="193">
        <v>950.5</v>
      </c>
      <c r="I326" s="179">
        <v>238</v>
      </c>
      <c r="J326" s="172">
        <f aca="true" t="shared" si="54" ref="J326:J334">(I326/F326)</f>
        <v>238</v>
      </c>
      <c r="K326" s="194">
        <f aca="true" t="shared" si="55" ref="K326:K334">H326/I326</f>
        <v>3.9936974789915967</v>
      </c>
      <c r="L326" s="195">
        <f>8240207.5+202+255+7892+2376+1782+1782+2376+950.5</f>
        <v>8257823</v>
      </c>
      <c r="M326" s="171">
        <f>1023896+40+51+1967+594+445+445+594+238</f>
        <v>1028270</v>
      </c>
      <c r="N326" s="212">
        <f aca="true" t="shared" si="56" ref="N326:N334">L326/M326</f>
        <v>8.030792496134284</v>
      </c>
      <c r="O326" s="389">
        <v>1</v>
      </c>
    </row>
    <row r="327" spans="1:15" ht="15">
      <c r="A327" s="225">
        <v>323</v>
      </c>
      <c r="B327" s="461" t="s">
        <v>21</v>
      </c>
      <c r="C327" s="373">
        <v>40480</v>
      </c>
      <c r="D327" s="231" t="s">
        <v>119</v>
      </c>
      <c r="E327" s="375">
        <v>100</v>
      </c>
      <c r="F327" s="375">
        <v>4</v>
      </c>
      <c r="G327" s="375">
        <v>15</v>
      </c>
      <c r="H327" s="377">
        <v>8910</v>
      </c>
      <c r="I327" s="381">
        <v>2228</v>
      </c>
      <c r="J327" s="382">
        <f t="shared" si="54"/>
        <v>557</v>
      </c>
      <c r="K327" s="384">
        <f t="shared" si="55"/>
        <v>3.9991023339317775</v>
      </c>
      <c r="L327" s="387">
        <f>1221166+429124.5+378100+240009.5+108018.5+26890.5+15319+16968+7345.5+4160+1262+1510+3920.5+2732.5+8910</f>
        <v>2465436.5</v>
      </c>
      <c r="M327" s="388">
        <f>114702+40612+35598+23284+12543+4168+3055+2661+1161+850+210+377+981+684+2228</f>
        <v>243114</v>
      </c>
      <c r="N327" s="462">
        <f t="shared" si="56"/>
        <v>10.141071678307297</v>
      </c>
      <c r="O327" s="390"/>
    </row>
    <row r="328" spans="1:15" ht="15">
      <c r="A328" s="225">
        <v>324</v>
      </c>
      <c r="B328" s="460" t="s">
        <v>21</v>
      </c>
      <c r="C328" s="166">
        <v>40480</v>
      </c>
      <c r="D328" s="231" t="s">
        <v>119</v>
      </c>
      <c r="E328" s="243">
        <v>100</v>
      </c>
      <c r="F328" s="243">
        <v>11</v>
      </c>
      <c r="G328" s="243">
        <v>10</v>
      </c>
      <c r="H328" s="378">
        <v>4160</v>
      </c>
      <c r="I328" s="179">
        <v>850</v>
      </c>
      <c r="J328" s="172">
        <f t="shared" si="54"/>
        <v>77.27272727272727</v>
      </c>
      <c r="K328" s="385">
        <f t="shared" si="55"/>
        <v>4.894117647058824</v>
      </c>
      <c r="L328" s="186">
        <f>1221166+429124.5+378100+240009.5+108018.5+26890.5+15319+16968+7345.5+4160</f>
        <v>2447101.5</v>
      </c>
      <c r="M328" s="171">
        <f>114702+40612+35598+23284+12543+4168+3055+2661+1161+850</f>
        <v>238634</v>
      </c>
      <c r="N328" s="187">
        <f t="shared" si="56"/>
        <v>10.254622141019302</v>
      </c>
      <c r="O328" s="389">
        <v>1</v>
      </c>
    </row>
    <row r="329" spans="1:15" ht="15">
      <c r="A329" s="225">
        <v>325</v>
      </c>
      <c r="B329" s="207" t="s">
        <v>21</v>
      </c>
      <c r="C329" s="166">
        <v>40480</v>
      </c>
      <c r="D329" s="231" t="s">
        <v>119</v>
      </c>
      <c r="E329" s="243">
        <v>100</v>
      </c>
      <c r="F329" s="243">
        <v>2</v>
      </c>
      <c r="G329" s="243">
        <v>13</v>
      </c>
      <c r="H329" s="193">
        <v>3920.5</v>
      </c>
      <c r="I329" s="179">
        <v>982</v>
      </c>
      <c r="J329" s="172">
        <f t="shared" si="54"/>
        <v>491</v>
      </c>
      <c r="K329" s="194">
        <f t="shared" si="55"/>
        <v>3.9923625254582484</v>
      </c>
      <c r="L329" s="195">
        <f>1221166+429124.5+378100+240009.5+108018.5+26890.5+15319+16968+7345.5+4160+1262+1510+3920.5</f>
        <v>2453794</v>
      </c>
      <c r="M329" s="171">
        <f>114702+40612+35598+23284+12543+4168+3055+2661+1161+850+210+377+982</f>
        <v>240203</v>
      </c>
      <c r="N329" s="212">
        <f t="shared" si="56"/>
        <v>10.215501055357343</v>
      </c>
      <c r="O329" s="389"/>
    </row>
    <row r="330" spans="1:15" ht="15">
      <c r="A330" s="225">
        <v>326</v>
      </c>
      <c r="B330" s="242" t="s">
        <v>21</v>
      </c>
      <c r="C330" s="166">
        <v>40480</v>
      </c>
      <c r="D330" s="231" t="s">
        <v>119</v>
      </c>
      <c r="E330" s="232">
        <v>100</v>
      </c>
      <c r="F330" s="232">
        <v>2</v>
      </c>
      <c r="G330" s="232">
        <v>14</v>
      </c>
      <c r="H330" s="193">
        <v>2732.5</v>
      </c>
      <c r="I330" s="179">
        <v>684</v>
      </c>
      <c r="J330" s="172">
        <f t="shared" si="54"/>
        <v>342</v>
      </c>
      <c r="K330" s="194">
        <f t="shared" si="55"/>
        <v>3.9948830409356724</v>
      </c>
      <c r="L330" s="195">
        <f>1221166+429124.5+378100+240009.5+108018.5+26890.5+15319+16968+7345.5+4160+1262+1510+3920.5+2732.5</f>
        <v>2456526.5</v>
      </c>
      <c r="M330" s="171">
        <f>114702+40612+35598+23284+12543+4168+3055+2661+1161+850+210+377+981+684</f>
        <v>240886</v>
      </c>
      <c r="N330" s="212">
        <f t="shared" si="56"/>
        <v>10.197879909998921</v>
      </c>
      <c r="O330" s="391"/>
    </row>
    <row r="331" spans="1:15" ht="15">
      <c r="A331" s="225">
        <v>327</v>
      </c>
      <c r="B331" s="461" t="s">
        <v>21</v>
      </c>
      <c r="C331" s="373">
        <v>40480</v>
      </c>
      <c r="D331" s="231" t="s">
        <v>119</v>
      </c>
      <c r="E331" s="375">
        <v>100</v>
      </c>
      <c r="F331" s="375">
        <v>1</v>
      </c>
      <c r="G331" s="375">
        <v>12</v>
      </c>
      <c r="H331" s="377">
        <v>1510</v>
      </c>
      <c r="I331" s="381">
        <v>377</v>
      </c>
      <c r="J331" s="382">
        <f t="shared" si="54"/>
        <v>377</v>
      </c>
      <c r="K331" s="384">
        <f t="shared" si="55"/>
        <v>4.005305039787799</v>
      </c>
      <c r="L331" s="387">
        <f>1221166+429124.5+378100+240009.5+108018.5+26890.5+15319+16968+7345.5+4160+1262+1510</f>
        <v>2449873.5</v>
      </c>
      <c r="M331" s="388">
        <f>114702+40612+35598+23284+12543+4168+3055+2661+1161+850+210+377</f>
        <v>239221</v>
      </c>
      <c r="N331" s="462">
        <f t="shared" si="56"/>
        <v>10.24104698166131</v>
      </c>
      <c r="O331" s="392"/>
    </row>
    <row r="332" spans="1:15" ht="15">
      <c r="A332" s="225">
        <v>328</v>
      </c>
      <c r="B332" s="207" t="s">
        <v>21</v>
      </c>
      <c r="C332" s="166">
        <v>40480</v>
      </c>
      <c r="D332" s="231" t="s">
        <v>119</v>
      </c>
      <c r="E332" s="243">
        <v>100</v>
      </c>
      <c r="F332" s="243">
        <v>2</v>
      </c>
      <c r="G332" s="243">
        <v>11</v>
      </c>
      <c r="H332" s="193">
        <v>1262</v>
      </c>
      <c r="I332" s="179">
        <v>210</v>
      </c>
      <c r="J332" s="172">
        <f t="shared" si="54"/>
        <v>105</v>
      </c>
      <c r="K332" s="194">
        <f t="shared" si="55"/>
        <v>6.0095238095238095</v>
      </c>
      <c r="L332" s="195">
        <f>1221166+429124.5+378100+240009.5+108018.5+26890.5+15319+16968+7345.5+4160+1262</f>
        <v>2448363.5</v>
      </c>
      <c r="M332" s="171">
        <f>114702+40612+35598+23284+12543+4168+3055+2661+1161+850+210</f>
        <v>238844</v>
      </c>
      <c r="N332" s="212">
        <f t="shared" si="56"/>
        <v>10.250889702064946</v>
      </c>
      <c r="O332" s="393"/>
    </row>
    <row r="333" spans="1:15" ht="15">
      <c r="A333" s="225">
        <v>329</v>
      </c>
      <c r="B333" s="207" t="s">
        <v>21</v>
      </c>
      <c r="C333" s="166">
        <v>40480</v>
      </c>
      <c r="D333" s="244" t="s">
        <v>119</v>
      </c>
      <c r="E333" s="243">
        <v>100</v>
      </c>
      <c r="F333" s="243">
        <v>1</v>
      </c>
      <c r="G333" s="243">
        <v>17</v>
      </c>
      <c r="H333" s="193">
        <v>670</v>
      </c>
      <c r="I333" s="179">
        <v>109</v>
      </c>
      <c r="J333" s="172">
        <f t="shared" si="54"/>
        <v>109</v>
      </c>
      <c r="K333" s="194">
        <f t="shared" si="55"/>
        <v>6.146788990825688</v>
      </c>
      <c r="L333" s="195">
        <f>1221166+429124.5+378100+240009.5+108018.5+26890.5+15319+16968+7345.5+4160+1262+1510+3920.5+2732.5+8910+571+670</f>
        <v>2466677.5</v>
      </c>
      <c r="M333" s="171">
        <f>114702+40612+35598+23284+12543+4168+3055+2661+1161+850+210+377+981+684+2228+92+109</f>
        <v>243315</v>
      </c>
      <c r="N333" s="212">
        <f t="shared" si="56"/>
        <v>10.13779462836241</v>
      </c>
      <c r="O333" s="294"/>
    </row>
    <row r="334" spans="1:15" ht="15">
      <c r="A334" s="225">
        <v>330</v>
      </c>
      <c r="B334" s="207" t="s">
        <v>21</v>
      </c>
      <c r="C334" s="166">
        <v>40480</v>
      </c>
      <c r="D334" s="244" t="s">
        <v>119</v>
      </c>
      <c r="E334" s="243">
        <v>100</v>
      </c>
      <c r="F334" s="243">
        <v>1</v>
      </c>
      <c r="G334" s="243">
        <v>16</v>
      </c>
      <c r="H334" s="195">
        <v>571</v>
      </c>
      <c r="I334" s="171">
        <v>92</v>
      </c>
      <c r="J334" s="172">
        <f t="shared" si="54"/>
        <v>92</v>
      </c>
      <c r="K334" s="194">
        <f t="shared" si="55"/>
        <v>6.206521739130435</v>
      </c>
      <c r="L334" s="195">
        <f>1221166+429124.5+378100+240009.5+108018.5+26890.5+15319+16968+7345.5+4160+1262+1510+3920.5+2732.5+8910+571</f>
        <v>2466007.5</v>
      </c>
      <c r="M334" s="171">
        <f>114702+40612+35598+23284+12543+4168+3055+2661+1161+850+210+377+981+684+2228+92</f>
        <v>243206</v>
      </c>
      <c r="N334" s="212">
        <f t="shared" si="56"/>
        <v>10.139583316201081</v>
      </c>
      <c r="O334" s="394"/>
    </row>
    <row r="335" spans="1:15" ht="15">
      <c r="A335" s="225">
        <v>331</v>
      </c>
      <c r="B335" s="466" t="s">
        <v>36</v>
      </c>
      <c r="C335" s="166">
        <v>40508</v>
      </c>
      <c r="D335" s="374" t="s">
        <v>23</v>
      </c>
      <c r="E335" s="243">
        <v>11</v>
      </c>
      <c r="F335" s="243">
        <v>3</v>
      </c>
      <c r="G335" s="243">
        <v>6</v>
      </c>
      <c r="H335" s="379">
        <v>3343</v>
      </c>
      <c r="I335" s="180">
        <v>754</v>
      </c>
      <c r="J335" s="167">
        <f>I335/F335</f>
        <v>251.33333333333334</v>
      </c>
      <c r="K335" s="386">
        <f>+H335/I335</f>
        <v>4.43368700265252</v>
      </c>
      <c r="L335" s="255">
        <v>107677</v>
      </c>
      <c r="M335" s="168">
        <v>8838</v>
      </c>
      <c r="N335" s="256">
        <f>+L335/M335</f>
        <v>12.183412536773025</v>
      </c>
      <c r="O335" s="389">
        <v>1</v>
      </c>
    </row>
    <row r="336" spans="1:15" ht="15.75" thickBot="1">
      <c r="A336" s="225">
        <v>332</v>
      </c>
      <c r="B336" s="484" t="s">
        <v>36</v>
      </c>
      <c r="C336" s="485">
        <v>40508</v>
      </c>
      <c r="D336" s="486" t="s">
        <v>23</v>
      </c>
      <c r="E336" s="487">
        <v>11</v>
      </c>
      <c r="F336" s="487">
        <v>1</v>
      </c>
      <c r="G336" s="487">
        <v>9</v>
      </c>
      <c r="H336" s="488">
        <v>1240</v>
      </c>
      <c r="I336" s="489">
        <v>164</v>
      </c>
      <c r="J336" s="490">
        <f>I336/F336</f>
        <v>164</v>
      </c>
      <c r="K336" s="491">
        <f>+H336/I336</f>
        <v>7.560975609756097</v>
      </c>
      <c r="L336" s="492">
        <v>108917</v>
      </c>
      <c r="M336" s="493">
        <v>9002</v>
      </c>
      <c r="N336" s="494">
        <f>+L336/M336</f>
        <v>12.09920017773828</v>
      </c>
      <c r="O336" s="395"/>
    </row>
  </sheetData>
  <sheetProtection/>
  <mergeCells count="9">
    <mergeCell ref="H3:K3"/>
    <mergeCell ref="L3:N3"/>
    <mergeCell ref="A2:N2"/>
    <mergeCell ref="E3:E4"/>
    <mergeCell ref="B3:B4"/>
    <mergeCell ref="C3:C4"/>
    <mergeCell ref="D3:D4"/>
    <mergeCell ref="F3:F4"/>
    <mergeCell ref="G3:G4"/>
  </mergeCells>
  <printOptions/>
  <pageMargins left="0.75" right="0.75" top="1" bottom="1" header="0.5" footer="0.5"/>
  <pageSetup orientation="portrait" paperSize="9"/>
  <ignoredErrors>
    <ignoredError sqref="R25:S25 R5:S8 R4:S4 L5:M20 L38:M51" unlockedFormula="1"/>
    <ignoredError sqref="R27:S27 R31:S31 R32:S32 R26:S26" formula="1" unlocked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Antrakt Sinema Gazetesi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Weekly Box Office</dc:title>
  <dc:subject>Türkiye Seyirci Raporları</dc:subject>
  <dc:creator>Deniz Yavuz</dc:creator>
  <cp:keywords/>
  <dc:description/>
  <cp:lastModifiedBy>ao</cp:lastModifiedBy>
  <cp:lastPrinted>2010-11-23T10:11:42Z</cp:lastPrinted>
  <dcterms:created xsi:type="dcterms:W3CDTF">2006-03-17T12:24:26Z</dcterms:created>
  <dcterms:modified xsi:type="dcterms:W3CDTF">2011-03-25T20:47:00Z</dcterms:modified>
  <cp:category/>
  <cp:version/>
  <cp:contentType/>
  <cp:contentStatus/>
</cp:coreProperties>
</file>