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24855" windowHeight="12285" tabRatio="804" activeTab="0"/>
  </bookViews>
  <sheets>
    <sheet name="13-15.01.2012 (weekend)" sheetId="1" r:id="rId1"/>
    <sheet name="Weekend (TOP 20)" sheetId="2" r:id="rId2"/>
    <sheet name="Week (TOP 20)" sheetId="3" r:id="rId3"/>
    <sheet name="Görünüm" sheetId="4" r:id="rId4"/>
    <sheet name="Dağıtımcı ligi" sheetId="5" r:id="rId5"/>
  </sheets>
  <definedNames>
    <definedName name="_xlnm.Print_Area" localSheetId="0">'13-15.01.2012 (weekend)'!$A$1:$AP$122</definedName>
  </definedNames>
  <calcPr fullCalcOnLoad="1"/>
</workbook>
</file>

<file path=xl/comments5.xml><?xml version="1.0" encoding="utf-8"?>
<comments xmlns="http://schemas.openxmlformats.org/spreadsheetml/2006/main">
  <authors>
    <author>DY</author>
  </authors>
  <commentList>
    <comment ref="E3" authorId="0">
      <text>
        <r>
          <rPr>
            <b/>
            <sz val="9"/>
            <rFont val="Tahoma"/>
            <family val="2"/>
          </rPr>
          <t>DY:</t>
        </r>
        <r>
          <rPr>
            <sz val="9"/>
            <rFont val="Tahoma"/>
            <family val="2"/>
          </rPr>
          <t xml:space="preserve">
O hafta sinemalara türk filmi programlayan şirket her belirtilen film başına 0,75 puan alır</t>
        </r>
      </text>
    </comment>
    <comment ref="F3" authorId="0">
      <text>
        <r>
          <rPr>
            <b/>
            <sz val="9"/>
            <rFont val="Tahoma"/>
            <family val="2"/>
          </rPr>
          <t>DY:</t>
        </r>
        <r>
          <rPr>
            <sz val="9"/>
            <rFont val="Tahoma"/>
            <family val="2"/>
          </rPr>
          <t xml:space="preserve">
O hafta sinemalara yabancı filmi programlayan şirket her film belirtilen başına 0,25 puan alır</t>
        </r>
      </text>
    </comment>
    <comment ref="G3" authorId="0">
      <text>
        <r>
          <rPr>
            <b/>
            <sz val="9"/>
            <rFont val="Tahoma"/>
            <family val="2"/>
          </rPr>
          <t>DY:</t>
        </r>
        <r>
          <rPr>
            <sz val="9"/>
            <rFont val="Tahoma"/>
            <family val="2"/>
          </rPr>
          <t xml:space="preserve">
O hafta sinemalara bir türk filmini ilk kez programlayan şirket her belirtilen film başına 3 puan alır</t>
        </r>
      </text>
    </comment>
    <comment ref="H3" authorId="0">
      <text>
        <r>
          <rPr>
            <b/>
            <sz val="9"/>
            <rFont val="Tahoma"/>
            <family val="2"/>
          </rPr>
          <t>DY:</t>
        </r>
        <r>
          <rPr>
            <sz val="9"/>
            <rFont val="Tahoma"/>
            <family val="2"/>
          </rPr>
          <t xml:space="preserve">
O hafta sinemalara bir yabancı filmi ilk kez programlayan şirket her belirtilen film başına 2 puan alır</t>
        </r>
      </text>
    </comment>
    <comment ref="I3" authorId="0">
      <text>
        <r>
          <rPr>
            <b/>
            <sz val="9"/>
            <rFont val="Tahoma"/>
            <family val="2"/>
          </rPr>
          <t>DY:</t>
        </r>
        <r>
          <rPr>
            <sz val="9"/>
            <rFont val="Tahoma"/>
            <family val="2"/>
          </rPr>
          <t xml:space="preserve">
O hafta sinemalara en fazla film programlayan şirketlere 0,75 puan verilir</t>
        </r>
      </text>
    </comment>
    <comment ref="J3"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3"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3"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3"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3"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3"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3"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3"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3"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3"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3"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3"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3"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16" authorId="0">
      <text>
        <r>
          <rPr>
            <b/>
            <sz val="9"/>
            <rFont val="Tahoma"/>
            <family val="2"/>
          </rPr>
          <t>DY:</t>
        </r>
        <r>
          <rPr>
            <sz val="9"/>
            <rFont val="Tahoma"/>
            <family val="2"/>
          </rPr>
          <t xml:space="preserve">
O hafta sinemalara türk filmi programlayan şirket her belirtilen film başına 0,75 puan alır</t>
        </r>
      </text>
    </comment>
    <comment ref="F16" authorId="0">
      <text>
        <r>
          <rPr>
            <b/>
            <sz val="9"/>
            <rFont val="Tahoma"/>
            <family val="2"/>
          </rPr>
          <t>DY:</t>
        </r>
        <r>
          <rPr>
            <sz val="9"/>
            <rFont val="Tahoma"/>
            <family val="2"/>
          </rPr>
          <t xml:space="preserve">
O hafta sinemalara yabancı filmi programlayan şirket her film belirtilen başına 0,25 puan alır</t>
        </r>
      </text>
    </comment>
    <comment ref="G16" authorId="0">
      <text>
        <r>
          <rPr>
            <b/>
            <sz val="9"/>
            <rFont val="Tahoma"/>
            <family val="2"/>
          </rPr>
          <t>DY:</t>
        </r>
        <r>
          <rPr>
            <sz val="9"/>
            <rFont val="Tahoma"/>
            <family val="2"/>
          </rPr>
          <t xml:space="preserve">
O hafta sinemalara bir türk filmini ilk kez programlayan şirket her belirtilen film başına 3 puan alır</t>
        </r>
      </text>
    </comment>
    <comment ref="H16" authorId="0">
      <text>
        <r>
          <rPr>
            <b/>
            <sz val="9"/>
            <rFont val="Tahoma"/>
            <family val="2"/>
          </rPr>
          <t>DY:</t>
        </r>
        <r>
          <rPr>
            <sz val="9"/>
            <rFont val="Tahoma"/>
            <family val="2"/>
          </rPr>
          <t xml:space="preserve">
O hafta sinemalara bir yabancı filmi ilk kez programlayan şirket her belirtilen film başına 2 puan alır</t>
        </r>
      </text>
    </comment>
    <comment ref="I16" authorId="0">
      <text>
        <r>
          <rPr>
            <b/>
            <sz val="9"/>
            <rFont val="Tahoma"/>
            <family val="2"/>
          </rPr>
          <t>DY:</t>
        </r>
        <r>
          <rPr>
            <sz val="9"/>
            <rFont val="Tahoma"/>
            <family val="2"/>
          </rPr>
          <t xml:space="preserve">
O hafta sinemalara en fazla film programlayan şirketlere 0,75 puan verilir</t>
        </r>
      </text>
    </comment>
    <comment ref="J16"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16"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16"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16"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16"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16"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16"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16"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16"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16"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16"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16"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16"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29" authorId="0">
      <text>
        <r>
          <rPr>
            <b/>
            <sz val="9"/>
            <rFont val="Tahoma"/>
            <family val="2"/>
          </rPr>
          <t>DY:</t>
        </r>
        <r>
          <rPr>
            <sz val="9"/>
            <rFont val="Tahoma"/>
            <family val="2"/>
          </rPr>
          <t xml:space="preserve">
O hafta sinemalara türk filmi programlayan şirket her belirtilen film başına 0,75 puan alır</t>
        </r>
      </text>
    </comment>
    <comment ref="F29" authorId="0">
      <text>
        <r>
          <rPr>
            <b/>
            <sz val="9"/>
            <rFont val="Tahoma"/>
            <family val="2"/>
          </rPr>
          <t>DY:</t>
        </r>
        <r>
          <rPr>
            <sz val="9"/>
            <rFont val="Tahoma"/>
            <family val="2"/>
          </rPr>
          <t xml:space="preserve">
O hafta sinemalara yabancı filmi programlayan şirket her film belirtilen başına 0,25 puan alır</t>
        </r>
      </text>
    </comment>
    <comment ref="G29" authorId="0">
      <text>
        <r>
          <rPr>
            <b/>
            <sz val="9"/>
            <rFont val="Tahoma"/>
            <family val="2"/>
          </rPr>
          <t>DY:</t>
        </r>
        <r>
          <rPr>
            <sz val="9"/>
            <rFont val="Tahoma"/>
            <family val="2"/>
          </rPr>
          <t xml:space="preserve">
O hafta sinemalara bir türk filmini ilk kez programlayan şirket her belirtilen film başına 3 puan alır</t>
        </r>
      </text>
    </comment>
    <comment ref="H29" authorId="0">
      <text>
        <r>
          <rPr>
            <b/>
            <sz val="9"/>
            <rFont val="Tahoma"/>
            <family val="2"/>
          </rPr>
          <t>DY:</t>
        </r>
        <r>
          <rPr>
            <sz val="9"/>
            <rFont val="Tahoma"/>
            <family val="2"/>
          </rPr>
          <t xml:space="preserve">
O hafta sinemalara bir yabancı filmi ilk kez programlayan şirket her belirtilen film başına 2 puan alır</t>
        </r>
      </text>
    </comment>
    <comment ref="I29" authorId="0">
      <text>
        <r>
          <rPr>
            <b/>
            <sz val="9"/>
            <rFont val="Tahoma"/>
            <family val="2"/>
          </rPr>
          <t>DY:</t>
        </r>
        <r>
          <rPr>
            <sz val="9"/>
            <rFont val="Tahoma"/>
            <family val="2"/>
          </rPr>
          <t xml:space="preserve">
O hafta sinemalara en fazla film programlayan şirketlere 0,75 puan verilir</t>
        </r>
      </text>
    </comment>
    <comment ref="J29"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29"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29"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29"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29"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29"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29"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29"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29"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29"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29"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29"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29"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List>
</comments>
</file>

<file path=xl/sharedStrings.xml><?xml version="1.0" encoding="utf-8"?>
<sst xmlns="http://schemas.openxmlformats.org/spreadsheetml/2006/main" count="1069" uniqueCount="419">
  <si>
    <t>Last Weekend</t>
  </si>
  <si>
    <t>Distributor</t>
  </si>
  <si>
    <t>Friday</t>
  </si>
  <si>
    <t>Saturday</t>
  </si>
  <si>
    <t>Sunday</t>
  </si>
  <si>
    <t>Change</t>
  </si>
  <si>
    <t>Adm.</t>
  </si>
  <si>
    <t>G.B.O.</t>
  </si>
  <si>
    <t>PİNEMA</t>
  </si>
  <si>
    <t>Title</t>
  </si>
  <si>
    <t>WARNER BROS. TÜRKİYE</t>
  </si>
  <si>
    <t>Weekend Total</t>
  </si>
  <si>
    <t>UIP TÜRKİYE</t>
  </si>
  <si>
    <t>M3 FILM</t>
  </si>
  <si>
    <r>
      <t xml:space="preserve">*Sorted according to Weekend Total G.B.O..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 </t>
    </r>
    <r>
      <rPr>
        <i/>
        <sz val="9"/>
        <color indexed="10"/>
        <rFont val="Calibri"/>
        <family val="2"/>
      </rPr>
      <t>Hafta sonu toplam hasılat sütununa göre sıralanmıştır. 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r>
  </si>
  <si>
    <t>Release</t>
  </si>
  <si>
    <t>Date</t>
  </si>
  <si>
    <t>Prints</t>
  </si>
  <si>
    <t># of</t>
  </si>
  <si>
    <t>Screen</t>
  </si>
  <si>
    <t>Weeks in</t>
  </si>
  <si>
    <t>Filmin adı</t>
  </si>
  <si>
    <t>Vizyon</t>
  </si>
  <si>
    <t>Tarihi</t>
  </si>
  <si>
    <t>İşletmeci</t>
  </si>
  <si>
    <t>Kopya</t>
  </si>
  <si>
    <t>Sayısı</t>
  </si>
  <si>
    <t>Perde</t>
  </si>
  <si>
    <t>Gösterim</t>
  </si>
  <si>
    <t>Haftası</t>
  </si>
  <si>
    <t>Avarage of</t>
  </si>
  <si>
    <t>Ticket P.</t>
  </si>
  <si>
    <t>Cuma</t>
  </si>
  <si>
    <t>Cumartesi</t>
  </si>
  <si>
    <t>Pazar</t>
  </si>
  <si>
    <t>Seyirci</t>
  </si>
  <si>
    <t>Ortalama</t>
  </si>
  <si>
    <t>Bilet</t>
  </si>
  <si>
    <t>Hasılat</t>
  </si>
  <si>
    <t>Değişim</t>
  </si>
  <si>
    <t>Haftasonu / İçi</t>
  </si>
  <si>
    <t>Weekend / Week</t>
  </si>
  <si>
    <t>Screen adm.</t>
  </si>
  <si>
    <t>Haftasonu toplam</t>
  </si>
  <si>
    <t>On 1 screen</t>
  </si>
  <si>
    <t>Bir salonda</t>
  </si>
  <si>
    <t>http://www.antraktsinema.com</t>
  </si>
  <si>
    <r>
      <t>TÜRKİYE</t>
    </r>
    <r>
      <rPr>
        <b/>
        <sz val="28"/>
        <rFont val="Calibri"/>
        <family val="2"/>
      </rPr>
      <t xml:space="preserve">'S </t>
    </r>
    <r>
      <rPr>
        <b/>
        <u val="single"/>
        <sz val="28"/>
        <rFont val="Calibri"/>
        <family val="2"/>
      </rPr>
      <t>WEEKEND</t>
    </r>
    <r>
      <rPr>
        <b/>
        <sz val="28"/>
        <rFont val="Calibri"/>
        <family val="2"/>
      </rPr>
      <t xml:space="preserve"> MARKET DATA</t>
    </r>
  </si>
  <si>
    <r>
      <t>Weekly Admissions &amp; Box Office Report /</t>
    </r>
    <r>
      <rPr>
        <b/>
        <i/>
        <sz val="10"/>
        <color indexed="16"/>
        <rFont val="Calibri"/>
        <family val="2"/>
      </rPr>
      <t xml:space="preserve"> </t>
    </r>
    <r>
      <rPr>
        <b/>
        <i/>
        <sz val="10"/>
        <color indexed="10"/>
        <rFont val="Calibri"/>
        <family val="2"/>
      </rPr>
      <t>Türkiye Haftalık Seyirci ve Hasılat Raporu</t>
    </r>
  </si>
  <si>
    <t>CARS 2</t>
  </si>
  <si>
    <t>Last Week</t>
  </si>
  <si>
    <t>Geçen hafta  %</t>
  </si>
  <si>
    <t>MEDYAVİZYON</t>
  </si>
  <si>
    <t>ÖZEN FİLM</t>
  </si>
  <si>
    <t>L</t>
  </si>
  <si>
    <t>A</t>
  </si>
  <si>
    <t>N</t>
  </si>
  <si>
    <t>FINAL DESTINATION 5</t>
  </si>
  <si>
    <t>SON DURAK 5</t>
  </si>
  <si>
    <t>ARABALAR 2</t>
  </si>
  <si>
    <t>ŞİRİNLER</t>
  </si>
  <si>
    <t>Filmin ingilizce ya da orijinal adı</t>
  </si>
  <si>
    <t>Turkish working title</t>
  </si>
  <si>
    <t>Filmin Türkçe adı</t>
  </si>
  <si>
    <t>English or original title</t>
  </si>
  <si>
    <t>PARANORMAL ACTIVITY 3</t>
  </si>
  <si>
    <t>BEHZAT Ç. SENİ KALBİME GÖMDÜM</t>
  </si>
  <si>
    <t>ANADOLU KARTALLARI</t>
  </si>
  <si>
    <t>TİGLON</t>
  </si>
  <si>
    <t>IN TIME</t>
  </si>
  <si>
    <t>ZAMANA KARŞI</t>
  </si>
  <si>
    <t>BENİ UNUTMA</t>
  </si>
  <si>
    <t>IMMORTALS</t>
  </si>
  <si>
    <t>GELECEK UZUN SÜRER</t>
  </si>
  <si>
    <t>ALLAH'IN SADIK KULU</t>
  </si>
  <si>
    <t>Yapım</t>
  </si>
  <si>
    <t>Production company</t>
  </si>
  <si>
    <t>CELAL TAN VE AİLESİNİN AŞIRI ACIKLI HİKAYESİ</t>
  </si>
  <si>
    <t>İthalat</t>
  </si>
  <si>
    <t>Kalinos</t>
  </si>
  <si>
    <t>Ser Film</t>
  </si>
  <si>
    <t>Adam Film</t>
  </si>
  <si>
    <t>Afs Film</t>
  </si>
  <si>
    <t>Universal</t>
  </si>
  <si>
    <t>ALACAKARANLIK EFSANESİ ŞAFAK VAKTİ: BÖLÜM 1</t>
  </si>
  <si>
    <t>Fida Film</t>
  </si>
  <si>
    <t>TWILIGHT SAGA: BREAKING DAWN - PART 1</t>
  </si>
  <si>
    <t>Nar Film</t>
  </si>
  <si>
    <t>New Regency Pictures</t>
  </si>
  <si>
    <t>Tiglon</t>
  </si>
  <si>
    <t>Imprint Entertainment</t>
  </si>
  <si>
    <t>Paramount</t>
  </si>
  <si>
    <t>Walt Disney</t>
  </si>
  <si>
    <t>Columbia</t>
  </si>
  <si>
    <t>UIP Türkiye</t>
  </si>
  <si>
    <t>Warner Bros. Türkiye</t>
  </si>
  <si>
    <t>Warner Bros. Pictures</t>
  </si>
  <si>
    <t>Jellystone Films</t>
  </si>
  <si>
    <t>Import</t>
  </si>
  <si>
    <t>Medyavizyon</t>
  </si>
  <si>
    <t>A DANGEROUS METHOD</t>
  </si>
  <si>
    <t>TEHLİKELİ İLİŞKİ</t>
  </si>
  <si>
    <t>Recorded Picture</t>
  </si>
  <si>
    <t>KUNG FU PANDA 2</t>
  </si>
  <si>
    <t>DEDEMİN İNSANLARI</t>
  </si>
  <si>
    <t>Ay Yapım - Most Production</t>
  </si>
  <si>
    <t>MAVİ PANSİYON</t>
  </si>
  <si>
    <t>ENTELKÖY EFEKÖY'E KARŞI</t>
  </si>
  <si>
    <t>SEEKING JUSTICE</t>
  </si>
  <si>
    <t>İNTİKAMIN BEDELİ</t>
  </si>
  <si>
    <t>MUSALLAT 2</t>
  </si>
  <si>
    <t>İZ</t>
  </si>
  <si>
    <t>Arti Film</t>
  </si>
  <si>
    <t>Mia Yapım</t>
  </si>
  <si>
    <t>Dfi</t>
  </si>
  <si>
    <t>YANGIN VAR</t>
  </si>
  <si>
    <t>Yol Film</t>
  </si>
  <si>
    <t>MONEYBALL</t>
  </si>
  <si>
    <t>Michael De Luca Productions</t>
  </si>
  <si>
    <t>KAZANMA SANATI</t>
  </si>
  <si>
    <t>AY BÜYÜRKEN UYUYAMAM</t>
  </si>
  <si>
    <t>CINE FILM</t>
  </si>
  <si>
    <t>MG Production</t>
  </si>
  <si>
    <t>Galata Film</t>
  </si>
  <si>
    <t>Tmc  Film</t>
  </si>
  <si>
    <t>Endgame</t>
  </si>
  <si>
    <t>Fox</t>
  </si>
  <si>
    <t>Kuzey Film</t>
  </si>
  <si>
    <t>Bir Film</t>
  </si>
  <si>
    <t>Studio Canal</t>
  </si>
  <si>
    <t>ACI TATLI TESADÜFLER</t>
  </si>
  <si>
    <t>LET ME IN</t>
  </si>
  <si>
    <t>Hammer</t>
  </si>
  <si>
    <t>Beta Cinema</t>
  </si>
  <si>
    <t>ALMANYA'YA HOŞGELDİNİZ</t>
  </si>
  <si>
    <t>WILLKOMMEN IN DEUTSCHLAND</t>
  </si>
  <si>
    <t>GİR KANIMA</t>
  </si>
  <si>
    <t>CARNAGE</t>
  </si>
  <si>
    <t>Özen Film</t>
  </si>
  <si>
    <t>ACIMASIZ TANRI</t>
  </si>
  <si>
    <t>Constantin</t>
  </si>
  <si>
    <t>SÜMELA'NIN ŞİFRESİ - TEMEL</t>
  </si>
  <si>
    <t>Üçgen Film</t>
  </si>
  <si>
    <t>AŞK VE DEVRİM</t>
  </si>
  <si>
    <t>ALVIN AND THE CHIPMUNKS: CHIPWRECKED</t>
  </si>
  <si>
    <t>ALVİN VE SİNCAPLAR: EĞLENCE ADASI</t>
  </si>
  <si>
    <t>SHERLOCK HOLMES: GÖLGE OYUNLARI</t>
  </si>
  <si>
    <t>SHARK NIGHT 3D</t>
  </si>
  <si>
    <t>NAR</t>
  </si>
  <si>
    <t>THE THING</t>
  </si>
  <si>
    <t>ŞEY</t>
  </si>
  <si>
    <t>LABİRENT</t>
  </si>
  <si>
    <t>HOP</t>
  </si>
  <si>
    <t>KATİL KÖPEKBALIĞI</t>
  </si>
  <si>
    <t>PERFECT SENSE</t>
  </si>
  <si>
    <t>YERYÜZÜNDEKİ SON AŞK</t>
  </si>
  <si>
    <t>MA PART DU GATEAU - MY PIECE OF THE PIE</t>
  </si>
  <si>
    <t>HJEM TIL JUL - HOME FOR CHRISTMAS</t>
  </si>
  <si>
    <t>THE FUTURE</t>
  </si>
  <si>
    <t>I RYMDEN TINNS INGA KANSLOR - SIMPLE SIMON</t>
  </si>
  <si>
    <t>YENİ YIL</t>
  </si>
  <si>
    <t>GELECEK</t>
  </si>
  <si>
    <t>GNK</t>
  </si>
  <si>
    <t>Pandora</t>
  </si>
  <si>
    <t>Naive</t>
  </si>
  <si>
    <t>AŞKIN FORMÜLÜ YOK</t>
  </si>
  <si>
    <t>Incentive Filmed Entertainment</t>
  </si>
  <si>
    <t>THE HOLE 3D</t>
  </si>
  <si>
    <t>THE DEVIL'S DOUBLE</t>
  </si>
  <si>
    <t>MAHZEN</t>
  </si>
  <si>
    <t>Bold Films</t>
  </si>
  <si>
    <t>Corsan</t>
  </si>
  <si>
    <t>ŞEYTANIN İKİZİ</t>
  </si>
  <si>
    <t>CELAL TAN VE AİLESİNİN ACIKLI HİKAYESİ</t>
  </si>
  <si>
    <t>THE STORY OF LEO</t>
  </si>
  <si>
    <t xml:space="preserve">CATCHER: CAT CITY 2 </t>
  </si>
  <si>
    <t>HORRID HENRY</t>
  </si>
  <si>
    <t>ASLAN KRAL'IN OĞLU LEO</t>
  </si>
  <si>
    <t>KEDİLER ŞEHRİ</t>
  </si>
  <si>
    <t>Vertigo</t>
  </si>
  <si>
    <t>FELAKET HENRY</t>
  </si>
  <si>
    <t>SİHİRLİ OYUNCAKLAR</t>
  </si>
  <si>
    <t>ÖLÜMSÜZLER: TANRILARIN SAVAŞI</t>
  </si>
  <si>
    <t>Goldcrest Post Production</t>
  </si>
  <si>
    <t>Strike Entertainment</t>
  </si>
  <si>
    <t>Adriana Chiesa</t>
  </si>
  <si>
    <t>Umut Sanat</t>
  </si>
  <si>
    <t xml:space="preserve">Colorfront </t>
  </si>
  <si>
    <t>Eflatun Film</t>
  </si>
  <si>
    <t xml:space="preserve">Pinema </t>
  </si>
  <si>
    <t>RED STATE</t>
  </si>
  <si>
    <t>İÇİNDE YAŞADIĞIM DERİ</t>
  </si>
  <si>
    <t>ŞEYTANIN İNİ</t>
  </si>
  <si>
    <t>Canal+ España</t>
  </si>
  <si>
    <t>Sigma Films</t>
  </si>
  <si>
    <t>The Harvey Boys</t>
  </si>
  <si>
    <t>ABDUCTION</t>
  </si>
  <si>
    <t>REAL STEEL</t>
  </si>
  <si>
    <t>RANGO</t>
  </si>
  <si>
    <t>WINNIE THE POOH</t>
  </si>
  <si>
    <t>THE IDES OF MARCH</t>
  </si>
  <si>
    <t>ÇELİK YUMRUKLAR</t>
  </si>
  <si>
    <t>CONAN</t>
  </si>
  <si>
    <t>KAÇIŞ</t>
  </si>
  <si>
    <t>ZİRVEYE GİDEN YOL</t>
  </si>
  <si>
    <t>Cross Creek Pictures</t>
  </si>
  <si>
    <t>D Productions</t>
  </si>
  <si>
    <t>Walt Disney Animation Studios</t>
  </si>
  <si>
    <t>DW Films</t>
  </si>
  <si>
    <t>Angry Films</t>
  </si>
  <si>
    <t>Nu Image Films</t>
  </si>
  <si>
    <t>Sinetel</t>
  </si>
  <si>
    <t>Gotham Group</t>
  </si>
  <si>
    <t>Paramount Pictures</t>
  </si>
  <si>
    <t>NEW YEAR'S EVE</t>
  </si>
  <si>
    <t>YILBAŞI GECESİ</t>
  </si>
  <si>
    <t>Karz Entertainment</t>
  </si>
  <si>
    <t>DreamWorks Pictures</t>
  </si>
  <si>
    <t>Ekip Film</t>
  </si>
  <si>
    <t>THE NUTCRACKER IN 3D</t>
  </si>
  <si>
    <t>THE SMURFS</t>
  </si>
  <si>
    <t>SHERLOCK HOLMES: A GAME OF SHADOWS</t>
  </si>
  <si>
    <t>MISSION: IMPOSSIBLE GHOST PROTOCOL</t>
  </si>
  <si>
    <t>D</t>
  </si>
  <si>
    <t>LA PIEL QUE HABITO - THE SKIN I LIVE IN</t>
  </si>
  <si>
    <t>If you move the arrow at the right bottom of the page to the left, you can see more columns and you can switch to other pages on the left bottom to see related tables. Sayfanın sağ altındaki oku sola doğru hareket ettirdiğinizde diğer sütunlardaki bilgileri görebilir, gene sayfanın sol altındaki diğer sayfalara geçerek ilgili tabloları inceleyebilirsiniz.</t>
  </si>
  <si>
    <t>Weekly Admissions &amp; Box Office Reports / Türkiye Haftalık Seyirci ve Hasılat Raporu</t>
  </si>
  <si>
    <t>Basic data of movies - Filmin genel bilgileri</t>
  </si>
  <si>
    <t>Weekly - Haftalık</t>
  </si>
  <si>
    <t>Weekend admissions and box office data - Haftasonu seyirci ve hasılat verileri</t>
  </si>
  <si>
    <t>Rest of the week - Haftaiçi</t>
  </si>
  <si>
    <t>All week - Bütün hafta</t>
  </si>
  <si>
    <t>Profit - Dağılım</t>
  </si>
  <si>
    <t>Average - Ortalama</t>
  </si>
  <si>
    <t>Cumulative data - Toplam veriler</t>
  </si>
  <si>
    <t>*Sorted according to Weekend Total G.B.O..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 Hafta sonu toplam hasılat sütununa göre sıralanmıştır. 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</si>
  <si>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Basic datas of movies - Filmin genel bilgileri</t>
  </si>
  <si>
    <t>GÖLGELER VE SURETLER</t>
  </si>
  <si>
    <t>Marathon</t>
  </si>
  <si>
    <t>BİR AYRILIK</t>
  </si>
  <si>
    <t>YAĞMURU BİLE</t>
  </si>
  <si>
    <t>ATTACK THE BLOCK</t>
  </si>
  <si>
    <t>UZAYLILARIN ŞAFAĞI</t>
  </si>
  <si>
    <t>KADININ FENDİ</t>
  </si>
  <si>
    <t>SOUND OF NOISE</t>
  </si>
  <si>
    <t>YAŞAMIN RİTMİ</t>
  </si>
  <si>
    <t>ÇÖLDE KUTUP AYISI</t>
  </si>
  <si>
    <t>Wild Bunch</t>
  </si>
  <si>
    <t>Yeni Bir Film</t>
  </si>
  <si>
    <t>MADE IN DAGENHAM - WE WANT SEX</t>
  </si>
  <si>
    <t>Audley Films</t>
  </si>
  <si>
    <t>DE HELAASHEID DER DINGEN - THE MISFORTUNATES</t>
  </si>
  <si>
    <t>Favourite Films</t>
  </si>
  <si>
    <t>GOETHE</t>
  </si>
  <si>
    <t>Senator</t>
  </si>
  <si>
    <t>GOETHE'NİN İLK AŞKI</t>
  </si>
  <si>
    <t>TAMBIEN LA ILUVIA - EVEN THE RAIN</t>
  </si>
  <si>
    <t>Mandarin</t>
  </si>
  <si>
    <t>JOAEIYE NADER AZ SIMIN - A SEPARATION</t>
  </si>
  <si>
    <t>Asghar Farhadi</t>
  </si>
  <si>
    <t>Mars</t>
  </si>
  <si>
    <t>EX</t>
  </si>
  <si>
    <t>ÖNCEKİ YILLARDA VİZYONA GİRMİŞ FİLMLER</t>
  </si>
  <si>
    <t>ANİMASYONLAR</t>
  </si>
  <si>
    <t>TÜRKİYE YAPIMLARI</t>
  </si>
  <si>
    <t>ÜÇ BOYUTLU DA GÖSTERİLENLER</t>
  </si>
  <si>
    <t>ARTHUR ET LES MINIMOYS</t>
  </si>
  <si>
    <t>ARTHUR VE MİNİMOYLAR</t>
  </si>
  <si>
    <t>LAST NIGHT</t>
  </si>
  <si>
    <t>BİR ZAMANLAR ANADOLU'DA</t>
  </si>
  <si>
    <t>UZAK İHTİMAL</t>
  </si>
  <si>
    <t>FACES IN THE CROWD</t>
  </si>
  <si>
    <t>ALPHA AND OMEGA</t>
  </si>
  <si>
    <t>Filma</t>
  </si>
  <si>
    <t>THE THREE MUSKETEERS 3D</t>
  </si>
  <si>
    <t>Goumont</t>
  </si>
  <si>
    <t>DUBLAJLI FİLMLER</t>
  </si>
  <si>
    <t>BU HAFTA İLK KEZ GÖSTERİLENLER</t>
  </si>
  <si>
    <t>Etiketler</t>
  </si>
  <si>
    <t>Posts</t>
  </si>
  <si>
    <t>SAKLI RUH</t>
  </si>
  <si>
    <t>Caramel</t>
  </si>
  <si>
    <t>HIDDEN 3D</t>
  </si>
  <si>
    <t>Hokus Fokus</t>
  </si>
  <si>
    <t>Zeyno Film</t>
  </si>
  <si>
    <t>SON GECE</t>
  </si>
  <si>
    <t>ÜÇ SİLAHŞÖRLER</t>
  </si>
  <si>
    <t>KATİLİN YÜZÜ</t>
  </si>
  <si>
    <t>ALFA VE OMEGA: EVE DÖNÜŞ MACERASI</t>
  </si>
  <si>
    <t>Crest Animation</t>
  </si>
  <si>
    <t>Forecast</t>
  </si>
  <si>
    <t>ONE DAY</t>
  </si>
  <si>
    <t>S</t>
  </si>
  <si>
    <t>DEVAM VE SERİ FİLMLER</t>
  </si>
  <si>
    <t>Etiketlerin açıklamaları</t>
  </si>
  <si>
    <t>BİR GÜN</t>
  </si>
  <si>
    <t>Color Fors</t>
  </si>
  <si>
    <t>Last</t>
  </si>
  <si>
    <t>Week</t>
  </si>
  <si>
    <t>Geçen</t>
  </si>
  <si>
    <t>Hafta</t>
  </si>
  <si>
    <t>Attempt</t>
  </si>
  <si>
    <t>Son</t>
  </si>
  <si>
    <t>Hareket</t>
  </si>
  <si>
    <t>REC - İZ</t>
  </si>
  <si>
    <r>
      <t>TÜRKİYE</t>
    </r>
    <r>
      <rPr>
        <b/>
        <sz val="28"/>
        <rFont val="Calibri"/>
        <family val="2"/>
      </rPr>
      <t xml:space="preserve">'S </t>
    </r>
    <r>
      <rPr>
        <b/>
        <u val="single"/>
        <sz val="28"/>
        <rFont val="Calibri"/>
        <family val="2"/>
      </rPr>
      <t>WEEKLY</t>
    </r>
    <r>
      <rPr>
        <b/>
        <sz val="28"/>
        <rFont val="Calibri"/>
        <family val="2"/>
      </rPr>
      <t xml:space="preserve"> MARKET DATA</t>
    </r>
  </si>
  <si>
    <t>DIGITAL PROJEKSİYONLA DA  GÖSTERİLENLER</t>
  </si>
  <si>
    <t>59</t>
  </si>
  <si>
    <t>AV MEVSİMİ</t>
  </si>
  <si>
    <t>YIL</t>
  </si>
  <si>
    <t>HAFTA</t>
  </si>
  <si>
    <t>GÖSTERİLEN</t>
  </si>
  <si>
    <t>FİLM</t>
  </si>
  <si>
    <t>SAYISI</t>
  </si>
  <si>
    <t>TOPLAM</t>
  </si>
  <si>
    <t>HASILAT</t>
  </si>
  <si>
    <t>BİLET</t>
  </si>
  <si>
    <t>SATIŞI</t>
  </si>
  <si>
    <t>TÜRK FİLMLERİ</t>
  </si>
  <si>
    <t>TÜRK</t>
  </si>
  <si>
    <t>FİLMLERİ</t>
  </si>
  <si>
    <t>BİLET ORANI</t>
  </si>
  <si>
    <t>HAFTANIN</t>
  </si>
  <si>
    <t>EN ÇOK İZLENEN</t>
  </si>
  <si>
    <t>FİLMİ</t>
  </si>
  <si>
    <t>SATIŞ</t>
  </si>
  <si>
    <t>KARŞILAŞTIRMA</t>
  </si>
  <si>
    <t>DEĞİŞİMİ</t>
  </si>
  <si>
    <t>BİLET SATIŞ</t>
  </si>
  <si>
    <t>GENEL</t>
  </si>
  <si>
    <t>PUANI</t>
  </si>
  <si>
    <t>PUAN</t>
  </si>
  <si>
    <t>M3 FİLM</t>
  </si>
  <si>
    <t>TİGLON FİLM</t>
  </si>
  <si>
    <r>
      <t xml:space="preserve">DAĞITIMCI ŞİRKETLER PERFORMANS LİGİ - </t>
    </r>
    <r>
      <rPr>
        <b/>
        <sz val="12"/>
        <color indexed="10"/>
        <rFont val="Arial"/>
        <family val="2"/>
      </rPr>
      <t>1. HAFTA (KAPANIŞ) 30.12.2011 - 05.01.2012</t>
    </r>
  </si>
  <si>
    <t>STAKE LAND</t>
  </si>
  <si>
    <t>VAMPİR CEHENNEMİ</t>
  </si>
  <si>
    <t>Glass Eye Pix</t>
  </si>
  <si>
    <t>BENDEYAR</t>
  </si>
  <si>
    <t>DONKEY XOTE</t>
  </si>
  <si>
    <t>BU SON OLSUN</t>
  </si>
  <si>
    <t>Gözyaşı Geceleri</t>
  </si>
  <si>
    <t>Uzak Yakın Film</t>
  </si>
  <si>
    <t>DON KİŞOT</t>
  </si>
  <si>
    <t>THE RUM DIARY</t>
  </si>
  <si>
    <t>GK Films</t>
  </si>
  <si>
    <t>TUTKU GÜNLÜKLERİ</t>
  </si>
  <si>
    <t>DIARY OF A WIMPY KID: RODRICK RULES</t>
  </si>
  <si>
    <t>THE DARKEST HOUR</t>
  </si>
  <si>
    <t>SUPER 8</t>
  </si>
  <si>
    <t>KURTULUŞ SON DURAK</t>
  </si>
  <si>
    <t>Bkm</t>
  </si>
  <si>
    <t>CAPTAN AMERICA: THE FIRST AVENGER</t>
  </si>
  <si>
    <t>Marvel Enterprise</t>
  </si>
  <si>
    <t>İLK YENİLMEZ: KAPTAN AMERİKA</t>
  </si>
  <si>
    <t>CONTAGION</t>
  </si>
  <si>
    <t>SALGIN</t>
  </si>
  <si>
    <t>-</t>
  </si>
  <si>
    <t>Lumiq Studios</t>
  </si>
  <si>
    <t>SAFTİRİK GREG'İN GÜNLÜĞÜ: RODRICK KURALLARI</t>
  </si>
  <si>
    <t>KARANLIK SAAT</t>
  </si>
  <si>
    <r>
      <t xml:space="preserve">Week/ </t>
    </r>
    <r>
      <rPr>
        <b/>
        <sz val="20"/>
        <color indexed="9"/>
        <rFont val="Candara"/>
        <family val="2"/>
      </rPr>
      <t>02</t>
    </r>
    <r>
      <rPr>
        <b/>
        <sz val="20"/>
        <rFont val="Candara"/>
        <family val="2"/>
      </rPr>
      <t xml:space="preserve"> / Hafta: </t>
    </r>
    <r>
      <rPr>
        <b/>
        <u val="single"/>
        <sz val="20"/>
        <rFont val="Candara"/>
        <family val="2"/>
      </rPr>
      <t>06-12.01.2012</t>
    </r>
  </si>
  <si>
    <t>KAR BEYAZ</t>
  </si>
  <si>
    <t>RIO</t>
  </si>
  <si>
    <t>PLANET 51</t>
  </si>
  <si>
    <t>SAÇ</t>
  </si>
  <si>
    <t>ALVIN &amp; THE CHIPMUNKS 2</t>
  </si>
  <si>
    <t>OPEN SEASON 2</t>
  </si>
  <si>
    <t>BİZİM BÜYÜK ÇARESİZLİĞİMİZ</t>
  </si>
  <si>
    <t>SOMEWHERE</t>
  </si>
  <si>
    <t>ÇILGIN DOSTLAR 2</t>
  </si>
  <si>
    <t>Sony Pictures</t>
  </si>
  <si>
    <t>BAŞKA BİR YERDE</t>
  </si>
  <si>
    <t>ALVİN VE SİNCAPLAR 2</t>
  </si>
  <si>
    <t>GEZEGEN 51</t>
  </si>
  <si>
    <t>AŞIRICILAR</t>
  </si>
  <si>
    <t>Ağustos</t>
  </si>
  <si>
    <t>Ilion Animation</t>
  </si>
  <si>
    <t>Zuzi Film</t>
  </si>
  <si>
    <t>Bulut Film</t>
  </si>
  <si>
    <t>İKİ KADIN BİR ERKEK</t>
  </si>
  <si>
    <t>THE KIDS ARE ALL RIGHT</t>
  </si>
  <si>
    <t>Studio Gibli</t>
  </si>
  <si>
    <t>KARI-GURASHI NO ARIETTI - THE BORROWERS</t>
  </si>
  <si>
    <t>Mandalay</t>
  </si>
  <si>
    <t>Focus</t>
  </si>
  <si>
    <r>
      <t xml:space="preserve">DAĞITIMCI ŞİRKETLER PERFORMANS LİGİ - </t>
    </r>
    <r>
      <rPr>
        <b/>
        <sz val="12"/>
        <color indexed="10"/>
        <rFont val="Arial"/>
        <family val="2"/>
      </rPr>
      <t>3. HAFTA (AÇILIŞ) 13.01.2012</t>
    </r>
  </si>
  <si>
    <r>
      <t xml:space="preserve">DAĞITIMCI ŞİRKETLER PERFORMANS LİGİ - </t>
    </r>
    <r>
      <rPr>
        <b/>
        <sz val="12"/>
        <color indexed="10"/>
        <rFont val="Arial"/>
        <family val="2"/>
      </rPr>
      <t>2. HAFTA (KAPANIŞ) 06 - 12.01.2012</t>
    </r>
  </si>
  <si>
    <t>CHANTIER FILMS</t>
  </si>
  <si>
    <t>73</t>
  </si>
  <si>
    <t>46</t>
  </si>
  <si>
    <t>EYYVAH EYVAH 2</t>
  </si>
  <si>
    <r>
      <t xml:space="preserve">TÜRKİYE'S </t>
    </r>
    <r>
      <rPr>
        <b/>
        <u val="single"/>
        <sz val="40"/>
        <rFont val="Calibri"/>
        <family val="2"/>
      </rPr>
      <t>WEEKEND</t>
    </r>
    <r>
      <rPr>
        <b/>
        <sz val="40"/>
        <rFont val="Calibri"/>
        <family val="2"/>
      </rPr>
      <t xml:space="preserve"> MARKET DATA</t>
    </r>
  </si>
  <si>
    <r>
      <t xml:space="preserve">Weekend / </t>
    </r>
    <r>
      <rPr>
        <b/>
        <sz val="30"/>
        <color indexed="9"/>
        <rFont val="Candara"/>
        <family val="2"/>
      </rPr>
      <t xml:space="preserve">03 </t>
    </r>
    <r>
      <rPr>
        <b/>
        <sz val="30"/>
        <rFont val="Candara"/>
        <family val="2"/>
      </rPr>
      <t xml:space="preserve">/ Hafta: </t>
    </r>
    <r>
      <rPr>
        <b/>
        <u val="single"/>
        <sz val="30"/>
        <rFont val="Candara"/>
        <family val="2"/>
      </rPr>
      <t>13-15.01.2012</t>
    </r>
  </si>
  <si>
    <r>
      <t xml:space="preserve">Weekend / </t>
    </r>
    <r>
      <rPr>
        <b/>
        <sz val="20"/>
        <color indexed="9"/>
        <rFont val="Candara"/>
        <family val="2"/>
      </rPr>
      <t>03</t>
    </r>
    <r>
      <rPr>
        <b/>
        <sz val="20"/>
        <rFont val="Candara"/>
        <family val="2"/>
      </rPr>
      <t xml:space="preserve"> / Haftasonu: </t>
    </r>
    <r>
      <rPr>
        <b/>
        <u val="single"/>
        <sz val="20"/>
        <rFont val="Candara"/>
        <family val="2"/>
      </rPr>
      <t>13-15.01.2012</t>
    </r>
  </si>
  <si>
    <t>MELANCHOLIA</t>
  </si>
  <si>
    <t>MELANKOLİ</t>
  </si>
  <si>
    <t>Zentropa</t>
  </si>
  <si>
    <t>Les Films</t>
  </si>
  <si>
    <t>LA GAMIN AU VELO - THE KID WITH A BIKE</t>
  </si>
  <si>
    <t>BİSİKLETLİ ÇOCUK</t>
  </si>
  <si>
    <t>Son haftasonu</t>
  </si>
  <si>
    <t>ZENNE</t>
  </si>
  <si>
    <t>Cam Film</t>
  </si>
  <si>
    <t>PUSS IN BOOTS</t>
  </si>
  <si>
    <t>ÇİZMELİ KEDİ 3D</t>
  </si>
  <si>
    <t>JOHNNY ENGLISH REBOURNE</t>
  </si>
  <si>
    <t>COWBOYS &amp; ALIENS</t>
  </si>
  <si>
    <t>TOWERHEIST</t>
  </si>
  <si>
    <t>KULE SOYGUNU</t>
  </si>
  <si>
    <t>KOVBOYLAR VE UZAYLILAR</t>
  </si>
  <si>
    <t>JOHNNY ENGISH'İN DÖNÜŞÜ</t>
  </si>
  <si>
    <t>THE GIRL WITH THE DRAGON TATTOO</t>
  </si>
  <si>
    <t>EJDERHA DÖVMELİ KIZ</t>
  </si>
  <si>
    <t>THE IRON LADY</t>
  </si>
  <si>
    <t>Chantier Films</t>
  </si>
  <si>
    <t>DEMİR LEYDİ</t>
  </si>
  <si>
    <t>Film 4</t>
  </si>
  <si>
    <t>Tiglom</t>
  </si>
</sst>
</file>

<file path=xl/styles.xml><?xml version="1.0" encoding="utf-8"?>
<styleSheet xmlns="http://schemas.openxmlformats.org/spreadsheetml/2006/main">
  <numFmts count="5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 numFmtId="204" formatCode="[$-F400]h:mm:ss\ AM/PM"/>
    <numFmt numFmtId="205" formatCode="#,##0.00\ &quot;TL&quot;"/>
    <numFmt numFmtId="206" formatCode="#,##0.00\ _Y_T_L"/>
    <numFmt numFmtId="207" formatCode="#,##0\ &quot;TL&quot;"/>
    <numFmt numFmtId="208" formatCode="&quot;Evet&quot;;&quot;Evet&quot;;&quot;Hayır&quot;"/>
    <numFmt numFmtId="209" formatCode="&quot;Doğru&quot;;&quot;Doğru&quot;;&quot;Yanlış&quot;"/>
    <numFmt numFmtId="210" formatCode="&quot;Açık&quot;;&quot;Açık&quot;;&quot;Kapalı&quot;"/>
    <numFmt numFmtId="211" formatCode="[$€-2]\ #,##0.00_);[Red]\([$€-2]\ #,##0.00\)"/>
  </numFmts>
  <fonts count="176">
    <font>
      <sz val="10"/>
      <name val="Arial"/>
      <family val="0"/>
    </font>
    <font>
      <sz val="8"/>
      <name val="Arial"/>
      <family val="2"/>
    </font>
    <font>
      <u val="single"/>
      <sz val="10"/>
      <color indexed="12"/>
      <name val="Arial"/>
      <family val="2"/>
    </font>
    <font>
      <u val="single"/>
      <sz val="10"/>
      <color indexed="36"/>
      <name val="Arial"/>
      <family val="2"/>
    </font>
    <font>
      <sz val="14"/>
      <name val="Arial"/>
      <family val="2"/>
    </font>
    <font>
      <b/>
      <sz val="14"/>
      <name val="Arial"/>
      <family val="2"/>
    </font>
    <font>
      <sz val="14"/>
      <name val="Garamond"/>
      <family val="1"/>
    </font>
    <font>
      <sz val="8"/>
      <name val="Verdana"/>
      <family val="2"/>
    </font>
    <font>
      <b/>
      <sz val="10"/>
      <name val="Administer"/>
      <family val="0"/>
    </font>
    <font>
      <sz val="10"/>
      <name val="Trebuchet MS"/>
      <family val="2"/>
    </font>
    <font>
      <b/>
      <sz val="10"/>
      <name val="Trebuchet MS"/>
      <family val="2"/>
    </font>
    <font>
      <b/>
      <sz val="40"/>
      <name val="Calibri"/>
      <family val="2"/>
    </font>
    <font>
      <sz val="10"/>
      <name val="Calibri"/>
      <family val="2"/>
    </font>
    <font>
      <b/>
      <i/>
      <sz val="20"/>
      <name val="Calibri"/>
      <family val="2"/>
    </font>
    <font>
      <i/>
      <sz val="9"/>
      <color indexed="8"/>
      <name val="Calibri"/>
      <family val="2"/>
    </font>
    <font>
      <i/>
      <sz val="9"/>
      <color indexed="10"/>
      <name val="Calibri"/>
      <family val="2"/>
    </font>
    <font>
      <sz val="10"/>
      <name val="Corbel"/>
      <family val="2"/>
    </font>
    <font>
      <b/>
      <sz val="11"/>
      <name val="Corbel"/>
      <family val="2"/>
    </font>
    <font>
      <b/>
      <sz val="10"/>
      <name val="Courier New"/>
      <family val="3"/>
    </font>
    <font>
      <sz val="25"/>
      <color indexed="9"/>
      <name val="Courier New"/>
      <family val="3"/>
    </font>
    <font>
      <b/>
      <i/>
      <sz val="16"/>
      <name val="Calibri"/>
      <family val="2"/>
    </font>
    <font>
      <b/>
      <sz val="10"/>
      <name val="Corbel"/>
      <family val="2"/>
    </font>
    <font>
      <b/>
      <sz val="20"/>
      <name val="Candara"/>
      <family val="2"/>
    </font>
    <font>
      <b/>
      <sz val="9"/>
      <name val="Calibri"/>
      <family val="2"/>
    </font>
    <font>
      <b/>
      <i/>
      <sz val="10"/>
      <name val="Calibri"/>
      <family val="2"/>
    </font>
    <font>
      <b/>
      <sz val="8"/>
      <name val="Arial"/>
      <family val="2"/>
    </font>
    <font>
      <b/>
      <sz val="14"/>
      <name val="Calibri"/>
      <family val="2"/>
    </font>
    <font>
      <i/>
      <sz val="7"/>
      <name val="Courier New"/>
      <family val="3"/>
    </font>
    <font>
      <sz val="12"/>
      <name val="Corbel"/>
      <family val="2"/>
    </font>
    <font>
      <b/>
      <sz val="28"/>
      <name val="Calibri"/>
      <family val="2"/>
    </font>
    <font>
      <sz val="28"/>
      <name val="Arial"/>
      <family val="2"/>
    </font>
    <font>
      <sz val="20"/>
      <name val="Corbel"/>
      <family val="2"/>
    </font>
    <font>
      <u val="single"/>
      <sz val="20"/>
      <name val="Corbel"/>
      <family val="2"/>
    </font>
    <font>
      <b/>
      <i/>
      <sz val="10"/>
      <color indexed="16"/>
      <name val="Calibri"/>
      <family val="2"/>
    </font>
    <font>
      <b/>
      <sz val="8"/>
      <name val="Calibri"/>
      <family val="2"/>
    </font>
    <font>
      <b/>
      <sz val="8"/>
      <name val="Verdana"/>
      <family val="2"/>
    </font>
    <font>
      <b/>
      <u val="single"/>
      <sz val="14"/>
      <name val="Arial"/>
      <family val="2"/>
    </font>
    <font>
      <b/>
      <sz val="18"/>
      <name val="Garamond"/>
      <family val="1"/>
    </font>
    <font>
      <sz val="7"/>
      <name val="Calibri"/>
      <family val="2"/>
    </font>
    <font>
      <b/>
      <u val="single"/>
      <sz val="20"/>
      <name val="Candara"/>
      <family val="2"/>
    </font>
    <font>
      <b/>
      <u val="single"/>
      <sz val="40"/>
      <name val="Calibri"/>
      <family val="2"/>
    </font>
    <font>
      <b/>
      <sz val="28"/>
      <color indexed="10"/>
      <name val="Calibri"/>
      <family val="2"/>
    </font>
    <font>
      <b/>
      <u val="single"/>
      <sz val="28"/>
      <name val="Calibri"/>
      <family val="2"/>
    </font>
    <font>
      <b/>
      <i/>
      <sz val="10"/>
      <color indexed="10"/>
      <name val="Calibri"/>
      <family val="2"/>
    </font>
    <font>
      <b/>
      <sz val="10"/>
      <name val="Arial"/>
      <family val="2"/>
    </font>
    <font>
      <b/>
      <i/>
      <sz val="12"/>
      <name val="Arial"/>
      <family val="2"/>
    </font>
    <font>
      <b/>
      <sz val="12"/>
      <name val="Calibri"/>
      <family val="2"/>
    </font>
    <font>
      <sz val="12"/>
      <name val="Century Gothic"/>
      <family val="2"/>
    </font>
    <font>
      <b/>
      <sz val="10"/>
      <name val="Calibri"/>
      <family val="2"/>
    </font>
    <font>
      <sz val="40"/>
      <name val="Arial"/>
      <family val="2"/>
    </font>
    <font>
      <sz val="7"/>
      <name val="Arial"/>
      <family val="2"/>
    </font>
    <font>
      <sz val="16"/>
      <name val="Arial"/>
      <family val="2"/>
    </font>
    <font>
      <i/>
      <sz val="20"/>
      <name val="Arial"/>
      <family val="2"/>
    </font>
    <font>
      <sz val="25"/>
      <name val="Courier New"/>
      <family val="3"/>
    </font>
    <font>
      <u val="single"/>
      <sz val="10"/>
      <name val="Arial"/>
      <family val="2"/>
    </font>
    <font>
      <b/>
      <i/>
      <sz val="25"/>
      <name val="Wingdings 3"/>
      <family val="1"/>
    </font>
    <font>
      <i/>
      <sz val="9"/>
      <name val="Calibri"/>
      <family val="2"/>
    </font>
    <font>
      <b/>
      <sz val="30"/>
      <name val="Candara"/>
      <family val="2"/>
    </font>
    <font>
      <b/>
      <u val="single"/>
      <sz val="30"/>
      <name val="Candara"/>
      <family val="2"/>
    </font>
    <font>
      <sz val="30"/>
      <name val="Candara"/>
      <family val="2"/>
    </font>
    <font>
      <sz val="30"/>
      <name val="Arial"/>
      <family val="2"/>
    </font>
    <font>
      <b/>
      <sz val="30"/>
      <color indexed="9"/>
      <name val="Candara"/>
      <family val="2"/>
    </font>
    <font>
      <b/>
      <sz val="20"/>
      <color indexed="9"/>
      <name val="Candara"/>
      <family val="2"/>
    </font>
    <font>
      <sz val="20"/>
      <name val="Candara"/>
      <family val="2"/>
    </font>
    <font>
      <sz val="20"/>
      <name val="Arial"/>
      <family val="2"/>
    </font>
    <font>
      <b/>
      <sz val="12"/>
      <name val="Arial"/>
      <family val="2"/>
    </font>
    <font>
      <b/>
      <sz val="9"/>
      <name val="Tahoma"/>
      <family val="2"/>
    </font>
    <font>
      <sz val="9"/>
      <name val="Tahoma"/>
      <family val="2"/>
    </font>
    <font>
      <b/>
      <sz val="12"/>
      <color indexed="10"/>
      <name val="Arial"/>
      <family val="2"/>
    </font>
    <font>
      <b/>
      <sz val="12"/>
      <name val="Berlin Sans FB"/>
      <family val="2"/>
    </font>
    <font>
      <b/>
      <sz val="11"/>
      <name val="Tahoma"/>
      <family val="2"/>
    </font>
    <font>
      <b/>
      <sz val="10"/>
      <color indexed="9"/>
      <name val="Tahoma"/>
      <family val="2"/>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sz val="14"/>
      <name val="Calibri"/>
      <family val="2"/>
    </font>
    <font>
      <sz val="10"/>
      <color indexed="9"/>
      <name val="Arial"/>
      <family val="2"/>
    </font>
    <font>
      <b/>
      <sz val="10"/>
      <color indexed="9"/>
      <name val="Arial"/>
      <family val="2"/>
    </font>
    <font>
      <b/>
      <sz val="12"/>
      <color indexed="8"/>
      <name val="Berlin Sans FB"/>
      <family val="2"/>
    </font>
    <font>
      <b/>
      <sz val="14"/>
      <color indexed="49"/>
      <name val="Webdings"/>
      <family val="1"/>
    </font>
    <font>
      <b/>
      <sz val="14"/>
      <color indexed="21"/>
      <name val="Webdings"/>
      <family val="1"/>
    </font>
    <font>
      <b/>
      <sz val="14"/>
      <color indexed="10"/>
      <name val="Webdings"/>
      <family val="1"/>
    </font>
    <font>
      <b/>
      <sz val="11"/>
      <name val="Calibri"/>
      <family val="2"/>
    </font>
    <font>
      <b/>
      <sz val="8"/>
      <color indexed="9"/>
      <name val="Calibri"/>
      <family val="2"/>
    </font>
    <font>
      <b/>
      <sz val="10"/>
      <color indexed="9"/>
      <name val="Trebuchet MS"/>
      <family val="2"/>
    </font>
    <font>
      <b/>
      <sz val="10"/>
      <color indexed="9"/>
      <name val="Calibri"/>
      <family val="2"/>
    </font>
    <font>
      <sz val="10"/>
      <color indexed="10"/>
      <name val="Calibri"/>
      <family val="2"/>
    </font>
    <font>
      <b/>
      <sz val="12"/>
      <color indexed="19"/>
      <name val="Calibri"/>
      <family val="2"/>
    </font>
    <font>
      <b/>
      <sz val="12"/>
      <color indexed="54"/>
      <name val="Calibri"/>
      <family val="2"/>
    </font>
    <font>
      <b/>
      <sz val="12"/>
      <color indexed="9"/>
      <name val="Calibri"/>
      <family val="2"/>
    </font>
    <font>
      <b/>
      <sz val="50"/>
      <color indexed="49"/>
      <name val="Arial Black"/>
      <family val="2"/>
    </font>
    <font>
      <sz val="50"/>
      <color indexed="49"/>
      <name val="Arial"/>
      <family val="2"/>
    </font>
    <font>
      <b/>
      <sz val="14"/>
      <color indexed="10"/>
      <name val="Calibri"/>
      <family val="2"/>
    </font>
    <font>
      <b/>
      <sz val="10"/>
      <color indexed="10"/>
      <name val="Arial"/>
      <family val="2"/>
    </font>
    <font>
      <b/>
      <sz val="14"/>
      <color indexed="30"/>
      <name val="Calibri"/>
      <family val="2"/>
    </font>
    <font>
      <b/>
      <sz val="10"/>
      <color indexed="30"/>
      <name val="Arial"/>
      <family val="2"/>
    </font>
    <font>
      <b/>
      <sz val="12"/>
      <color indexed="23"/>
      <name val="Arial"/>
      <family val="2"/>
    </font>
    <font>
      <sz val="12"/>
      <color indexed="23"/>
      <name val="Arial"/>
      <family val="2"/>
    </font>
    <font>
      <sz val="30"/>
      <color indexed="9"/>
      <name val="Impact"/>
      <family val="0"/>
    </font>
    <font>
      <sz val="30"/>
      <color indexed="9"/>
      <name val="Arial"/>
      <family val="0"/>
    </font>
    <font>
      <sz val="40"/>
      <color indexed="9"/>
      <name val="Impact"/>
      <family val="0"/>
    </font>
    <font>
      <sz val="26"/>
      <color indexed="9"/>
      <name val="Impact"/>
      <family val="0"/>
    </font>
    <font>
      <sz val="14"/>
      <color indexed="9"/>
      <name val="Impact"/>
      <family val="0"/>
    </font>
    <font>
      <sz val="12"/>
      <color indexed="9"/>
      <name val="Impact"/>
      <family val="0"/>
    </font>
    <font>
      <sz val="35"/>
      <color indexed="8"/>
      <name val="Garamond"/>
      <family val="0"/>
    </font>
    <font>
      <sz val="40"/>
      <color indexed="8"/>
      <name val="Garamond"/>
      <family val="0"/>
    </font>
    <font>
      <sz val="26"/>
      <color indexed="8"/>
      <name val="Garamond"/>
      <family val="0"/>
    </font>
    <font>
      <sz val="24"/>
      <color indexed="8"/>
      <name val="Garamond"/>
      <family val="0"/>
    </font>
    <font>
      <sz val="12"/>
      <color indexed="8"/>
      <name val="Impact"/>
      <family val="0"/>
    </font>
    <font>
      <sz val="12"/>
      <color indexed="8"/>
      <name val="Verdana"/>
      <family val="0"/>
    </font>
    <font>
      <sz val="38"/>
      <color indexed="8"/>
      <name val="Garamond"/>
      <family val="0"/>
    </font>
    <font>
      <sz val="16"/>
      <color indexed="8"/>
      <name val="Garamond"/>
      <family val="0"/>
    </font>
    <font>
      <sz val="16"/>
      <color indexed="9"/>
      <name val="Garamond"/>
      <family val="0"/>
    </font>
    <font>
      <sz val="34"/>
      <color indexed="8"/>
      <name val="Garamond"/>
      <family val="0"/>
    </font>
    <font>
      <sz val="36"/>
      <color indexed="8"/>
      <name val="Garamond"/>
      <family val="0"/>
    </font>
    <font>
      <sz val="20"/>
      <color indexed="8"/>
      <name val="Garamond"/>
      <family val="0"/>
    </font>
    <font>
      <b/>
      <sz val="16"/>
      <color indexed="8"/>
      <name val="AcidSansRegular"/>
      <family val="0"/>
    </font>
    <font>
      <b/>
      <sz val="16"/>
      <color indexed="8"/>
      <name val="Arial"/>
      <family val="0"/>
    </font>
    <font>
      <b/>
      <sz val="20"/>
      <color indexed="8"/>
      <name val="AcidSansRegular"/>
      <family val="0"/>
    </font>
    <font>
      <sz val="12"/>
      <color indexed="8"/>
      <name val="AcidSansRegular"/>
      <family val="0"/>
    </font>
    <font>
      <sz val="16"/>
      <color indexed="8"/>
      <name val="AcidSansRegular"/>
      <family val="0"/>
    </font>
    <font>
      <b/>
      <sz val="24"/>
      <color indexed="9"/>
      <name val="AcidSansRegular"/>
      <family val="0"/>
    </font>
    <font>
      <sz val="18"/>
      <color indexed="16"/>
      <name val="Administer"/>
      <family val="0"/>
    </font>
    <font>
      <sz val="18"/>
      <color indexed="8"/>
      <name val="Administe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0"/>
      <name val="Arial"/>
      <family val="2"/>
    </font>
    <font>
      <b/>
      <sz val="10"/>
      <color theme="0"/>
      <name val="Arial"/>
      <family val="2"/>
    </font>
    <font>
      <b/>
      <sz val="12"/>
      <color theme="1"/>
      <name val="Berlin Sans FB"/>
      <family val="2"/>
    </font>
    <font>
      <b/>
      <sz val="14"/>
      <color theme="3" tint="0.39998000860214233"/>
      <name val="Webdings"/>
      <family val="1"/>
    </font>
    <font>
      <b/>
      <sz val="14"/>
      <color rgb="FF00B050"/>
      <name val="Webdings"/>
      <family val="1"/>
    </font>
    <font>
      <b/>
      <sz val="14"/>
      <color rgb="FFFF0000"/>
      <name val="Webdings"/>
      <family val="1"/>
    </font>
    <font>
      <b/>
      <sz val="8"/>
      <color theme="0"/>
      <name val="Calibri"/>
      <family val="2"/>
    </font>
    <font>
      <b/>
      <sz val="10"/>
      <color theme="0"/>
      <name val="Trebuchet MS"/>
      <family val="2"/>
    </font>
    <font>
      <b/>
      <sz val="10"/>
      <color theme="0"/>
      <name val="Calibri"/>
      <family val="2"/>
    </font>
    <font>
      <sz val="10"/>
      <color rgb="FFFF0000"/>
      <name val="Calibri"/>
      <family val="2"/>
    </font>
    <font>
      <b/>
      <sz val="12"/>
      <color theme="5"/>
      <name val="Calibri"/>
      <family val="2"/>
    </font>
    <font>
      <b/>
      <sz val="12"/>
      <color theme="7" tint="-0.24997000396251678"/>
      <name val="Calibri"/>
      <family val="2"/>
    </font>
    <font>
      <b/>
      <sz val="12"/>
      <color theme="0"/>
      <name val="Calibri"/>
      <family val="2"/>
    </font>
    <font>
      <b/>
      <sz val="50"/>
      <color theme="8" tint="-0.24997000396251678"/>
      <name val="Arial Black"/>
      <family val="2"/>
    </font>
    <font>
      <sz val="50"/>
      <color theme="8" tint="-0.24997000396251678"/>
      <name val="Arial"/>
      <family val="2"/>
    </font>
    <font>
      <b/>
      <sz val="14"/>
      <color rgb="FFC00000"/>
      <name val="Calibri"/>
      <family val="2"/>
    </font>
    <font>
      <b/>
      <sz val="10"/>
      <color rgb="FFC00000"/>
      <name val="Arial"/>
      <family val="2"/>
    </font>
    <font>
      <b/>
      <sz val="14"/>
      <color rgb="FF0070C0"/>
      <name val="Calibri"/>
      <family val="2"/>
    </font>
    <font>
      <b/>
      <sz val="10"/>
      <color rgb="FF0070C0"/>
      <name val="Arial"/>
      <family val="2"/>
    </font>
    <font>
      <b/>
      <sz val="12"/>
      <color theme="1" tint="0.49998000264167786"/>
      <name val="Arial"/>
      <family val="2"/>
    </font>
    <font>
      <sz val="12"/>
      <color theme="1" tint="0.49998000264167786"/>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theme="2" tint="-0.4999699890613556"/>
        <bgColor indexed="64"/>
      </patternFill>
    </fill>
    <fill>
      <patternFill patternType="solid">
        <fgColor theme="3" tint="-0.24997000396251678"/>
        <bgColor indexed="64"/>
      </patternFill>
    </fill>
    <fill>
      <patternFill patternType="solid">
        <fgColor theme="2" tint="-0.24997000396251678"/>
        <bgColor indexed="64"/>
      </patternFill>
    </fill>
    <fill>
      <patternFill patternType="solid">
        <fgColor theme="2"/>
        <bgColor indexed="64"/>
      </patternFill>
    </fill>
    <fill>
      <patternFill patternType="solid">
        <fgColor theme="1"/>
        <bgColor indexed="64"/>
      </patternFill>
    </fill>
    <fill>
      <patternFill patternType="solid">
        <fgColor indexed="10"/>
        <bgColor indexed="64"/>
      </patternFill>
    </fill>
    <fill>
      <patternFill patternType="solid">
        <fgColor theme="9" tint="-0.24997000396251678"/>
        <bgColor indexed="64"/>
      </patternFill>
    </fill>
    <fill>
      <patternFill patternType="solid">
        <fgColor theme="3" tint="0.39998000860214233"/>
        <bgColor indexed="64"/>
      </patternFill>
    </fill>
    <fill>
      <patternFill patternType="solid">
        <fgColor indexed="17"/>
        <bgColor indexed="64"/>
      </patternFill>
    </fill>
    <fill>
      <patternFill patternType="solid">
        <fgColor rgb="FFFFC000"/>
        <bgColor indexed="64"/>
      </patternFill>
    </fill>
    <fill>
      <patternFill patternType="solid">
        <fgColor rgb="FF002060"/>
        <bgColor indexed="64"/>
      </patternFill>
    </fill>
    <fill>
      <patternFill patternType="solid">
        <fgColor theme="6" tint="-0.4999699890613556"/>
        <bgColor indexed="64"/>
      </patternFill>
    </fill>
    <fill>
      <patternFill patternType="solid">
        <fgColor rgb="FFFF0000"/>
        <bgColor indexed="64"/>
      </patternFill>
    </fill>
    <fill>
      <patternFill patternType="solid">
        <fgColor indexed="65"/>
        <bgColor indexed="64"/>
      </patternFill>
    </fill>
    <fill>
      <patternFill patternType="solid">
        <fgColor theme="3"/>
        <bgColor indexed="64"/>
      </patternFill>
    </fill>
  </fills>
  <borders count="7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color indexed="63"/>
      </top>
      <bottom style="thin"/>
    </border>
    <border>
      <left>
        <color indexed="63"/>
      </left>
      <right>
        <color indexed="63"/>
      </right>
      <top>
        <color indexed="63"/>
      </top>
      <bottom style="medium"/>
    </border>
    <border>
      <left style="thin"/>
      <right style="thin"/>
      <top style="thin"/>
      <bottom style="medium"/>
    </border>
    <border>
      <left style="medium"/>
      <right style="thin"/>
      <top style="medium"/>
      <bottom style="medium"/>
    </border>
    <border>
      <left style="medium"/>
      <right style="thin"/>
      <top>
        <color indexed="63"/>
      </top>
      <bottom style="thin"/>
    </border>
    <border>
      <left style="medium"/>
      <right style="thin"/>
      <top style="thin"/>
      <bottom style="medium"/>
    </border>
    <border>
      <left style="thin"/>
      <right style="thin"/>
      <top style="medium"/>
      <bottom style="medium"/>
    </border>
    <border>
      <left style="thin"/>
      <right style="medium"/>
      <top>
        <color indexed="63"/>
      </top>
      <bottom style="thin"/>
    </border>
    <border>
      <left style="thin"/>
      <right style="medium"/>
      <top style="thin"/>
      <bottom style="medium"/>
    </border>
    <border>
      <left style="hair"/>
      <right style="hair"/>
      <top style="medium"/>
      <bottom style="hair"/>
    </border>
    <border>
      <left style="hair"/>
      <right style="hair"/>
      <top style="hair"/>
      <bottom style="hair"/>
    </border>
    <border>
      <left style="hair"/>
      <right style="hair"/>
      <top style="hair"/>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hair"/>
      <bottom style="hair"/>
    </border>
    <border>
      <left style="medium"/>
      <right>
        <color indexed="63"/>
      </right>
      <top style="hair"/>
      <bottom style="medium"/>
    </border>
    <border>
      <left style="medium"/>
      <right>
        <color indexed="63"/>
      </right>
      <top style="medium"/>
      <bottom style="hair"/>
    </border>
    <border>
      <left style="thin"/>
      <right style="thin"/>
      <top style="thin"/>
      <bottom>
        <color indexed="63"/>
      </bottom>
    </border>
    <border>
      <left style="hair"/>
      <right style="medium"/>
      <top style="medium"/>
      <bottom style="hair"/>
    </border>
    <border>
      <left style="hair"/>
      <right style="medium"/>
      <top style="hair"/>
      <bottom style="hair"/>
    </border>
    <border>
      <left style="hair"/>
      <right style="medium"/>
      <top style="hair"/>
      <bottom style="medium"/>
    </border>
    <border>
      <left style="thin"/>
      <right>
        <color indexed="63"/>
      </right>
      <top>
        <color indexed="63"/>
      </top>
      <bottom style="thin"/>
    </border>
    <border>
      <left style="thin"/>
      <right>
        <color indexed="63"/>
      </right>
      <top style="thin"/>
      <bottom style="medium"/>
    </border>
    <border>
      <left style="thin"/>
      <right>
        <color indexed="63"/>
      </right>
      <top style="medium"/>
      <bottom style="thin"/>
    </border>
    <border>
      <left style="thin"/>
      <right>
        <color indexed="63"/>
      </right>
      <top style="thin"/>
      <bottom>
        <color indexed="63"/>
      </bottom>
    </border>
    <border>
      <left style="thin"/>
      <right style="medium"/>
      <top style="thin"/>
      <bottom>
        <color indexed="63"/>
      </bottom>
    </border>
    <border>
      <left style="medium"/>
      <right>
        <color indexed="63"/>
      </right>
      <top style="medium"/>
      <bottom style="medium"/>
    </border>
    <border>
      <left style="medium"/>
      <right style="hair"/>
      <top style="hair"/>
      <bottom style="hair"/>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color indexed="63"/>
      </left>
      <right style="thin"/>
      <top style="thin"/>
      <bottom style="thin"/>
    </border>
    <border>
      <left style="medium"/>
      <right>
        <color indexed="63"/>
      </right>
      <top>
        <color indexed="63"/>
      </top>
      <bottom style="hair"/>
    </border>
    <border>
      <left>
        <color indexed="63"/>
      </left>
      <right style="medium"/>
      <top>
        <color indexed="63"/>
      </top>
      <bottom style="medium"/>
    </border>
    <border>
      <left style="hair"/>
      <right style="hair"/>
      <top>
        <color indexed="63"/>
      </top>
      <bottom style="hair"/>
    </border>
    <border>
      <left style="medium"/>
      <right style="hair"/>
      <top style="hair"/>
      <bottom style="medium"/>
    </border>
    <border>
      <left style="medium"/>
      <right style="hair"/>
      <top>
        <color indexed="63"/>
      </top>
      <bottom style="hair"/>
    </border>
    <border>
      <left style="hair"/>
      <right style="medium"/>
      <top>
        <color indexed="63"/>
      </top>
      <bottom style="hair"/>
    </border>
    <border>
      <left style="medium"/>
      <right style="hair"/>
      <top style="medium"/>
      <bottom style="hair"/>
    </border>
    <border>
      <left style="hair"/>
      <right>
        <color indexed="63"/>
      </right>
      <top>
        <color indexed="63"/>
      </top>
      <bottom style="hair"/>
    </border>
    <border>
      <left style="hair"/>
      <right>
        <color indexed="63"/>
      </right>
      <top style="hair"/>
      <bottom style="hair"/>
    </border>
    <border>
      <left style="hair"/>
      <right>
        <color indexed="63"/>
      </right>
      <top style="hair"/>
      <bottom style="medium"/>
    </border>
    <border>
      <left style="hair"/>
      <right style="hair"/>
      <top style="medium"/>
      <bottom>
        <color indexed="63"/>
      </bottom>
    </border>
    <border>
      <left style="hair"/>
      <right style="thin"/>
      <top style="medium"/>
      <bottom>
        <color indexed="63"/>
      </bottom>
    </border>
    <border>
      <left style="thin"/>
      <right style="thin"/>
      <top style="medium"/>
      <bottom>
        <color indexed="63"/>
      </bottom>
    </border>
    <border>
      <left style="hair"/>
      <right/>
      <top style="medium"/>
      <bottom>
        <color indexed="63"/>
      </bottom>
    </border>
    <border>
      <left/>
      <right style="hair"/>
      <top style="medium"/>
      <bottom>
        <color indexed="63"/>
      </bottom>
    </border>
    <border>
      <left>
        <color indexed="63"/>
      </left>
      <right style="thin"/>
      <top style="medium"/>
      <bottom style="thin"/>
    </border>
    <border>
      <left style="medium"/>
      <right>
        <color indexed="63"/>
      </right>
      <top>
        <color indexed="63"/>
      </top>
      <bottom>
        <color indexed="63"/>
      </bottom>
    </border>
    <border>
      <left style="thin"/>
      <right>
        <color indexed="63"/>
      </right>
      <top style="medium"/>
      <bottom style="medium"/>
    </border>
    <border>
      <left style="thin"/>
      <right style="medium"/>
      <top style="medium"/>
      <bottom style="medium"/>
    </border>
    <border>
      <left>
        <color indexed="63"/>
      </left>
      <right>
        <color indexed="63"/>
      </right>
      <top style="medium"/>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medium"/>
    </border>
    <border>
      <left>
        <color indexed="63"/>
      </left>
      <right style="thin"/>
      <top style="thin"/>
      <bottom style="medium"/>
    </border>
    <border>
      <left>
        <color indexed="63"/>
      </left>
      <right>
        <color indexed="63"/>
      </right>
      <top>
        <color indexed="63"/>
      </top>
      <bottom style="hair"/>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8" fillId="2" borderId="0" applyNumberFormat="0" applyBorder="0" applyAlignment="0" applyProtection="0"/>
    <xf numFmtId="0" fontId="138" fillId="3" borderId="0" applyNumberFormat="0" applyBorder="0" applyAlignment="0" applyProtection="0"/>
    <xf numFmtId="0" fontId="138" fillId="4" borderId="0" applyNumberFormat="0" applyBorder="0" applyAlignment="0" applyProtection="0"/>
    <xf numFmtId="0" fontId="138" fillId="5" borderId="0" applyNumberFormat="0" applyBorder="0" applyAlignment="0" applyProtection="0"/>
    <xf numFmtId="0" fontId="138" fillId="6" borderId="0" applyNumberFormat="0" applyBorder="0" applyAlignment="0" applyProtection="0"/>
    <xf numFmtId="0" fontId="138" fillId="7" borderId="0" applyNumberFormat="0" applyBorder="0" applyAlignment="0" applyProtection="0"/>
    <xf numFmtId="0" fontId="138" fillId="8" borderId="0" applyNumberFormat="0" applyBorder="0" applyAlignment="0" applyProtection="0"/>
    <xf numFmtId="0" fontId="138" fillId="9" borderId="0" applyNumberFormat="0" applyBorder="0" applyAlignment="0" applyProtection="0"/>
    <xf numFmtId="0" fontId="138" fillId="10" borderId="0" applyNumberFormat="0" applyBorder="0" applyAlignment="0" applyProtection="0"/>
    <xf numFmtId="0" fontId="138" fillId="11" borderId="0" applyNumberFormat="0" applyBorder="0" applyAlignment="0" applyProtection="0"/>
    <xf numFmtId="0" fontId="138" fillId="12" borderId="0" applyNumberFormat="0" applyBorder="0" applyAlignment="0" applyProtection="0"/>
    <xf numFmtId="0" fontId="138" fillId="13" borderId="0" applyNumberFormat="0" applyBorder="0" applyAlignment="0" applyProtection="0"/>
    <xf numFmtId="0" fontId="139" fillId="14" borderId="0" applyNumberFormat="0" applyBorder="0" applyAlignment="0" applyProtection="0"/>
    <xf numFmtId="0" fontId="139" fillId="15" borderId="0" applyNumberFormat="0" applyBorder="0" applyAlignment="0" applyProtection="0"/>
    <xf numFmtId="0" fontId="139" fillId="16" borderId="0" applyNumberFormat="0" applyBorder="0" applyAlignment="0" applyProtection="0"/>
    <xf numFmtId="0" fontId="139" fillId="17" borderId="0" applyNumberFormat="0" applyBorder="0" applyAlignment="0" applyProtection="0"/>
    <xf numFmtId="0" fontId="139" fillId="18" borderId="0" applyNumberFormat="0" applyBorder="0" applyAlignment="0" applyProtection="0"/>
    <xf numFmtId="0" fontId="139" fillId="19" borderId="0" applyNumberFormat="0" applyBorder="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0" fontId="142" fillId="0" borderId="1" applyNumberFormat="0" applyFill="0" applyAlignment="0" applyProtection="0"/>
    <xf numFmtId="0" fontId="143" fillId="0" borderId="2" applyNumberFormat="0" applyFill="0" applyAlignment="0" applyProtection="0"/>
    <xf numFmtId="0" fontId="144" fillId="0" borderId="3" applyNumberFormat="0" applyFill="0" applyAlignment="0" applyProtection="0"/>
    <xf numFmtId="0" fontId="145" fillId="0" borderId="4" applyNumberFormat="0" applyFill="0" applyAlignment="0" applyProtection="0"/>
    <xf numFmtId="0" fontId="1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46" fillId="20" borderId="5" applyNumberFormat="0" applyAlignment="0" applyProtection="0"/>
    <xf numFmtId="0" fontId="147" fillId="21" borderId="6" applyNumberFormat="0" applyAlignment="0" applyProtection="0"/>
    <xf numFmtId="0" fontId="148" fillId="20" borderId="6" applyNumberFormat="0" applyAlignment="0" applyProtection="0"/>
    <xf numFmtId="0" fontId="149" fillId="22" borderId="7" applyNumberFormat="0" applyAlignment="0" applyProtection="0"/>
    <xf numFmtId="0" fontId="150"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51"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152"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3" fillId="0" borderId="9" applyNumberFormat="0" applyFill="0" applyAlignment="0" applyProtection="0"/>
    <xf numFmtId="0" fontId="154" fillId="0" borderId="0" applyNumberFormat="0" applyFill="0" applyBorder="0" applyAlignment="0" applyProtection="0"/>
    <xf numFmtId="0" fontId="139" fillId="27" borderId="0" applyNumberFormat="0" applyBorder="0" applyAlignment="0" applyProtection="0"/>
    <xf numFmtId="0" fontId="139" fillId="28" borderId="0" applyNumberFormat="0" applyBorder="0" applyAlignment="0" applyProtection="0"/>
    <xf numFmtId="0" fontId="139" fillId="29" borderId="0" applyNumberFormat="0" applyBorder="0" applyAlignment="0" applyProtection="0"/>
    <xf numFmtId="0" fontId="139" fillId="30" borderId="0" applyNumberFormat="0" applyBorder="0" applyAlignment="0" applyProtection="0"/>
    <xf numFmtId="0" fontId="139" fillId="31" borderId="0" applyNumberFormat="0" applyBorder="0" applyAlignment="0" applyProtection="0"/>
    <xf numFmtId="0" fontId="139" fillId="3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596">
    <xf numFmtId="0" fontId="0" fillId="0" borderId="0" xfId="0" applyAlignment="1">
      <alignment/>
    </xf>
    <xf numFmtId="0" fontId="16" fillId="33" borderId="10" xfId="0" applyFont="1" applyFill="1" applyBorder="1" applyAlignment="1" applyProtection="1">
      <alignment horizontal="center"/>
      <protection/>
    </xf>
    <xf numFmtId="0" fontId="6" fillId="33" borderId="0" xfId="0" applyFont="1" applyFill="1" applyBorder="1" applyAlignment="1" applyProtection="1">
      <alignment horizontal="center" vertical="center" wrapText="1"/>
      <protection/>
    </xf>
    <xf numFmtId="0" fontId="19" fillId="33" borderId="0" xfId="0" applyFont="1" applyFill="1" applyBorder="1" applyAlignment="1" applyProtection="1">
      <alignment horizontal="center" vertical="center"/>
      <protection/>
    </xf>
    <xf numFmtId="0" fontId="19" fillId="33" borderId="11" xfId="0" applyFont="1" applyFill="1" applyBorder="1" applyAlignment="1" applyProtection="1">
      <alignment horizontal="center" vertical="center"/>
      <protection/>
    </xf>
    <xf numFmtId="0" fontId="17" fillId="33" borderId="0" xfId="0" applyFont="1" applyFill="1" applyBorder="1" applyAlignment="1" applyProtection="1">
      <alignment horizontal="center" vertical="center" wrapText="1"/>
      <protection/>
    </xf>
    <xf numFmtId="0" fontId="16" fillId="33" borderId="0" xfId="0" applyFont="1" applyFill="1" applyBorder="1" applyAlignment="1" applyProtection="1">
      <alignment horizontal="center" vertical="center" wrapText="1"/>
      <protection/>
    </xf>
    <xf numFmtId="0" fontId="16" fillId="33" borderId="12" xfId="0" applyFont="1" applyFill="1" applyBorder="1" applyAlignment="1" applyProtection="1">
      <alignment horizontal="center" vertical="center" wrapText="1"/>
      <protection/>
    </xf>
    <xf numFmtId="43" fontId="16" fillId="33" borderId="12" xfId="40" applyFont="1" applyFill="1" applyBorder="1" applyAlignment="1" applyProtection="1">
      <alignment horizontal="center"/>
      <protection/>
    </xf>
    <xf numFmtId="0" fontId="16" fillId="33" borderId="0" xfId="0" applyFont="1" applyFill="1" applyBorder="1" applyAlignment="1" applyProtection="1">
      <alignment horizontal="center"/>
      <protection/>
    </xf>
    <xf numFmtId="0" fontId="9" fillId="33" borderId="0" xfId="0" applyFont="1" applyFill="1" applyBorder="1" applyAlignment="1" applyProtection="1">
      <alignment horizontal="left" vertical="center"/>
      <protection/>
    </xf>
    <xf numFmtId="0" fontId="8" fillId="33" borderId="0" xfId="0" applyFont="1" applyFill="1" applyBorder="1" applyAlignment="1" applyProtection="1">
      <alignment vertical="center"/>
      <protection/>
    </xf>
    <xf numFmtId="0" fontId="4" fillId="33" borderId="0" xfId="0" applyFont="1" applyFill="1" applyBorder="1" applyAlignment="1" applyProtection="1">
      <alignment horizontal="left" vertical="center"/>
      <protection/>
    </xf>
    <xf numFmtId="190" fontId="4" fillId="33" borderId="0" xfId="0" applyNumberFormat="1" applyFont="1" applyFill="1" applyBorder="1" applyAlignment="1" applyProtection="1">
      <alignment horizontal="center" vertical="center"/>
      <protection/>
    </xf>
    <xf numFmtId="0" fontId="4" fillId="33" borderId="0" xfId="0" applyFont="1" applyFill="1" applyBorder="1" applyAlignment="1" applyProtection="1">
      <alignment vertical="center"/>
      <protection/>
    </xf>
    <xf numFmtId="0" fontId="4" fillId="33" borderId="0" xfId="0" applyFont="1" applyFill="1" applyBorder="1" applyAlignment="1" applyProtection="1">
      <alignment horizontal="center" vertical="center"/>
      <protection/>
    </xf>
    <xf numFmtId="4" fontId="4" fillId="33" borderId="0" xfId="0" applyNumberFormat="1" applyFont="1" applyFill="1" applyBorder="1" applyAlignment="1" applyProtection="1">
      <alignment horizontal="right" vertical="center"/>
      <protection/>
    </xf>
    <xf numFmtId="3" fontId="4" fillId="33" borderId="0" xfId="0" applyNumberFormat="1" applyFont="1" applyFill="1" applyBorder="1" applyAlignment="1" applyProtection="1">
      <alignment horizontal="right" vertical="center"/>
      <protection/>
    </xf>
    <xf numFmtId="4" fontId="5" fillId="33" borderId="0" xfId="0" applyNumberFormat="1" applyFont="1" applyFill="1" applyBorder="1" applyAlignment="1" applyProtection="1">
      <alignment horizontal="right" vertical="center"/>
      <protection/>
    </xf>
    <xf numFmtId="3" fontId="5" fillId="33" borderId="0" xfId="0" applyNumberFormat="1" applyFont="1" applyFill="1" applyBorder="1" applyAlignment="1" applyProtection="1">
      <alignment horizontal="right" vertical="center"/>
      <protection/>
    </xf>
    <xf numFmtId="3" fontId="7" fillId="33" borderId="0" xfId="0" applyNumberFormat="1" applyFont="1" applyFill="1" applyBorder="1" applyAlignment="1" applyProtection="1">
      <alignment horizontal="right" vertical="center"/>
      <protection/>
    </xf>
    <xf numFmtId="2" fontId="7" fillId="33" borderId="0" xfId="0" applyNumberFormat="1" applyFont="1" applyFill="1" applyBorder="1" applyAlignment="1" applyProtection="1">
      <alignment horizontal="right" vertical="center"/>
      <protection/>
    </xf>
    <xf numFmtId="4" fontId="7" fillId="33" borderId="0" xfId="0" applyNumberFormat="1" applyFont="1" applyFill="1" applyBorder="1" applyAlignment="1" applyProtection="1">
      <alignment horizontal="right" vertical="center"/>
      <protection/>
    </xf>
    <xf numFmtId="192" fontId="7" fillId="33" borderId="0" xfId="0" applyNumberFormat="1" applyFont="1" applyFill="1" applyBorder="1" applyAlignment="1" applyProtection="1">
      <alignment horizontal="right" vertical="center"/>
      <protection/>
    </xf>
    <xf numFmtId="3" fontId="4" fillId="33" borderId="0" xfId="0" applyNumberFormat="1" applyFont="1" applyFill="1" applyBorder="1" applyAlignment="1" applyProtection="1">
      <alignment vertical="center"/>
      <protection/>
    </xf>
    <xf numFmtId="3" fontId="13" fillId="33" borderId="0" xfId="0" applyNumberFormat="1" applyFont="1" applyFill="1" applyBorder="1" applyAlignment="1" applyProtection="1">
      <alignment horizontal="center" vertical="center"/>
      <protection/>
    </xf>
    <xf numFmtId="3" fontId="5" fillId="33" borderId="0" xfId="0" applyNumberFormat="1" applyFont="1" applyFill="1" applyBorder="1" applyAlignment="1" applyProtection="1">
      <alignment vertical="center"/>
      <protection/>
    </xf>
    <xf numFmtId="4" fontId="13" fillId="33" borderId="0" xfId="0" applyNumberFormat="1" applyFont="1" applyFill="1" applyBorder="1" applyAlignment="1" applyProtection="1">
      <alignment horizontal="center" vertical="center"/>
      <protection/>
    </xf>
    <xf numFmtId="4" fontId="5" fillId="33" borderId="0" xfId="0" applyNumberFormat="1" applyFont="1" applyFill="1" applyBorder="1" applyAlignment="1" applyProtection="1">
      <alignment vertical="center"/>
      <protection/>
    </xf>
    <xf numFmtId="4" fontId="4" fillId="33" borderId="0" xfId="0" applyNumberFormat="1" applyFont="1" applyFill="1" applyBorder="1" applyAlignment="1" applyProtection="1">
      <alignment vertical="center"/>
      <protection/>
    </xf>
    <xf numFmtId="192" fontId="4" fillId="33" borderId="0" xfId="0" applyNumberFormat="1" applyFont="1" applyFill="1" applyBorder="1" applyAlignment="1" applyProtection="1">
      <alignment vertical="center"/>
      <protection/>
    </xf>
    <xf numFmtId="4" fontId="25" fillId="33" borderId="0" xfId="0" applyNumberFormat="1" applyFont="1" applyFill="1" applyBorder="1" applyAlignment="1" applyProtection="1">
      <alignment horizontal="center" vertical="center"/>
      <protection/>
    </xf>
    <xf numFmtId="3" fontId="25" fillId="33" borderId="0" xfId="0" applyNumberFormat="1" applyFont="1" applyFill="1" applyBorder="1" applyAlignment="1" applyProtection="1">
      <alignment horizontal="center" vertical="center"/>
      <protection/>
    </xf>
    <xf numFmtId="3" fontId="25" fillId="33" borderId="0" xfId="0" applyNumberFormat="1" applyFont="1" applyFill="1" applyBorder="1" applyAlignment="1" applyProtection="1">
      <alignment horizontal="center" vertical="center" wrapText="1"/>
      <protection/>
    </xf>
    <xf numFmtId="4" fontId="23" fillId="33" borderId="0" xfId="0" applyNumberFormat="1" applyFont="1" applyFill="1" applyBorder="1" applyAlignment="1" applyProtection="1">
      <alignment horizontal="center" vertical="center" wrapText="1"/>
      <protection/>
    </xf>
    <xf numFmtId="3" fontId="23" fillId="33" borderId="0" xfId="0" applyNumberFormat="1" applyFont="1" applyFill="1" applyBorder="1" applyAlignment="1" applyProtection="1">
      <alignment horizontal="center" vertical="center" wrapText="1"/>
      <protection/>
    </xf>
    <xf numFmtId="192" fontId="23" fillId="33" borderId="0" xfId="0" applyNumberFormat="1" applyFont="1" applyFill="1" applyBorder="1" applyAlignment="1" applyProtection="1">
      <alignment horizontal="center" vertical="center" wrapText="1"/>
      <protection/>
    </xf>
    <xf numFmtId="0" fontId="27" fillId="33" borderId="0" xfId="0" applyFont="1" applyFill="1" applyBorder="1" applyAlignment="1" applyProtection="1">
      <alignment horizontal="center" vertical="center"/>
      <protection/>
    </xf>
    <xf numFmtId="1" fontId="17" fillId="33" borderId="13" xfId="0" applyNumberFormat="1" applyFont="1" applyFill="1" applyBorder="1" applyAlignment="1" applyProtection="1">
      <alignment horizontal="center" vertical="center" wrapText="1"/>
      <protection/>
    </xf>
    <xf numFmtId="1" fontId="16" fillId="33" borderId="14" xfId="0" applyNumberFormat="1" applyFont="1" applyFill="1" applyBorder="1" applyAlignment="1" applyProtection="1">
      <alignment horizontal="center" vertical="center" wrapText="1"/>
      <protection/>
    </xf>
    <xf numFmtId="1" fontId="16" fillId="33" borderId="15" xfId="0" applyNumberFormat="1" applyFont="1" applyFill="1" applyBorder="1" applyAlignment="1" applyProtection="1">
      <alignment horizontal="center" vertical="center" wrapText="1"/>
      <protection/>
    </xf>
    <xf numFmtId="4" fontId="12" fillId="33" borderId="0" xfId="0" applyNumberFormat="1" applyFont="1" applyFill="1" applyBorder="1" applyAlignment="1" applyProtection="1">
      <alignment horizontal="right" vertical="center"/>
      <protection/>
    </xf>
    <xf numFmtId="4" fontId="13" fillId="33" borderId="0" xfId="0" applyNumberFormat="1" applyFont="1" applyFill="1" applyBorder="1" applyAlignment="1" applyProtection="1">
      <alignment horizontal="right" vertical="center"/>
      <protection/>
    </xf>
    <xf numFmtId="3" fontId="12" fillId="33" borderId="0" xfId="0" applyNumberFormat="1" applyFont="1" applyFill="1" applyBorder="1" applyAlignment="1" applyProtection="1">
      <alignment horizontal="right" vertical="center"/>
      <protection/>
    </xf>
    <xf numFmtId="4" fontId="35" fillId="33" borderId="0" xfId="0" applyNumberFormat="1" applyFont="1" applyFill="1" applyBorder="1" applyAlignment="1" applyProtection="1">
      <alignment horizontal="right" vertical="center"/>
      <protection/>
    </xf>
    <xf numFmtId="3" fontId="35" fillId="33" borderId="0" xfId="0" applyNumberFormat="1" applyFont="1" applyFill="1" applyBorder="1" applyAlignment="1" applyProtection="1">
      <alignment horizontal="right" vertical="center"/>
      <protection/>
    </xf>
    <xf numFmtId="0" fontId="17" fillId="34" borderId="16" xfId="0" applyFont="1" applyFill="1" applyBorder="1" applyAlignment="1" applyProtection="1">
      <alignment horizontal="center" vertical="center" wrapText="1"/>
      <protection/>
    </xf>
    <xf numFmtId="0" fontId="16" fillId="34" borderId="10" xfId="0" applyFont="1" applyFill="1" applyBorder="1" applyAlignment="1" applyProtection="1">
      <alignment horizontal="center" vertical="center" wrapText="1"/>
      <protection/>
    </xf>
    <xf numFmtId="0" fontId="16" fillId="34" borderId="10" xfId="0" applyFont="1" applyFill="1" applyBorder="1" applyAlignment="1" applyProtection="1">
      <alignment horizontal="center"/>
      <protection/>
    </xf>
    <xf numFmtId="190" fontId="16" fillId="34" borderId="10" xfId="0" applyNumberFormat="1" applyFont="1" applyFill="1" applyBorder="1" applyAlignment="1" applyProtection="1">
      <alignment horizontal="center"/>
      <protection/>
    </xf>
    <xf numFmtId="4" fontId="16" fillId="34" borderId="10" xfId="0" applyNumberFormat="1" applyFont="1" applyFill="1" applyBorder="1" applyAlignment="1" applyProtection="1">
      <alignment horizontal="center" vertical="center" wrapText="1"/>
      <protection/>
    </xf>
    <xf numFmtId="0" fontId="16" fillId="34" borderId="17" xfId="0" applyFont="1" applyFill="1" applyBorder="1" applyAlignment="1" applyProtection="1">
      <alignment horizontal="center" vertical="center" wrapText="1"/>
      <protection/>
    </xf>
    <xf numFmtId="43" fontId="16" fillId="34" borderId="12" xfId="40" applyFont="1" applyFill="1" applyBorder="1" applyAlignment="1" applyProtection="1">
      <alignment horizontal="center"/>
      <protection/>
    </xf>
    <xf numFmtId="190" fontId="16" fillId="34" borderId="12" xfId="0" applyNumberFormat="1" applyFont="1" applyFill="1" applyBorder="1" applyAlignment="1" applyProtection="1">
      <alignment horizontal="center"/>
      <protection/>
    </xf>
    <xf numFmtId="0" fontId="16" fillId="34" borderId="12" xfId="0" applyFont="1" applyFill="1" applyBorder="1" applyAlignment="1" applyProtection="1">
      <alignment horizontal="center"/>
      <protection/>
    </xf>
    <xf numFmtId="4" fontId="16" fillId="34" borderId="12" xfId="0" applyNumberFormat="1" applyFont="1" applyFill="1" applyBorder="1" applyAlignment="1" applyProtection="1">
      <alignment horizontal="center" vertical="center" wrapText="1"/>
      <protection/>
    </xf>
    <xf numFmtId="3" fontId="16" fillId="34" borderId="12" xfId="0" applyNumberFormat="1" applyFont="1" applyFill="1" applyBorder="1" applyAlignment="1" applyProtection="1">
      <alignment horizontal="center" vertical="center" wrapText="1"/>
      <protection/>
    </xf>
    <xf numFmtId="192" fontId="16" fillId="34" borderId="12" xfId="0" applyNumberFormat="1" applyFont="1" applyFill="1" applyBorder="1" applyAlignment="1" applyProtection="1">
      <alignment horizontal="center" vertical="center" wrapText="1"/>
      <protection/>
    </xf>
    <xf numFmtId="4" fontId="21" fillId="34" borderId="12" xfId="0" applyNumberFormat="1" applyFont="1" applyFill="1" applyBorder="1" applyAlignment="1" applyProtection="1">
      <alignment horizontal="center" vertical="center" wrapText="1"/>
      <protection/>
    </xf>
    <xf numFmtId="3" fontId="21" fillId="34" borderId="12" xfId="0" applyNumberFormat="1" applyFont="1" applyFill="1" applyBorder="1" applyAlignment="1" applyProtection="1">
      <alignment horizontal="center" vertical="center" wrapText="1"/>
      <protection/>
    </xf>
    <xf numFmtId="0" fontId="16" fillId="34" borderId="18" xfId="0" applyFont="1" applyFill="1" applyBorder="1" applyAlignment="1" applyProtection="1">
      <alignment horizontal="center" vertical="center" wrapText="1"/>
      <protection/>
    </xf>
    <xf numFmtId="43" fontId="16" fillId="0" borderId="12" xfId="40" applyFont="1" applyFill="1" applyBorder="1" applyAlignment="1" applyProtection="1">
      <alignment horizontal="center"/>
      <protection/>
    </xf>
    <xf numFmtId="0" fontId="12" fillId="33" borderId="0" xfId="0" applyNumberFormat="1" applyFont="1" applyFill="1" applyBorder="1" applyAlignment="1">
      <alignment vertical="center"/>
    </xf>
    <xf numFmtId="0" fontId="12" fillId="7" borderId="19" xfId="0" applyFont="1" applyFill="1" applyBorder="1" applyAlignment="1">
      <alignment vertical="center"/>
    </xf>
    <xf numFmtId="0" fontId="12" fillId="7" borderId="19" xfId="0" applyNumberFormat="1" applyFont="1" applyFill="1" applyBorder="1" applyAlignment="1" applyProtection="1">
      <alignment vertical="center"/>
      <protection/>
    </xf>
    <xf numFmtId="0" fontId="12" fillId="7" borderId="20" xfId="0" applyFont="1" applyFill="1" applyBorder="1" applyAlignment="1">
      <alignment vertical="center"/>
    </xf>
    <xf numFmtId="0" fontId="12" fillId="7" borderId="20" xfId="57" applyFont="1" applyFill="1" applyBorder="1" applyAlignment="1">
      <alignment vertical="center"/>
      <protection/>
    </xf>
    <xf numFmtId="204" fontId="12" fillId="7" borderId="20" xfId="0" applyNumberFormat="1" applyFont="1" applyFill="1" applyBorder="1" applyAlignment="1">
      <alignment vertical="center"/>
    </xf>
    <xf numFmtId="0" fontId="12" fillId="7" borderId="20" xfId="0" applyNumberFormat="1" applyFont="1" applyFill="1" applyBorder="1" applyAlignment="1" applyProtection="1">
      <alignment vertical="center"/>
      <protection/>
    </xf>
    <xf numFmtId="0" fontId="12" fillId="7" borderId="20" xfId="0" applyFont="1" applyFill="1" applyBorder="1" applyAlignment="1" applyProtection="1">
      <alignment vertical="center"/>
      <protection/>
    </xf>
    <xf numFmtId="0" fontId="12" fillId="7" borderId="20" xfId="0" applyNumberFormat="1" applyFont="1" applyFill="1" applyBorder="1" applyAlignment="1" applyProtection="1">
      <alignment vertical="center"/>
      <protection locked="0"/>
    </xf>
    <xf numFmtId="0" fontId="12" fillId="7" borderId="20" xfId="0" applyFont="1" applyFill="1" applyBorder="1" applyAlignment="1" applyProtection="1">
      <alignment vertical="center"/>
      <protection locked="0"/>
    </xf>
    <xf numFmtId="0" fontId="12" fillId="7" borderId="20" xfId="0" applyNumberFormat="1" applyFont="1" applyFill="1" applyBorder="1" applyAlignment="1">
      <alignment vertical="center"/>
    </xf>
    <xf numFmtId="0" fontId="12" fillId="7" borderId="21" xfId="0" applyFont="1" applyFill="1" applyBorder="1" applyAlignment="1">
      <alignment vertical="center"/>
    </xf>
    <xf numFmtId="0" fontId="12" fillId="7" borderId="21" xfId="0" applyNumberFormat="1" applyFont="1" applyFill="1" applyBorder="1" applyAlignment="1" applyProtection="1">
      <alignment vertical="center"/>
      <protection/>
    </xf>
    <xf numFmtId="4" fontId="52" fillId="33" borderId="0" xfId="0" applyNumberFormat="1" applyFont="1" applyFill="1" applyBorder="1" applyAlignment="1" applyProtection="1">
      <alignment horizontal="right" vertical="center"/>
      <protection/>
    </xf>
    <xf numFmtId="4" fontId="52" fillId="33" borderId="0" xfId="0" applyNumberFormat="1" applyFont="1" applyFill="1" applyBorder="1" applyAlignment="1" applyProtection="1">
      <alignment horizontal="center" vertical="center"/>
      <protection/>
    </xf>
    <xf numFmtId="3" fontId="52" fillId="33" borderId="0" xfId="0" applyNumberFormat="1" applyFont="1" applyFill="1" applyBorder="1" applyAlignment="1" applyProtection="1">
      <alignment horizontal="center" vertical="center"/>
      <protection/>
    </xf>
    <xf numFmtId="0" fontId="53" fillId="33" borderId="0" xfId="0" applyFont="1" applyFill="1" applyBorder="1" applyAlignment="1" applyProtection="1">
      <alignment horizontal="left" vertical="center"/>
      <protection/>
    </xf>
    <xf numFmtId="0" fontId="53" fillId="33" borderId="0" xfId="0" applyFont="1" applyFill="1" applyBorder="1" applyAlignment="1" applyProtection="1">
      <alignment horizontal="center" vertical="center"/>
      <protection/>
    </xf>
    <xf numFmtId="4" fontId="53" fillId="33" borderId="0" xfId="0" applyNumberFormat="1" applyFont="1" applyFill="1" applyBorder="1" applyAlignment="1" applyProtection="1">
      <alignment horizontal="right" vertical="center"/>
      <protection/>
    </xf>
    <xf numFmtId="4" fontId="53" fillId="33" borderId="0" xfId="0" applyNumberFormat="1" applyFont="1" applyFill="1" applyBorder="1" applyAlignment="1" applyProtection="1">
      <alignment horizontal="center" vertical="center"/>
      <protection/>
    </xf>
    <xf numFmtId="3" fontId="53" fillId="33" borderId="0" xfId="0" applyNumberFormat="1" applyFont="1" applyFill="1" applyBorder="1" applyAlignment="1" applyProtection="1">
      <alignment horizontal="center" vertical="center"/>
      <protection/>
    </xf>
    <xf numFmtId="0" fontId="55"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protection/>
    </xf>
    <xf numFmtId="0" fontId="16" fillId="33" borderId="22" xfId="0" applyFont="1" applyFill="1" applyBorder="1" applyAlignment="1" applyProtection="1">
      <alignment horizontal="center"/>
      <protection/>
    </xf>
    <xf numFmtId="0" fontId="16" fillId="34" borderId="23" xfId="0" applyFont="1" applyFill="1" applyBorder="1" applyAlignment="1" applyProtection="1">
      <alignment horizontal="center"/>
      <protection/>
    </xf>
    <xf numFmtId="190" fontId="16" fillId="34" borderId="23" xfId="0" applyNumberFormat="1" applyFont="1" applyFill="1" applyBorder="1" applyAlignment="1" applyProtection="1">
      <alignment horizontal="center"/>
      <protection/>
    </xf>
    <xf numFmtId="0" fontId="16" fillId="35" borderId="23" xfId="0" applyFont="1" applyFill="1" applyBorder="1" applyAlignment="1" applyProtection="1">
      <alignment horizontal="center"/>
      <protection/>
    </xf>
    <xf numFmtId="4" fontId="16" fillId="35" borderId="23" xfId="0" applyNumberFormat="1" applyFont="1" applyFill="1" applyBorder="1" applyAlignment="1" applyProtection="1">
      <alignment horizontal="center"/>
      <protection/>
    </xf>
    <xf numFmtId="3" fontId="16" fillId="35" borderId="23" xfId="0" applyNumberFormat="1" applyFont="1" applyFill="1" applyBorder="1" applyAlignment="1" applyProtection="1">
      <alignment horizontal="center"/>
      <protection/>
    </xf>
    <xf numFmtId="4" fontId="21" fillId="35" borderId="23" xfId="0" applyNumberFormat="1" applyFont="1" applyFill="1" applyBorder="1" applyAlignment="1" applyProtection="1">
      <alignment horizontal="center"/>
      <protection/>
    </xf>
    <xf numFmtId="3" fontId="21" fillId="35" borderId="23" xfId="0" applyNumberFormat="1" applyFont="1" applyFill="1" applyBorder="1" applyAlignment="1" applyProtection="1">
      <alignment horizontal="center"/>
      <protection/>
    </xf>
    <xf numFmtId="4" fontId="16" fillId="35" borderId="23" xfId="0" applyNumberFormat="1" applyFont="1" applyFill="1" applyBorder="1" applyAlignment="1" applyProtection="1">
      <alignment horizontal="center" vertical="center" wrapText="1"/>
      <protection/>
    </xf>
    <xf numFmtId="0" fontId="16" fillId="34" borderId="24" xfId="0" applyFont="1" applyFill="1" applyBorder="1" applyAlignment="1" applyProtection="1">
      <alignment horizontal="center" vertical="center" wrapText="1"/>
      <protection/>
    </xf>
    <xf numFmtId="0" fontId="16" fillId="33" borderId="15" xfId="0" applyFont="1" applyFill="1" applyBorder="1" applyAlignment="1" applyProtection="1">
      <alignment horizontal="center"/>
      <protection/>
    </xf>
    <xf numFmtId="4" fontId="46" fillId="8" borderId="19" xfId="0" applyNumberFormat="1" applyFont="1" applyFill="1" applyBorder="1" applyAlignment="1">
      <alignment vertical="center"/>
    </xf>
    <xf numFmtId="4" fontId="46" fillId="8" borderId="20" xfId="0" applyNumberFormat="1" applyFont="1" applyFill="1" applyBorder="1" applyAlignment="1">
      <alignment vertical="center"/>
    </xf>
    <xf numFmtId="4" fontId="46" fillId="8" borderId="21" xfId="0" applyNumberFormat="1" applyFont="1" applyFill="1" applyBorder="1" applyAlignment="1">
      <alignment vertical="center"/>
    </xf>
    <xf numFmtId="0" fontId="0" fillId="33" borderId="0" xfId="0" applyFont="1" applyFill="1" applyAlignment="1" applyProtection="1">
      <alignment vertical="center"/>
      <protection/>
    </xf>
    <xf numFmtId="3" fontId="0" fillId="33" borderId="0" xfId="0" applyNumberFormat="1" applyFont="1" applyFill="1" applyBorder="1" applyAlignment="1" applyProtection="1">
      <alignment vertical="center"/>
      <protection/>
    </xf>
    <xf numFmtId="0" fontId="16" fillId="33" borderId="23" xfId="0" applyFont="1" applyFill="1" applyBorder="1" applyAlignment="1" applyProtection="1">
      <alignment horizontal="center"/>
      <protection/>
    </xf>
    <xf numFmtId="0" fontId="16" fillId="0" borderId="23" xfId="0" applyFont="1" applyFill="1" applyBorder="1" applyAlignment="1" applyProtection="1">
      <alignment horizontal="center"/>
      <protection/>
    </xf>
    <xf numFmtId="0" fontId="18" fillId="34" borderId="25" xfId="0" applyFont="1" applyFill="1" applyBorder="1" applyAlignment="1" applyProtection="1">
      <alignment vertical="center"/>
      <protection/>
    </xf>
    <xf numFmtId="0" fontId="18" fillId="34" borderId="26" xfId="0" applyFont="1" applyFill="1" applyBorder="1" applyAlignment="1" applyProtection="1">
      <alignment vertical="center"/>
      <protection/>
    </xf>
    <xf numFmtId="0" fontId="18" fillId="34" borderId="27" xfId="0" applyFont="1" applyFill="1" applyBorder="1" applyAlignment="1" applyProtection="1">
      <alignment vertical="center"/>
      <protection/>
    </xf>
    <xf numFmtId="43" fontId="16" fillId="33" borderId="28" xfId="40" applyFont="1" applyFill="1" applyBorder="1" applyAlignment="1" applyProtection="1">
      <alignment horizontal="center"/>
      <protection/>
    </xf>
    <xf numFmtId="43" fontId="16" fillId="0" borderId="28" xfId="40" applyFont="1" applyFill="1" applyBorder="1" applyAlignment="1" applyProtection="1">
      <alignment horizontal="center"/>
      <protection/>
    </xf>
    <xf numFmtId="0" fontId="16" fillId="33" borderId="28" xfId="0" applyFont="1" applyFill="1" applyBorder="1" applyAlignment="1" applyProtection="1">
      <alignment horizontal="center" vertical="center" wrapText="1"/>
      <protection/>
    </xf>
    <xf numFmtId="3" fontId="46" fillId="8" borderId="29" xfId="0" applyNumberFormat="1" applyFont="1" applyFill="1" applyBorder="1" applyAlignment="1">
      <alignment vertical="center"/>
    </xf>
    <xf numFmtId="3" fontId="46" fillId="8" borderId="30" xfId="0" applyNumberFormat="1" applyFont="1" applyFill="1" applyBorder="1" applyAlignment="1">
      <alignment vertical="center"/>
    </xf>
    <xf numFmtId="3" fontId="46" fillId="8" borderId="31" xfId="0" applyNumberFormat="1" applyFont="1" applyFill="1" applyBorder="1" applyAlignment="1">
      <alignment vertical="center"/>
    </xf>
    <xf numFmtId="0" fontId="6" fillId="36" borderId="0" xfId="0" applyFont="1" applyFill="1" applyBorder="1" applyAlignment="1" applyProtection="1">
      <alignment horizontal="center" vertical="center" wrapText="1"/>
      <protection/>
    </xf>
    <xf numFmtId="4" fontId="16" fillId="34" borderId="32" xfId="0" applyNumberFormat="1" applyFont="1" applyFill="1" applyBorder="1" applyAlignment="1" applyProtection="1">
      <alignment horizontal="center" vertical="center" wrapText="1"/>
      <protection/>
    </xf>
    <xf numFmtId="4" fontId="16" fillId="34" borderId="33" xfId="0" applyNumberFormat="1" applyFont="1" applyFill="1" applyBorder="1" applyAlignment="1" applyProtection="1">
      <alignment horizontal="center" vertical="center" wrapText="1"/>
      <protection/>
    </xf>
    <xf numFmtId="4" fontId="16" fillId="35" borderId="34" xfId="0" applyNumberFormat="1" applyFont="1" applyFill="1" applyBorder="1" applyAlignment="1" applyProtection="1">
      <alignment horizontal="center" vertical="center" wrapText="1"/>
      <protection/>
    </xf>
    <xf numFmtId="43" fontId="16" fillId="34" borderId="28" xfId="40" applyFont="1" applyFill="1" applyBorder="1" applyAlignment="1" applyProtection="1">
      <alignment horizontal="center"/>
      <protection/>
    </xf>
    <xf numFmtId="190" fontId="16" fillId="34" borderId="28" xfId="0" applyNumberFormat="1" applyFont="1" applyFill="1" applyBorder="1" applyAlignment="1" applyProtection="1">
      <alignment horizontal="center"/>
      <protection/>
    </xf>
    <xf numFmtId="0" fontId="16" fillId="34" borderId="28" xfId="0" applyFont="1" applyFill="1" applyBorder="1" applyAlignment="1" applyProtection="1">
      <alignment horizontal="center"/>
      <protection/>
    </xf>
    <xf numFmtId="0" fontId="16" fillId="19" borderId="28" xfId="0" applyFont="1" applyFill="1" applyBorder="1" applyAlignment="1" applyProtection="1">
      <alignment horizontal="center"/>
      <protection/>
    </xf>
    <xf numFmtId="4" fontId="16" fillId="19" borderId="28" xfId="0" applyNumberFormat="1" applyFont="1" applyFill="1" applyBorder="1" applyAlignment="1" applyProtection="1">
      <alignment horizontal="center" vertical="center" wrapText="1"/>
      <protection/>
    </xf>
    <xf numFmtId="3" fontId="16" fillId="19" borderId="28" xfId="0" applyNumberFormat="1" applyFont="1" applyFill="1" applyBorder="1" applyAlignment="1" applyProtection="1">
      <alignment horizontal="center" vertical="center" wrapText="1"/>
      <protection/>
    </xf>
    <xf numFmtId="4" fontId="16" fillId="35" borderId="28" xfId="0" applyNumberFormat="1" applyFont="1" applyFill="1" applyBorder="1" applyAlignment="1" applyProtection="1">
      <alignment horizontal="center" vertical="center" wrapText="1"/>
      <protection/>
    </xf>
    <xf numFmtId="3" fontId="16" fillId="35" borderId="28" xfId="0" applyNumberFormat="1" applyFont="1" applyFill="1" applyBorder="1" applyAlignment="1" applyProtection="1">
      <alignment horizontal="center" vertical="center" wrapText="1"/>
      <protection/>
    </xf>
    <xf numFmtId="192" fontId="16" fillId="35" borderId="28" xfId="0" applyNumberFormat="1" applyFont="1" applyFill="1" applyBorder="1" applyAlignment="1" applyProtection="1">
      <alignment horizontal="center" vertical="center" wrapText="1"/>
      <protection/>
    </xf>
    <xf numFmtId="4" fontId="21" fillId="37" borderId="28" xfId="0" applyNumberFormat="1" applyFont="1" applyFill="1" applyBorder="1" applyAlignment="1" applyProtection="1">
      <alignment horizontal="center" vertical="center" wrapText="1"/>
      <protection/>
    </xf>
    <xf numFmtId="3" fontId="21" fillId="37" borderId="28" xfId="0" applyNumberFormat="1" applyFont="1" applyFill="1" applyBorder="1" applyAlignment="1" applyProtection="1">
      <alignment horizontal="center" vertical="center" wrapText="1"/>
      <protection/>
    </xf>
    <xf numFmtId="4" fontId="16" fillId="37" borderId="28" xfId="0" applyNumberFormat="1" applyFont="1" applyFill="1" applyBorder="1" applyAlignment="1" applyProtection="1">
      <alignment horizontal="center" vertical="center" wrapText="1"/>
      <protection/>
    </xf>
    <xf numFmtId="3" fontId="16" fillId="37" borderId="28" xfId="0" applyNumberFormat="1" applyFont="1" applyFill="1" applyBorder="1" applyAlignment="1" applyProtection="1">
      <alignment horizontal="center" vertical="center" wrapText="1"/>
      <protection/>
    </xf>
    <xf numFmtId="4" fontId="16" fillId="35" borderId="35" xfId="0" applyNumberFormat="1" applyFont="1" applyFill="1" applyBorder="1" applyAlignment="1" applyProtection="1">
      <alignment horizontal="center" vertical="center" wrapText="1"/>
      <protection/>
    </xf>
    <xf numFmtId="0" fontId="16" fillId="34" borderId="36" xfId="0" applyFont="1" applyFill="1" applyBorder="1" applyAlignment="1" applyProtection="1">
      <alignment horizontal="center"/>
      <protection/>
    </xf>
    <xf numFmtId="0" fontId="18" fillId="35" borderId="37" xfId="0" applyFont="1" applyFill="1" applyBorder="1" applyAlignment="1" applyProtection="1">
      <alignment vertical="center"/>
      <protection/>
    </xf>
    <xf numFmtId="204" fontId="46" fillId="7" borderId="38" xfId="0" applyNumberFormat="1" applyFont="1" applyFill="1" applyBorder="1" applyAlignment="1">
      <alignment vertical="center"/>
    </xf>
    <xf numFmtId="0" fontId="46" fillId="7" borderId="38" xfId="0" applyFont="1" applyFill="1" applyBorder="1" applyAlignment="1" applyProtection="1">
      <alignment vertical="center"/>
      <protection locked="0"/>
    </xf>
    <xf numFmtId="0" fontId="46" fillId="7" borderId="38" xfId="0" applyNumberFormat="1" applyFont="1" applyFill="1" applyBorder="1" applyAlignment="1">
      <alignment vertical="center"/>
    </xf>
    <xf numFmtId="0" fontId="46" fillId="7" borderId="38" xfId="0" applyFont="1" applyFill="1" applyBorder="1" applyAlignment="1">
      <alignment vertical="center"/>
    </xf>
    <xf numFmtId="0" fontId="89" fillId="0" borderId="0" xfId="0" applyFont="1" applyAlignment="1">
      <alignment horizontal="center"/>
    </xf>
    <xf numFmtId="0" fontId="89" fillId="0" borderId="0" xfId="0" applyFont="1" applyAlignment="1">
      <alignment horizontal="right"/>
    </xf>
    <xf numFmtId="190" fontId="89" fillId="0" borderId="0" xfId="0" applyNumberFormat="1" applyFont="1" applyAlignment="1">
      <alignment horizontal="right"/>
    </xf>
    <xf numFmtId="49" fontId="89" fillId="0" borderId="0" xfId="0" applyNumberFormat="1" applyFont="1" applyAlignment="1">
      <alignment horizontal="right"/>
    </xf>
    <xf numFmtId="4" fontId="89" fillId="0" borderId="0" xfId="0" applyNumberFormat="1" applyFont="1" applyAlignment="1">
      <alignment horizontal="right"/>
    </xf>
    <xf numFmtId="3" fontId="89" fillId="0" borderId="0" xfId="0" applyNumberFormat="1" applyFont="1" applyAlignment="1">
      <alignment horizontal="right"/>
    </xf>
    <xf numFmtId="0" fontId="26" fillId="11" borderId="39" xfId="0" applyFont="1" applyFill="1" applyBorder="1" applyAlignment="1">
      <alignment horizontal="center"/>
    </xf>
    <xf numFmtId="190" fontId="26" fillId="11" borderId="39" xfId="0" applyNumberFormat="1" applyFont="1" applyFill="1" applyBorder="1" applyAlignment="1">
      <alignment horizontal="center"/>
    </xf>
    <xf numFmtId="49" fontId="26" fillId="11" borderId="39" xfId="0" applyNumberFormat="1" applyFont="1" applyFill="1" applyBorder="1" applyAlignment="1">
      <alignment horizontal="center"/>
    </xf>
    <xf numFmtId="4" fontId="26" fillId="11" borderId="39" xfId="0" applyNumberFormat="1" applyFont="1" applyFill="1" applyBorder="1" applyAlignment="1">
      <alignment horizontal="center"/>
    </xf>
    <xf numFmtId="3" fontId="26" fillId="11" borderId="39" xfId="0" applyNumberFormat="1" applyFont="1" applyFill="1" applyBorder="1" applyAlignment="1">
      <alignment horizontal="center"/>
    </xf>
    <xf numFmtId="0" fontId="89" fillId="0" borderId="10" xfId="0" applyFont="1" applyBorder="1" applyAlignment="1">
      <alignment horizontal="right"/>
    </xf>
    <xf numFmtId="190" fontId="89" fillId="0" borderId="10" xfId="0" applyNumberFormat="1" applyFont="1" applyBorder="1" applyAlignment="1">
      <alignment horizontal="right"/>
    </xf>
    <xf numFmtId="49" fontId="89" fillId="0" borderId="10" xfId="0" applyNumberFormat="1" applyFont="1" applyBorder="1" applyAlignment="1">
      <alignment horizontal="right"/>
    </xf>
    <xf numFmtId="4" fontId="89" fillId="0" borderId="10" xfId="0" applyNumberFormat="1" applyFont="1" applyBorder="1" applyAlignment="1">
      <alignment horizontal="right"/>
    </xf>
    <xf numFmtId="3" fontId="89" fillId="0" borderId="10" xfId="0" applyNumberFormat="1" applyFont="1" applyBorder="1" applyAlignment="1">
      <alignment horizontal="right"/>
    </xf>
    <xf numFmtId="9" fontId="89" fillId="0" borderId="10" xfId="0" applyNumberFormat="1" applyFont="1" applyBorder="1" applyAlignment="1">
      <alignment horizontal="right"/>
    </xf>
    <xf numFmtId="0" fontId="89" fillId="0" borderId="10" xfId="0" applyFont="1" applyBorder="1" applyAlignment="1">
      <alignment horizontal="center"/>
    </xf>
    <xf numFmtId="0" fontId="26" fillId="11" borderId="12" xfId="0" applyFont="1" applyFill="1" applyBorder="1" applyAlignment="1">
      <alignment horizontal="center"/>
    </xf>
    <xf numFmtId="190" fontId="26" fillId="11" borderId="12" xfId="0" applyNumberFormat="1" applyFont="1" applyFill="1" applyBorder="1" applyAlignment="1">
      <alignment horizontal="center"/>
    </xf>
    <xf numFmtId="49" fontId="26" fillId="11" borderId="12" xfId="0" applyNumberFormat="1" applyFont="1" applyFill="1" applyBorder="1" applyAlignment="1">
      <alignment horizontal="center"/>
    </xf>
    <xf numFmtId="4" fontId="26" fillId="11" borderId="12" xfId="0" applyNumberFormat="1" applyFont="1" applyFill="1" applyBorder="1" applyAlignment="1">
      <alignment horizontal="center"/>
    </xf>
    <xf numFmtId="3" fontId="26" fillId="11" borderId="12" xfId="0" applyNumberFormat="1" applyFont="1" applyFill="1" applyBorder="1" applyAlignment="1">
      <alignment horizontal="center"/>
    </xf>
    <xf numFmtId="0" fontId="89" fillId="16" borderId="39" xfId="0" applyFont="1" applyFill="1" applyBorder="1" applyAlignment="1">
      <alignment horizontal="right"/>
    </xf>
    <xf numFmtId="190" fontId="89" fillId="16" borderId="39" xfId="0" applyNumberFormat="1" applyFont="1" applyFill="1" applyBorder="1" applyAlignment="1">
      <alignment horizontal="right"/>
    </xf>
    <xf numFmtId="49" fontId="89" fillId="16" borderId="39" xfId="0" applyNumberFormat="1" applyFont="1" applyFill="1" applyBorder="1" applyAlignment="1">
      <alignment horizontal="right"/>
    </xf>
    <xf numFmtId="4" fontId="89" fillId="16" borderId="39" xfId="0" applyNumberFormat="1" applyFont="1" applyFill="1" applyBorder="1" applyAlignment="1">
      <alignment horizontal="right"/>
    </xf>
    <xf numFmtId="3" fontId="89" fillId="16" borderId="39" xfId="0" applyNumberFormat="1" applyFont="1" applyFill="1" applyBorder="1" applyAlignment="1">
      <alignment horizontal="right"/>
    </xf>
    <xf numFmtId="9" fontId="89" fillId="16" borderId="39" xfId="0" applyNumberFormat="1" applyFont="1" applyFill="1" applyBorder="1" applyAlignment="1">
      <alignment horizontal="right"/>
    </xf>
    <xf numFmtId="0" fontId="89" fillId="16" borderId="39" xfId="0" applyFont="1" applyFill="1" applyBorder="1" applyAlignment="1">
      <alignment horizontal="center"/>
    </xf>
    <xf numFmtId="3" fontId="89" fillId="0" borderId="32" xfId="0" applyNumberFormat="1" applyFont="1" applyBorder="1" applyAlignment="1">
      <alignment horizontal="right"/>
    </xf>
    <xf numFmtId="3" fontId="89" fillId="16" borderId="40" xfId="0" applyNumberFormat="1" applyFont="1" applyFill="1" applyBorder="1" applyAlignment="1">
      <alignment horizontal="right"/>
    </xf>
    <xf numFmtId="4" fontId="89" fillId="0" borderId="41" xfId="0" applyNumberFormat="1" applyFont="1" applyBorder="1" applyAlignment="1">
      <alignment horizontal="right"/>
    </xf>
    <xf numFmtId="4" fontId="89" fillId="16" borderId="42" xfId="0" applyNumberFormat="1" applyFont="1" applyFill="1" applyBorder="1" applyAlignment="1">
      <alignment horizontal="right"/>
    </xf>
    <xf numFmtId="0" fontId="44" fillId="0" borderId="0" xfId="0" applyFont="1" applyAlignment="1">
      <alignment horizontal="center"/>
    </xf>
    <xf numFmtId="49" fontId="44" fillId="0" borderId="0" xfId="0" applyNumberFormat="1" applyFont="1" applyAlignment="1">
      <alignment horizontal="center"/>
    </xf>
    <xf numFmtId="0" fontId="155" fillId="38" borderId="0" xfId="0" applyFont="1" applyFill="1" applyAlignment="1">
      <alignment horizontal="center" vertical="center"/>
    </xf>
    <xf numFmtId="0" fontId="155" fillId="38" borderId="0" xfId="0" applyFont="1" applyFill="1" applyAlignment="1">
      <alignment horizontal="center"/>
    </xf>
    <xf numFmtId="2" fontId="0" fillId="0" borderId="0" xfId="0" applyNumberFormat="1" applyFont="1" applyAlignment="1">
      <alignment/>
    </xf>
    <xf numFmtId="2" fontId="0" fillId="0" borderId="0" xfId="0" applyNumberFormat="1" applyFont="1" applyAlignment="1">
      <alignment horizontal="right"/>
    </xf>
    <xf numFmtId="0" fontId="0" fillId="0" borderId="0" xfId="0" applyFont="1" applyAlignment="1">
      <alignment horizontal="center"/>
    </xf>
    <xf numFmtId="2" fontId="0" fillId="0" borderId="0" xfId="0" applyNumberFormat="1" applyFont="1" applyBorder="1" applyAlignment="1">
      <alignment horizontal="right"/>
    </xf>
    <xf numFmtId="2" fontId="44" fillId="0" borderId="0" xfId="0" applyNumberFormat="1" applyFont="1" applyAlignment="1">
      <alignment horizontal="center"/>
    </xf>
    <xf numFmtId="2" fontId="44" fillId="0" borderId="0" xfId="0" applyNumberFormat="1" applyFont="1" applyAlignment="1">
      <alignment horizontal="right"/>
    </xf>
    <xf numFmtId="0" fontId="44" fillId="0" borderId="0" xfId="0" applyFont="1" applyAlignment="1">
      <alignment horizontal="right"/>
    </xf>
    <xf numFmtId="0" fontId="44" fillId="0" borderId="0" xfId="0" applyFont="1" applyAlignment="1">
      <alignment/>
    </xf>
    <xf numFmtId="0" fontId="156" fillId="38" borderId="0" xfId="0" applyFont="1" applyFill="1" applyAlignment="1">
      <alignment horizontal="center" vertical="center"/>
    </xf>
    <xf numFmtId="0" fontId="156" fillId="0" borderId="0" xfId="0" applyFont="1" applyAlignment="1">
      <alignment/>
    </xf>
    <xf numFmtId="2" fontId="156" fillId="38" borderId="0" xfId="0" applyNumberFormat="1" applyFont="1" applyFill="1" applyAlignment="1">
      <alignment horizontal="right"/>
    </xf>
    <xf numFmtId="0" fontId="156" fillId="0" borderId="0" xfId="0" applyFont="1" applyAlignment="1">
      <alignment horizontal="right"/>
    </xf>
    <xf numFmtId="0" fontId="156" fillId="38" borderId="11" xfId="0" applyFont="1" applyFill="1" applyBorder="1" applyAlignment="1">
      <alignment horizontal="center" vertical="center"/>
    </xf>
    <xf numFmtId="0" fontId="155" fillId="38" borderId="11" xfId="0" applyFont="1" applyFill="1" applyBorder="1" applyAlignment="1">
      <alignment horizontal="center" vertical="center"/>
    </xf>
    <xf numFmtId="0" fontId="155" fillId="38" borderId="11" xfId="0" applyFont="1" applyFill="1" applyBorder="1" applyAlignment="1">
      <alignment horizontal="center"/>
    </xf>
    <xf numFmtId="0" fontId="44" fillId="0" borderId="11" xfId="0" applyFont="1" applyBorder="1" applyAlignment="1">
      <alignment/>
    </xf>
    <xf numFmtId="2" fontId="156" fillId="38" borderId="11" xfId="0" applyNumberFormat="1" applyFont="1" applyFill="1" applyBorder="1" applyAlignment="1">
      <alignment horizontal="right"/>
    </xf>
    <xf numFmtId="2" fontId="0" fillId="0" borderId="11" xfId="0" applyNumberFormat="1" applyFont="1" applyBorder="1" applyAlignment="1">
      <alignment horizontal="right"/>
    </xf>
    <xf numFmtId="0" fontId="0" fillId="0" borderId="11" xfId="0" applyFont="1" applyBorder="1" applyAlignment="1">
      <alignment horizontal="center"/>
    </xf>
    <xf numFmtId="2" fontId="0" fillId="0" borderId="11" xfId="0" applyNumberFormat="1" applyFont="1" applyBorder="1" applyAlignment="1">
      <alignment/>
    </xf>
    <xf numFmtId="0" fontId="65" fillId="0" borderId="0" xfId="0" applyFont="1" applyAlignment="1">
      <alignment/>
    </xf>
    <xf numFmtId="0" fontId="44" fillId="39" borderId="0" xfId="0" applyFont="1" applyFill="1" applyAlignment="1">
      <alignment/>
    </xf>
    <xf numFmtId="0" fontId="44" fillId="36" borderId="0" xfId="0" applyFont="1" applyFill="1" applyAlignment="1">
      <alignment/>
    </xf>
    <xf numFmtId="0" fontId="65" fillId="36" borderId="0" xfId="0" applyFont="1" applyFill="1" applyAlignment="1">
      <alignment/>
    </xf>
    <xf numFmtId="0" fontId="65" fillId="36" borderId="0" xfId="0" applyFont="1" applyFill="1" applyAlignment="1">
      <alignment horizontal="center"/>
    </xf>
    <xf numFmtId="0" fontId="44" fillId="36" borderId="11" xfId="0" applyFont="1" applyFill="1" applyBorder="1" applyAlignment="1">
      <alignment/>
    </xf>
    <xf numFmtId="0" fontId="65" fillId="36" borderId="11" xfId="0" applyFont="1" applyFill="1" applyBorder="1" applyAlignment="1">
      <alignment horizontal="center"/>
    </xf>
    <xf numFmtId="2" fontId="44" fillId="40" borderId="11" xfId="0" applyNumberFormat="1" applyFont="1" applyFill="1" applyBorder="1" applyAlignment="1">
      <alignment/>
    </xf>
    <xf numFmtId="0" fontId="157" fillId="39" borderId="0" xfId="0" applyFont="1" applyFill="1" applyAlignment="1">
      <alignment horizontal="left"/>
    </xf>
    <xf numFmtId="0" fontId="157" fillId="36" borderId="0" xfId="0" applyFont="1" applyFill="1" applyAlignment="1">
      <alignment horizontal="left"/>
    </xf>
    <xf numFmtId="0" fontId="157" fillId="39" borderId="0" xfId="0" applyFont="1" applyFill="1" applyAlignment="1" applyProtection="1">
      <alignment horizontal="left" vertical="center"/>
      <protection locked="0"/>
    </xf>
    <xf numFmtId="0" fontId="157" fillId="36" borderId="11" xfId="0" applyFont="1" applyFill="1" applyBorder="1" applyAlignment="1">
      <alignment horizontal="left"/>
    </xf>
    <xf numFmtId="0" fontId="69" fillId="39" borderId="0" xfId="0" applyFont="1" applyFill="1" applyAlignment="1">
      <alignment horizontal="left"/>
    </xf>
    <xf numFmtId="0" fontId="69" fillId="36" borderId="0" xfId="0" applyFont="1" applyFill="1" applyAlignment="1">
      <alignment horizontal="left"/>
    </xf>
    <xf numFmtId="0" fontId="69" fillId="39" borderId="0" xfId="0" applyFont="1" applyFill="1" applyAlignment="1" applyProtection="1">
      <alignment horizontal="left" vertical="center"/>
      <protection locked="0"/>
    </xf>
    <xf numFmtId="0" fontId="69" fillId="36" borderId="11" xfId="0" applyFont="1" applyFill="1" applyBorder="1" applyAlignment="1">
      <alignment horizontal="left"/>
    </xf>
    <xf numFmtId="0" fontId="158" fillId="39" borderId="0" xfId="0" applyFont="1" applyFill="1" applyAlignment="1">
      <alignment/>
    </xf>
    <xf numFmtId="0" fontId="158" fillId="0" borderId="0" xfId="0" applyFont="1" applyAlignment="1">
      <alignment/>
    </xf>
    <xf numFmtId="0" fontId="159" fillId="39" borderId="0" xfId="0" applyFont="1" applyFill="1" applyAlignment="1">
      <alignment/>
    </xf>
    <xf numFmtId="0" fontId="159" fillId="0" borderId="0" xfId="0" applyFont="1" applyAlignment="1">
      <alignment/>
    </xf>
    <xf numFmtId="0" fontId="160" fillId="39" borderId="0" xfId="0" applyFont="1" applyFill="1" applyAlignment="1">
      <alignment/>
    </xf>
    <xf numFmtId="0" fontId="158" fillId="36" borderId="0" xfId="0" applyFont="1" applyFill="1" applyAlignment="1">
      <alignment/>
    </xf>
    <xf numFmtId="0" fontId="160" fillId="0" borderId="11" xfId="0" applyFont="1" applyBorder="1" applyAlignment="1">
      <alignment/>
    </xf>
    <xf numFmtId="0" fontId="0" fillId="36" borderId="0" xfId="0" applyFill="1" applyAlignment="1">
      <alignment/>
    </xf>
    <xf numFmtId="0" fontId="96" fillId="34" borderId="27" xfId="0" applyFont="1" applyFill="1" applyBorder="1" applyAlignment="1" applyProtection="1">
      <alignment vertical="center"/>
      <protection/>
    </xf>
    <xf numFmtId="0" fontId="96" fillId="34" borderId="43" xfId="0" applyFont="1" applyFill="1" applyBorder="1" applyAlignment="1" applyProtection="1">
      <alignment vertical="center"/>
      <protection/>
    </xf>
    <xf numFmtId="204" fontId="34" fillId="35" borderId="11" xfId="0" applyNumberFormat="1" applyFont="1" applyFill="1" applyBorder="1" applyAlignment="1" applyProtection="1">
      <alignment vertical="center"/>
      <protection/>
    </xf>
    <xf numFmtId="0" fontId="34" fillId="35" borderId="11" xfId="0" applyFont="1" applyFill="1" applyBorder="1" applyAlignment="1" applyProtection="1">
      <alignment vertical="center"/>
      <protection/>
    </xf>
    <xf numFmtId="0" fontId="12" fillId="35" borderId="11" xfId="0" applyNumberFormat="1" applyFont="1" applyFill="1" applyBorder="1" applyAlignment="1" applyProtection="1">
      <alignment vertical="center"/>
      <protection/>
    </xf>
    <xf numFmtId="190" fontId="12" fillId="35" borderId="11" xfId="0" applyNumberFormat="1" applyFont="1" applyFill="1" applyBorder="1" applyAlignment="1" applyProtection="1">
      <alignment horizontal="center" vertical="center"/>
      <protection/>
    </xf>
    <xf numFmtId="49" fontId="12" fillId="35" borderId="11" xfId="0" applyNumberFormat="1" applyFont="1" applyFill="1" applyBorder="1" applyAlignment="1" applyProtection="1">
      <alignment vertical="center"/>
      <protection/>
    </xf>
    <xf numFmtId="0" fontId="12" fillId="35" borderId="11" xfId="0" applyFont="1" applyFill="1" applyBorder="1" applyAlignment="1">
      <alignment vertical="center"/>
    </xf>
    <xf numFmtId="4" fontId="12" fillId="35" borderId="11" xfId="40" applyNumberFormat="1" applyFont="1" applyFill="1" applyBorder="1" applyAlignment="1">
      <alignment vertical="center"/>
    </xf>
    <xf numFmtId="3" fontId="12" fillId="35" borderId="11" xfId="40" applyNumberFormat="1" applyFont="1" applyFill="1" applyBorder="1" applyAlignment="1">
      <alignment vertical="center"/>
    </xf>
    <xf numFmtId="4" fontId="46" fillId="35" borderId="11" xfId="40" applyNumberFormat="1" applyFont="1" applyFill="1" applyBorder="1" applyAlignment="1">
      <alignment vertical="center"/>
    </xf>
    <xf numFmtId="3" fontId="46" fillId="35" borderId="11" xfId="40" applyNumberFormat="1" applyFont="1" applyFill="1" applyBorder="1" applyAlignment="1">
      <alignment vertical="center"/>
    </xf>
    <xf numFmtId="3" fontId="46" fillId="35" borderId="11" xfId="70" applyNumberFormat="1" applyFont="1" applyFill="1" applyBorder="1" applyAlignment="1" applyProtection="1">
      <alignment vertical="center"/>
      <protection/>
    </xf>
    <xf numFmtId="4" fontId="46" fillId="35" borderId="11" xfId="70" applyNumberFormat="1" applyFont="1" applyFill="1" applyBorder="1" applyAlignment="1" applyProtection="1">
      <alignment vertical="center"/>
      <protection/>
    </xf>
    <xf numFmtId="192" fontId="46" fillId="35" borderId="11" xfId="70" applyNumberFormat="1" applyFont="1" applyFill="1" applyBorder="1" applyAlignment="1" applyProtection="1">
      <alignment vertical="center"/>
      <protection/>
    </xf>
    <xf numFmtId="4" fontId="46" fillId="35" borderId="11" xfId="0" applyNumberFormat="1" applyFont="1" applyFill="1" applyBorder="1" applyAlignment="1">
      <alignment vertical="center"/>
    </xf>
    <xf numFmtId="3" fontId="46" fillId="35" borderId="11" xfId="0" applyNumberFormat="1" applyFont="1" applyFill="1" applyBorder="1" applyAlignment="1">
      <alignment vertical="center"/>
    </xf>
    <xf numFmtId="192" fontId="12" fillId="35" borderId="11" xfId="70" applyNumberFormat="1" applyFont="1" applyFill="1" applyBorder="1" applyAlignment="1" applyProtection="1">
      <alignment vertical="center"/>
      <protection/>
    </xf>
    <xf numFmtId="3" fontId="12" fillId="35" borderId="11" xfId="70" applyNumberFormat="1" applyFont="1" applyFill="1" applyBorder="1" applyAlignment="1" applyProtection="1">
      <alignment vertical="center"/>
      <protection/>
    </xf>
    <xf numFmtId="4" fontId="12" fillId="35" borderId="11" xfId="70" applyNumberFormat="1" applyFont="1" applyFill="1" applyBorder="1" applyAlignment="1" applyProtection="1">
      <alignment vertical="center"/>
      <protection/>
    </xf>
    <xf numFmtId="186" fontId="47" fillId="35" borderId="11" xfId="43" applyNumberFormat="1" applyFont="1" applyFill="1" applyBorder="1" applyAlignment="1" applyProtection="1">
      <alignment vertical="center"/>
      <protection/>
    </xf>
    <xf numFmtId="0" fontId="18" fillId="35" borderId="44" xfId="0" applyFont="1" applyFill="1" applyBorder="1" applyAlignment="1" applyProtection="1">
      <alignment vertical="center"/>
      <protection/>
    </xf>
    <xf numFmtId="0" fontId="161" fillId="33" borderId="20" xfId="0" applyNumberFormat="1" applyFont="1" applyFill="1" applyBorder="1" applyAlignment="1" applyProtection="1">
      <alignment horizontal="center" vertical="center"/>
      <protection/>
    </xf>
    <xf numFmtId="0" fontId="161" fillId="41" borderId="20" xfId="0" applyNumberFormat="1" applyFont="1" applyFill="1" applyBorder="1" applyAlignment="1" applyProtection="1">
      <alignment horizontal="center" vertical="center"/>
      <protection/>
    </xf>
    <xf numFmtId="0" fontId="34" fillId="36" borderId="20" xfId="0" applyNumberFormat="1" applyFont="1" applyFill="1" applyBorder="1" applyAlignment="1" applyProtection="1">
      <alignment horizontal="center" vertical="center"/>
      <protection/>
    </xf>
    <xf numFmtId="204" fontId="161" fillId="36" borderId="20" xfId="0" applyNumberFormat="1" applyFont="1" applyFill="1" applyBorder="1" applyAlignment="1" applyProtection="1">
      <alignment horizontal="center" vertical="center"/>
      <protection/>
    </xf>
    <xf numFmtId="0" fontId="161" fillId="42" borderId="20" xfId="0" applyNumberFormat="1" applyFont="1" applyFill="1" applyBorder="1" applyAlignment="1" applyProtection="1">
      <alignment horizontal="center" vertical="center"/>
      <protection/>
    </xf>
    <xf numFmtId="0" fontId="46" fillId="7" borderId="20" xfId="0" applyNumberFormat="1" applyFont="1" applyFill="1" applyBorder="1" applyAlignment="1" applyProtection="1">
      <alignment vertical="center"/>
      <protection locked="0"/>
    </xf>
    <xf numFmtId="0" fontId="161" fillId="36" borderId="20" xfId="0" applyNumberFormat="1" applyFont="1" applyFill="1" applyBorder="1" applyAlignment="1" applyProtection="1">
      <alignment horizontal="center" vertical="center"/>
      <protection/>
    </xf>
    <xf numFmtId="0" fontId="46" fillId="7" borderId="20" xfId="0" applyNumberFormat="1" applyFont="1" applyFill="1" applyBorder="1" applyAlignment="1">
      <alignment vertical="center"/>
    </xf>
    <xf numFmtId="0" fontId="34" fillId="43" borderId="20" xfId="0" applyNumberFormat="1" applyFont="1" applyFill="1" applyBorder="1" applyAlignment="1" applyProtection="1">
      <alignment horizontal="center" vertical="center"/>
      <protection/>
    </xf>
    <xf numFmtId="0" fontId="34" fillId="44" borderId="20" xfId="0" applyNumberFormat="1" applyFont="1" applyFill="1" applyBorder="1" applyAlignment="1" applyProtection="1">
      <alignment horizontal="center" vertical="center"/>
      <protection/>
    </xf>
    <xf numFmtId="204" fontId="46" fillId="7" borderId="20" xfId="0" applyNumberFormat="1" applyFont="1" applyFill="1" applyBorder="1" applyAlignment="1">
      <alignment vertical="center"/>
    </xf>
    <xf numFmtId="0" fontId="161" fillId="36" borderId="20" xfId="0" applyFont="1" applyFill="1" applyBorder="1" applyAlignment="1" applyProtection="1">
      <alignment horizontal="center" vertical="center"/>
      <protection/>
    </xf>
    <xf numFmtId="0" fontId="34" fillId="37" borderId="20" xfId="0" applyNumberFormat="1" applyFont="1" applyFill="1" applyBorder="1" applyAlignment="1" applyProtection="1">
      <alignment horizontal="center" vertical="center"/>
      <protection/>
    </xf>
    <xf numFmtId="0" fontId="161" fillId="45" borderId="20" xfId="0" applyNumberFormat="1" applyFont="1" applyFill="1" applyBorder="1" applyAlignment="1" applyProtection="1">
      <alignment horizontal="center" vertical="center"/>
      <protection/>
    </xf>
    <xf numFmtId="0" fontId="161" fillId="0" borderId="20" xfId="0" applyNumberFormat="1" applyFont="1" applyFill="1" applyBorder="1" applyAlignment="1" applyProtection="1">
      <alignment horizontal="center" vertical="center"/>
      <protection/>
    </xf>
    <xf numFmtId="0" fontId="34" fillId="0" borderId="20" xfId="0" applyNumberFormat="1" applyFont="1" applyFill="1" applyBorder="1" applyAlignment="1" applyProtection="1">
      <alignment horizontal="center" vertical="center"/>
      <protection/>
    </xf>
    <xf numFmtId="0" fontId="46" fillId="7" borderId="20" xfId="0" applyFont="1" applyFill="1" applyBorder="1" applyAlignment="1" applyProtection="1">
      <alignment vertical="center"/>
      <protection locked="0"/>
    </xf>
    <xf numFmtId="0" fontId="48" fillId="36" borderId="20" xfId="0" applyFont="1" applyFill="1" applyBorder="1" applyAlignment="1" applyProtection="1">
      <alignment horizontal="center" vertical="center"/>
      <protection/>
    </xf>
    <xf numFmtId="0" fontId="10" fillId="36" borderId="20" xfId="0" applyFont="1" applyFill="1" applyBorder="1" applyAlignment="1" applyProtection="1">
      <alignment horizontal="center" vertical="center"/>
      <protection/>
    </xf>
    <xf numFmtId="0" fontId="162" fillId="36" borderId="20" xfId="0" applyFont="1" applyFill="1" applyBorder="1" applyAlignment="1" applyProtection="1">
      <alignment horizontal="center" vertical="center"/>
      <protection/>
    </xf>
    <xf numFmtId="0" fontId="46" fillId="7" borderId="20" xfId="0" applyFont="1" applyFill="1" applyBorder="1" applyAlignment="1">
      <alignment vertical="center"/>
    </xf>
    <xf numFmtId="0" fontId="34" fillId="46" borderId="20" xfId="0" applyNumberFormat="1" applyFont="1" applyFill="1" applyBorder="1" applyAlignment="1" applyProtection="1">
      <alignment horizontal="center" vertical="center"/>
      <protection/>
    </xf>
    <xf numFmtId="0" fontId="163" fillId="33" borderId="20" xfId="0" applyFont="1" applyFill="1" applyBorder="1" applyAlignment="1" applyProtection="1">
      <alignment horizontal="center" vertical="center"/>
      <protection/>
    </xf>
    <xf numFmtId="0" fontId="46" fillId="7" borderId="20" xfId="0" applyNumberFormat="1" applyFont="1" applyFill="1" applyBorder="1" applyAlignment="1" applyProtection="1">
      <alignment vertical="center"/>
      <protection/>
    </xf>
    <xf numFmtId="0" fontId="46" fillId="7" borderId="20" xfId="57" applyFont="1" applyFill="1" applyBorder="1" applyAlignment="1">
      <alignment vertical="center"/>
      <protection/>
    </xf>
    <xf numFmtId="0" fontId="163" fillId="36" borderId="20" xfId="0" applyFont="1" applyFill="1" applyBorder="1" applyAlignment="1" applyProtection="1">
      <alignment horizontal="center" vertical="center"/>
      <protection/>
    </xf>
    <xf numFmtId="0" fontId="153" fillId="7" borderId="20" xfId="0" applyFont="1" applyFill="1" applyBorder="1" applyAlignment="1">
      <alignment vertical="center"/>
    </xf>
    <xf numFmtId="0" fontId="48" fillId="0" borderId="20" xfId="0" applyFont="1" applyFill="1" applyBorder="1" applyAlignment="1" applyProtection="1">
      <alignment horizontal="center" vertical="center"/>
      <protection/>
    </xf>
    <xf numFmtId="0" fontId="12" fillId="0" borderId="20" xfId="0" applyNumberFormat="1" applyFont="1" applyFill="1" applyBorder="1" applyAlignment="1" applyProtection="1">
      <alignment horizontal="right" vertical="center"/>
      <protection locked="0"/>
    </xf>
    <xf numFmtId="3" fontId="12" fillId="8" borderId="20" xfId="70" applyNumberFormat="1" applyFont="1" applyFill="1" applyBorder="1" applyAlignment="1" applyProtection="1">
      <alignment horizontal="right" vertical="center"/>
      <protection/>
    </xf>
    <xf numFmtId="2" fontId="12" fillId="8" borderId="20" xfId="70" applyNumberFormat="1" applyFont="1" applyFill="1" applyBorder="1" applyAlignment="1" applyProtection="1">
      <alignment horizontal="right" vertical="center"/>
      <protection/>
    </xf>
    <xf numFmtId="4" fontId="12" fillId="0" borderId="20" xfId="0" applyNumberFormat="1" applyFont="1" applyFill="1" applyBorder="1" applyAlignment="1">
      <alignment horizontal="right" vertical="center"/>
    </xf>
    <xf numFmtId="9" fontId="12" fillId="8" borderId="20" xfId="70" applyNumberFormat="1" applyFont="1" applyFill="1" applyBorder="1" applyAlignment="1" applyProtection="1">
      <alignment horizontal="right" vertical="center"/>
      <protection/>
    </xf>
    <xf numFmtId="4" fontId="12" fillId="8" borderId="20" xfId="70" applyNumberFormat="1" applyFont="1" applyFill="1" applyBorder="1" applyAlignment="1" applyProtection="1">
      <alignment horizontal="right" vertical="center"/>
      <protection/>
    </xf>
    <xf numFmtId="4" fontId="12" fillId="0" borderId="20" xfId="43" applyNumberFormat="1" applyFont="1" applyFill="1" applyBorder="1" applyAlignment="1" applyProtection="1">
      <alignment horizontal="right" vertical="center"/>
      <protection locked="0"/>
    </xf>
    <xf numFmtId="2" fontId="12" fillId="8" borderId="20" xfId="0" applyNumberFormat="1" applyFont="1" applyFill="1" applyBorder="1" applyAlignment="1" applyProtection="1">
      <alignment horizontal="right" vertical="center"/>
      <protection/>
    </xf>
    <xf numFmtId="0" fontId="12" fillId="0" borderId="20" xfId="0" applyFont="1" applyFill="1" applyBorder="1" applyAlignment="1">
      <alignment horizontal="right" vertical="center"/>
    </xf>
    <xf numFmtId="4" fontId="12" fillId="0" borderId="20" xfId="43" applyNumberFormat="1" applyFont="1" applyFill="1" applyBorder="1" applyAlignment="1" applyProtection="1">
      <alignment horizontal="right" vertical="center"/>
      <protection/>
    </xf>
    <xf numFmtId="0" fontId="12" fillId="0" borderId="20" xfId="0" applyFont="1" applyFill="1" applyBorder="1" applyAlignment="1" applyProtection="1">
      <alignment horizontal="right" vertical="center"/>
      <protection locked="0"/>
    </xf>
    <xf numFmtId="4" fontId="12" fillId="0" borderId="20" xfId="43" applyNumberFormat="1" applyFont="1" applyFill="1" applyBorder="1" applyAlignment="1">
      <alignment horizontal="right" vertical="center"/>
    </xf>
    <xf numFmtId="185" fontId="12" fillId="0" borderId="20" xfId="43" applyNumberFormat="1" applyFont="1" applyFill="1" applyBorder="1" applyAlignment="1" applyProtection="1">
      <alignment horizontal="right" vertical="center"/>
      <protection locked="0"/>
    </xf>
    <xf numFmtId="4" fontId="12" fillId="0" borderId="20" xfId="40" applyNumberFormat="1" applyFont="1" applyFill="1" applyBorder="1" applyAlignment="1" applyProtection="1">
      <alignment horizontal="right" vertical="center"/>
      <protection locked="0"/>
    </xf>
    <xf numFmtId="3" fontId="12" fillId="0" borderId="20" xfId="40" applyNumberFormat="1" applyFont="1" applyFill="1" applyBorder="1" applyAlignment="1" applyProtection="1">
      <alignment horizontal="right" vertical="center"/>
      <protection locked="0"/>
    </xf>
    <xf numFmtId="3" fontId="12" fillId="0" borderId="20" xfId="43" applyNumberFormat="1" applyFont="1" applyFill="1" applyBorder="1" applyAlignment="1">
      <alignment horizontal="right" vertical="center"/>
    </xf>
    <xf numFmtId="3" fontId="12" fillId="0" borderId="20" xfId="43" applyNumberFormat="1" applyFont="1" applyFill="1" applyBorder="1" applyAlignment="1" applyProtection="1">
      <alignment horizontal="right" vertical="center"/>
      <protection locked="0"/>
    </xf>
    <xf numFmtId="1" fontId="12" fillId="0" borderId="20" xfId="0" applyNumberFormat="1" applyFont="1" applyFill="1" applyBorder="1" applyAlignment="1">
      <alignment horizontal="right" vertical="center"/>
    </xf>
    <xf numFmtId="4" fontId="12" fillId="0" borderId="20" xfId="40" applyNumberFormat="1" applyFont="1" applyFill="1" applyBorder="1" applyAlignment="1">
      <alignment horizontal="right" vertical="center"/>
    </xf>
    <xf numFmtId="3" fontId="12" fillId="0" borderId="20" xfId="40" applyNumberFormat="1" applyFont="1" applyFill="1" applyBorder="1" applyAlignment="1">
      <alignment horizontal="right" vertical="center"/>
    </xf>
    <xf numFmtId="3" fontId="12" fillId="0" borderId="20" xfId="0" applyNumberFormat="1" applyFont="1" applyFill="1" applyBorder="1" applyAlignment="1">
      <alignment horizontal="right" vertical="center"/>
    </xf>
    <xf numFmtId="4" fontId="12" fillId="0" borderId="20" xfId="42" applyNumberFormat="1" applyFont="1" applyFill="1" applyBorder="1" applyAlignment="1" applyProtection="1">
      <alignment horizontal="right" vertical="center"/>
      <protection locked="0"/>
    </xf>
    <xf numFmtId="3" fontId="12" fillId="0" borderId="20" xfId="42" applyNumberFormat="1" applyFont="1" applyFill="1" applyBorder="1" applyAlignment="1" applyProtection="1">
      <alignment horizontal="right" vertical="center"/>
      <protection locked="0"/>
    </xf>
    <xf numFmtId="3" fontId="12" fillId="36" borderId="20" xfId="0" applyNumberFormat="1" applyFont="1" applyFill="1" applyBorder="1" applyAlignment="1">
      <alignment horizontal="right" vertical="center"/>
    </xf>
    <xf numFmtId="4" fontId="12" fillId="36" borderId="20" xfId="0" applyNumberFormat="1" applyFont="1" applyFill="1" applyBorder="1" applyAlignment="1">
      <alignment horizontal="right" vertical="center"/>
    </xf>
    <xf numFmtId="190" fontId="12" fillId="0" borderId="20" xfId="0" applyNumberFormat="1" applyFont="1" applyFill="1" applyBorder="1" applyAlignment="1" applyProtection="1">
      <alignment horizontal="center" vertical="center"/>
      <protection/>
    </xf>
    <xf numFmtId="0" fontId="161" fillId="41" borderId="45" xfId="0" applyNumberFormat="1" applyFont="1" applyFill="1" applyBorder="1" applyAlignment="1" applyProtection="1">
      <alignment horizontal="center" vertical="center"/>
      <protection/>
    </xf>
    <xf numFmtId="0" fontId="34" fillId="36" borderId="45" xfId="0" applyNumberFormat="1" applyFont="1" applyFill="1" applyBorder="1" applyAlignment="1" applyProtection="1">
      <alignment horizontal="center" vertical="center"/>
      <protection/>
    </xf>
    <xf numFmtId="0" fontId="161" fillId="36" borderId="45" xfId="0" applyNumberFormat="1" applyFont="1" applyFill="1" applyBorder="1" applyAlignment="1" applyProtection="1">
      <alignment horizontal="center" vertical="center"/>
      <protection/>
    </xf>
    <xf numFmtId="204" fontId="46" fillId="7" borderId="45" xfId="0" applyNumberFormat="1" applyFont="1" applyFill="1" applyBorder="1" applyAlignment="1">
      <alignment vertical="center"/>
    </xf>
    <xf numFmtId="0" fontId="12" fillId="7" borderId="45" xfId="0" applyFont="1" applyFill="1" applyBorder="1" applyAlignment="1" applyProtection="1">
      <alignment vertical="center"/>
      <protection/>
    </xf>
    <xf numFmtId="204" fontId="12" fillId="7" borderId="45" xfId="0" applyNumberFormat="1" applyFont="1" applyFill="1" applyBorder="1" applyAlignment="1">
      <alignment vertical="center"/>
    </xf>
    <xf numFmtId="0" fontId="12" fillId="7" borderId="45" xfId="0" applyNumberFormat="1" applyFont="1" applyFill="1" applyBorder="1" applyAlignment="1" applyProtection="1">
      <alignment vertical="center"/>
      <protection/>
    </xf>
    <xf numFmtId="0" fontId="34" fillId="36" borderId="19" xfId="0" applyNumberFormat="1" applyFont="1" applyFill="1" applyBorder="1" applyAlignment="1" applyProtection="1">
      <alignment horizontal="center" vertical="center"/>
      <protection/>
    </xf>
    <xf numFmtId="0" fontId="161" fillId="33" borderId="38" xfId="0" applyNumberFormat="1" applyFont="1" applyFill="1" applyBorder="1" applyAlignment="1" applyProtection="1">
      <alignment horizontal="center" vertical="center"/>
      <protection/>
    </xf>
    <xf numFmtId="0" fontId="162" fillId="33" borderId="38" xfId="0" applyFont="1" applyFill="1" applyBorder="1" applyAlignment="1" applyProtection="1">
      <alignment horizontal="center" vertical="center"/>
      <protection/>
    </xf>
    <xf numFmtId="0" fontId="163" fillId="33" borderId="38" xfId="0" applyFont="1" applyFill="1" applyBorder="1" applyAlignment="1" applyProtection="1">
      <alignment horizontal="center" vertical="center"/>
      <protection/>
    </xf>
    <xf numFmtId="0" fontId="161" fillId="36" borderId="38" xfId="0" applyNumberFormat="1" applyFont="1" applyFill="1" applyBorder="1" applyAlignment="1" applyProtection="1">
      <alignment horizontal="center" vertical="center"/>
      <protection/>
    </xf>
    <xf numFmtId="0" fontId="161" fillId="33" borderId="46" xfId="0" applyNumberFormat="1" applyFont="1" applyFill="1" applyBorder="1" applyAlignment="1" applyProtection="1">
      <alignment horizontal="center" vertical="center"/>
      <protection/>
    </xf>
    <xf numFmtId="0" fontId="161" fillId="41" borderId="21" xfId="0" applyNumberFormat="1" applyFont="1" applyFill="1" applyBorder="1" applyAlignment="1" applyProtection="1">
      <alignment horizontal="center" vertical="center"/>
      <protection/>
    </xf>
    <xf numFmtId="0" fontId="34" fillId="36" borderId="21" xfId="0" applyNumberFormat="1" applyFont="1" applyFill="1" applyBorder="1" applyAlignment="1" applyProtection="1">
      <alignment horizontal="center" vertical="center"/>
      <protection/>
    </xf>
    <xf numFmtId="0" fontId="161" fillId="36" borderId="21" xfId="0" applyNumberFormat="1" applyFont="1" applyFill="1" applyBorder="1" applyAlignment="1" applyProtection="1">
      <alignment horizontal="center" vertical="center"/>
      <protection/>
    </xf>
    <xf numFmtId="0" fontId="46" fillId="7" borderId="38" xfId="0" applyNumberFormat="1" applyFont="1" applyFill="1" applyBorder="1" applyAlignment="1" applyProtection="1">
      <alignment vertical="center"/>
      <protection locked="0"/>
    </xf>
    <xf numFmtId="204" fontId="46" fillId="7" borderId="21" xfId="0" applyNumberFormat="1" applyFont="1" applyFill="1" applyBorder="1" applyAlignment="1">
      <alignment vertical="center"/>
    </xf>
    <xf numFmtId="0" fontId="12" fillId="7" borderId="21" xfId="0" applyFont="1" applyFill="1" applyBorder="1" applyAlignment="1" applyProtection="1">
      <alignment vertical="center"/>
      <protection/>
    </xf>
    <xf numFmtId="204" fontId="12" fillId="7" borderId="21" xfId="0" applyNumberFormat="1" applyFont="1" applyFill="1" applyBorder="1" applyAlignment="1">
      <alignment vertical="center"/>
    </xf>
    <xf numFmtId="0" fontId="161" fillId="33" borderId="47" xfId="0" applyNumberFormat="1" applyFont="1" applyFill="1" applyBorder="1" applyAlignment="1" applyProtection="1">
      <alignment horizontal="center" vertical="center"/>
      <protection/>
    </xf>
    <xf numFmtId="190" fontId="12" fillId="7" borderId="20" xfId="0" applyNumberFormat="1" applyFont="1" applyFill="1" applyBorder="1" applyAlignment="1" applyProtection="1">
      <alignment horizontal="center" vertical="center"/>
      <protection locked="0"/>
    </xf>
    <xf numFmtId="190" fontId="12" fillId="7" borderId="20" xfId="0" applyNumberFormat="1" applyFont="1" applyFill="1" applyBorder="1" applyAlignment="1" applyProtection="1">
      <alignment horizontal="center" vertical="center"/>
      <protection/>
    </xf>
    <xf numFmtId="190" fontId="12" fillId="7" borderId="21" xfId="0" applyNumberFormat="1" applyFont="1" applyFill="1" applyBorder="1" applyAlignment="1" applyProtection="1">
      <alignment horizontal="center" vertical="center"/>
      <protection locked="0"/>
    </xf>
    <xf numFmtId="190" fontId="12" fillId="7" borderId="45" xfId="0" applyNumberFormat="1" applyFont="1" applyFill="1" applyBorder="1" applyAlignment="1" applyProtection="1">
      <alignment horizontal="center" vertical="center"/>
      <protection locked="0"/>
    </xf>
    <xf numFmtId="190" fontId="12" fillId="7" borderId="20" xfId="0" applyNumberFormat="1" applyFont="1" applyFill="1" applyBorder="1" applyAlignment="1">
      <alignment horizontal="center" vertical="center"/>
    </xf>
    <xf numFmtId="0" fontId="161" fillId="0" borderId="21" xfId="0" applyNumberFormat="1" applyFont="1" applyFill="1" applyBorder="1" applyAlignment="1" applyProtection="1">
      <alignment horizontal="center" vertical="center"/>
      <protection/>
    </xf>
    <xf numFmtId="4" fontId="12" fillId="36" borderId="20" xfId="43" applyNumberFormat="1" applyFont="1" applyFill="1" applyBorder="1" applyAlignment="1" applyProtection="1">
      <alignment horizontal="right" vertical="center"/>
      <protection locked="0"/>
    </xf>
    <xf numFmtId="3" fontId="12" fillId="36" borderId="20" xfId="43" applyNumberFormat="1" applyFont="1" applyFill="1" applyBorder="1" applyAlignment="1" applyProtection="1">
      <alignment horizontal="right" vertical="center"/>
      <protection locked="0"/>
    </xf>
    <xf numFmtId="3" fontId="12" fillId="36" borderId="20" xfId="42" applyNumberFormat="1" applyFont="1" applyFill="1" applyBorder="1" applyAlignment="1" applyProtection="1">
      <alignment horizontal="right" vertical="center"/>
      <protection/>
    </xf>
    <xf numFmtId="4" fontId="12" fillId="36" borderId="20" xfId="42" applyNumberFormat="1" applyFont="1" applyFill="1" applyBorder="1" applyAlignment="1" applyProtection="1">
      <alignment horizontal="right" vertical="center"/>
      <protection/>
    </xf>
    <xf numFmtId="4" fontId="12" fillId="36" borderId="20" xfId="42" applyNumberFormat="1" applyFont="1" applyFill="1" applyBorder="1" applyAlignment="1" applyProtection="1">
      <alignment horizontal="right" vertical="center"/>
      <protection locked="0"/>
    </xf>
    <xf numFmtId="3" fontId="12" fillId="36" borderId="20" xfId="42" applyNumberFormat="1" applyFont="1" applyFill="1" applyBorder="1" applyAlignment="1" applyProtection="1">
      <alignment horizontal="right" vertical="center"/>
      <protection locked="0"/>
    </xf>
    <xf numFmtId="4" fontId="12" fillId="36" borderId="20" xfId="40" applyNumberFormat="1" applyFont="1" applyFill="1" applyBorder="1" applyAlignment="1" applyProtection="1">
      <alignment horizontal="right" vertical="center"/>
      <protection locked="0"/>
    </xf>
    <xf numFmtId="3" fontId="12" fillId="36" borderId="20" xfId="40" applyNumberFormat="1" applyFont="1" applyFill="1" applyBorder="1" applyAlignment="1" applyProtection="1">
      <alignment horizontal="right" vertical="center"/>
      <protection locked="0"/>
    </xf>
    <xf numFmtId="4" fontId="12" fillId="36" borderId="20" xfId="44" applyNumberFormat="1" applyFont="1" applyFill="1" applyBorder="1" applyAlignment="1" applyProtection="1">
      <alignment horizontal="right" vertical="center"/>
      <protection locked="0"/>
    </xf>
    <xf numFmtId="3" fontId="12" fillId="36" borderId="20" xfId="44" applyNumberFormat="1" applyFont="1" applyFill="1" applyBorder="1" applyAlignment="1" applyProtection="1">
      <alignment horizontal="right" vertical="center"/>
      <protection locked="0"/>
    </xf>
    <xf numFmtId="4" fontId="12" fillId="36" borderId="20" xfId="40" applyNumberFormat="1" applyFont="1" applyFill="1" applyBorder="1" applyAlignment="1" applyProtection="1">
      <alignment horizontal="right" vertical="center"/>
      <protection/>
    </xf>
    <xf numFmtId="0" fontId="164" fillId="36" borderId="29" xfId="0" applyFont="1" applyFill="1" applyBorder="1" applyAlignment="1" applyProtection="1">
      <alignment horizontal="center" vertical="center"/>
      <protection/>
    </xf>
    <xf numFmtId="0" fontId="164" fillId="36" borderId="30" xfId="0" applyFont="1" applyFill="1" applyBorder="1" applyAlignment="1" applyProtection="1">
      <alignment horizontal="center" vertical="center"/>
      <protection/>
    </xf>
    <xf numFmtId="0" fontId="164" fillId="36" borderId="31" xfId="0" applyFont="1" applyFill="1" applyBorder="1" applyAlignment="1" applyProtection="1">
      <alignment horizontal="center" vertical="center"/>
      <protection/>
    </xf>
    <xf numFmtId="0" fontId="161" fillId="47" borderId="20" xfId="0" applyNumberFormat="1" applyFont="1" applyFill="1" applyBorder="1" applyAlignment="1" applyProtection="1">
      <alignment horizontal="center" vertical="center"/>
      <protection/>
    </xf>
    <xf numFmtId="0" fontId="161" fillId="41" borderId="20" xfId="0" applyNumberFormat="1" applyFont="1" applyFill="1" applyBorder="1" applyAlignment="1" applyProtection="1">
      <alignment horizontal="center" vertical="center"/>
      <protection/>
    </xf>
    <xf numFmtId="0" fontId="34" fillId="37" borderId="20" xfId="0" applyNumberFormat="1" applyFont="1" applyFill="1" applyBorder="1" applyAlignment="1" applyProtection="1">
      <alignment horizontal="center" vertical="center"/>
      <protection/>
    </xf>
    <xf numFmtId="0" fontId="34" fillId="46" borderId="20" xfId="0" applyNumberFormat="1" applyFont="1" applyFill="1" applyBorder="1" applyAlignment="1" applyProtection="1">
      <alignment horizontal="center" vertical="center"/>
      <protection/>
    </xf>
    <xf numFmtId="0" fontId="34" fillId="44" borderId="20" xfId="0" applyNumberFormat="1" applyFont="1" applyFill="1" applyBorder="1" applyAlignment="1" applyProtection="1">
      <alignment horizontal="center" vertical="center"/>
      <protection/>
    </xf>
    <xf numFmtId="0" fontId="161" fillId="48" borderId="20" xfId="0" applyNumberFormat="1" applyFont="1" applyFill="1" applyBorder="1" applyAlignment="1" applyProtection="1">
      <alignment horizontal="center" vertical="center"/>
      <protection/>
    </xf>
    <xf numFmtId="0" fontId="161" fillId="49" borderId="20" xfId="0" applyNumberFormat="1" applyFont="1" applyFill="1" applyBorder="1" applyAlignment="1" applyProtection="1">
      <alignment horizontal="center" vertical="center"/>
      <protection/>
    </xf>
    <xf numFmtId="0" fontId="164" fillId="36" borderId="48" xfId="0" applyFont="1" applyFill="1" applyBorder="1" applyAlignment="1" applyProtection="1">
      <alignment horizontal="center" vertical="center"/>
      <protection/>
    </xf>
    <xf numFmtId="0" fontId="46" fillId="7" borderId="46" xfId="0" applyNumberFormat="1" applyFont="1" applyFill="1" applyBorder="1" applyAlignment="1">
      <alignment vertical="center"/>
    </xf>
    <xf numFmtId="0" fontId="12" fillId="7" borderId="21" xfId="0" applyNumberFormat="1" applyFont="1" applyFill="1" applyBorder="1" applyAlignment="1">
      <alignment vertical="center"/>
    </xf>
    <xf numFmtId="4" fontId="165" fillId="36" borderId="19" xfId="42" applyNumberFormat="1" applyFont="1" applyFill="1" applyBorder="1" applyAlignment="1" applyProtection="1">
      <alignment horizontal="right" vertical="center"/>
      <protection locked="0"/>
    </xf>
    <xf numFmtId="4" fontId="165" fillId="36" borderId="20" xfId="0" applyNumberFormat="1" applyFont="1" applyFill="1" applyBorder="1" applyAlignment="1">
      <alignment horizontal="right"/>
    </xf>
    <xf numFmtId="4" fontId="165" fillId="36" borderId="20" xfId="42" applyNumberFormat="1" applyFont="1" applyFill="1" applyBorder="1" applyAlignment="1" applyProtection="1">
      <alignment horizontal="right" vertical="center"/>
      <protection locked="0"/>
    </xf>
    <xf numFmtId="4" fontId="165" fillId="36" borderId="20" xfId="43" applyNumberFormat="1" applyFont="1" applyFill="1" applyBorder="1" applyAlignment="1" applyProtection="1">
      <alignment horizontal="right" vertical="center"/>
      <protection locked="0"/>
    </xf>
    <xf numFmtId="4" fontId="165" fillId="36" borderId="20" xfId="40" applyNumberFormat="1" applyFont="1" applyFill="1" applyBorder="1" applyAlignment="1" applyProtection="1">
      <alignment horizontal="right" vertical="center"/>
      <protection locked="0"/>
    </xf>
    <xf numFmtId="4" fontId="165" fillId="36" borderId="20" xfId="0" applyNumberFormat="1" applyFont="1" applyFill="1" applyBorder="1" applyAlignment="1">
      <alignment horizontal="right" wrapText="1"/>
    </xf>
    <xf numFmtId="4" fontId="165" fillId="36" borderId="21" xfId="0" applyNumberFormat="1" applyFont="1" applyFill="1" applyBorder="1" applyAlignment="1">
      <alignment horizontal="right"/>
    </xf>
    <xf numFmtId="3" fontId="166" fillId="36" borderId="29" xfId="42" applyNumberFormat="1" applyFont="1" applyFill="1" applyBorder="1" applyAlignment="1" applyProtection="1">
      <alignment horizontal="right" vertical="center"/>
      <protection locked="0"/>
    </xf>
    <xf numFmtId="3" fontId="166" fillId="36" borderId="30" xfId="0" applyNumberFormat="1" applyFont="1" applyFill="1" applyBorder="1" applyAlignment="1">
      <alignment horizontal="right"/>
    </xf>
    <xf numFmtId="3" fontId="166" fillId="36" borderId="30" xfId="42" applyNumberFormat="1" applyFont="1" applyFill="1" applyBorder="1" applyAlignment="1" applyProtection="1">
      <alignment horizontal="right" vertical="center"/>
      <protection locked="0"/>
    </xf>
    <xf numFmtId="3" fontId="166" fillId="36" borderId="30" xfId="43" applyNumberFormat="1" applyFont="1" applyFill="1" applyBorder="1" applyAlignment="1" applyProtection="1">
      <alignment horizontal="right" vertical="center"/>
      <protection locked="0"/>
    </xf>
    <xf numFmtId="3" fontId="166" fillId="36" borderId="30" xfId="40" applyNumberFormat="1" applyFont="1" applyFill="1" applyBorder="1" applyAlignment="1" applyProtection="1">
      <alignment horizontal="right" vertical="center"/>
      <protection locked="0"/>
    </xf>
    <xf numFmtId="3" fontId="166" fillId="36" borderId="31" xfId="0" applyNumberFormat="1" applyFont="1" applyFill="1" applyBorder="1" applyAlignment="1">
      <alignment horizontal="right"/>
    </xf>
    <xf numFmtId="0" fontId="46" fillId="39" borderId="49" xfId="0" applyNumberFormat="1" applyFont="1" applyFill="1" applyBorder="1" applyAlignment="1" applyProtection="1">
      <alignment vertical="center"/>
      <protection locked="0"/>
    </xf>
    <xf numFmtId="0" fontId="12" fillId="39" borderId="19" xfId="0" applyFont="1" applyFill="1" applyBorder="1" applyAlignment="1">
      <alignment vertical="center"/>
    </xf>
    <xf numFmtId="0" fontId="12" fillId="39" borderId="19" xfId="0" applyNumberFormat="1" applyFont="1" applyFill="1" applyBorder="1" applyAlignment="1" applyProtection="1">
      <alignment vertical="center"/>
      <protection locked="0"/>
    </xf>
    <xf numFmtId="0" fontId="46" fillId="39" borderId="38" xfId="0" applyNumberFormat="1" applyFont="1" applyFill="1" applyBorder="1" applyAlignment="1">
      <alignment vertical="center"/>
    </xf>
    <xf numFmtId="0" fontId="12" fillId="39" borderId="20" xfId="0" applyFont="1" applyFill="1" applyBorder="1" applyAlignment="1">
      <alignment vertical="center"/>
    </xf>
    <xf numFmtId="0" fontId="12" fillId="39" borderId="20" xfId="0" applyNumberFormat="1" applyFont="1" applyFill="1" applyBorder="1" applyAlignment="1">
      <alignment vertical="center"/>
    </xf>
    <xf numFmtId="204" fontId="46" fillId="39" borderId="38" xfId="0" applyNumberFormat="1" applyFont="1" applyFill="1" applyBorder="1" applyAlignment="1">
      <alignment vertical="center"/>
    </xf>
    <xf numFmtId="204" fontId="12" fillId="39" borderId="20" xfId="0" applyNumberFormat="1" applyFont="1" applyFill="1" applyBorder="1" applyAlignment="1">
      <alignment vertical="center"/>
    </xf>
    <xf numFmtId="0" fontId="46" fillId="39" borderId="38" xfId="0" applyNumberFormat="1" applyFont="1" applyFill="1" applyBorder="1" applyAlignment="1" applyProtection="1">
      <alignment vertical="center"/>
      <protection locked="0"/>
    </xf>
    <xf numFmtId="0" fontId="12" fillId="39" borderId="20" xfId="0" applyNumberFormat="1" applyFont="1" applyFill="1" applyBorder="1" applyAlignment="1" applyProtection="1">
      <alignment vertical="center"/>
      <protection locked="0"/>
    </xf>
    <xf numFmtId="0" fontId="12" fillId="39" borderId="20" xfId="0" applyNumberFormat="1" applyFont="1" applyFill="1" applyBorder="1" applyAlignment="1" applyProtection="1">
      <alignment vertical="center"/>
      <protection/>
    </xf>
    <xf numFmtId="0" fontId="46" fillId="39" borderId="38" xfId="0" applyFont="1" applyFill="1" applyBorder="1" applyAlignment="1">
      <alignment vertical="center"/>
    </xf>
    <xf numFmtId="0" fontId="46" fillId="39" borderId="38" xfId="0" applyFont="1" applyFill="1" applyBorder="1" applyAlignment="1" applyProtection="1">
      <alignment vertical="center"/>
      <protection locked="0"/>
    </xf>
    <xf numFmtId="0" fontId="12" fillId="39" borderId="20" xfId="0" applyFont="1" applyFill="1" applyBorder="1" applyAlignment="1" applyProtection="1">
      <alignment vertical="center"/>
      <protection locked="0"/>
    </xf>
    <xf numFmtId="2" fontId="0" fillId="0" borderId="0" xfId="0" applyNumberFormat="1" applyFont="1" applyAlignment="1">
      <alignment/>
    </xf>
    <xf numFmtId="0" fontId="158" fillId="39" borderId="11" xfId="0" applyFont="1" applyFill="1" applyBorder="1" applyAlignment="1">
      <alignment/>
    </xf>
    <xf numFmtId="0" fontId="69" fillId="39" borderId="11" xfId="0" applyFont="1" applyFill="1" applyBorder="1" applyAlignment="1">
      <alignment horizontal="left"/>
    </xf>
    <xf numFmtId="0" fontId="160" fillId="36" borderId="0" xfId="0" applyFont="1" applyFill="1" applyAlignment="1">
      <alignment/>
    </xf>
    <xf numFmtId="0" fontId="44" fillId="0" borderId="0" xfId="0" applyFont="1" applyBorder="1" applyAlignment="1">
      <alignment/>
    </xf>
    <xf numFmtId="0" fontId="69" fillId="36" borderId="0" xfId="0" applyFont="1" applyFill="1" applyBorder="1" applyAlignment="1">
      <alignment horizontal="left"/>
    </xf>
    <xf numFmtId="0" fontId="0" fillId="0" borderId="0" xfId="0" applyFont="1" applyBorder="1" applyAlignment="1">
      <alignment horizontal="center"/>
    </xf>
    <xf numFmtId="0" fontId="65" fillId="0" borderId="0" xfId="0" applyFont="1" applyBorder="1" applyAlignment="1">
      <alignment/>
    </xf>
    <xf numFmtId="0" fontId="156" fillId="0" borderId="0" xfId="0" applyFont="1" applyBorder="1" applyAlignment="1">
      <alignment/>
    </xf>
    <xf numFmtId="0" fontId="0" fillId="0" borderId="0" xfId="0" applyBorder="1" applyAlignment="1">
      <alignment/>
    </xf>
    <xf numFmtId="2" fontId="156" fillId="38" borderId="0" xfId="0" applyNumberFormat="1" applyFont="1" applyFill="1" applyAlignment="1">
      <alignment/>
    </xf>
    <xf numFmtId="0" fontId="44" fillId="39" borderId="11" xfId="0" applyFont="1" applyFill="1" applyBorder="1" applyAlignment="1">
      <alignment/>
    </xf>
    <xf numFmtId="2" fontId="156" fillId="38" borderId="11" xfId="0" applyNumberFormat="1" applyFont="1" applyFill="1" applyBorder="1" applyAlignment="1">
      <alignment/>
    </xf>
    <xf numFmtId="2" fontId="0" fillId="0" borderId="11" xfId="0" applyNumberFormat="1" applyBorder="1" applyAlignment="1">
      <alignment/>
    </xf>
    <xf numFmtId="0" fontId="0" fillId="0" borderId="11" xfId="0" applyFont="1" applyFill="1" applyBorder="1" applyAlignment="1">
      <alignment horizontal="center"/>
    </xf>
    <xf numFmtId="0" fontId="89" fillId="0" borderId="39" xfId="0" applyFont="1" applyBorder="1" applyAlignment="1">
      <alignment horizontal="right"/>
    </xf>
    <xf numFmtId="190" fontId="89" fillId="0" borderId="39" xfId="0" applyNumberFormat="1" applyFont="1" applyBorder="1" applyAlignment="1">
      <alignment horizontal="right"/>
    </xf>
    <xf numFmtId="49" fontId="89" fillId="0" borderId="39" xfId="0" applyNumberFormat="1" applyFont="1" applyBorder="1" applyAlignment="1">
      <alignment horizontal="right"/>
    </xf>
    <xf numFmtId="4" fontId="89" fillId="0" borderId="39" xfId="0" applyNumberFormat="1" applyFont="1" applyBorder="1" applyAlignment="1">
      <alignment horizontal="right"/>
    </xf>
    <xf numFmtId="3" fontId="89" fillId="0" borderId="39" xfId="0" applyNumberFormat="1" applyFont="1" applyBorder="1" applyAlignment="1">
      <alignment horizontal="right"/>
    </xf>
    <xf numFmtId="9" fontId="89" fillId="0" borderId="39" xfId="0" applyNumberFormat="1" applyFont="1" applyBorder="1" applyAlignment="1">
      <alignment horizontal="right"/>
    </xf>
    <xf numFmtId="0" fontId="89" fillId="0" borderId="39" xfId="0" applyFont="1" applyBorder="1" applyAlignment="1">
      <alignment horizontal="center"/>
    </xf>
    <xf numFmtId="0" fontId="34" fillId="37" borderId="19" xfId="0" applyNumberFormat="1" applyFont="1" applyFill="1" applyBorder="1" applyAlignment="1" applyProtection="1">
      <alignment horizontal="center" vertical="center"/>
      <protection/>
    </xf>
    <xf numFmtId="0" fontId="34" fillId="46" borderId="19" xfId="0" applyNumberFormat="1" applyFont="1" applyFill="1" applyBorder="1" applyAlignment="1" applyProtection="1">
      <alignment horizontal="center" vertical="center"/>
      <protection/>
    </xf>
    <xf numFmtId="0" fontId="34" fillId="43" borderId="19" xfId="0" applyNumberFormat="1" applyFont="1" applyFill="1" applyBorder="1" applyAlignment="1" applyProtection="1">
      <alignment horizontal="center" vertical="center"/>
      <protection/>
    </xf>
    <xf numFmtId="0" fontId="161" fillId="45" borderId="19" xfId="0" applyNumberFormat="1" applyFont="1" applyFill="1" applyBorder="1" applyAlignment="1" applyProtection="1">
      <alignment horizontal="center" vertical="center"/>
      <protection/>
    </xf>
    <xf numFmtId="0" fontId="161" fillId="36" borderId="19" xfId="0" applyNumberFormat="1" applyFont="1" applyFill="1" applyBorder="1" applyAlignment="1" applyProtection="1">
      <alignment horizontal="center" vertical="center"/>
      <protection/>
    </xf>
    <xf numFmtId="204" fontId="46" fillId="7" borderId="19" xfId="0" applyNumberFormat="1" applyFont="1" applyFill="1" applyBorder="1" applyAlignment="1">
      <alignment vertical="center"/>
    </xf>
    <xf numFmtId="204" fontId="12" fillId="7" borderId="19" xfId="0" applyNumberFormat="1" applyFont="1" applyFill="1" applyBorder="1" applyAlignment="1">
      <alignment vertical="center"/>
    </xf>
    <xf numFmtId="0" fontId="12" fillId="7" borderId="45" xfId="0" applyFont="1" applyFill="1" applyBorder="1" applyAlignment="1">
      <alignment vertical="center"/>
    </xf>
    <xf numFmtId="0" fontId="12" fillId="7" borderId="19" xfId="0" applyFont="1" applyFill="1" applyBorder="1" applyAlignment="1" applyProtection="1">
      <alignment vertical="center"/>
      <protection/>
    </xf>
    <xf numFmtId="190" fontId="12" fillId="7" borderId="19" xfId="0" applyNumberFormat="1" applyFont="1" applyFill="1" applyBorder="1" applyAlignment="1" applyProtection="1">
      <alignment horizontal="center" vertical="center"/>
      <protection locked="0"/>
    </xf>
    <xf numFmtId="0" fontId="12" fillId="7" borderId="19" xfId="0" applyFont="1" applyFill="1" applyBorder="1" applyAlignment="1">
      <alignment horizontal="right" vertical="center"/>
    </xf>
    <xf numFmtId="0" fontId="46" fillId="7" borderId="45" xfId="0" applyNumberFormat="1" applyFont="1" applyFill="1" applyBorder="1" applyAlignment="1" applyProtection="1">
      <alignment vertical="center"/>
      <protection/>
    </xf>
    <xf numFmtId="0" fontId="70" fillId="0" borderId="0" xfId="0" applyFont="1" applyFill="1" applyBorder="1" applyAlignment="1" applyProtection="1">
      <alignment horizontal="center" vertical="center"/>
      <protection/>
    </xf>
    <xf numFmtId="0" fontId="70" fillId="50" borderId="0" xfId="0" applyFont="1" applyFill="1" applyBorder="1" applyAlignment="1" applyProtection="1">
      <alignment horizontal="center" vertical="center"/>
      <protection/>
    </xf>
    <xf numFmtId="0" fontId="71" fillId="50" borderId="0" xfId="0" applyFont="1" applyFill="1" applyBorder="1" applyAlignment="1" applyProtection="1">
      <alignment horizontal="center" vertical="center"/>
      <protection/>
    </xf>
    <xf numFmtId="0" fontId="4" fillId="50" borderId="0" xfId="0" applyFont="1" applyFill="1" applyAlignment="1" applyProtection="1">
      <alignment vertical="center"/>
      <protection locked="0"/>
    </xf>
    <xf numFmtId="0" fontId="12" fillId="7" borderId="50" xfId="0" applyFont="1" applyFill="1" applyBorder="1" applyAlignment="1">
      <alignment horizontal="right" vertical="center"/>
    </xf>
    <xf numFmtId="0" fontId="12" fillId="7" borderId="51" xfId="0" applyFont="1" applyFill="1" applyBorder="1" applyAlignment="1">
      <alignment horizontal="right" vertical="center"/>
    </xf>
    <xf numFmtId="0" fontId="12" fillId="7" borderId="51" xfId="0" applyFont="1" applyFill="1" applyBorder="1" applyAlignment="1">
      <alignment horizontal="right"/>
    </xf>
    <xf numFmtId="0" fontId="12" fillId="7" borderId="51" xfId="0" applyFont="1" applyFill="1" applyBorder="1" applyAlignment="1" applyProtection="1">
      <alignment horizontal="right" vertical="center"/>
      <protection locked="0"/>
    </xf>
    <xf numFmtId="0" fontId="12" fillId="7" borderId="51" xfId="0" applyNumberFormat="1" applyFont="1" applyFill="1" applyBorder="1" applyAlignment="1">
      <alignment horizontal="right" vertical="center"/>
    </xf>
    <xf numFmtId="1" fontId="12" fillId="7" borderId="51" xfId="0" applyNumberFormat="1" applyFont="1" applyFill="1" applyBorder="1" applyAlignment="1">
      <alignment horizontal="right"/>
    </xf>
    <xf numFmtId="0" fontId="12" fillId="7" borderId="51" xfId="0" applyNumberFormat="1" applyFont="1" applyFill="1" applyBorder="1" applyAlignment="1" applyProtection="1">
      <alignment horizontal="right" vertical="center"/>
      <protection locked="0"/>
    </xf>
    <xf numFmtId="1" fontId="12" fillId="7" borderId="51" xfId="0" applyNumberFormat="1" applyFont="1" applyFill="1" applyBorder="1" applyAlignment="1">
      <alignment horizontal="right" vertical="center"/>
    </xf>
    <xf numFmtId="0" fontId="12" fillId="7" borderId="51" xfId="0" applyFont="1" applyFill="1" applyBorder="1" applyAlignment="1">
      <alignment horizontal="right" vertical="center" shrinkToFit="1"/>
    </xf>
    <xf numFmtId="0" fontId="12" fillId="7" borderId="52" xfId="0" applyFont="1" applyFill="1" applyBorder="1" applyAlignment="1">
      <alignment horizontal="right" vertical="center"/>
    </xf>
    <xf numFmtId="3" fontId="12" fillId="8" borderId="53" xfId="70" applyNumberFormat="1" applyFont="1" applyFill="1" applyBorder="1" applyAlignment="1" applyProtection="1">
      <alignment horizontal="right" vertical="center"/>
      <protection/>
    </xf>
    <xf numFmtId="2" fontId="12" fillId="8" borderId="53" xfId="70" applyNumberFormat="1" applyFont="1" applyFill="1" applyBorder="1" applyAlignment="1" applyProtection="1">
      <alignment horizontal="right" vertical="center"/>
      <protection/>
    </xf>
    <xf numFmtId="9" fontId="12" fillId="8" borderId="53" xfId="70" applyNumberFormat="1" applyFont="1" applyFill="1" applyBorder="1" applyAlignment="1" applyProtection="1">
      <alignment horizontal="right" vertical="center"/>
      <protection/>
    </xf>
    <xf numFmtId="4" fontId="12" fillId="8" borderId="53" xfId="70" applyNumberFormat="1" applyFont="1" applyFill="1" applyBorder="1" applyAlignment="1" applyProtection="1">
      <alignment horizontal="right" vertical="center"/>
      <protection/>
    </xf>
    <xf numFmtId="4" fontId="12" fillId="0" borderId="53" xfId="43" applyNumberFormat="1" applyFont="1" applyFill="1" applyBorder="1" applyAlignment="1" applyProtection="1">
      <alignment horizontal="right" vertical="center"/>
      <protection locked="0"/>
    </xf>
    <xf numFmtId="2" fontId="12" fillId="8" borderId="53" xfId="0" applyNumberFormat="1" applyFont="1" applyFill="1" applyBorder="1" applyAlignment="1" applyProtection="1">
      <alignment horizontal="right" vertical="center"/>
      <protection/>
    </xf>
    <xf numFmtId="190" fontId="12" fillId="0" borderId="53" xfId="0" applyNumberFormat="1" applyFont="1" applyFill="1" applyBorder="1" applyAlignment="1" applyProtection="1">
      <alignment horizontal="center" vertical="center"/>
      <protection/>
    </xf>
    <xf numFmtId="3" fontId="12" fillId="0" borderId="20" xfId="53" applyNumberFormat="1" applyFont="1" applyFill="1" applyBorder="1" applyAlignment="1" applyProtection="1">
      <alignment horizontal="right" vertical="center"/>
      <protection locked="0"/>
    </xf>
    <xf numFmtId="4" fontId="12" fillId="0" borderId="20" xfId="40" applyNumberFormat="1" applyFont="1" applyFill="1" applyBorder="1" applyAlignment="1" applyProtection="1">
      <alignment horizontal="right" vertical="center"/>
      <protection/>
    </xf>
    <xf numFmtId="4" fontId="12" fillId="0" borderId="20" xfId="42" applyNumberFormat="1" applyFont="1" applyFill="1" applyBorder="1" applyAlignment="1" applyProtection="1">
      <alignment horizontal="right" vertical="center"/>
      <protection/>
    </xf>
    <xf numFmtId="4" fontId="12" fillId="0" borderId="20" xfId="53" applyNumberFormat="1" applyFont="1" applyFill="1" applyBorder="1" applyAlignment="1" applyProtection="1">
      <alignment horizontal="right" vertical="center"/>
      <protection/>
    </xf>
    <xf numFmtId="3" fontId="12" fillId="36" borderId="20" xfId="40" applyNumberFormat="1" applyFont="1" applyFill="1" applyBorder="1" applyAlignment="1" applyProtection="1">
      <alignment horizontal="right" vertical="center"/>
      <protection/>
    </xf>
    <xf numFmtId="4" fontId="12" fillId="0" borderId="20" xfId="53" applyNumberFormat="1" applyFont="1" applyFill="1" applyBorder="1" applyAlignment="1" applyProtection="1">
      <alignment horizontal="right" vertical="center"/>
      <protection locked="0"/>
    </xf>
    <xf numFmtId="3" fontId="12" fillId="0" borderId="20" xfId="53" applyNumberFormat="1" applyFont="1" applyFill="1" applyBorder="1" applyAlignment="1" applyProtection="1">
      <alignment horizontal="right" vertical="center"/>
      <protection/>
    </xf>
    <xf numFmtId="4" fontId="46" fillId="8" borderId="53" xfId="0" applyNumberFormat="1" applyFont="1" applyFill="1" applyBorder="1" applyAlignment="1">
      <alignment horizontal="right" vertical="center"/>
    </xf>
    <xf numFmtId="3" fontId="46" fillId="8" borderId="53" xfId="0" applyNumberFormat="1" applyFont="1" applyFill="1" applyBorder="1" applyAlignment="1">
      <alignment horizontal="right" vertical="center"/>
    </xf>
    <xf numFmtId="4" fontId="46" fillId="8" borderId="20" xfId="0" applyNumberFormat="1" applyFont="1" applyFill="1" applyBorder="1" applyAlignment="1">
      <alignment horizontal="right" vertical="center"/>
    </xf>
    <xf numFmtId="3" fontId="46" fillId="8" borderId="20" xfId="0" applyNumberFormat="1" applyFont="1" applyFill="1" applyBorder="1" applyAlignment="1">
      <alignment horizontal="right" vertical="center"/>
    </xf>
    <xf numFmtId="0" fontId="161" fillId="51" borderId="49" xfId="0" applyNumberFormat="1" applyFont="1" applyFill="1" applyBorder="1" applyAlignment="1" applyProtection="1">
      <alignment horizontal="center" vertical="center"/>
      <protection/>
    </xf>
    <xf numFmtId="0" fontId="161" fillId="51" borderId="38" xfId="0" applyNumberFormat="1" applyFont="1" applyFill="1" applyBorder="1" applyAlignment="1" applyProtection="1">
      <alignment horizontal="center" vertical="center"/>
      <protection/>
    </xf>
    <xf numFmtId="0" fontId="34" fillId="36" borderId="38" xfId="0" applyNumberFormat="1" applyFont="1" applyFill="1" applyBorder="1" applyAlignment="1" applyProtection="1">
      <alignment horizontal="center" vertical="center"/>
      <protection/>
    </xf>
    <xf numFmtId="0" fontId="34" fillId="37" borderId="21" xfId="0" applyNumberFormat="1" applyFont="1" applyFill="1" applyBorder="1" applyAlignment="1" applyProtection="1">
      <alignment horizontal="center" vertical="center"/>
      <protection/>
    </xf>
    <xf numFmtId="0" fontId="34" fillId="37" borderId="45" xfId="0" applyNumberFormat="1" applyFont="1" applyFill="1" applyBorder="1" applyAlignment="1" applyProtection="1">
      <alignment horizontal="center" vertical="center"/>
      <protection/>
    </xf>
    <xf numFmtId="0" fontId="34" fillId="44" borderId="21" xfId="0" applyNumberFormat="1" applyFont="1" applyFill="1" applyBorder="1" applyAlignment="1" applyProtection="1">
      <alignment horizontal="center" vertical="center"/>
      <protection/>
    </xf>
    <xf numFmtId="0" fontId="34" fillId="44" borderId="45" xfId="0" applyNumberFormat="1" applyFont="1" applyFill="1" applyBorder="1" applyAlignment="1" applyProtection="1">
      <alignment horizontal="center" vertical="center"/>
      <protection/>
    </xf>
    <xf numFmtId="0" fontId="161" fillId="45" borderId="21" xfId="0" applyNumberFormat="1" applyFont="1" applyFill="1" applyBorder="1" applyAlignment="1" applyProtection="1">
      <alignment horizontal="center" vertical="center"/>
      <protection/>
    </xf>
    <xf numFmtId="0" fontId="161" fillId="45" borderId="45" xfId="0" applyNumberFormat="1" applyFont="1" applyFill="1" applyBorder="1" applyAlignment="1" applyProtection="1">
      <alignment horizontal="center" vertical="center"/>
      <protection/>
    </xf>
    <xf numFmtId="204" fontId="161" fillId="36" borderId="45" xfId="0" applyNumberFormat="1" applyFont="1" applyFill="1" applyBorder="1" applyAlignment="1" applyProtection="1">
      <alignment horizontal="center" vertical="center"/>
      <protection/>
    </xf>
    <xf numFmtId="0" fontId="161" fillId="0" borderId="45" xfId="0" applyNumberFormat="1" applyFont="1" applyFill="1" applyBorder="1" applyAlignment="1" applyProtection="1">
      <alignment horizontal="center" vertical="center"/>
      <protection/>
    </xf>
    <xf numFmtId="0" fontId="46" fillId="7" borderId="45" xfId="0" applyNumberFormat="1" applyFont="1" applyFill="1" applyBorder="1" applyAlignment="1">
      <alignment vertical="center"/>
    </xf>
    <xf numFmtId="0" fontId="46" fillId="7" borderId="45" xfId="0" applyNumberFormat="1" applyFont="1" applyFill="1" applyBorder="1" applyAlignment="1" applyProtection="1">
      <alignment vertical="center"/>
      <protection locked="0"/>
    </xf>
    <xf numFmtId="0" fontId="12" fillId="7" borderId="45" xfId="0" applyNumberFormat="1" applyFont="1" applyFill="1" applyBorder="1" applyAlignment="1">
      <alignment vertical="center"/>
    </xf>
    <xf numFmtId="0" fontId="12" fillId="7" borderId="45" xfId="0" applyNumberFormat="1" applyFont="1" applyFill="1" applyBorder="1" applyAlignment="1" applyProtection="1">
      <alignment vertical="center"/>
      <protection locked="0"/>
    </xf>
    <xf numFmtId="0" fontId="12" fillId="7" borderId="45" xfId="57" applyFont="1" applyFill="1" applyBorder="1" applyAlignment="1">
      <alignment vertical="center"/>
      <protection/>
    </xf>
    <xf numFmtId="190" fontId="12" fillId="7" borderId="45" xfId="0" applyNumberFormat="1" applyFont="1" applyFill="1" applyBorder="1" applyAlignment="1" applyProtection="1">
      <alignment horizontal="center" vertical="center"/>
      <protection/>
    </xf>
    <xf numFmtId="0" fontId="12" fillId="7" borderId="50" xfId="0" applyNumberFormat="1" applyFont="1" applyFill="1" applyBorder="1" applyAlignment="1" applyProtection="1">
      <alignment horizontal="right" vertical="center"/>
      <protection locked="0"/>
    </xf>
    <xf numFmtId="0" fontId="12" fillId="0" borderId="54" xfId="0" applyFont="1" applyFill="1" applyBorder="1" applyAlignment="1">
      <alignment horizontal="right" vertical="center"/>
    </xf>
    <xf numFmtId="0" fontId="12" fillId="0" borderId="55" xfId="0" applyFont="1" applyFill="1" applyBorder="1" applyAlignment="1">
      <alignment horizontal="right" vertical="center"/>
    </xf>
    <xf numFmtId="4" fontId="12" fillId="0" borderId="56" xfId="40" applyNumberFormat="1" applyFont="1" applyFill="1" applyBorder="1" applyAlignment="1">
      <alignment horizontal="right" vertical="center"/>
    </xf>
    <xf numFmtId="3" fontId="12" fillId="0" borderId="54" xfId="40" applyNumberFormat="1" applyFont="1" applyFill="1" applyBorder="1" applyAlignment="1">
      <alignment horizontal="right" vertical="center"/>
    </xf>
    <xf numFmtId="4" fontId="12" fillId="0" borderId="54" xfId="40" applyNumberFormat="1" applyFont="1" applyFill="1" applyBorder="1" applyAlignment="1">
      <alignment horizontal="right" vertical="center"/>
    </xf>
    <xf numFmtId="4" fontId="12" fillId="0" borderId="53" xfId="43" applyNumberFormat="1" applyFont="1" applyFill="1" applyBorder="1" applyAlignment="1" applyProtection="1">
      <alignment horizontal="right" vertical="center"/>
      <protection/>
    </xf>
    <xf numFmtId="4" fontId="12" fillId="36" borderId="53" xfId="43" applyNumberFormat="1" applyFont="1" applyFill="1" applyBorder="1" applyAlignment="1" applyProtection="1">
      <alignment horizontal="right" vertical="center"/>
      <protection locked="0"/>
    </xf>
    <xf numFmtId="3" fontId="12" fillId="36" borderId="53" xfId="43" applyNumberFormat="1" applyFont="1" applyFill="1" applyBorder="1" applyAlignment="1" applyProtection="1">
      <alignment horizontal="right" vertical="center"/>
      <protection locked="0"/>
    </xf>
    <xf numFmtId="4" fontId="12" fillId="0" borderId="57" xfId="40" applyNumberFormat="1" applyFont="1" applyFill="1" applyBorder="1" applyAlignment="1">
      <alignment horizontal="right" vertical="center"/>
    </xf>
    <xf numFmtId="3" fontId="12" fillId="0" borderId="53" xfId="40" applyNumberFormat="1" applyFont="1" applyFill="1" applyBorder="1" applyAlignment="1">
      <alignment horizontal="right" vertical="center"/>
    </xf>
    <xf numFmtId="0" fontId="46" fillId="39" borderId="45" xfId="0" applyNumberFormat="1" applyFont="1" applyFill="1" applyBorder="1" applyAlignment="1" applyProtection="1">
      <alignment vertical="center"/>
      <protection locked="0"/>
    </xf>
    <xf numFmtId="0" fontId="12" fillId="39" borderId="45" xfId="0" applyFont="1" applyFill="1" applyBorder="1" applyAlignment="1">
      <alignment vertical="center"/>
    </xf>
    <xf numFmtId="0" fontId="12" fillId="39" borderId="45" xfId="0" applyNumberFormat="1" applyFont="1" applyFill="1" applyBorder="1" applyAlignment="1" applyProtection="1">
      <alignment vertical="center"/>
      <protection locked="0"/>
    </xf>
    <xf numFmtId="0" fontId="46" fillId="39" borderId="45" xfId="0" applyNumberFormat="1" applyFont="1" applyFill="1" applyBorder="1" applyAlignment="1">
      <alignment vertical="center"/>
    </xf>
    <xf numFmtId="0" fontId="12" fillId="39" borderId="45" xfId="0" applyNumberFormat="1" applyFont="1" applyFill="1" applyBorder="1" applyAlignment="1">
      <alignment vertical="center"/>
    </xf>
    <xf numFmtId="0" fontId="153" fillId="39" borderId="20" xfId="0" applyFont="1" applyFill="1" applyBorder="1" applyAlignment="1">
      <alignment vertical="center"/>
    </xf>
    <xf numFmtId="0" fontId="46" fillId="39" borderId="20" xfId="0" applyNumberFormat="1" applyFont="1" applyFill="1" applyBorder="1" applyAlignment="1" applyProtection="1">
      <alignment vertical="center"/>
      <protection locked="0"/>
    </xf>
    <xf numFmtId="204" fontId="46" fillId="39" borderId="20" xfId="0" applyNumberFormat="1" applyFont="1" applyFill="1" applyBorder="1" applyAlignment="1">
      <alignment vertical="center"/>
    </xf>
    <xf numFmtId="0" fontId="46" fillId="39" borderId="20" xfId="0" applyFont="1" applyFill="1" applyBorder="1" applyAlignment="1">
      <alignment vertical="center"/>
    </xf>
    <xf numFmtId="0" fontId="46" fillId="39" borderId="20" xfId="0" applyNumberFormat="1" applyFont="1" applyFill="1" applyBorder="1" applyAlignment="1">
      <alignment vertical="center"/>
    </xf>
    <xf numFmtId="0" fontId="16" fillId="35" borderId="34" xfId="0" applyFont="1" applyFill="1" applyBorder="1" applyAlignment="1" applyProtection="1">
      <alignment horizontal="center" vertical="center" wrapText="1"/>
      <protection/>
    </xf>
    <xf numFmtId="0" fontId="16" fillId="35" borderId="58" xfId="0" applyFont="1" applyFill="1" applyBorder="1" applyAlignment="1" applyProtection="1">
      <alignment horizontal="center" vertical="center" wrapText="1"/>
      <protection/>
    </xf>
    <xf numFmtId="0" fontId="167" fillId="48" borderId="20" xfId="0" applyFont="1" applyFill="1" applyBorder="1" applyAlignment="1" applyProtection="1">
      <alignment horizontal="left" vertical="center" wrapText="1"/>
      <protection/>
    </xf>
    <xf numFmtId="0" fontId="167" fillId="49" borderId="20" xfId="0" applyFont="1" applyFill="1" applyBorder="1" applyAlignment="1" applyProtection="1">
      <alignment horizontal="left" vertical="center" wrapText="1"/>
      <protection/>
    </xf>
    <xf numFmtId="0" fontId="46" fillId="46" borderId="20" xfId="0" applyFont="1" applyFill="1" applyBorder="1" applyAlignment="1" applyProtection="1">
      <alignment horizontal="left" vertical="center" wrapText="1"/>
      <protection/>
    </xf>
    <xf numFmtId="0" fontId="46" fillId="37" borderId="20" xfId="0" applyFont="1" applyFill="1" applyBorder="1" applyAlignment="1" applyProtection="1">
      <alignment horizontal="left" vertical="center" wrapText="1"/>
      <protection/>
    </xf>
    <xf numFmtId="0" fontId="46" fillId="37" borderId="20" xfId="0" applyFont="1" applyFill="1" applyBorder="1" applyAlignment="1">
      <alignment horizontal="left" vertical="center" wrapText="1"/>
    </xf>
    <xf numFmtId="1" fontId="11" fillId="33" borderId="0" xfId="0" applyNumberFormat="1" applyFont="1" applyFill="1" applyBorder="1" applyAlignment="1" applyProtection="1">
      <alignment horizontal="center" vertical="center" wrapText="1"/>
      <protection/>
    </xf>
    <xf numFmtId="0" fontId="49" fillId="33" borderId="0" xfId="0" applyFont="1" applyFill="1" applyBorder="1" applyAlignment="1" applyProtection="1">
      <alignment horizontal="center" vertical="center" wrapText="1"/>
      <protection/>
    </xf>
    <xf numFmtId="1" fontId="20" fillId="33" borderId="0" xfId="0" applyNumberFormat="1" applyFont="1" applyFill="1" applyBorder="1" applyAlignment="1" applyProtection="1">
      <alignment horizontal="center" vertical="center" wrapText="1"/>
      <protection/>
    </xf>
    <xf numFmtId="0" fontId="51" fillId="33" borderId="0" xfId="0" applyFont="1" applyFill="1" applyBorder="1" applyAlignment="1" applyProtection="1">
      <alignment horizontal="center" vertical="center" wrapText="1"/>
      <protection/>
    </xf>
    <xf numFmtId="1" fontId="32" fillId="33" borderId="11" xfId="51" applyNumberFormat="1" applyFont="1" applyFill="1" applyBorder="1" applyAlignment="1" applyProtection="1">
      <alignment horizontal="center" vertical="center" wrapText="1"/>
      <protection/>
    </xf>
    <xf numFmtId="0" fontId="31" fillId="33" borderId="11" xfId="0" applyFont="1" applyFill="1" applyBorder="1" applyAlignment="1" applyProtection="1">
      <alignment horizontal="center" vertical="center" wrapText="1"/>
      <protection/>
    </xf>
    <xf numFmtId="190" fontId="56" fillId="33" borderId="59" xfId="0" applyNumberFormat="1" applyFont="1" applyFill="1" applyBorder="1" applyAlignment="1" applyProtection="1">
      <alignment horizontal="left" vertical="center" wrapText="1"/>
      <protection/>
    </xf>
    <xf numFmtId="0" fontId="0" fillId="33" borderId="0" xfId="0" applyFont="1" applyFill="1" applyBorder="1" applyAlignment="1" applyProtection="1">
      <alignment vertical="center" wrapText="1"/>
      <protection/>
    </xf>
    <xf numFmtId="0" fontId="0" fillId="0" borderId="0" xfId="0" applyFont="1" applyAlignment="1">
      <alignment vertical="center" wrapText="1"/>
    </xf>
    <xf numFmtId="0" fontId="0" fillId="33" borderId="59" xfId="0" applyFont="1" applyFill="1" applyBorder="1" applyAlignment="1" applyProtection="1">
      <alignment vertical="center" wrapText="1"/>
      <protection/>
    </xf>
    <xf numFmtId="0" fontId="17" fillId="34" borderId="16" xfId="0" applyFont="1" applyFill="1" applyBorder="1" applyAlignment="1" applyProtection="1">
      <alignment horizontal="center" vertical="center" wrapText="1"/>
      <protection/>
    </xf>
    <xf numFmtId="0" fontId="17" fillId="34" borderId="60" xfId="0" applyFont="1" applyFill="1" applyBorder="1" applyAlignment="1" applyProtection="1">
      <alignment horizontal="center" vertical="center" wrapText="1"/>
      <protection/>
    </xf>
    <xf numFmtId="0" fontId="17" fillId="34" borderId="61" xfId="0" applyFont="1" applyFill="1" applyBorder="1" applyAlignment="1" applyProtection="1">
      <alignment horizontal="center" vertical="center" wrapText="1"/>
      <protection/>
    </xf>
    <xf numFmtId="0" fontId="167" fillId="47" borderId="20" xfId="0" applyFont="1" applyFill="1" applyBorder="1" applyAlignment="1" applyProtection="1">
      <alignment horizontal="left" vertical="center" wrapText="1"/>
      <protection/>
    </xf>
    <xf numFmtId="0" fontId="167" fillId="47" borderId="20" xfId="0" applyFont="1" applyFill="1" applyBorder="1" applyAlignment="1">
      <alignment horizontal="left" vertical="center" wrapText="1"/>
    </xf>
    <xf numFmtId="3" fontId="38" fillId="33" borderId="0" xfId="0" applyNumberFormat="1" applyFont="1" applyFill="1" applyBorder="1" applyAlignment="1" applyProtection="1">
      <alignment horizontal="right" vertical="center" wrapText="1"/>
      <protection/>
    </xf>
    <xf numFmtId="0" fontId="50" fillId="0" borderId="0" xfId="0" applyFont="1" applyAlignment="1">
      <alignment vertical="center" wrapText="1"/>
    </xf>
    <xf numFmtId="2" fontId="36" fillId="36" borderId="0" xfId="0" applyNumberFormat="1" applyFont="1" applyFill="1" applyBorder="1" applyAlignment="1">
      <alignment horizontal="right" vertical="center" wrapText="1" indent="1"/>
    </xf>
    <xf numFmtId="4" fontId="26" fillId="36" borderId="0" xfId="0" applyNumberFormat="1" applyFont="1" applyFill="1" applyBorder="1" applyAlignment="1">
      <alignment horizontal="right" vertical="center" wrapText="1" indent="1"/>
    </xf>
    <xf numFmtId="0" fontId="57" fillId="14" borderId="62" xfId="0" applyFont="1" applyFill="1" applyBorder="1" applyAlignment="1" applyProtection="1">
      <alignment horizontal="center" vertical="center" wrapText="1"/>
      <protection/>
    </xf>
    <xf numFmtId="0" fontId="59" fillId="14" borderId="62" xfId="0" applyFont="1" applyFill="1" applyBorder="1" applyAlignment="1" applyProtection="1">
      <alignment horizontal="center" vertical="center" wrapText="1"/>
      <protection/>
    </xf>
    <xf numFmtId="0" fontId="60" fillId="0" borderId="0" xfId="0" applyFont="1" applyBorder="1" applyAlignment="1">
      <alignment horizontal="center" vertical="center" wrapText="1"/>
    </xf>
    <xf numFmtId="0" fontId="37" fillId="36" borderId="0" xfId="0" applyFont="1" applyFill="1" applyBorder="1" applyAlignment="1" applyProtection="1">
      <alignment horizontal="center" vertical="center" wrapText="1"/>
      <protection/>
    </xf>
    <xf numFmtId="3" fontId="45" fillId="36" borderId="0" xfId="0" applyNumberFormat="1" applyFont="1" applyFill="1" applyBorder="1" applyAlignment="1" applyProtection="1">
      <alignment horizontal="center" vertical="center" wrapText="1"/>
      <protection/>
    </xf>
    <xf numFmtId="0" fontId="44" fillId="36" borderId="0" xfId="0" applyFont="1" applyFill="1" applyBorder="1" applyAlignment="1">
      <alignment horizontal="center" vertical="center" wrapText="1"/>
    </xf>
    <xf numFmtId="0" fontId="0" fillId="36" borderId="0" xfId="0" applyFont="1" applyFill="1" applyBorder="1" applyAlignment="1">
      <alignment horizontal="right" indent="1"/>
    </xf>
    <xf numFmtId="0" fontId="16" fillId="34" borderId="10" xfId="0" applyFont="1" applyFill="1" applyBorder="1" applyAlignment="1" applyProtection="1">
      <alignment horizontal="center" vertical="center" wrapText="1"/>
      <protection/>
    </xf>
    <xf numFmtId="0" fontId="44" fillId="36" borderId="0" xfId="0" applyFont="1" applyFill="1" applyBorder="1" applyAlignment="1">
      <alignment horizontal="center" wrapText="1"/>
    </xf>
    <xf numFmtId="0" fontId="54" fillId="33" borderId="0" xfId="51" applyFont="1" applyFill="1" applyBorder="1" applyAlignment="1" applyProtection="1">
      <alignment horizontal="center" vertical="center" wrapText="1"/>
      <protection/>
    </xf>
    <xf numFmtId="0" fontId="28" fillId="33" borderId="0" xfId="0" applyFont="1" applyFill="1" applyBorder="1" applyAlignment="1">
      <alignment horizontal="center" vertical="center" wrapText="1"/>
    </xf>
    <xf numFmtId="0" fontId="16" fillId="35" borderId="23" xfId="0" applyFont="1" applyFill="1" applyBorder="1" applyAlignment="1" applyProtection="1">
      <alignment horizontal="center" vertical="center" wrapText="1"/>
      <protection/>
    </xf>
    <xf numFmtId="0" fontId="21" fillId="34" borderId="10" xfId="0" applyFont="1" applyFill="1" applyBorder="1" applyAlignment="1" applyProtection="1">
      <alignment horizontal="center" vertical="center" wrapText="1"/>
      <protection/>
    </xf>
    <xf numFmtId="3" fontId="26" fillId="36" borderId="0" xfId="0" applyNumberFormat="1" applyFont="1" applyFill="1" applyBorder="1" applyAlignment="1" applyProtection="1">
      <alignment horizontal="right" vertical="center" wrapText="1" indent="1"/>
      <protection/>
    </xf>
    <xf numFmtId="0" fontId="16" fillId="34" borderId="35" xfId="40" applyNumberFormat="1" applyFont="1" applyFill="1" applyBorder="1" applyAlignment="1" applyProtection="1">
      <alignment horizontal="center" wrapText="1"/>
      <protection/>
    </xf>
    <xf numFmtId="0" fontId="0" fillId="0" borderId="63" xfId="0" applyNumberFormat="1" applyBorder="1" applyAlignment="1">
      <alignment horizontal="center" wrapText="1"/>
    </xf>
    <xf numFmtId="0" fontId="0" fillId="0" borderId="64" xfId="0" applyNumberFormat="1" applyBorder="1" applyAlignment="1">
      <alignment horizontal="center" wrapText="1"/>
    </xf>
    <xf numFmtId="0" fontId="16" fillId="34" borderId="33" xfId="40" applyNumberFormat="1" applyFont="1" applyFill="1" applyBorder="1" applyAlignment="1" applyProtection="1">
      <alignment horizontal="center" wrapText="1"/>
      <protection/>
    </xf>
    <xf numFmtId="0" fontId="0" fillId="0" borderId="65" xfId="0" applyNumberFormat="1" applyBorder="1" applyAlignment="1">
      <alignment horizontal="center" wrapText="1"/>
    </xf>
    <xf numFmtId="0" fontId="0" fillId="0" borderId="66" xfId="0" applyNumberFormat="1" applyBorder="1" applyAlignment="1">
      <alignment horizontal="center" wrapText="1"/>
    </xf>
    <xf numFmtId="0" fontId="46" fillId="44" borderId="20" xfId="0" applyFont="1" applyFill="1" applyBorder="1" applyAlignment="1" applyProtection="1">
      <alignment horizontal="left" vertical="center" wrapText="1"/>
      <protection/>
    </xf>
    <xf numFmtId="0" fontId="26" fillId="33" borderId="67" xfId="0" applyFont="1" applyFill="1" applyBorder="1" applyAlignment="1" applyProtection="1">
      <alignment horizontal="center" vertical="center" wrapText="1"/>
      <protection/>
    </xf>
    <xf numFmtId="190" fontId="26" fillId="33" borderId="67" xfId="0" applyNumberFormat="1" applyFont="1" applyFill="1" applyBorder="1" applyAlignment="1" applyProtection="1">
      <alignment horizontal="center" vertical="center" wrapText="1"/>
      <protection/>
    </xf>
    <xf numFmtId="0" fontId="46" fillId="43" borderId="20" xfId="0" applyFont="1" applyFill="1" applyBorder="1" applyAlignment="1" applyProtection="1">
      <alignment horizontal="left" vertical="center" wrapText="1"/>
      <protection/>
    </xf>
    <xf numFmtId="0" fontId="167" fillId="41" borderId="20" xfId="0" applyFont="1" applyFill="1" applyBorder="1" applyAlignment="1" applyProtection="1">
      <alignment horizontal="left" vertical="center" wrapText="1"/>
      <protection/>
    </xf>
    <xf numFmtId="190" fontId="14" fillId="33" borderId="68" xfId="0" applyNumberFormat="1" applyFont="1" applyFill="1" applyBorder="1" applyAlignment="1" applyProtection="1">
      <alignment horizontal="left" vertical="center" wrapText="1"/>
      <protection/>
    </xf>
    <xf numFmtId="0" fontId="0" fillId="33" borderId="62" xfId="0" applyFill="1" applyBorder="1" applyAlignment="1" applyProtection="1">
      <alignment vertical="center" wrapText="1"/>
      <protection/>
    </xf>
    <xf numFmtId="0" fontId="0" fillId="33" borderId="69" xfId="0" applyFill="1" applyBorder="1" applyAlignment="1" applyProtection="1">
      <alignment vertical="center" wrapText="1"/>
      <protection/>
    </xf>
    <xf numFmtId="0" fontId="0" fillId="33" borderId="59" xfId="0" applyFill="1" applyBorder="1" applyAlignment="1" applyProtection="1">
      <alignment vertical="center" wrapText="1"/>
      <protection/>
    </xf>
    <xf numFmtId="0" fontId="0" fillId="33" borderId="0" xfId="0" applyFill="1" applyBorder="1" applyAlignment="1" applyProtection="1">
      <alignment vertical="center" wrapText="1"/>
      <protection/>
    </xf>
    <xf numFmtId="0" fontId="0" fillId="33" borderId="70" xfId="0" applyFill="1" applyBorder="1" applyAlignment="1" applyProtection="1">
      <alignment vertical="center" wrapText="1"/>
      <protection/>
    </xf>
    <xf numFmtId="0" fontId="0" fillId="33" borderId="71" xfId="0" applyFill="1" applyBorder="1" applyAlignment="1" applyProtection="1">
      <alignment vertical="center" wrapText="1"/>
      <protection/>
    </xf>
    <xf numFmtId="0" fontId="0" fillId="33" borderId="11" xfId="0" applyFill="1" applyBorder="1" applyAlignment="1" applyProtection="1">
      <alignment vertical="center" wrapText="1"/>
      <protection/>
    </xf>
    <xf numFmtId="0" fontId="0" fillId="33" borderId="44" xfId="0" applyFill="1" applyBorder="1" applyAlignment="1" applyProtection="1">
      <alignment vertical="center" wrapText="1"/>
      <protection/>
    </xf>
    <xf numFmtId="0" fontId="168" fillId="14" borderId="11" xfId="0" applyFont="1" applyFill="1" applyBorder="1" applyAlignment="1" applyProtection="1">
      <alignment horizontal="center" vertical="center" wrapText="1"/>
      <protection/>
    </xf>
    <xf numFmtId="0" fontId="169" fillId="14" borderId="0" xfId="0" applyFont="1" applyFill="1" applyBorder="1" applyAlignment="1">
      <alignment horizontal="center" vertical="center" wrapText="1"/>
    </xf>
    <xf numFmtId="0" fontId="169" fillId="14" borderId="11" xfId="0" applyFont="1" applyFill="1" applyBorder="1" applyAlignment="1">
      <alignment horizontal="center" vertical="center" wrapText="1"/>
    </xf>
    <xf numFmtId="0" fontId="16" fillId="33" borderId="23" xfId="0" applyFont="1" applyFill="1" applyBorder="1" applyAlignment="1" applyProtection="1">
      <alignment horizontal="center" vertical="center" wrapText="1"/>
      <protection/>
    </xf>
    <xf numFmtId="0" fontId="16" fillId="33" borderId="10" xfId="0" applyFont="1" applyFill="1" applyBorder="1" applyAlignment="1" applyProtection="1">
      <alignment horizontal="center" vertical="center" wrapText="1"/>
      <protection/>
    </xf>
    <xf numFmtId="1" fontId="41" fillId="33" borderId="0" xfId="0" applyNumberFormat="1" applyFont="1" applyFill="1" applyBorder="1" applyAlignment="1" applyProtection="1">
      <alignment horizontal="center" vertical="center" wrapText="1"/>
      <protection/>
    </xf>
    <xf numFmtId="0" fontId="30" fillId="33" borderId="0" xfId="0" applyFont="1" applyFill="1" applyBorder="1" applyAlignment="1" applyProtection="1">
      <alignment horizontal="center" vertical="center" wrapText="1"/>
      <protection/>
    </xf>
    <xf numFmtId="1" fontId="24" fillId="33" borderId="0" xfId="0" applyNumberFormat="1"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wrapText="1"/>
      <protection/>
    </xf>
    <xf numFmtId="0" fontId="22" fillId="14" borderId="0" xfId="0" applyFont="1" applyFill="1" applyBorder="1" applyAlignment="1" applyProtection="1">
      <alignment horizontal="center" vertical="center" wrapText="1"/>
      <protection/>
    </xf>
    <xf numFmtId="0" fontId="63" fillId="14" borderId="0" xfId="0" applyFont="1" applyFill="1" applyBorder="1" applyAlignment="1" applyProtection="1">
      <alignment horizontal="center" vertical="center" wrapText="1"/>
      <protection/>
    </xf>
    <xf numFmtId="0" fontId="64" fillId="0" borderId="11" xfId="0" applyFont="1" applyBorder="1" applyAlignment="1">
      <alignment horizontal="center" vertical="center" wrapText="1"/>
    </xf>
    <xf numFmtId="0" fontId="17" fillId="33" borderId="16" xfId="0" applyFont="1" applyFill="1" applyBorder="1" applyAlignment="1" applyProtection="1">
      <alignment horizontal="center" vertical="center" wrapText="1"/>
      <protection/>
    </xf>
    <xf numFmtId="0" fontId="170" fillId="5" borderId="72" xfId="0" applyFont="1" applyFill="1" applyBorder="1" applyAlignment="1">
      <alignment horizontal="center" wrapText="1"/>
    </xf>
    <xf numFmtId="0" fontId="171" fillId="5" borderId="72" xfId="0" applyFont="1" applyFill="1" applyBorder="1" applyAlignment="1">
      <alignment horizontal="center" wrapText="1"/>
    </xf>
    <xf numFmtId="9" fontId="170" fillId="0" borderId="73" xfId="0" applyNumberFormat="1" applyFont="1" applyBorder="1" applyAlignment="1">
      <alignment horizontal="center" vertical="center" wrapText="1"/>
    </xf>
    <xf numFmtId="9" fontId="171" fillId="0" borderId="74" xfId="0" applyNumberFormat="1" applyFont="1" applyBorder="1" applyAlignment="1">
      <alignment horizontal="center" vertical="center" wrapText="1"/>
    </xf>
    <xf numFmtId="9" fontId="172" fillId="0" borderId="73" xfId="0" applyNumberFormat="1" applyFont="1" applyBorder="1" applyAlignment="1">
      <alignment horizontal="center" vertical="center" wrapText="1"/>
    </xf>
    <xf numFmtId="9" fontId="173" fillId="0" borderId="74" xfId="0" applyNumberFormat="1" applyFont="1" applyBorder="1" applyAlignment="1">
      <alignment horizontal="center" vertical="center" wrapText="1"/>
    </xf>
    <xf numFmtId="0" fontId="174" fillId="41" borderId="0" xfId="0" applyFont="1" applyFill="1" applyAlignment="1">
      <alignment horizontal="center" wrapText="1"/>
    </xf>
    <xf numFmtId="0" fontId="175" fillId="41" borderId="0" xfId="0" applyFont="1" applyFill="1" applyAlignment="1">
      <alignment horizontal="center" wrapText="1"/>
    </xf>
    <xf numFmtId="0" fontId="34" fillId="46" borderId="45" xfId="0" applyNumberFormat="1" applyFont="1" applyFill="1" applyBorder="1" applyAlignment="1" applyProtection="1">
      <alignment horizontal="center" vertical="center"/>
      <protection/>
    </xf>
    <xf numFmtId="0" fontId="163" fillId="0" borderId="45" xfId="0" applyFont="1" applyFill="1" applyBorder="1" applyAlignment="1" applyProtection="1">
      <alignment horizontal="center" vertical="center"/>
      <protection/>
    </xf>
    <xf numFmtId="0" fontId="46" fillId="7" borderId="45" xfId="0" applyFont="1" applyFill="1" applyBorder="1" applyAlignment="1">
      <alignment vertical="center"/>
    </xf>
    <xf numFmtId="1" fontId="12" fillId="7" borderId="50" xfId="0" applyNumberFormat="1" applyFont="1" applyFill="1" applyBorder="1" applyAlignment="1">
      <alignment horizontal="right" vertical="center"/>
    </xf>
    <xf numFmtId="0" fontId="12" fillId="0" borderId="45" xfId="0" applyNumberFormat="1" applyFont="1" applyFill="1" applyBorder="1" applyAlignment="1" applyProtection="1">
      <alignment horizontal="right" vertical="center"/>
      <protection locked="0"/>
    </xf>
    <xf numFmtId="4" fontId="12" fillId="0" borderId="45" xfId="42" applyNumberFormat="1" applyFont="1" applyFill="1" applyBorder="1" applyAlignment="1" applyProtection="1">
      <alignment horizontal="right" vertical="center"/>
      <protection locked="0"/>
    </xf>
    <xf numFmtId="3" fontId="12" fillId="0" borderId="45" xfId="42" applyNumberFormat="1" applyFont="1" applyFill="1" applyBorder="1" applyAlignment="1" applyProtection="1">
      <alignment horizontal="right" vertical="center"/>
      <protection locked="0"/>
    </xf>
    <xf numFmtId="4" fontId="46" fillId="8" borderId="45" xfId="0" applyNumberFormat="1" applyFont="1" applyFill="1" applyBorder="1" applyAlignment="1">
      <alignment horizontal="right" vertical="center"/>
    </xf>
    <xf numFmtId="3" fontId="46" fillId="8" borderId="45" xfId="0" applyNumberFormat="1" applyFont="1" applyFill="1" applyBorder="1" applyAlignment="1">
      <alignment horizontal="right" vertical="center"/>
    </xf>
    <xf numFmtId="3" fontId="12" fillId="8" borderId="45" xfId="70" applyNumberFormat="1" applyFont="1" applyFill="1" applyBorder="1" applyAlignment="1" applyProtection="1">
      <alignment horizontal="right" vertical="center"/>
      <protection/>
    </xf>
    <xf numFmtId="2" fontId="12" fillId="8" borderId="45" xfId="70" applyNumberFormat="1" applyFont="1" applyFill="1" applyBorder="1" applyAlignment="1" applyProtection="1">
      <alignment horizontal="right" vertical="center"/>
      <protection/>
    </xf>
    <xf numFmtId="4" fontId="12" fillId="0" borderId="45" xfId="43" applyNumberFormat="1" applyFont="1" applyFill="1" applyBorder="1" applyAlignment="1" applyProtection="1">
      <alignment horizontal="right" vertical="center"/>
      <protection/>
    </xf>
    <xf numFmtId="9" fontId="12" fillId="8" borderId="45" xfId="70" applyNumberFormat="1" applyFont="1" applyFill="1" applyBorder="1" applyAlignment="1" applyProtection="1">
      <alignment horizontal="right" vertical="center"/>
      <protection/>
    </xf>
    <xf numFmtId="4" fontId="12" fillId="8" borderId="45" xfId="70" applyNumberFormat="1" applyFont="1" applyFill="1" applyBorder="1" applyAlignment="1" applyProtection="1">
      <alignment horizontal="right" vertical="center"/>
      <protection/>
    </xf>
    <xf numFmtId="4" fontId="12" fillId="36" borderId="45" xfId="42" applyNumberFormat="1" applyFont="1" applyFill="1" applyBorder="1" applyAlignment="1" applyProtection="1">
      <alignment horizontal="right" vertical="center"/>
      <protection locked="0"/>
    </xf>
    <xf numFmtId="3" fontId="12" fillId="36" borderId="45" xfId="42" applyNumberFormat="1" applyFont="1" applyFill="1" applyBorder="1" applyAlignment="1" applyProtection="1">
      <alignment horizontal="right" vertical="center"/>
      <protection locked="0"/>
    </xf>
    <xf numFmtId="4" fontId="12" fillId="0" borderId="45" xfId="0" applyNumberFormat="1" applyFont="1" applyFill="1" applyBorder="1" applyAlignment="1">
      <alignment horizontal="right" vertical="center"/>
    </xf>
    <xf numFmtId="2" fontId="12" fillId="8" borderId="45" xfId="0" applyNumberFormat="1" applyFont="1" applyFill="1" applyBorder="1" applyAlignment="1" applyProtection="1">
      <alignment horizontal="right" vertical="center"/>
      <protection/>
    </xf>
    <xf numFmtId="190" fontId="12" fillId="0" borderId="45" xfId="0" applyNumberFormat="1" applyFont="1" applyFill="1" applyBorder="1" applyAlignment="1" applyProtection="1">
      <alignment horizontal="center" vertical="center"/>
      <protection/>
    </xf>
    <xf numFmtId="0" fontId="34" fillId="46" borderId="21" xfId="0" applyNumberFormat="1" applyFont="1" applyFill="1" applyBorder="1" applyAlignment="1" applyProtection="1">
      <alignment horizontal="center" vertical="center"/>
      <protection/>
    </xf>
    <xf numFmtId="0" fontId="9" fillId="36" borderId="21" xfId="0" applyFont="1" applyFill="1" applyBorder="1" applyAlignment="1" applyProtection="1">
      <alignment horizontal="left" vertical="center"/>
      <protection/>
    </xf>
    <xf numFmtId="0" fontId="46" fillId="7" borderId="21" xfId="0" applyNumberFormat="1" applyFont="1" applyFill="1" applyBorder="1" applyAlignment="1" applyProtection="1">
      <alignment vertical="center"/>
      <protection locked="0"/>
    </xf>
    <xf numFmtId="0" fontId="12" fillId="7" borderId="21" xfId="0" applyNumberFormat="1" applyFont="1" applyFill="1" applyBorder="1" applyAlignment="1" applyProtection="1">
      <alignment vertical="center"/>
      <protection locked="0"/>
    </xf>
    <xf numFmtId="0" fontId="12" fillId="7" borderId="52" xfId="0" applyNumberFormat="1" applyFont="1" applyFill="1" applyBorder="1" applyAlignment="1">
      <alignment horizontal="right" vertical="center"/>
    </xf>
    <xf numFmtId="0" fontId="12" fillId="0" borderId="21" xfId="0" applyFont="1" applyFill="1" applyBorder="1" applyAlignment="1" applyProtection="1">
      <alignment horizontal="right" vertical="center"/>
      <protection locked="0"/>
    </xf>
    <xf numFmtId="4" fontId="12" fillId="0" borderId="21" xfId="42" applyNumberFormat="1" applyFont="1" applyFill="1" applyBorder="1" applyAlignment="1" applyProtection="1">
      <alignment horizontal="right" vertical="center"/>
      <protection locked="0"/>
    </xf>
    <xf numFmtId="3" fontId="12" fillId="0" borderId="21" xfId="42" applyNumberFormat="1" applyFont="1" applyFill="1" applyBorder="1" applyAlignment="1" applyProtection="1">
      <alignment horizontal="right" vertical="center"/>
      <protection locked="0"/>
    </xf>
    <xf numFmtId="4" fontId="46" fillId="8" borderId="21" xfId="0" applyNumberFormat="1" applyFont="1" applyFill="1" applyBorder="1" applyAlignment="1">
      <alignment horizontal="right" vertical="center"/>
    </xf>
    <xf numFmtId="3" fontId="46" fillId="8" borderId="21" xfId="0" applyNumberFormat="1" applyFont="1" applyFill="1" applyBorder="1" applyAlignment="1">
      <alignment horizontal="right" vertical="center"/>
    </xf>
    <xf numFmtId="3" fontId="12" fillId="8" borderId="21" xfId="70" applyNumberFormat="1" applyFont="1" applyFill="1" applyBorder="1" applyAlignment="1" applyProtection="1">
      <alignment horizontal="right" vertical="center"/>
      <protection/>
    </xf>
    <xf numFmtId="2" fontId="12" fillId="8" borderId="21" xfId="70" applyNumberFormat="1" applyFont="1" applyFill="1" applyBorder="1" applyAlignment="1" applyProtection="1">
      <alignment horizontal="right" vertical="center"/>
      <protection/>
    </xf>
    <xf numFmtId="4" fontId="12" fillId="0" borderId="21" xfId="43" applyNumberFormat="1" applyFont="1" applyFill="1" applyBorder="1" applyAlignment="1" applyProtection="1">
      <alignment horizontal="right" vertical="center"/>
      <protection/>
    </xf>
    <xf numFmtId="9" fontId="12" fillId="8" borderId="21" xfId="70" applyNumberFormat="1" applyFont="1" applyFill="1" applyBorder="1" applyAlignment="1" applyProtection="1">
      <alignment horizontal="right" vertical="center"/>
      <protection/>
    </xf>
    <xf numFmtId="4" fontId="12" fillId="8" borderId="21" xfId="70" applyNumberFormat="1" applyFont="1" applyFill="1" applyBorder="1" applyAlignment="1" applyProtection="1">
      <alignment horizontal="right" vertical="center"/>
      <protection/>
    </xf>
    <xf numFmtId="4" fontId="12" fillId="36" borderId="21" xfId="42" applyNumberFormat="1" applyFont="1" applyFill="1" applyBorder="1" applyAlignment="1" applyProtection="1">
      <alignment horizontal="right" vertical="center"/>
      <protection locked="0"/>
    </xf>
    <xf numFmtId="3" fontId="12" fillId="36" borderId="21" xfId="42" applyNumberFormat="1" applyFont="1" applyFill="1" applyBorder="1" applyAlignment="1" applyProtection="1">
      <alignment horizontal="right" vertical="center"/>
      <protection locked="0"/>
    </xf>
    <xf numFmtId="4" fontId="12" fillId="0" borderId="21" xfId="43" applyNumberFormat="1" applyFont="1" applyFill="1" applyBorder="1" applyAlignment="1" applyProtection="1">
      <alignment horizontal="right" vertical="center"/>
      <protection locked="0"/>
    </xf>
    <xf numFmtId="2" fontId="12" fillId="8" borderId="21" xfId="0" applyNumberFormat="1" applyFont="1" applyFill="1" applyBorder="1" applyAlignment="1" applyProtection="1">
      <alignment horizontal="right" vertical="center"/>
      <protection/>
    </xf>
    <xf numFmtId="190" fontId="12" fillId="0" borderId="21" xfId="0" applyNumberFormat="1" applyFont="1" applyFill="1" applyBorder="1" applyAlignment="1" applyProtection="1">
      <alignment horizontal="center" vertical="center"/>
      <protection/>
    </xf>
  </cellXfs>
  <cellStyles count="5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Binlik Ayracı 2" xfId="42"/>
    <cellStyle name="Binlik Ayracı 2 2" xfId="43"/>
    <cellStyle name="Comma 2" xfId="44"/>
    <cellStyle name="Çıkış" xfId="45"/>
    <cellStyle name="Giriş" xfId="46"/>
    <cellStyle name="Hesaplama" xfId="47"/>
    <cellStyle name="İşaretli Hücre" xfId="48"/>
    <cellStyle name="İyi" xfId="49"/>
    <cellStyle name="Followed Hyperlink" xfId="50"/>
    <cellStyle name="Hyperlink" xfId="51"/>
    <cellStyle name="Kötü" xfId="52"/>
    <cellStyle name="Normal 2" xfId="53"/>
    <cellStyle name="Normal 2 10 10" xfId="54"/>
    <cellStyle name="Normal 2 2" xfId="55"/>
    <cellStyle name="Normal 2 2 2" xfId="56"/>
    <cellStyle name="Normal_1-7Şubat,2008" xfId="57"/>
    <cellStyle name="Not" xfId="58"/>
    <cellStyle name="Nötr" xfId="59"/>
    <cellStyle name="Currency" xfId="60"/>
    <cellStyle name="Currency [0]" xfId="61"/>
    <cellStyle name="Toplam" xfId="62"/>
    <cellStyle name="Uyarı Metni" xfId="63"/>
    <cellStyle name="Vurgu1" xfId="64"/>
    <cellStyle name="Vurgu2" xfId="65"/>
    <cellStyle name="Vurgu3" xfId="66"/>
    <cellStyle name="Vurgu4" xfId="67"/>
    <cellStyle name="Vurgu5" xfId="68"/>
    <cellStyle name="Vurgu6" xfId="69"/>
    <cellStyle name="Percent" xfId="70"/>
    <cellStyle name="Yüzde 2"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31</xdr:col>
      <xdr:colOff>0</xdr:colOff>
      <xdr:row>0</xdr:row>
      <xdr:rowOff>0</xdr:rowOff>
    </xdr:to>
    <xdr:sp fLocksText="0">
      <xdr:nvSpPr>
        <xdr:cNvPr id="1" name="Text Box 1"/>
        <xdr:cNvSpPr txBox="1">
          <a:spLocks noChangeArrowheads="1"/>
        </xdr:cNvSpPr>
      </xdr:nvSpPr>
      <xdr:spPr>
        <a:xfrm>
          <a:off x="0" y="0"/>
          <a:ext cx="218503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133350</xdr:colOff>
      <xdr:row>0</xdr:row>
      <xdr:rowOff>0</xdr:rowOff>
    </xdr:from>
    <xdr:to>
      <xdr:col>30</xdr:col>
      <xdr:colOff>466725</xdr:colOff>
      <xdr:row>0</xdr:row>
      <xdr:rowOff>0</xdr:rowOff>
    </xdr:to>
    <xdr:sp fLocksText="0">
      <xdr:nvSpPr>
        <xdr:cNvPr id="2" name="Text Box 2"/>
        <xdr:cNvSpPr txBox="1">
          <a:spLocks noChangeArrowheads="1"/>
        </xdr:cNvSpPr>
      </xdr:nvSpPr>
      <xdr:spPr>
        <a:xfrm>
          <a:off x="20193000" y="0"/>
          <a:ext cx="16573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14</xdr:col>
      <xdr:colOff>247650</xdr:colOff>
      <xdr:row>3</xdr:row>
      <xdr:rowOff>104775</xdr:rowOff>
    </xdr:from>
    <xdr:to>
      <xdr:col>17</xdr:col>
      <xdr:colOff>381000</xdr:colOff>
      <xdr:row>4</xdr:row>
      <xdr:rowOff>371475</xdr:rowOff>
    </xdr:to>
    <xdr:pic>
      <xdr:nvPicPr>
        <xdr:cNvPr id="3" name="Picture 17" descr="Logo son"/>
        <xdr:cNvPicPr preferRelativeResize="1">
          <a:picLocks noChangeAspect="1"/>
        </xdr:cNvPicPr>
      </xdr:nvPicPr>
      <xdr:blipFill>
        <a:blip r:embed="rId1"/>
        <a:stretch>
          <a:fillRect/>
        </a:stretch>
      </xdr:blipFill>
      <xdr:spPr>
        <a:xfrm>
          <a:off x="11687175" y="1409700"/>
          <a:ext cx="249555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0</xdr:colOff>
      <xdr:row>0</xdr:row>
      <xdr:rowOff>0</xdr:rowOff>
    </xdr:to>
    <xdr:sp fLocksText="0">
      <xdr:nvSpPr>
        <xdr:cNvPr id="1" name="Text Box 1"/>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 name="Text Box 2"/>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 name="Text Box 3"/>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 name="Text Box 4"/>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6</xdr:col>
      <xdr:colOff>0</xdr:colOff>
      <xdr:row>0</xdr:row>
      <xdr:rowOff>0</xdr:rowOff>
    </xdr:to>
    <xdr:sp>
      <xdr:nvSpPr>
        <xdr:cNvPr id="5" name="Text Box 5"/>
        <xdr:cNvSpPr txBox="1">
          <a:spLocks noChangeArrowheads="1"/>
        </xdr:cNvSpPr>
      </xdr:nvSpPr>
      <xdr:spPr>
        <a:xfrm>
          <a:off x="19050" y="0"/>
          <a:ext cx="9410700" cy="0"/>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6</xdr:col>
      <xdr:colOff>0</xdr:colOff>
      <xdr:row>0</xdr:row>
      <xdr:rowOff>0</xdr:rowOff>
    </xdr:from>
    <xdr:to>
      <xdr:col>6</xdr:col>
      <xdr:colOff>0</xdr:colOff>
      <xdr:row>0</xdr:row>
      <xdr:rowOff>0</xdr:rowOff>
    </xdr:to>
    <xdr:sp fLocksText="0">
      <xdr:nvSpPr>
        <xdr:cNvPr id="6" name="Text Box 6"/>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6</xdr:col>
      <xdr:colOff>0</xdr:colOff>
      <xdr:row>0</xdr:row>
      <xdr:rowOff>0</xdr:rowOff>
    </xdr:to>
    <xdr:sp fLocksText="0">
      <xdr:nvSpPr>
        <xdr:cNvPr id="7" name="Text Box 7"/>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8" name="Text Box 8"/>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6</xdr:col>
      <xdr:colOff>0</xdr:colOff>
      <xdr:row>0</xdr:row>
      <xdr:rowOff>0</xdr:rowOff>
    </xdr:to>
    <xdr:sp>
      <xdr:nvSpPr>
        <xdr:cNvPr id="9" name="Text Box 9"/>
        <xdr:cNvSpPr txBox="1">
          <a:spLocks noChangeArrowheads="1"/>
        </xdr:cNvSpPr>
      </xdr:nvSpPr>
      <xdr:spPr>
        <a:xfrm>
          <a:off x="19050" y="0"/>
          <a:ext cx="9410700"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4</xdr:col>
      <xdr:colOff>0</xdr:colOff>
      <xdr:row>0</xdr:row>
      <xdr:rowOff>0</xdr:rowOff>
    </xdr:from>
    <xdr:to>
      <xdr:col>6</xdr:col>
      <xdr:colOff>0</xdr:colOff>
      <xdr:row>0</xdr:row>
      <xdr:rowOff>0</xdr:rowOff>
    </xdr:to>
    <xdr:sp fLocksText="0">
      <xdr:nvSpPr>
        <xdr:cNvPr id="10" name="Text Box 10"/>
        <xdr:cNvSpPr txBox="1">
          <a:spLocks noChangeArrowheads="1"/>
        </xdr:cNvSpPr>
      </xdr:nvSpPr>
      <xdr:spPr>
        <a:xfrm>
          <a:off x="7991475" y="0"/>
          <a:ext cx="1438275" cy="0"/>
        </a:xfrm>
        <a:prstGeom prst="rect">
          <a:avLst/>
        </a:prstGeom>
        <a:solidFill>
          <a:srgbClr val="FFCC99"/>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11
</a:t>
          </a:r>
          <a:r>
            <a:rPr lang="en-US" cap="none" sz="1200" b="0" i="0" u="none" baseline="0">
              <a:solidFill>
                <a:srgbClr val="000000"/>
              </a:solidFill>
              <a:latin typeface="Verdana"/>
              <a:ea typeface="Verdana"/>
              <a:cs typeface="Verdana"/>
            </a:rPr>
            <a:t>12-14 MARCH 2010</a:t>
          </a:r>
        </a:p>
      </xdr:txBody>
    </xdr:sp>
    <xdr:clientData/>
  </xdr:twoCellAnchor>
  <xdr:twoCellAnchor>
    <xdr:from>
      <xdr:col>0</xdr:col>
      <xdr:colOff>0</xdr:colOff>
      <xdr:row>0</xdr:row>
      <xdr:rowOff>0</xdr:rowOff>
    </xdr:from>
    <xdr:to>
      <xdr:col>6</xdr:col>
      <xdr:colOff>0</xdr:colOff>
      <xdr:row>0</xdr:row>
      <xdr:rowOff>0</xdr:rowOff>
    </xdr:to>
    <xdr:sp fLocksText="0">
      <xdr:nvSpPr>
        <xdr:cNvPr id="11" name="Text Box 11"/>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2" name="Text Box 12"/>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13" name="Text Box 13"/>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4" name="Text Box 14"/>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5" name="Text Box 16"/>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6</xdr:col>
      <xdr:colOff>0</xdr:colOff>
      <xdr:row>0</xdr:row>
      <xdr:rowOff>0</xdr:rowOff>
    </xdr:to>
    <xdr:sp fLocksText="0">
      <xdr:nvSpPr>
        <xdr:cNvPr id="16" name="Text Box 17"/>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7" name="Text Box 18"/>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6</xdr:col>
      <xdr:colOff>0</xdr:colOff>
      <xdr:row>0</xdr:row>
      <xdr:rowOff>0</xdr:rowOff>
    </xdr:to>
    <xdr:sp>
      <xdr:nvSpPr>
        <xdr:cNvPr id="18" name="Text Box 19"/>
        <xdr:cNvSpPr txBox="1">
          <a:spLocks noChangeArrowheads="1"/>
        </xdr:cNvSpPr>
      </xdr:nvSpPr>
      <xdr:spPr>
        <a:xfrm>
          <a:off x="19050" y="0"/>
          <a:ext cx="9410700"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19050</xdr:colOff>
      <xdr:row>0</xdr:row>
      <xdr:rowOff>0</xdr:rowOff>
    </xdr:from>
    <xdr:to>
      <xdr:col>6</xdr:col>
      <xdr:colOff>0</xdr:colOff>
      <xdr:row>0</xdr:row>
      <xdr:rowOff>0</xdr:rowOff>
    </xdr:to>
    <xdr:sp>
      <xdr:nvSpPr>
        <xdr:cNvPr id="19" name="Text Box 21"/>
        <xdr:cNvSpPr txBox="1">
          <a:spLocks noChangeArrowheads="1"/>
        </xdr:cNvSpPr>
      </xdr:nvSpPr>
      <xdr:spPr>
        <a:xfrm>
          <a:off x="19050" y="0"/>
          <a:ext cx="9410700" cy="0"/>
        </a:xfrm>
        <a:prstGeom prst="rect">
          <a:avLst/>
        </a:prstGeom>
        <a:solidFill>
          <a:srgbClr val="FFCC99"/>
        </a:solidFill>
        <a:ln w="38100" cmpd="dbl">
          <a:noFill/>
        </a:ln>
      </xdr:spPr>
      <xdr:txBody>
        <a:bodyPr vertOverflow="clip" wrap="square" lIns="64008" tIns="68580" rIns="64008" bIns="68580" anchor="ctr"/>
        <a:p>
          <a:pPr algn="ctr">
            <a:defRPr/>
          </a:pPr>
          <a:r>
            <a:rPr lang="en-US" cap="none" sz="3800" b="0" i="0" u="none" baseline="0">
              <a:solidFill>
                <a:srgbClr val="000000"/>
              </a:solidFill>
              <a:latin typeface="Garamond"/>
              <a:ea typeface="Garamond"/>
              <a:cs typeface="Garamond"/>
            </a:rPr>
            <a:t>TÜRKİYE'S WEEKEND MARKET DATA</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6</xdr:col>
      <xdr:colOff>0</xdr:colOff>
      <xdr:row>0</xdr:row>
      <xdr:rowOff>0</xdr:rowOff>
    </xdr:from>
    <xdr:to>
      <xdr:col>6</xdr:col>
      <xdr:colOff>0</xdr:colOff>
      <xdr:row>0</xdr:row>
      <xdr:rowOff>0</xdr:rowOff>
    </xdr:to>
    <xdr:sp fLocksText="0">
      <xdr:nvSpPr>
        <xdr:cNvPr id="20" name="Text Box 22"/>
        <xdr:cNvSpPr txBox="1">
          <a:spLocks noChangeArrowheads="1"/>
        </xdr:cNvSpPr>
      </xdr:nvSpPr>
      <xdr:spPr>
        <a:xfrm>
          <a:off x="9429750" y="0"/>
          <a:ext cx="0" cy="0"/>
        </a:xfrm>
        <a:prstGeom prst="rect">
          <a:avLst/>
        </a:prstGeom>
        <a:solidFill>
          <a:srgbClr val="FFCC99"/>
        </a:solidFill>
        <a:ln w="9525" cmpd="sng">
          <a:noFill/>
        </a:ln>
      </xdr:spPr>
      <xdr:txBody>
        <a:bodyPr vertOverflow="clip" wrap="square" lIns="0" tIns="36576" rIns="36576" bIns="0"/>
        <a:p>
          <a:pPr algn="r">
            <a:defRPr/>
          </a:pPr>
          <a:r>
            <a:rPr lang="en-US" cap="none" sz="1600" b="0" i="0" u="none" baseline="0">
              <a:solidFill>
                <a:srgbClr val="000000"/>
              </a:solidFill>
              <a:latin typeface="Garamond"/>
              <a:ea typeface="Garamond"/>
              <a:cs typeface="Garamond"/>
            </a:rPr>
            <a:t>WEEKEND: 12
</a:t>
          </a:r>
          <a:r>
            <a:rPr lang="en-US" cap="none" sz="1600" b="0" i="0" u="none" baseline="0">
              <a:solidFill>
                <a:srgbClr val="000000"/>
              </a:solidFill>
              <a:latin typeface="Garamond"/>
              <a:ea typeface="Garamond"/>
              <a:cs typeface="Garamond"/>
            </a:rPr>
            <a:t>19-21 MARCH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6</xdr:col>
      <xdr:colOff>0</xdr:colOff>
      <xdr:row>0</xdr:row>
      <xdr:rowOff>0</xdr:rowOff>
    </xdr:to>
    <xdr:sp fLocksText="0">
      <xdr:nvSpPr>
        <xdr:cNvPr id="21" name="Text Box 23"/>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2" name="Text Box 24"/>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23" name="Text Box 27"/>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4" name="Text Box 28"/>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25" name="Text Box 31"/>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6" name="Text Box 32"/>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27" name="Text Box 35"/>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8" name="Text Box 36"/>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29" name="Text Box 39"/>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0" name="Text Box 40"/>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1" name="Text Box 43"/>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2" name="Text Box 44"/>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3" name="Text Box 47"/>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4" name="Text Box 48"/>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5" name="Text Box 51"/>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6" name="Text Box 52"/>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7" name="Text Box 55"/>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8" name="Text Box 56"/>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13</xdr:col>
      <xdr:colOff>104775</xdr:colOff>
      <xdr:row>0</xdr:row>
      <xdr:rowOff>0</xdr:rowOff>
    </xdr:to>
    <xdr:sp>
      <xdr:nvSpPr>
        <xdr:cNvPr id="39" name="Text Box 57"/>
        <xdr:cNvSpPr txBox="1">
          <a:spLocks noChangeArrowheads="1"/>
        </xdr:cNvSpPr>
      </xdr:nvSpPr>
      <xdr:spPr>
        <a:xfrm>
          <a:off x="19050" y="0"/>
          <a:ext cx="11582400" cy="0"/>
        </a:xfrm>
        <a:prstGeom prst="rect">
          <a:avLst/>
        </a:prstGeom>
        <a:solidFill>
          <a:srgbClr val="FFCC99"/>
        </a:solidFill>
        <a:ln w="38100" cmpd="dbl">
          <a:noFill/>
        </a:ln>
      </xdr:spPr>
      <xdr:txBody>
        <a:bodyPr vertOverflow="clip" wrap="square" lIns="64008" tIns="64008" rIns="64008" bIns="64008" anchor="ctr"/>
        <a:p>
          <a:pPr algn="ctr">
            <a:defRPr/>
          </a:pPr>
          <a:r>
            <a:rPr lang="en-US" cap="none" sz="3400" b="0" i="0" u="none" baseline="0">
              <a:solidFill>
                <a:srgbClr val="000000"/>
              </a:solidFill>
              <a:latin typeface="Garamond"/>
              <a:ea typeface="Garamond"/>
              <a:cs typeface="Garamond"/>
            </a:rPr>
            <a:t>TÜRKİYE'S WEEKEND MARKET DATA</a:t>
          </a:r>
          <a:r>
            <a:rPr lang="en-US" cap="none" sz="3600" b="0" i="0" u="none" baseline="0">
              <a:solidFill>
                <a:srgbClr val="000000"/>
              </a:solidFill>
              <a:latin typeface="Garamond"/>
              <a:ea typeface="Garamond"/>
              <a:cs typeface="Garamond"/>
            </a:rPr>
            <a:t>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0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0</xdr:colOff>
      <xdr:row>0</xdr:row>
      <xdr:rowOff>0</xdr:rowOff>
    </xdr:from>
    <xdr:to>
      <xdr:col>6</xdr:col>
      <xdr:colOff>0</xdr:colOff>
      <xdr:row>0</xdr:row>
      <xdr:rowOff>0</xdr:rowOff>
    </xdr:to>
    <xdr:sp fLocksText="0">
      <xdr:nvSpPr>
        <xdr:cNvPr id="40" name="Text Box 59"/>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1" name="Text Box 60"/>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42" name="Text Box 63"/>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3" name="Text Box 64"/>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44" name="Text Box 67"/>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5" name="Text Box 68"/>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4</xdr:col>
      <xdr:colOff>0</xdr:colOff>
      <xdr:row>0</xdr:row>
      <xdr:rowOff>0</xdr:rowOff>
    </xdr:to>
    <xdr:sp>
      <xdr:nvSpPr>
        <xdr:cNvPr id="46" name="Text Box 71"/>
        <xdr:cNvSpPr txBox="1">
          <a:spLocks noChangeArrowheads="1"/>
        </xdr:cNvSpPr>
      </xdr:nvSpPr>
      <xdr:spPr>
        <a:xfrm>
          <a:off x="28575" y="0"/>
          <a:ext cx="7962900" cy="0"/>
        </a:xfrm>
        <a:prstGeom prst="rect">
          <a:avLst/>
        </a:prstGeom>
        <a:solidFill>
          <a:srgbClr val="C0C0C0"/>
        </a:solidFill>
        <a:ln w="38100" cmpd="dbl">
          <a:noFill/>
        </a:ln>
      </xdr:spPr>
      <xdr:txBody>
        <a:bodyPr vertOverflow="clip" wrap="square" lIns="36576" tIns="32004" rIns="0" bIns="32004" anchor="ctr"/>
        <a:p>
          <a:pPr algn="l">
            <a:defRPr/>
          </a:pPr>
          <a:r>
            <a:rPr lang="en-US" cap="none" sz="1600" b="1" i="0" u="none" baseline="0">
              <a:solidFill>
                <a:srgbClr val="000000"/>
              </a:solidFill>
              <a:latin typeface="AcidSansRegular"/>
              <a:ea typeface="AcidSansRegular"/>
              <a:cs typeface="AcidSansRegular"/>
            </a:rPr>
            <a:t>TÜRK</a:t>
          </a:r>
          <a:r>
            <a:rPr lang="en-US" cap="none" sz="1600" b="1" i="0" u="none" baseline="0">
              <a:solidFill>
                <a:srgbClr val="000000"/>
              </a:solidFill>
              <a:latin typeface="Arial"/>
              <a:ea typeface="Arial"/>
              <a:cs typeface="Arial"/>
            </a:rPr>
            <a:t>İ</a:t>
          </a:r>
          <a:r>
            <a:rPr lang="en-US" cap="none" sz="1600" b="1" i="0" u="none" baseline="0">
              <a:solidFill>
                <a:srgbClr val="000000"/>
              </a:solidFill>
              <a:latin typeface="AcidSansRegular"/>
              <a:ea typeface="AcidSansRegular"/>
              <a:cs typeface="AcidSansRegular"/>
            </a:rPr>
            <a:t>YE'S WEEKEND MARKET DATA</a:t>
          </a:r>
          <a:r>
            <a:rPr lang="en-US" cap="none" sz="2000" b="1" i="0" u="none" baseline="0">
              <a:solidFill>
                <a:srgbClr val="000000"/>
              </a:solidFill>
              <a:latin typeface="AcidSansRegular"/>
              <a:ea typeface="AcidSansRegular"/>
              <a:cs typeface="AcidSansRegular"/>
            </a:rPr>
            <a:t> </a:t>
          </a:r>
          <a:r>
            <a:rPr lang="en-US" cap="none" sz="1200" b="0" i="0" u="none" baseline="0">
              <a:solidFill>
                <a:srgbClr val="000000"/>
              </a:solidFill>
              <a:latin typeface="AcidSansRegular"/>
              <a:ea typeface="AcidSansRegular"/>
              <a:cs typeface="AcidSansRegular"/>
            </a:rPr>
            <a:t>WEEKEND BOX OFFICE &amp; ADMISSION REPORT</a:t>
          </a:r>
          <a:r>
            <a:rPr lang="en-US" cap="none" sz="1600" b="0" i="0" u="none" baseline="0">
              <a:solidFill>
                <a:srgbClr val="000000"/>
              </a:solidFill>
              <a:latin typeface="AcidSansRegular"/>
              <a:ea typeface="AcidSansRegular"/>
              <a:cs typeface="AcidSansRegular"/>
            </a:rPr>
            <a:t>
</a:t>
          </a:r>
          <a:r>
            <a:rPr lang="en-US" cap="none" sz="2400" b="1" i="0" u="none" baseline="0">
              <a:solidFill>
                <a:srgbClr val="FFFFFF"/>
              </a:solidFill>
              <a:latin typeface="AcidSansRegular"/>
              <a:ea typeface="AcidSansRegular"/>
              <a:cs typeface="AcidSansRegular"/>
            </a:rPr>
            <a:t>TOP 20</a:t>
          </a:r>
        </a:p>
      </xdr:txBody>
    </xdr:sp>
    <xdr:clientData/>
  </xdr:twoCellAnchor>
  <xdr:twoCellAnchor>
    <xdr:from>
      <xdr:col>4</xdr:col>
      <xdr:colOff>0</xdr:colOff>
      <xdr:row>0</xdr:row>
      <xdr:rowOff>0</xdr:rowOff>
    </xdr:from>
    <xdr:to>
      <xdr:col>6</xdr:col>
      <xdr:colOff>0</xdr:colOff>
      <xdr:row>0</xdr:row>
      <xdr:rowOff>0</xdr:rowOff>
    </xdr:to>
    <xdr:sp fLocksText="0">
      <xdr:nvSpPr>
        <xdr:cNvPr id="47" name="Text Box 72"/>
        <xdr:cNvSpPr txBox="1">
          <a:spLocks noChangeArrowheads="1"/>
        </xdr:cNvSpPr>
      </xdr:nvSpPr>
      <xdr:spPr>
        <a:xfrm>
          <a:off x="7991475" y="0"/>
          <a:ext cx="1438275" cy="0"/>
        </a:xfrm>
        <a:prstGeom prst="rect">
          <a:avLst/>
        </a:prstGeom>
        <a:solidFill>
          <a:srgbClr val="C0C0C0"/>
        </a:solidFill>
        <a:ln w="12700" cmpd="sng">
          <a:solidFill>
            <a:srgbClr val="000000">
              <a:alpha val="41175"/>
            </a:srgbClr>
          </a:solidFill>
          <a:headEnd type="none"/>
          <a:tailEnd type="none"/>
        </a:ln>
      </xdr:spPr>
      <xdr:txBody>
        <a:bodyPr vertOverflow="clip" wrap="square" lIns="0" tIns="36576" rIns="45720" bIns="36576" anchor="ctr"/>
        <a:p>
          <a:pPr algn="r">
            <a:defRPr/>
          </a:pPr>
          <a:r>
            <a:rPr lang="en-US" cap="none" sz="1800" b="0" i="0" u="none" baseline="0">
              <a:solidFill>
                <a:srgbClr val="900000"/>
              </a:solidFill>
              <a:latin typeface="Administer"/>
              <a:ea typeface="Administer"/>
              <a:cs typeface="Administer"/>
            </a:rPr>
            <a:t>weekend: 21</a:t>
          </a:r>
          <a:r>
            <a:rPr lang="en-US" cap="none" sz="1800" b="0" i="0" u="none" baseline="0">
              <a:solidFill>
                <a:srgbClr val="000000"/>
              </a:solidFill>
              <a:latin typeface="Administer"/>
              <a:ea typeface="Administer"/>
              <a:cs typeface="Administer"/>
            </a:rPr>
            <a:t>
</a:t>
          </a:r>
          <a:r>
            <a:rPr lang="en-US" cap="none" sz="1800" b="0" i="0" u="none" baseline="0">
              <a:solidFill>
                <a:srgbClr val="000000"/>
              </a:solidFill>
              <a:latin typeface="Administer"/>
              <a:ea typeface="Administer"/>
              <a:cs typeface="Administer"/>
            </a:rPr>
            <a:t>20-22 May 2011</a:t>
          </a:r>
        </a:p>
      </xdr:txBody>
    </xdr:sp>
    <xdr:clientData/>
  </xdr:twoCellAnchor>
  <xdr:twoCellAnchor>
    <xdr:from>
      <xdr:col>0</xdr:col>
      <xdr:colOff>0</xdr:colOff>
      <xdr:row>0</xdr:row>
      <xdr:rowOff>0</xdr:rowOff>
    </xdr:from>
    <xdr:to>
      <xdr:col>6</xdr:col>
      <xdr:colOff>0</xdr:colOff>
      <xdr:row>0</xdr:row>
      <xdr:rowOff>0</xdr:rowOff>
    </xdr:to>
    <xdr:sp fLocksText="0">
      <xdr:nvSpPr>
        <xdr:cNvPr id="48" name="Text Box 73"/>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9" name="Text Box 74"/>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50" name="Text Box 77"/>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51" name="Text Box 78"/>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123825</xdr:colOff>
      <xdr:row>0</xdr:row>
      <xdr:rowOff>295275</xdr:rowOff>
    </xdr:from>
    <xdr:to>
      <xdr:col>13</xdr:col>
      <xdr:colOff>66675</xdr:colOff>
      <xdr:row>2</xdr:row>
      <xdr:rowOff>95250</xdr:rowOff>
    </xdr:to>
    <xdr:pic>
      <xdr:nvPicPr>
        <xdr:cNvPr id="52" name="Picture 82" descr="Logo son"/>
        <xdr:cNvPicPr preferRelativeResize="1">
          <a:picLocks noChangeAspect="1"/>
        </xdr:cNvPicPr>
      </xdr:nvPicPr>
      <xdr:blipFill>
        <a:blip r:embed="rId1"/>
        <a:stretch>
          <a:fillRect/>
        </a:stretch>
      </xdr:blipFill>
      <xdr:spPr>
        <a:xfrm>
          <a:off x="9553575" y="295275"/>
          <a:ext cx="2009775"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266700</xdr:colOff>
      <xdr:row>0</xdr:row>
      <xdr:rowOff>381000</xdr:rowOff>
    </xdr:from>
    <xdr:to>
      <xdr:col>13</xdr:col>
      <xdr:colOff>209550</xdr:colOff>
      <xdr:row>2</xdr:row>
      <xdr:rowOff>180975</xdr:rowOff>
    </xdr:to>
    <xdr:pic>
      <xdr:nvPicPr>
        <xdr:cNvPr id="1" name="Picture 82" descr="Logo son"/>
        <xdr:cNvPicPr preferRelativeResize="1">
          <a:picLocks noChangeAspect="1"/>
        </xdr:cNvPicPr>
      </xdr:nvPicPr>
      <xdr:blipFill>
        <a:blip r:embed="rId1"/>
        <a:stretch>
          <a:fillRect/>
        </a:stretch>
      </xdr:blipFill>
      <xdr:spPr>
        <a:xfrm>
          <a:off x="9696450" y="381000"/>
          <a:ext cx="2009775" cy="552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133350</xdr:rowOff>
    </xdr:from>
    <xdr:to>
      <xdr:col>2</xdr:col>
      <xdr:colOff>1781175</xdr:colOff>
      <xdr:row>3</xdr:row>
      <xdr:rowOff>85725</xdr:rowOff>
    </xdr:to>
    <xdr:pic>
      <xdr:nvPicPr>
        <xdr:cNvPr id="1" name="Picture 82" descr="Logo son"/>
        <xdr:cNvPicPr preferRelativeResize="1">
          <a:picLocks noChangeAspect="1"/>
        </xdr:cNvPicPr>
      </xdr:nvPicPr>
      <xdr:blipFill>
        <a:blip r:embed="rId1"/>
        <a:stretch>
          <a:fillRect/>
        </a:stretch>
      </xdr:blipFill>
      <xdr:spPr>
        <a:xfrm>
          <a:off x="285750" y="133350"/>
          <a:ext cx="2009775" cy="552450"/>
        </a:xfrm>
        <a:prstGeom prst="rect">
          <a:avLst/>
        </a:prstGeom>
        <a:noFill/>
        <a:ln w="9525" cmpd="sng">
          <a:noFill/>
        </a:ln>
      </xdr:spPr>
    </xdr:pic>
    <xdr:clientData/>
  </xdr:twoCellAnchor>
  <xdr:twoCellAnchor editAs="oneCell">
    <xdr:from>
      <xdr:col>1</xdr:col>
      <xdr:colOff>85725</xdr:colOff>
      <xdr:row>13</xdr:row>
      <xdr:rowOff>133350</xdr:rowOff>
    </xdr:from>
    <xdr:to>
      <xdr:col>2</xdr:col>
      <xdr:colOff>1781175</xdr:colOff>
      <xdr:row>16</xdr:row>
      <xdr:rowOff>85725</xdr:rowOff>
    </xdr:to>
    <xdr:pic>
      <xdr:nvPicPr>
        <xdr:cNvPr id="2" name="Picture 82" descr="Logo son"/>
        <xdr:cNvPicPr preferRelativeResize="1">
          <a:picLocks noChangeAspect="1"/>
        </xdr:cNvPicPr>
      </xdr:nvPicPr>
      <xdr:blipFill>
        <a:blip r:embed="rId1"/>
        <a:stretch>
          <a:fillRect/>
        </a:stretch>
      </xdr:blipFill>
      <xdr:spPr>
        <a:xfrm>
          <a:off x="285750" y="2828925"/>
          <a:ext cx="2009775" cy="552450"/>
        </a:xfrm>
        <a:prstGeom prst="rect">
          <a:avLst/>
        </a:prstGeom>
        <a:noFill/>
        <a:ln w="9525" cmpd="sng">
          <a:noFill/>
        </a:ln>
      </xdr:spPr>
    </xdr:pic>
    <xdr:clientData/>
  </xdr:twoCellAnchor>
  <xdr:twoCellAnchor editAs="oneCell">
    <xdr:from>
      <xdr:col>1</xdr:col>
      <xdr:colOff>85725</xdr:colOff>
      <xdr:row>26</xdr:row>
      <xdr:rowOff>133350</xdr:rowOff>
    </xdr:from>
    <xdr:to>
      <xdr:col>2</xdr:col>
      <xdr:colOff>1781175</xdr:colOff>
      <xdr:row>29</xdr:row>
      <xdr:rowOff>85725</xdr:rowOff>
    </xdr:to>
    <xdr:pic>
      <xdr:nvPicPr>
        <xdr:cNvPr id="3" name="Picture 82" descr="Logo son"/>
        <xdr:cNvPicPr preferRelativeResize="1">
          <a:picLocks noChangeAspect="1"/>
        </xdr:cNvPicPr>
      </xdr:nvPicPr>
      <xdr:blipFill>
        <a:blip r:embed="rId1"/>
        <a:stretch>
          <a:fillRect/>
        </a:stretch>
      </xdr:blipFill>
      <xdr:spPr>
        <a:xfrm>
          <a:off x="285750" y="5829300"/>
          <a:ext cx="2009775"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AT130"/>
  <sheetViews>
    <sheetView tabSelected="1" zoomScale="60" zoomScaleNormal="60" zoomScalePageLayoutView="0" workbookViewId="0" topLeftCell="A1">
      <pane xSplit="18" ySplit="10" topLeftCell="Y11" activePane="bottomRight" state="frozen"/>
      <selection pane="topLeft" activeCell="A1" sqref="A1"/>
      <selection pane="topRight" activeCell="J1" sqref="J1"/>
      <selection pane="bottomLeft" activeCell="A12" sqref="A12"/>
      <selection pane="bottomRight" activeCell="A6" sqref="A6"/>
    </sheetView>
  </sheetViews>
  <sheetFormatPr defaultColWidth="65.7109375" defaultRowHeight="12.75"/>
  <cols>
    <col min="1" max="1" width="5.140625" style="11" bestFit="1" customWidth="1"/>
    <col min="2" max="2" width="2.57421875" style="12" customWidth="1"/>
    <col min="3" max="3" width="2.57421875" style="12" bestFit="1" customWidth="1"/>
    <col min="4" max="4" width="2.00390625" style="12" bestFit="1" customWidth="1"/>
    <col min="5" max="6" width="1.8515625" style="12" bestFit="1" customWidth="1"/>
    <col min="7" max="7" width="1.7109375" style="12" bestFit="1" customWidth="1"/>
    <col min="8" max="8" width="2.00390625" style="12" bestFit="1" customWidth="1"/>
    <col min="9" max="9" width="1.7109375" style="13" bestFit="1" customWidth="1"/>
    <col min="10" max="10" width="54.00390625" style="14" bestFit="1" customWidth="1"/>
    <col min="11" max="11" width="26.8515625" style="14" bestFit="1" customWidth="1"/>
    <col min="12" max="12" width="18.28125" style="14" bestFit="1" customWidth="1"/>
    <col min="13" max="13" width="43.00390625" style="14" bestFit="1" customWidth="1"/>
    <col min="14" max="14" width="8.00390625" style="15" bestFit="1" customWidth="1"/>
    <col min="15" max="15" width="20.00390625" style="12" bestFit="1" customWidth="1"/>
    <col min="16" max="16" width="6.00390625" style="15" customWidth="1"/>
    <col min="17" max="17" width="9.421875" style="16" customWidth="1"/>
    <col min="18" max="18" width="9.421875" style="17" customWidth="1"/>
    <col min="19" max="19" width="10.00390625" style="16" bestFit="1" customWidth="1"/>
    <col min="20" max="20" width="6.57421875" style="17" bestFit="1" customWidth="1"/>
    <col min="21" max="21" width="10.00390625" style="16" bestFit="1" customWidth="1"/>
    <col min="22" max="22" width="6.57421875" style="17" bestFit="1" customWidth="1"/>
    <col min="23" max="23" width="10.00390625" style="18" bestFit="1" customWidth="1"/>
    <col min="24" max="24" width="6.57421875" style="19" bestFit="1" customWidth="1"/>
    <col min="25" max="25" width="14.7109375" style="44" bestFit="1" customWidth="1"/>
    <col min="26" max="26" width="9.421875" style="45" bestFit="1" customWidth="1"/>
    <col min="27" max="27" width="10.57421875" style="20" bestFit="1" customWidth="1"/>
    <col min="28" max="28" width="7.7109375" style="22" bestFit="1" customWidth="1"/>
    <col min="29" max="29" width="11.7109375" style="22" bestFit="1" customWidth="1"/>
    <col min="30" max="30" width="7.421875" style="23" bestFit="1" customWidth="1"/>
    <col min="31" max="31" width="10.28125" style="22" hidden="1" customWidth="1"/>
    <col min="32" max="32" width="6.8515625" style="100" hidden="1" customWidth="1"/>
    <col min="33" max="33" width="14.421875" style="28" hidden="1" customWidth="1"/>
    <col min="34" max="34" width="9.28125" style="26" hidden="1" customWidth="1"/>
    <col min="35" max="36" width="7.57421875" style="30" hidden="1" customWidth="1"/>
    <col min="37" max="37" width="10.140625" style="24" hidden="1" customWidth="1"/>
    <col min="38" max="38" width="10.140625" style="29" hidden="1" customWidth="1"/>
    <col min="39" max="39" width="11.7109375" style="16" hidden="1" customWidth="1"/>
    <col min="40" max="40" width="7.421875" style="17" hidden="1" customWidth="1"/>
    <col min="41" max="41" width="13.421875" style="16" bestFit="1" customWidth="1"/>
    <col min="42" max="42" width="9.8515625" style="14" bestFit="1" customWidth="1"/>
    <col min="43" max="43" width="9.57421875" style="14" bestFit="1" customWidth="1"/>
    <col min="44" max="44" width="8.28125" style="14" bestFit="1" customWidth="1"/>
    <col min="45" max="45" width="6.00390625" style="14" bestFit="1" customWidth="1"/>
    <col min="46" max="46" width="4.421875" style="14" bestFit="1" customWidth="1"/>
    <col min="47" max="16384" width="65.7109375" style="14" customWidth="1"/>
  </cols>
  <sheetData>
    <row r="1" spans="1:45" s="2" customFormat="1" ht="49.5">
      <c r="A1" s="483" t="s">
        <v>392</v>
      </c>
      <c r="B1" s="484"/>
      <c r="C1" s="484"/>
      <c r="D1" s="484"/>
      <c r="E1" s="484"/>
      <c r="F1" s="484"/>
      <c r="G1" s="484"/>
      <c r="H1" s="484"/>
      <c r="I1" s="484"/>
      <c r="J1" s="484"/>
      <c r="K1" s="484"/>
      <c r="L1" s="484"/>
      <c r="M1" s="484"/>
      <c r="N1" s="484"/>
      <c r="O1" s="484"/>
      <c r="P1" s="484"/>
      <c r="Q1" s="484"/>
      <c r="R1" s="484"/>
      <c r="S1" s="41"/>
      <c r="T1" s="43"/>
      <c r="U1" s="41"/>
      <c r="V1" s="43"/>
      <c r="W1" s="41"/>
      <c r="X1" s="498" t="s">
        <v>225</v>
      </c>
      <c r="Y1" s="499"/>
      <c r="Z1" s="499"/>
      <c r="AA1" s="499"/>
      <c r="AB1" s="499"/>
      <c r="AC1" s="499"/>
      <c r="AD1" s="499"/>
      <c r="AE1" s="499"/>
      <c r="AF1" s="499"/>
      <c r="AG1" s="499"/>
      <c r="AH1" s="499"/>
      <c r="AI1" s="499"/>
      <c r="AJ1" s="499"/>
      <c r="AK1" s="499"/>
      <c r="AL1" s="499"/>
      <c r="AM1" s="499"/>
      <c r="AN1" s="499"/>
      <c r="AO1" s="499"/>
      <c r="AP1" s="499"/>
      <c r="AQ1" s="491"/>
      <c r="AR1" s="491"/>
      <c r="AS1" s="491"/>
    </row>
    <row r="2" spans="1:45" s="2" customFormat="1" ht="26.25">
      <c r="A2" s="485" t="s">
        <v>226</v>
      </c>
      <c r="B2" s="486"/>
      <c r="C2" s="486"/>
      <c r="D2" s="486"/>
      <c r="E2" s="486"/>
      <c r="F2" s="486"/>
      <c r="G2" s="486"/>
      <c r="H2" s="486"/>
      <c r="I2" s="486"/>
      <c r="J2" s="486"/>
      <c r="K2" s="486"/>
      <c r="L2" s="486"/>
      <c r="M2" s="486"/>
      <c r="N2" s="486"/>
      <c r="O2" s="486"/>
      <c r="P2" s="486"/>
      <c r="Q2" s="486"/>
      <c r="R2" s="486"/>
      <c r="S2" s="42"/>
      <c r="V2" s="505"/>
      <c r="W2" s="500"/>
      <c r="X2" s="500"/>
      <c r="Y2" s="506"/>
      <c r="Z2" s="507"/>
      <c r="AA2" s="507"/>
      <c r="AB2" s="507"/>
      <c r="AC2" s="507"/>
      <c r="AD2" s="507"/>
      <c r="AE2" s="27"/>
      <c r="AF2" s="25"/>
      <c r="AG2" s="34"/>
      <c r="AH2" s="35"/>
      <c r="AI2" s="36"/>
      <c r="AJ2" s="36"/>
      <c r="AK2" s="35"/>
      <c r="AL2" s="34"/>
      <c r="AM2" s="112"/>
      <c r="AN2" s="112"/>
      <c r="AO2" s="501"/>
      <c r="AP2" s="501"/>
      <c r="AQ2" s="515"/>
      <c r="AR2" s="515"/>
      <c r="AS2" s="508"/>
    </row>
    <row r="3" spans="1:45" s="2" customFormat="1" ht="27" thickBot="1">
      <c r="A3" s="487" t="s">
        <v>46</v>
      </c>
      <c r="B3" s="488"/>
      <c r="C3" s="488"/>
      <c r="D3" s="488"/>
      <c r="E3" s="488"/>
      <c r="F3" s="488"/>
      <c r="G3" s="488"/>
      <c r="H3" s="488"/>
      <c r="I3" s="488"/>
      <c r="J3" s="488"/>
      <c r="K3" s="488"/>
      <c r="L3" s="488"/>
      <c r="M3" s="488"/>
      <c r="N3" s="488"/>
      <c r="O3" s="488"/>
      <c r="P3" s="488"/>
      <c r="Q3" s="488"/>
      <c r="R3" s="488"/>
      <c r="S3" s="75"/>
      <c r="V3" s="505"/>
      <c r="W3" s="508"/>
      <c r="X3" s="500"/>
      <c r="Y3" s="506"/>
      <c r="Z3" s="507"/>
      <c r="AA3" s="507"/>
      <c r="AB3" s="507"/>
      <c r="AC3" s="507"/>
      <c r="AD3" s="507"/>
      <c r="AE3" s="76"/>
      <c r="AF3" s="77"/>
      <c r="AG3" s="31"/>
      <c r="AH3" s="32"/>
      <c r="AI3" s="31"/>
      <c r="AJ3" s="31"/>
      <c r="AK3" s="33"/>
      <c r="AL3" s="31"/>
      <c r="AM3" s="112"/>
      <c r="AN3" s="112"/>
      <c r="AO3" s="501"/>
      <c r="AP3" s="501"/>
      <c r="AQ3" s="508"/>
      <c r="AR3" s="508"/>
      <c r="AS3" s="508"/>
    </row>
    <row r="4" spans="1:45" s="2" customFormat="1" ht="32.25">
      <c r="A4" s="502" t="s">
        <v>393</v>
      </c>
      <c r="B4" s="503"/>
      <c r="C4" s="503"/>
      <c r="D4" s="503"/>
      <c r="E4" s="503"/>
      <c r="F4" s="503"/>
      <c r="G4" s="503"/>
      <c r="H4" s="503"/>
      <c r="I4" s="503"/>
      <c r="J4" s="503"/>
      <c r="K4" s="503"/>
      <c r="L4" s="503"/>
      <c r="M4" s="503"/>
      <c r="N4" s="503"/>
      <c r="O4" s="78"/>
      <c r="P4" s="79"/>
      <c r="Q4" s="79"/>
      <c r="R4" s="79"/>
      <c r="S4" s="80"/>
      <c r="V4" s="505"/>
      <c r="W4" s="500"/>
      <c r="X4" s="500"/>
      <c r="Y4" s="506"/>
      <c r="Z4" s="510"/>
      <c r="AA4" s="510"/>
      <c r="AB4" s="510"/>
      <c r="AC4" s="510"/>
      <c r="AD4" s="510"/>
      <c r="AE4" s="81"/>
      <c r="AF4" s="82"/>
      <c r="AG4" s="511"/>
      <c r="AH4" s="512"/>
      <c r="AI4" s="512"/>
      <c r="AJ4" s="512"/>
      <c r="AK4" s="512"/>
      <c r="AL4" s="83"/>
      <c r="AM4" s="112"/>
      <c r="AN4" s="112"/>
      <c r="AO4" s="501"/>
      <c r="AP4" s="508"/>
      <c r="AQ4" s="515"/>
      <c r="AR4" s="515"/>
      <c r="AS4" s="508"/>
    </row>
    <row r="5" spans="1:45" s="2" customFormat="1" ht="33" thickBot="1">
      <c r="A5" s="504"/>
      <c r="B5" s="504"/>
      <c r="C5" s="504"/>
      <c r="D5" s="504"/>
      <c r="E5" s="504"/>
      <c r="F5" s="504"/>
      <c r="G5" s="504"/>
      <c r="H5" s="504"/>
      <c r="I5" s="504"/>
      <c r="J5" s="504"/>
      <c r="K5" s="504"/>
      <c r="L5" s="504"/>
      <c r="M5" s="504"/>
      <c r="N5" s="504"/>
      <c r="O5" s="78"/>
      <c r="P5" s="79"/>
      <c r="Q5" s="79"/>
      <c r="R5" s="79"/>
      <c r="S5" s="80"/>
      <c r="V5" s="505"/>
      <c r="W5" s="500"/>
      <c r="X5" s="500"/>
      <c r="Y5" s="506"/>
      <c r="Z5" s="510"/>
      <c r="AA5" s="510"/>
      <c r="AB5" s="510"/>
      <c r="AC5" s="510"/>
      <c r="AD5" s="510"/>
      <c r="AE5" s="81"/>
      <c r="AF5" s="82"/>
      <c r="AG5" s="37"/>
      <c r="AH5" s="84"/>
      <c r="AI5" s="84"/>
      <c r="AJ5" s="84"/>
      <c r="AK5" s="84"/>
      <c r="AL5" s="84"/>
      <c r="AM5" s="112"/>
      <c r="AN5" s="112"/>
      <c r="AO5" s="508"/>
      <c r="AP5" s="508"/>
      <c r="AQ5" s="508"/>
      <c r="AR5" s="508"/>
      <c r="AS5" s="508"/>
    </row>
    <row r="6" spans="1:45" s="5" customFormat="1" ht="15.75" thickBot="1">
      <c r="A6" s="38"/>
      <c r="B6" s="46"/>
      <c r="C6" s="46"/>
      <c r="D6" s="46"/>
      <c r="E6" s="46"/>
      <c r="F6" s="46"/>
      <c r="G6" s="46"/>
      <c r="H6" s="46"/>
      <c r="I6" s="46"/>
      <c r="J6" s="493" t="s">
        <v>227</v>
      </c>
      <c r="K6" s="493"/>
      <c r="L6" s="493"/>
      <c r="M6" s="493"/>
      <c r="N6" s="493"/>
      <c r="O6" s="493"/>
      <c r="P6" s="493"/>
      <c r="Q6" s="493" t="s">
        <v>228</v>
      </c>
      <c r="R6" s="493"/>
      <c r="S6" s="493" t="s">
        <v>229</v>
      </c>
      <c r="T6" s="493"/>
      <c r="U6" s="493"/>
      <c r="V6" s="493"/>
      <c r="W6" s="493"/>
      <c r="X6" s="493"/>
      <c r="Y6" s="493"/>
      <c r="Z6" s="493"/>
      <c r="AA6" s="493"/>
      <c r="AB6" s="493"/>
      <c r="AC6" s="493"/>
      <c r="AD6" s="493"/>
      <c r="AE6" s="493" t="s">
        <v>230</v>
      </c>
      <c r="AF6" s="493"/>
      <c r="AG6" s="493" t="s">
        <v>231</v>
      </c>
      <c r="AH6" s="493"/>
      <c r="AI6" s="493" t="s">
        <v>232</v>
      </c>
      <c r="AJ6" s="493"/>
      <c r="AK6" s="493" t="s">
        <v>233</v>
      </c>
      <c r="AL6" s="493"/>
      <c r="AM6" s="46"/>
      <c r="AN6" s="46"/>
      <c r="AO6" s="493" t="s">
        <v>234</v>
      </c>
      <c r="AP6" s="493"/>
      <c r="AQ6" s="493"/>
      <c r="AR6" s="494"/>
      <c r="AS6" s="495"/>
    </row>
    <row r="7" spans="1:45" s="6" customFormat="1" ht="12.75">
      <c r="A7" s="39"/>
      <c r="B7" s="47"/>
      <c r="C7" s="47"/>
      <c r="D7" s="47"/>
      <c r="E7" s="47"/>
      <c r="F7" s="47"/>
      <c r="G7" s="47"/>
      <c r="H7" s="47"/>
      <c r="I7" s="47"/>
      <c r="J7" s="48"/>
      <c r="K7" s="48"/>
      <c r="L7" s="48"/>
      <c r="M7" s="48"/>
      <c r="N7" s="49" t="s">
        <v>15</v>
      </c>
      <c r="O7" s="48"/>
      <c r="P7" s="48" t="s">
        <v>18</v>
      </c>
      <c r="Q7" s="48" t="s">
        <v>18</v>
      </c>
      <c r="R7" s="48" t="s">
        <v>20</v>
      </c>
      <c r="S7" s="476" t="s">
        <v>2</v>
      </c>
      <c r="T7" s="477"/>
      <c r="U7" s="476" t="s">
        <v>3</v>
      </c>
      <c r="V7" s="477"/>
      <c r="W7" s="476" t="s">
        <v>4</v>
      </c>
      <c r="X7" s="477"/>
      <c r="Y7" s="509" t="s">
        <v>11</v>
      </c>
      <c r="Z7" s="509"/>
      <c r="AA7" s="509" t="s">
        <v>30</v>
      </c>
      <c r="AB7" s="509"/>
      <c r="AC7" s="509" t="s">
        <v>0</v>
      </c>
      <c r="AD7" s="509"/>
      <c r="AE7" s="509"/>
      <c r="AF7" s="509"/>
      <c r="AG7" s="514"/>
      <c r="AH7" s="514"/>
      <c r="AI7" s="509" t="s">
        <v>41</v>
      </c>
      <c r="AJ7" s="509"/>
      <c r="AK7" s="509" t="s">
        <v>44</v>
      </c>
      <c r="AL7" s="509"/>
      <c r="AM7" s="509" t="s">
        <v>50</v>
      </c>
      <c r="AN7" s="509"/>
      <c r="AO7" s="509"/>
      <c r="AP7" s="509"/>
      <c r="AQ7" s="50" t="s">
        <v>30</v>
      </c>
      <c r="AR7" s="113" t="s">
        <v>297</v>
      </c>
      <c r="AS7" s="51" t="s">
        <v>297</v>
      </c>
    </row>
    <row r="8" spans="1:45" s="6" customFormat="1" ht="13.5" thickBot="1">
      <c r="A8" s="40"/>
      <c r="B8" s="519" t="s">
        <v>279</v>
      </c>
      <c r="C8" s="520"/>
      <c r="D8" s="520"/>
      <c r="E8" s="520"/>
      <c r="F8" s="520"/>
      <c r="G8" s="520"/>
      <c r="H8" s="520"/>
      <c r="I8" s="521"/>
      <c r="J8" s="52" t="s">
        <v>64</v>
      </c>
      <c r="K8" s="52" t="s">
        <v>76</v>
      </c>
      <c r="L8" s="52" t="s">
        <v>98</v>
      </c>
      <c r="M8" s="52" t="s">
        <v>62</v>
      </c>
      <c r="N8" s="53" t="s">
        <v>16</v>
      </c>
      <c r="O8" s="54" t="s">
        <v>1</v>
      </c>
      <c r="P8" s="54" t="s">
        <v>17</v>
      </c>
      <c r="Q8" s="54" t="s">
        <v>19</v>
      </c>
      <c r="R8" s="54" t="s">
        <v>15</v>
      </c>
      <c r="S8" s="55" t="s">
        <v>7</v>
      </c>
      <c r="T8" s="56" t="s">
        <v>6</v>
      </c>
      <c r="U8" s="55" t="s">
        <v>7</v>
      </c>
      <c r="V8" s="56" t="s">
        <v>6</v>
      </c>
      <c r="W8" s="55" t="s">
        <v>7</v>
      </c>
      <c r="X8" s="56" t="s">
        <v>6</v>
      </c>
      <c r="Y8" s="55" t="s">
        <v>7</v>
      </c>
      <c r="Z8" s="56" t="s">
        <v>6</v>
      </c>
      <c r="AA8" s="56" t="s">
        <v>42</v>
      </c>
      <c r="AB8" s="55" t="s">
        <v>31</v>
      </c>
      <c r="AC8" s="55" t="s">
        <v>7</v>
      </c>
      <c r="AD8" s="57" t="s">
        <v>5</v>
      </c>
      <c r="AE8" s="55" t="s">
        <v>7</v>
      </c>
      <c r="AF8" s="56" t="s">
        <v>6</v>
      </c>
      <c r="AG8" s="58" t="s">
        <v>7</v>
      </c>
      <c r="AH8" s="59" t="s">
        <v>6</v>
      </c>
      <c r="AI8" s="57" t="s">
        <v>6</v>
      </c>
      <c r="AJ8" s="57" t="s">
        <v>6</v>
      </c>
      <c r="AK8" s="56" t="s">
        <v>6</v>
      </c>
      <c r="AL8" s="55" t="s">
        <v>31</v>
      </c>
      <c r="AM8" s="55" t="s">
        <v>7</v>
      </c>
      <c r="AN8" s="57" t="s">
        <v>5</v>
      </c>
      <c r="AO8" s="55" t="s">
        <v>7</v>
      </c>
      <c r="AP8" s="56" t="s">
        <v>6</v>
      </c>
      <c r="AQ8" s="55" t="s">
        <v>31</v>
      </c>
      <c r="AR8" s="114" t="s">
        <v>301</v>
      </c>
      <c r="AS8" s="60" t="s">
        <v>298</v>
      </c>
    </row>
    <row r="9" spans="1:45" s="9" customFormat="1" ht="12.75">
      <c r="A9" s="85"/>
      <c r="B9" s="86"/>
      <c r="C9" s="86"/>
      <c r="D9" s="86"/>
      <c r="E9" s="86"/>
      <c r="F9" s="86"/>
      <c r="G9" s="86"/>
      <c r="H9" s="86"/>
      <c r="I9" s="86"/>
      <c r="J9" s="86"/>
      <c r="K9" s="86"/>
      <c r="L9" s="86"/>
      <c r="M9" s="86"/>
      <c r="N9" s="87" t="s">
        <v>22</v>
      </c>
      <c r="O9" s="86"/>
      <c r="P9" s="86" t="s">
        <v>25</v>
      </c>
      <c r="Q9" s="88" t="s">
        <v>27</v>
      </c>
      <c r="R9" s="88" t="s">
        <v>28</v>
      </c>
      <c r="S9" s="476" t="s">
        <v>32</v>
      </c>
      <c r="T9" s="477"/>
      <c r="U9" s="476" t="s">
        <v>33</v>
      </c>
      <c r="V9" s="477"/>
      <c r="W9" s="476" t="s">
        <v>34</v>
      </c>
      <c r="X9" s="477"/>
      <c r="Y9" s="513" t="s">
        <v>43</v>
      </c>
      <c r="Z9" s="513"/>
      <c r="AA9" s="513" t="s">
        <v>36</v>
      </c>
      <c r="AB9" s="513"/>
      <c r="AC9" s="513" t="s">
        <v>401</v>
      </c>
      <c r="AD9" s="513"/>
      <c r="AE9" s="89"/>
      <c r="AF9" s="90"/>
      <c r="AG9" s="91"/>
      <c r="AH9" s="92"/>
      <c r="AI9" s="513" t="s">
        <v>40</v>
      </c>
      <c r="AJ9" s="513"/>
      <c r="AK9" s="513" t="s">
        <v>45</v>
      </c>
      <c r="AL9" s="513"/>
      <c r="AM9" s="513" t="s">
        <v>51</v>
      </c>
      <c r="AN9" s="513"/>
      <c r="AO9" s="89"/>
      <c r="AP9" s="90"/>
      <c r="AQ9" s="93" t="s">
        <v>36</v>
      </c>
      <c r="AR9" s="115" t="s">
        <v>302</v>
      </c>
      <c r="AS9" s="94" t="s">
        <v>299</v>
      </c>
    </row>
    <row r="10" spans="1:45" s="9" customFormat="1" ht="13.5" thickBot="1">
      <c r="A10" s="95"/>
      <c r="B10" s="516" t="s">
        <v>278</v>
      </c>
      <c r="C10" s="517"/>
      <c r="D10" s="517"/>
      <c r="E10" s="517"/>
      <c r="F10" s="517"/>
      <c r="G10" s="517"/>
      <c r="H10" s="517"/>
      <c r="I10" s="518"/>
      <c r="J10" s="116" t="s">
        <v>61</v>
      </c>
      <c r="K10" s="116" t="s">
        <v>75</v>
      </c>
      <c r="L10" s="116" t="s">
        <v>78</v>
      </c>
      <c r="M10" s="116" t="s">
        <v>63</v>
      </c>
      <c r="N10" s="117" t="s">
        <v>23</v>
      </c>
      <c r="O10" s="118" t="s">
        <v>24</v>
      </c>
      <c r="P10" s="118" t="s">
        <v>26</v>
      </c>
      <c r="Q10" s="119" t="s">
        <v>26</v>
      </c>
      <c r="R10" s="119" t="s">
        <v>29</v>
      </c>
      <c r="S10" s="120" t="s">
        <v>38</v>
      </c>
      <c r="T10" s="121" t="s">
        <v>35</v>
      </c>
      <c r="U10" s="120" t="s">
        <v>38</v>
      </c>
      <c r="V10" s="121" t="s">
        <v>35</v>
      </c>
      <c r="W10" s="120" t="s">
        <v>38</v>
      </c>
      <c r="X10" s="121" t="s">
        <v>35</v>
      </c>
      <c r="Y10" s="122" t="s">
        <v>38</v>
      </c>
      <c r="Z10" s="123" t="s">
        <v>35</v>
      </c>
      <c r="AA10" s="123" t="s">
        <v>35</v>
      </c>
      <c r="AB10" s="122" t="s">
        <v>37</v>
      </c>
      <c r="AC10" s="120" t="s">
        <v>38</v>
      </c>
      <c r="AD10" s="124" t="s">
        <v>39</v>
      </c>
      <c r="AE10" s="122" t="s">
        <v>38</v>
      </c>
      <c r="AF10" s="123" t="s">
        <v>35</v>
      </c>
      <c r="AG10" s="125" t="s">
        <v>38</v>
      </c>
      <c r="AH10" s="126" t="s">
        <v>35</v>
      </c>
      <c r="AI10" s="124" t="s">
        <v>35</v>
      </c>
      <c r="AJ10" s="124" t="s">
        <v>35</v>
      </c>
      <c r="AK10" s="123" t="s">
        <v>35</v>
      </c>
      <c r="AL10" s="122" t="s">
        <v>37</v>
      </c>
      <c r="AM10" s="127" t="s">
        <v>38</v>
      </c>
      <c r="AN10" s="124" t="s">
        <v>39</v>
      </c>
      <c r="AO10" s="120" t="s">
        <v>38</v>
      </c>
      <c r="AP10" s="128" t="s">
        <v>37</v>
      </c>
      <c r="AQ10" s="122" t="s">
        <v>37</v>
      </c>
      <c r="AR10" s="129" t="s">
        <v>303</v>
      </c>
      <c r="AS10" s="130" t="s">
        <v>300</v>
      </c>
    </row>
    <row r="11" spans="1:46" s="10" customFormat="1" ht="13.5" customHeight="1">
      <c r="A11" s="218">
        <v>1</v>
      </c>
      <c r="B11" s="438" t="s">
        <v>56</v>
      </c>
      <c r="C11" s="301"/>
      <c r="D11" s="394" t="s">
        <v>223</v>
      </c>
      <c r="E11" s="395">
        <v>3</v>
      </c>
      <c r="F11" s="396">
        <v>2</v>
      </c>
      <c r="G11" s="301"/>
      <c r="H11" s="397" t="s">
        <v>55</v>
      </c>
      <c r="I11" s="398"/>
      <c r="J11" s="399" t="s">
        <v>404</v>
      </c>
      <c r="K11" s="63" t="s">
        <v>217</v>
      </c>
      <c r="L11" s="402" t="s">
        <v>94</v>
      </c>
      <c r="M11" s="400" t="s">
        <v>405</v>
      </c>
      <c r="N11" s="403">
        <v>40921</v>
      </c>
      <c r="O11" s="64" t="s">
        <v>68</v>
      </c>
      <c r="P11" s="404">
        <v>101</v>
      </c>
      <c r="Q11" s="456">
        <v>197</v>
      </c>
      <c r="R11" s="457">
        <v>1</v>
      </c>
      <c r="S11" s="458">
        <v>237126</v>
      </c>
      <c r="T11" s="459">
        <v>21265</v>
      </c>
      <c r="U11" s="460">
        <v>649203</v>
      </c>
      <c r="V11" s="459">
        <v>57037</v>
      </c>
      <c r="W11" s="458">
        <v>670159</v>
      </c>
      <c r="X11" s="459">
        <v>59153</v>
      </c>
      <c r="Y11" s="434">
        <f aca="true" t="shared" si="0" ref="Y11:Y42">SUM(S11+U11+W11)</f>
        <v>1556488</v>
      </c>
      <c r="Z11" s="435">
        <f aca="true" t="shared" si="1" ref="Z11:Z42">T11+V11+X11</f>
        <v>137455</v>
      </c>
      <c r="AA11" s="420">
        <f aca="true" t="shared" si="2" ref="AA11:AA42">IF(Y11&lt;&gt;0,Z11/Q11,"")</f>
        <v>697.741116751269</v>
      </c>
      <c r="AB11" s="421">
        <f aca="true" t="shared" si="3" ref="AB11:AB42">IF(Y11&lt;&gt;0,Y11/Z11,"")</f>
        <v>11.323618638827252</v>
      </c>
      <c r="AC11" s="461"/>
      <c r="AD11" s="422">
        <f aca="true" t="shared" si="4" ref="AD11:AD42">IF(AC11&lt;&gt;0,-(AC11-Y11)/AC11,"")</f>
      </c>
      <c r="AE11" s="423"/>
      <c r="AF11" s="420"/>
      <c r="AG11" s="462"/>
      <c r="AH11" s="463"/>
      <c r="AI11" s="422"/>
      <c r="AJ11" s="422"/>
      <c r="AK11" s="420"/>
      <c r="AL11" s="421"/>
      <c r="AM11" s="424"/>
      <c r="AN11" s="422"/>
      <c r="AO11" s="464">
        <v>1556488</v>
      </c>
      <c r="AP11" s="465">
        <v>137455</v>
      </c>
      <c r="AQ11" s="425">
        <f aca="true" t="shared" si="5" ref="AQ11:AQ42">AO11/AP11</f>
        <v>11.323618638827252</v>
      </c>
      <c r="AR11" s="426">
        <v>40921</v>
      </c>
      <c r="AS11" s="332" t="s">
        <v>357</v>
      </c>
      <c r="AT11" s="62"/>
    </row>
    <row r="12" spans="1:46" s="10" customFormat="1" ht="13.5" customHeight="1">
      <c r="A12" s="219">
        <v>2</v>
      </c>
      <c r="B12" s="302"/>
      <c r="C12" s="294" t="s">
        <v>261</v>
      </c>
      <c r="D12" s="295"/>
      <c r="E12" s="295"/>
      <c r="F12" s="295"/>
      <c r="G12" s="295"/>
      <c r="H12" s="447"/>
      <c r="I12" s="244" t="s">
        <v>54</v>
      </c>
      <c r="J12" s="450" t="s">
        <v>141</v>
      </c>
      <c r="K12" s="401" t="s">
        <v>142</v>
      </c>
      <c r="L12" s="452"/>
      <c r="M12" s="452" t="s">
        <v>141</v>
      </c>
      <c r="N12" s="454">
        <v>40893</v>
      </c>
      <c r="O12" s="300" t="s">
        <v>8</v>
      </c>
      <c r="P12" s="455">
        <v>131</v>
      </c>
      <c r="Q12" s="268">
        <v>194</v>
      </c>
      <c r="R12" s="268">
        <v>5</v>
      </c>
      <c r="S12" s="289">
        <v>159401</v>
      </c>
      <c r="T12" s="290">
        <v>17260</v>
      </c>
      <c r="U12" s="289">
        <v>338383</v>
      </c>
      <c r="V12" s="290">
        <v>34816</v>
      </c>
      <c r="W12" s="289">
        <v>454211</v>
      </c>
      <c r="X12" s="290">
        <v>46413</v>
      </c>
      <c r="Y12" s="436">
        <f t="shared" si="0"/>
        <v>951995</v>
      </c>
      <c r="Z12" s="437">
        <f t="shared" si="1"/>
        <v>98489</v>
      </c>
      <c r="AA12" s="269">
        <f t="shared" si="2"/>
        <v>507.67525773195877</v>
      </c>
      <c r="AB12" s="270">
        <f t="shared" si="3"/>
        <v>9.666003310014316</v>
      </c>
      <c r="AC12" s="271">
        <v>1288800</v>
      </c>
      <c r="AD12" s="272">
        <f t="shared" si="4"/>
        <v>-0.2613322470515208</v>
      </c>
      <c r="AE12" s="273">
        <f>AG12-Y12</f>
        <v>874080</v>
      </c>
      <c r="AF12" s="269">
        <f>AH12-Z12</f>
        <v>100248</v>
      </c>
      <c r="AG12" s="325">
        <v>1826075</v>
      </c>
      <c r="AH12" s="326">
        <v>198737</v>
      </c>
      <c r="AI12" s="272">
        <f>Z12*1/AH12</f>
        <v>0.4955745533041155</v>
      </c>
      <c r="AJ12" s="272">
        <f>AF12*1/AH12</f>
        <v>0.5044254466958845</v>
      </c>
      <c r="AK12" s="269">
        <f>AH12/Q12</f>
        <v>1024.4175257731958</v>
      </c>
      <c r="AL12" s="270">
        <f>AG12/AH12</f>
        <v>9.188399744385796</v>
      </c>
      <c r="AM12" s="274">
        <v>2464903</v>
      </c>
      <c r="AN12" s="272">
        <f>IF(AM12&lt;&gt;0,-(AM12-AG12)/AM12,"")</f>
        <v>-0.25916963061021064</v>
      </c>
      <c r="AO12" s="289">
        <v>11382284</v>
      </c>
      <c r="AP12" s="290">
        <v>1257533</v>
      </c>
      <c r="AQ12" s="275">
        <f t="shared" si="5"/>
        <v>9.051280562816244</v>
      </c>
      <c r="AR12" s="293">
        <v>40921</v>
      </c>
      <c r="AS12" s="342">
        <v>1</v>
      </c>
      <c r="AT12" s="62"/>
    </row>
    <row r="13" spans="1:46" s="10" customFormat="1" ht="13.5" customHeight="1">
      <c r="A13" s="219">
        <v>3</v>
      </c>
      <c r="B13" s="302"/>
      <c r="C13" s="242"/>
      <c r="D13" s="295"/>
      <c r="E13" s="295"/>
      <c r="F13" s="295"/>
      <c r="G13" s="295"/>
      <c r="H13" s="296"/>
      <c r="I13" s="244" t="s">
        <v>54</v>
      </c>
      <c r="J13" s="449" t="s">
        <v>350</v>
      </c>
      <c r="K13" s="401" t="s">
        <v>351</v>
      </c>
      <c r="L13" s="451" t="s">
        <v>94</v>
      </c>
      <c r="M13" s="451" t="s">
        <v>350</v>
      </c>
      <c r="N13" s="318">
        <v>40914</v>
      </c>
      <c r="O13" s="300" t="s">
        <v>12</v>
      </c>
      <c r="P13" s="410">
        <v>204</v>
      </c>
      <c r="Q13" s="276">
        <v>209</v>
      </c>
      <c r="R13" s="276">
        <v>2</v>
      </c>
      <c r="S13" s="286">
        <v>190204</v>
      </c>
      <c r="T13" s="287">
        <v>18719</v>
      </c>
      <c r="U13" s="286">
        <v>345181</v>
      </c>
      <c r="V13" s="287">
        <v>33216</v>
      </c>
      <c r="W13" s="286">
        <v>373173</v>
      </c>
      <c r="X13" s="287">
        <v>36312</v>
      </c>
      <c r="Y13" s="436">
        <f t="shared" si="0"/>
        <v>908558</v>
      </c>
      <c r="Z13" s="437">
        <f t="shared" si="1"/>
        <v>88247</v>
      </c>
      <c r="AA13" s="269">
        <f t="shared" si="2"/>
        <v>422.23444976076553</v>
      </c>
      <c r="AB13" s="270">
        <f t="shared" si="3"/>
        <v>10.295624780445793</v>
      </c>
      <c r="AC13" s="277">
        <v>900440</v>
      </c>
      <c r="AD13" s="272">
        <f t="shared" si="4"/>
        <v>0.009015592377060105</v>
      </c>
      <c r="AE13" s="273">
        <f>AG13-Y13</f>
        <v>663358</v>
      </c>
      <c r="AF13" s="269">
        <f>AH13-Z13</f>
        <v>78622</v>
      </c>
      <c r="AG13" s="292">
        <v>1571916</v>
      </c>
      <c r="AH13" s="291">
        <v>166869</v>
      </c>
      <c r="AI13" s="272">
        <f>Z13*1/AH13</f>
        <v>0.5288399882542594</v>
      </c>
      <c r="AJ13" s="272">
        <f>AF13*1/AH13</f>
        <v>0.4711600117457407</v>
      </c>
      <c r="AK13" s="269">
        <f>AH13/Q13</f>
        <v>798.4162679425838</v>
      </c>
      <c r="AL13" s="270">
        <f>AG13/AH13</f>
        <v>9.420060047102817</v>
      </c>
      <c r="AM13" s="271"/>
      <c r="AN13" s="272"/>
      <c r="AO13" s="286">
        <v>2480474</v>
      </c>
      <c r="AP13" s="287">
        <v>255116</v>
      </c>
      <c r="AQ13" s="275">
        <f t="shared" si="5"/>
        <v>9.72292604148701</v>
      </c>
      <c r="AR13" s="293">
        <v>40921</v>
      </c>
      <c r="AS13" s="342">
        <v>2</v>
      </c>
      <c r="AT13" s="62"/>
    </row>
    <row r="14" spans="1:46" s="10" customFormat="1" ht="13.5" customHeight="1">
      <c r="A14" s="219">
        <v>4</v>
      </c>
      <c r="B14" s="439" t="s">
        <v>56</v>
      </c>
      <c r="C14" s="242"/>
      <c r="D14" s="295"/>
      <c r="E14" s="295"/>
      <c r="F14" s="295"/>
      <c r="G14" s="295"/>
      <c r="H14" s="447"/>
      <c r="I14" s="254"/>
      <c r="J14" s="405" t="s">
        <v>412</v>
      </c>
      <c r="K14" s="401" t="s">
        <v>93</v>
      </c>
      <c r="L14" s="453" t="s">
        <v>95</v>
      </c>
      <c r="M14" s="300" t="s">
        <v>413</v>
      </c>
      <c r="N14" s="318">
        <v>40556</v>
      </c>
      <c r="O14" s="300" t="s">
        <v>12</v>
      </c>
      <c r="P14" s="410">
        <v>85</v>
      </c>
      <c r="Q14" s="278">
        <v>84</v>
      </c>
      <c r="R14" s="278">
        <v>1</v>
      </c>
      <c r="S14" s="289">
        <v>117147</v>
      </c>
      <c r="T14" s="290">
        <v>9678</v>
      </c>
      <c r="U14" s="289">
        <v>190818</v>
      </c>
      <c r="V14" s="290">
        <v>15358</v>
      </c>
      <c r="W14" s="289">
        <v>187391</v>
      </c>
      <c r="X14" s="290">
        <v>15242</v>
      </c>
      <c r="Y14" s="436">
        <f t="shared" si="0"/>
        <v>495356</v>
      </c>
      <c r="Z14" s="437">
        <f t="shared" si="1"/>
        <v>40278</v>
      </c>
      <c r="AA14" s="269">
        <f t="shared" si="2"/>
        <v>479.5</v>
      </c>
      <c r="AB14" s="270">
        <f t="shared" si="3"/>
        <v>12.298425939718953</v>
      </c>
      <c r="AC14" s="277"/>
      <c r="AD14" s="272">
        <f t="shared" si="4"/>
      </c>
      <c r="AE14" s="273"/>
      <c r="AF14" s="269"/>
      <c r="AG14" s="292"/>
      <c r="AH14" s="291"/>
      <c r="AI14" s="272"/>
      <c r="AJ14" s="272"/>
      <c r="AK14" s="269"/>
      <c r="AL14" s="270"/>
      <c r="AM14" s="271"/>
      <c r="AN14" s="272"/>
      <c r="AO14" s="289">
        <v>495356</v>
      </c>
      <c r="AP14" s="290">
        <v>40278</v>
      </c>
      <c r="AQ14" s="275">
        <f t="shared" si="5"/>
        <v>12.298425939718953</v>
      </c>
      <c r="AR14" s="293">
        <v>40921</v>
      </c>
      <c r="AS14" s="342" t="s">
        <v>357</v>
      </c>
      <c r="AT14" s="62"/>
    </row>
    <row r="15" spans="1:46" s="10" customFormat="1" ht="13.5" customHeight="1">
      <c r="A15" s="219">
        <v>5</v>
      </c>
      <c r="B15" s="302"/>
      <c r="C15" s="241" t="s">
        <v>261</v>
      </c>
      <c r="D15" s="242"/>
      <c r="E15" s="242"/>
      <c r="F15" s="248">
        <v>2</v>
      </c>
      <c r="G15" s="249" t="s">
        <v>292</v>
      </c>
      <c r="H15" s="246"/>
      <c r="I15" s="246"/>
      <c r="J15" s="250" t="s">
        <v>222</v>
      </c>
      <c r="K15" s="65" t="s">
        <v>213</v>
      </c>
      <c r="L15" s="66" t="s">
        <v>94</v>
      </c>
      <c r="M15" s="67" t="s">
        <v>222</v>
      </c>
      <c r="N15" s="316">
        <v>40900</v>
      </c>
      <c r="O15" s="68" t="s">
        <v>12</v>
      </c>
      <c r="P15" s="411">
        <v>184</v>
      </c>
      <c r="Q15" s="276">
        <v>180</v>
      </c>
      <c r="R15" s="276">
        <v>4</v>
      </c>
      <c r="S15" s="286">
        <v>97614</v>
      </c>
      <c r="T15" s="287">
        <v>8906</v>
      </c>
      <c r="U15" s="286">
        <v>189864</v>
      </c>
      <c r="V15" s="287">
        <v>17232</v>
      </c>
      <c r="W15" s="286">
        <v>172136</v>
      </c>
      <c r="X15" s="287">
        <v>15925</v>
      </c>
      <c r="Y15" s="436">
        <f t="shared" si="0"/>
        <v>459614</v>
      </c>
      <c r="Z15" s="437">
        <f t="shared" si="1"/>
        <v>42063</v>
      </c>
      <c r="AA15" s="269">
        <f t="shared" si="2"/>
        <v>233.68333333333334</v>
      </c>
      <c r="AB15" s="270">
        <f t="shared" si="3"/>
        <v>10.926800275776811</v>
      </c>
      <c r="AC15" s="277">
        <v>646966</v>
      </c>
      <c r="AD15" s="272">
        <f t="shared" si="4"/>
        <v>-0.2895855423623498</v>
      </c>
      <c r="AE15" s="273">
        <f aca="true" t="shared" si="6" ref="AE15:AF17">AG15-Y15</f>
        <v>464683</v>
      </c>
      <c r="AF15" s="269">
        <f t="shared" si="6"/>
        <v>47839</v>
      </c>
      <c r="AG15" s="292">
        <v>924297</v>
      </c>
      <c r="AH15" s="291">
        <v>89902</v>
      </c>
      <c r="AI15" s="272">
        <f>Z15*1/AH15</f>
        <v>0.4678761317879469</v>
      </c>
      <c r="AJ15" s="272">
        <f>AF15*1/AH15</f>
        <v>0.5321238682120532</v>
      </c>
      <c r="AK15" s="269">
        <f>AH15/Q15</f>
        <v>499.4555555555556</v>
      </c>
      <c r="AL15" s="270">
        <f>AG15/AH15</f>
        <v>10.28116170941692</v>
      </c>
      <c r="AM15" s="274">
        <v>1211019</v>
      </c>
      <c r="AN15" s="272">
        <f>IF(AM15&lt;&gt;0,-(AM15-AG15)/AM15,"")</f>
        <v>-0.2367609426441699</v>
      </c>
      <c r="AO15" s="286">
        <v>5250579</v>
      </c>
      <c r="AP15" s="287">
        <v>513968</v>
      </c>
      <c r="AQ15" s="275">
        <f t="shared" si="5"/>
        <v>10.21577024250537</v>
      </c>
      <c r="AR15" s="293">
        <v>40921</v>
      </c>
      <c r="AS15" s="333">
        <v>3</v>
      </c>
      <c r="AT15" s="62"/>
    </row>
    <row r="16" spans="1:46" s="10" customFormat="1" ht="13.5" customHeight="1">
      <c r="A16" s="219">
        <v>6</v>
      </c>
      <c r="B16" s="302"/>
      <c r="C16" s="241" t="s">
        <v>261</v>
      </c>
      <c r="D16" s="242"/>
      <c r="E16" s="242"/>
      <c r="F16" s="242"/>
      <c r="G16" s="249" t="s">
        <v>292</v>
      </c>
      <c r="H16" s="243"/>
      <c r="I16" s="251"/>
      <c r="J16" s="247" t="s">
        <v>221</v>
      </c>
      <c r="K16" s="65" t="s">
        <v>96</v>
      </c>
      <c r="L16" s="68" t="s">
        <v>95</v>
      </c>
      <c r="M16" s="68" t="s">
        <v>146</v>
      </c>
      <c r="N16" s="316">
        <v>40893</v>
      </c>
      <c r="O16" s="68" t="s">
        <v>10</v>
      </c>
      <c r="P16" s="411">
        <v>133</v>
      </c>
      <c r="Q16" s="278">
        <v>129</v>
      </c>
      <c r="R16" s="278">
        <v>5</v>
      </c>
      <c r="S16" s="289">
        <v>74375</v>
      </c>
      <c r="T16" s="290">
        <v>6839</v>
      </c>
      <c r="U16" s="289">
        <v>136809</v>
      </c>
      <c r="V16" s="290">
        <v>12465</v>
      </c>
      <c r="W16" s="289">
        <v>119775</v>
      </c>
      <c r="X16" s="290">
        <v>11067</v>
      </c>
      <c r="Y16" s="436">
        <f t="shared" si="0"/>
        <v>330959</v>
      </c>
      <c r="Z16" s="437">
        <f t="shared" si="1"/>
        <v>30371</v>
      </c>
      <c r="AA16" s="269">
        <f t="shared" si="2"/>
        <v>235.43410852713177</v>
      </c>
      <c r="AB16" s="270">
        <f t="shared" si="3"/>
        <v>10.897204570149155</v>
      </c>
      <c r="AC16" s="279">
        <v>519592</v>
      </c>
      <c r="AD16" s="272">
        <f t="shared" si="4"/>
        <v>-0.3630406164837026</v>
      </c>
      <c r="AE16" s="273">
        <f t="shared" si="6"/>
        <v>435895</v>
      </c>
      <c r="AF16" s="269">
        <f t="shared" si="6"/>
        <v>43516</v>
      </c>
      <c r="AG16" s="325">
        <f>765772+1082</f>
        <v>766854</v>
      </c>
      <c r="AH16" s="326">
        <f>73798+89</f>
        <v>73887</v>
      </c>
      <c r="AI16" s="272">
        <f>Z16*1/AH16</f>
        <v>0.411046598183713</v>
      </c>
      <c r="AJ16" s="272">
        <f>AF16*1/AH16</f>
        <v>0.5889534018162871</v>
      </c>
      <c r="AK16" s="269">
        <f>AH16/Q16</f>
        <v>572.7674418604652</v>
      </c>
      <c r="AL16" s="270">
        <f>AG16/AH16</f>
        <v>10.378740509155874</v>
      </c>
      <c r="AM16" s="274">
        <v>916701</v>
      </c>
      <c r="AN16" s="272">
        <f>IF(AM16&lt;&gt;0,-(AM16-AG16)/AM16,"")</f>
        <v>-0.16346333210065223</v>
      </c>
      <c r="AO16" s="289">
        <v>6279041</v>
      </c>
      <c r="AP16" s="290">
        <v>614202</v>
      </c>
      <c r="AQ16" s="275">
        <f t="shared" si="5"/>
        <v>10.223087844064331</v>
      </c>
      <c r="AR16" s="293">
        <v>40921</v>
      </c>
      <c r="AS16" s="333">
        <v>4</v>
      </c>
      <c r="AT16" s="62"/>
    </row>
    <row r="17" spans="1:46" s="10" customFormat="1" ht="13.5" customHeight="1">
      <c r="A17" s="219">
        <v>7</v>
      </c>
      <c r="B17" s="302"/>
      <c r="C17" s="242"/>
      <c r="D17" s="242"/>
      <c r="E17" s="242"/>
      <c r="F17" s="242"/>
      <c r="G17" s="242"/>
      <c r="H17" s="246"/>
      <c r="I17" s="246"/>
      <c r="J17" s="245" t="s">
        <v>348</v>
      </c>
      <c r="K17" s="65" t="s">
        <v>126</v>
      </c>
      <c r="L17" s="70" t="s">
        <v>89</v>
      </c>
      <c r="M17" s="70" t="s">
        <v>360</v>
      </c>
      <c r="N17" s="316">
        <v>40914</v>
      </c>
      <c r="O17" s="68" t="s">
        <v>68</v>
      </c>
      <c r="P17" s="418">
        <v>66</v>
      </c>
      <c r="Q17" s="276">
        <v>116</v>
      </c>
      <c r="R17" s="276">
        <v>2</v>
      </c>
      <c r="S17" s="279">
        <v>56814</v>
      </c>
      <c r="T17" s="283">
        <v>5240</v>
      </c>
      <c r="U17" s="279">
        <v>124300.5</v>
      </c>
      <c r="V17" s="283">
        <v>11048</v>
      </c>
      <c r="W17" s="279">
        <v>133965</v>
      </c>
      <c r="X17" s="283">
        <v>11892</v>
      </c>
      <c r="Y17" s="436">
        <f t="shared" si="0"/>
        <v>315079.5</v>
      </c>
      <c r="Z17" s="437">
        <f t="shared" si="1"/>
        <v>28180</v>
      </c>
      <c r="AA17" s="269">
        <f t="shared" si="2"/>
        <v>242.93103448275863</v>
      </c>
      <c r="AB17" s="270">
        <f t="shared" si="3"/>
        <v>11.18096167494677</v>
      </c>
      <c r="AC17" s="280">
        <v>451967</v>
      </c>
      <c r="AD17" s="272">
        <f t="shared" si="4"/>
        <v>-0.3028705635588439</v>
      </c>
      <c r="AE17" s="273">
        <f t="shared" si="6"/>
        <v>368559</v>
      </c>
      <c r="AF17" s="269">
        <f t="shared" si="6"/>
        <v>36997</v>
      </c>
      <c r="AG17" s="321">
        <v>683638.5</v>
      </c>
      <c r="AH17" s="322">
        <v>65177</v>
      </c>
      <c r="AI17" s="272">
        <f>Z17*1/AH17</f>
        <v>0.4323611089801617</v>
      </c>
      <c r="AJ17" s="272">
        <f>AF17*1/AH17</f>
        <v>0.5676388910198383</v>
      </c>
      <c r="AK17" s="269">
        <f>AH17/Q17</f>
        <v>561.8706896551724</v>
      </c>
      <c r="AL17" s="270">
        <f>AG17/AH17</f>
        <v>10.48895315832272</v>
      </c>
      <c r="AM17" s="274"/>
      <c r="AN17" s="272">
        <f>IF(AM17&lt;&gt;0,-(AM17-AG17)/AM17,"")</f>
      </c>
      <c r="AO17" s="271">
        <v>998718</v>
      </c>
      <c r="AP17" s="284">
        <v>93357</v>
      </c>
      <c r="AQ17" s="275">
        <f t="shared" si="5"/>
        <v>10.697837334104566</v>
      </c>
      <c r="AR17" s="293">
        <v>40921</v>
      </c>
      <c r="AS17" s="333">
        <v>5</v>
      </c>
      <c r="AT17" s="62"/>
    </row>
    <row r="18" spans="1:46" s="10" customFormat="1" ht="13.5" customHeight="1">
      <c r="A18" s="219">
        <v>8</v>
      </c>
      <c r="B18" s="439" t="s">
        <v>56</v>
      </c>
      <c r="C18" s="241"/>
      <c r="D18" s="242"/>
      <c r="E18" s="242"/>
      <c r="F18" s="242"/>
      <c r="G18" s="242"/>
      <c r="H18" s="246"/>
      <c r="I18" s="244" t="s">
        <v>54</v>
      </c>
      <c r="J18" s="266" t="s">
        <v>402</v>
      </c>
      <c r="K18" s="68" t="s">
        <v>403</v>
      </c>
      <c r="L18" s="68"/>
      <c r="M18" s="68" t="s">
        <v>402</v>
      </c>
      <c r="N18" s="315">
        <v>40921</v>
      </c>
      <c r="O18" s="68" t="s">
        <v>52</v>
      </c>
      <c r="P18" s="411">
        <v>49</v>
      </c>
      <c r="Q18" s="278">
        <v>49</v>
      </c>
      <c r="R18" s="278">
        <v>1</v>
      </c>
      <c r="S18" s="289">
        <v>48326</v>
      </c>
      <c r="T18" s="290">
        <v>4075</v>
      </c>
      <c r="U18" s="289">
        <v>77152</v>
      </c>
      <c r="V18" s="290">
        <v>6374</v>
      </c>
      <c r="W18" s="289">
        <v>82821.5</v>
      </c>
      <c r="X18" s="290">
        <v>7051</v>
      </c>
      <c r="Y18" s="436">
        <f t="shared" si="0"/>
        <v>208299.5</v>
      </c>
      <c r="Z18" s="437">
        <f t="shared" si="1"/>
        <v>17500</v>
      </c>
      <c r="AA18" s="269">
        <f t="shared" si="2"/>
        <v>357.14285714285717</v>
      </c>
      <c r="AB18" s="270">
        <f t="shared" si="3"/>
        <v>11.902828571428572</v>
      </c>
      <c r="AC18" s="277"/>
      <c r="AD18" s="272">
        <f t="shared" si="4"/>
      </c>
      <c r="AE18" s="273"/>
      <c r="AF18" s="269"/>
      <c r="AG18" s="292"/>
      <c r="AH18" s="291"/>
      <c r="AI18" s="272"/>
      <c r="AJ18" s="272"/>
      <c r="AK18" s="269"/>
      <c r="AL18" s="270"/>
      <c r="AM18" s="271"/>
      <c r="AN18" s="272"/>
      <c r="AO18" s="429">
        <v>208299.5</v>
      </c>
      <c r="AP18" s="288">
        <v>17500</v>
      </c>
      <c r="AQ18" s="275">
        <f t="shared" si="5"/>
        <v>11.902828571428572</v>
      </c>
      <c r="AR18" s="293">
        <v>40921</v>
      </c>
      <c r="AS18" s="333" t="s">
        <v>357</v>
      </c>
      <c r="AT18" s="62"/>
    </row>
    <row r="19" spans="1:46" s="10" customFormat="1" ht="13.5" customHeight="1">
      <c r="A19" s="219">
        <v>9</v>
      </c>
      <c r="B19" s="302"/>
      <c r="C19" s="241" t="s">
        <v>261</v>
      </c>
      <c r="D19" s="252" t="s">
        <v>223</v>
      </c>
      <c r="E19" s="242"/>
      <c r="F19" s="248">
        <v>2</v>
      </c>
      <c r="G19" s="249" t="s">
        <v>292</v>
      </c>
      <c r="H19" s="253" t="s">
        <v>55</v>
      </c>
      <c r="I19" s="254"/>
      <c r="J19" s="250" t="s">
        <v>144</v>
      </c>
      <c r="K19" s="65" t="s">
        <v>126</v>
      </c>
      <c r="L19" s="69" t="s">
        <v>89</v>
      </c>
      <c r="M19" s="67" t="s">
        <v>145</v>
      </c>
      <c r="N19" s="315">
        <v>40893</v>
      </c>
      <c r="O19" s="68" t="s">
        <v>68</v>
      </c>
      <c r="P19" s="411">
        <v>131</v>
      </c>
      <c r="Q19" s="276">
        <v>134</v>
      </c>
      <c r="R19" s="276">
        <v>5</v>
      </c>
      <c r="S19" s="279">
        <v>20472</v>
      </c>
      <c r="T19" s="283">
        <v>2833</v>
      </c>
      <c r="U19" s="279">
        <v>66894</v>
      </c>
      <c r="V19" s="283">
        <v>7286</v>
      </c>
      <c r="W19" s="279">
        <v>74318</v>
      </c>
      <c r="X19" s="283">
        <v>7864</v>
      </c>
      <c r="Y19" s="436">
        <f t="shared" si="0"/>
        <v>161684</v>
      </c>
      <c r="Z19" s="437">
        <f t="shared" si="1"/>
        <v>17983</v>
      </c>
      <c r="AA19" s="269">
        <f t="shared" si="2"/>
        <v>134.20149253731344</v>
      </c>
      <c r="AB19" s="270">
        <f t="shared" si="3"/>
        <v>8.99093588389034</v>
      </c>
      <c r="AC19" s="277">
        <v>346804.25</v>
      </c>
      <c r="AD19" s="272">
        <f t="shared" si="4"/>
        <v>-0.5337888736945986</v>
      </c>
      <c r="AE19" s="273">
        <f>AG19-Y19</f>
        <v>284038</v>
      </c>
      <c r="AF19" s="269">
        <f>AH19-Z19</f>
        <v>31163</v>
      </c>
      <c r="AG19" s="321">
        <v>445722</v>
      </c>
      <c r="AH19" s="322">
        <v>49146</v>
      </c>
      <c r="AI19" s="272">
        <f>Z19*1/AH19</f>
        <v>0.36590973833068813</v>
      </c>
      <c r="AJ19" s="272">
        <f>AF19*1/AH19</f>
        <v>0.6340902616693118</v>
      </c>
      <c r="AK19" s="269">
        <f>AH19/Q19</f>
        <v>366.76119402985074</v>
      </c>
      <c r="AL19" s="270">
        <f>AG19/AH19</f>
        <v>9.06934440239287</v>
      </c>
      <c r="AM19" s="274">
        <v>530345</v>
      </c>
      <c r="AN19" s="272">
        <f>IF(AM19&lt;&gt;0,-(AM19-AG19)/AM19,"")</f>
        <v>-0.1595621717938323</v>
      </c>
      <c r="AO19" s="271">
        <v>3505952</v>
      </c>
      <c r="AP19" s="284">
        <v>380515</v>
      </c>
      <c r="AQ19" s="275">
        <f t="shared" si="5"/>
        <v>9.213702482162333</v>
      </c>
      <c r="AR19" s="293">
        <v>40921</v>
      </c>
      <c r="AS19" s="333">
        <v>7</v>
      </c>
      <c r="AT19" s="62"/>
    </row>
    <row r="20" spans="1:46" s="10" customFormat="1" ht="13.5" customHeight="1">
      <c r="A20" s="219">
        <v>10</v>
      </c>
      <c r="B20" s="439" t="s">
        <v>56</v>
      </c>
      <c r="C20" s="258"/>
      <c r="D20" s="258"/>
      <c r="E20" s="258"/>
      <c r="F20" s="242"/>
      <c r="G20" s="258"/>
      <c r="H20" s="246"/>
      <c r="I20" s="254"/>
      <c r="J20" s="263" t="s">
        <v>414</v>
      </c>
      <c r="K20" s="65" t="s">
        <v>417</v>
      </c>
      <c r="L20" s="68" t="s">
        <v>415</v>
      </c>
      <c r="M20" s="68" t="s">
        <v>416</v>
      </c>
      <c r="N20" s="315">
        <v>40921</v>
      </c>
      <c r="O20" s="68" t="s">
        <v>388</v>
      </c>
      <c r="P20" s="411">
        <v>30</v>
      </c>
      <c r="Q20" s="276">
        <v>30</v>
      </c>
      <c r="R20" s="276">
        <v>1</v>
      </c>
      <c r="S20" s="430">
        <v>27265</v>
      </c>
      <c r="T20" s="433">
        <v>1838</v>
      </c>
      <c r="U20" s="430">
        <v>47603</v>
      </c>
      <c r="V20" s="433">
        <v>3201</v>
      </c>
      <c r="W20" s="430">
        <v>55501</v>
      </c>
      <c r="X20" s="433">
        <v>3682</v>
      </c>
      <c r="Y20" s="436">
        <f t="shared" si="0"/>
        <v>130369</v>
      </c>
      <c r="Z20" s="437">
        <f t="shared" si="1"/>
        <v>8721</v>
      </c>
      <c r="AA20" s="269">
        <f t="shared" si="2"/>
        <v>290.7</v>
      </c>
      <c r="AB20" s="270">
        <f t="shared" si="3"/>
        <v>14.94885907579406</v>
      </c>
      <c r="AC20" s="279"/>
      <c r="AD20" s="272">
        <f t="shared" si="4"/>
      </c>
      <c r="AE20" s="273"/>
      <c r="AF20" s="269"/>
      <c r="AG20" s="329"/>
      <c r="AH20" s="330"/>
      <c r="AI20" s="272"/>
      <c r="AJ20" s="272"/>
      <c r="AK20" s="269"/>
      <c r="AL20" s="270"/>
      <c r="AM20" s="274"/>
      <c r="AN20" s="272"/>
      <c r="AO20" s="432">
        <v>130369</v>
      </c>
      <c r="AP20" s="427">
        <v>8721</v>
      </c>
      <c r="AQ20" s="275">
        <f t="shared" si="5"/>
        <v>14.94885907579406</v>
      </c>
      <c r="AR20" s="293">
        <v>40921</v>
      </c>
      <c r="AS20" s="333" t="s">
        <v>357</v>
      </c>
      <c r="AT20" s="62"/>
    </row>
    <row r="21" spans="1:46" s="10" customFormat="1" ht="13.5" customHeight="1">
      <c r="A21" s="219">
        <v>11</v>
      </c>
      <c r="B21" s="302"/>
      <c r="C21" s="242"/>
      <c r="D21" s="257"/>
      <c r="E21" s="257"/>
      <c r="F21" s="242"/>
      <c r="G21" s="257"/>
      <c r="H21" s="246"/>
      <c r="I21" s="244" t="s">
        <v>54</v>
      </c>
      <c r="J21" s="245" t="s">
        <v>340</v>
      </c>
      <c r="K21" s="70" t="s">
        <v>342</v>
      </c>
      <c r="L21" s="65" t="s">
        <v>138</v>
      </c>
      <c r="M21" s="70" t="s">
        <v>340</v>
      </c>
      <c r="N21" s="315">
        <v>40914</v>
      </c>
      <c r="O21" s="68" t="s">
        <v>53</v>
      </c>
      <c r="P21" s="415">
        <v>97</v>
      </c>
      <c r="Q21" s="285">
        <v>97</v>
      </c>
      <c r="R21" s="285">
        <v>2</v>
      </c>
      <c r="S21" s="286">
        <v>21210.5</v>
      </c>
      <c r="T21" s="287">
        <v>2679</v>
      </c>
      <c r="U21" s="286">
        <v>47505.5</v>
      </c>
      <c r="V21" s="287">
        <v>5486</v>
      </c>
      <c r="W21" s="286">
        <v>49743.5</v>
      </c>
      <c r="X21" s="287">
        <v>5856</v>
      </c>
      <c r="Y21" s="436">
        <f t="shared" si="0"/>
        <v>118459.5</v>
      </c>
      <c r="Z21" s="437">
        <f t="shared" si="1"/>
        <v>14021</v>
      </c>
      <c r="AA21" s="269">
        <f t="shared" si="2"/>
        <v>144.5463917525773</v>
      </c>
      <c r="AB21" s="270">
        <f t="shared" si="3"/>
        <v>8.448719777476642</v>
      </c>
      <c r="AC21" s="277">
        <v>132806.5</v>
      </c>
      <c r="AD21" s="272">
        <f t="shared" si="4"/>
        <v>-0.10802935097303219</v>
      </c>
      <c r="AE21" s="273">
        <f aca="true" t="shared" si="7" ref="AE21:AF25">AG21-Y21</f>
        <v>98060.5</v>
      </c>
      <c r="AF21" s="269">
        <f t="shared" si="7"/>
        <v>12810</v>
      </c>
      <c r="AG21" s="292">
        <v>216520</v>
      </c>
      <c r="AH21" s="291">
        <v>26831</v>
      </c>
      <c r="AI21" s="272">
        <f>Z21*1/AH21</f>
        <v>0.5225671797547613</v>
      </c>
      <c r="AJ21" s="272">
        <f>AF21*1/AH21</f>
        <v>0.4774328202452387</v>
      </c>
      <c r="AK21" s="269">
        <f>AH21/Q21</f>
        <v>276.6082474226804</v>
      </c>
      <c r="AL21" s="270">
        <f>AG21/AH21</f>
        <v>8.069770042115463</v>
      </c>
      <c r="AM21" s="271"/>
      <c r="AN21" s="272">
        <f>IF(AM21&lt;&gt;0,-(AM21-AG21)/AM21,"")</f>
      </c>
      <c r="AO21" s="286">
        <v>334979.5</v>
      </c>
      <c r="AP21" s="287">
        <v>40852</v>
      </c>
      <c r="AQ21" s="275">
        <f t="shared" si="5"/>
        <v>8.19983109762068</v>
      </c>
      <c r="AR21" s="293">
        <v>40921</v>
      </c>
      <c r="AS21" s="333">
        <v>11</v>
      </c>
      <c r="AT21" s="62"/>
    </row>
    <row r="22" spans="1:46" s="10" customFormat="1" ht="13.5" customHeight="1">
      <c r="A22" s="219">
        <v>12</v>
      </c>
      <c r="B22" s="302"/>
      <c r="C22" s="241" t="s">
        <v>261</v>
      </c>
      <c r="D22" s="242"/>
      <c r="E22" s="242"/>
      <c r="F22" s="242"/>
      <c r="G22" s="255"/>
      <c r="H22" s="246"/>
      <c r="I22" s="244" t="s">
        <v>54</v>
      </c>
      <c r="J22" s="250" t="s">
        <v>151</v>
      </c>
      <c r="K22" s="65" t="s">
        <v>218</v>
      </c>
      <c r="L22" s="69" t="s">
        <v>89</v>
      </c>
      <c r="M22" s="67" t="s">
        <v>151</v>
      </c>
      <c r="N22" s="315">
        <v>40900</v>
      </c>
      <c r="O22" s="68" t="s">
        <v>68</v>
      </c>
      <c r="P22" s="411">
        <v>197</v>
      </c>
      <c r="Q22" s="276">
        <v>171</v>
      </c>
      <c r="R22" s="276">
        <v>4</v>
      </c>
      <c r="S22" s="279">
        <v>21260</v>
      </c>
      <c r="T22" s="283">
        <v>3015</v>
      </c>
      <c r="U22" s="279">
        <v>45623</v>
      </c>
      <c r="V22" s="283">
        <v>5901</v>
      </c>
      <c r="W22" s="279">
        <v>48005</v>
      </c>
      <c r="X22" s="283">
        <v>6202</v>
      </c>
      <c r="Y22" s="436">
        <f t="shared" si="0"/>
        <v>114888</v>
      </c>
      <c r="Z22" s="437">
        <f t="shared" si="1"/>
        <v>15118</v>
      </c>
      <c r="AA22" s="269">
        <f t="shared" si="2"/>
        <v>88.4093567251462</v>
      </c>
      <c r="AB22" s="270">
        <f t="shared" si="3"/>
        <v>7.599417912422278</v>
      </c>
      <c r="AC22" s="277">
        <v>301527</v>
      </c>
      <c r="AD22" s="272">
        <f t="shared" si="4"/>
        <v>-0.6189793948800605</v>
      </c>
      <c r="AE22" s="273">
        <f t="shared" si="7"/>
        <v>339840.5</v>
      </c>
      <c r="AF22" s="269">
        <f t="shared" si="7"/>
        <v>35490</v>
      </c>
      <c r="AG22" s="321">
        <v>454728.5</v>
      </c>
      <c r="AH22" s="322">
        <v>50608</v>
      </c>
      <c r="AI22" s="272">
        <f>Z22*1/AH22</f>
        <v>0.29872747391716725</v>
      </c>
      <c r="AJ22" s="272">
        <f>AF22*1/AH22</f>
        <v>0.7012725260828327</v>
      </c>
      <c r="AK22" s="269">
        <f>AH22/Q22</f>
        <v>295.953216374269</v>
      </c>
      <c r="AL22" s="270">
        <f>AG22/AH22</f>
        <v>8.985308646854252</v>
      </c>
      <c r="AM22" s="274">
        <v>656291</v>
      </c>
      <c r="AN22" s="272">
        <f>IF(AM22&lt;&gt;0,-(AM22-AG22)/AM22,"")</f>
        <v>-0.3071236692259988</v>
      </c>
      <c r="AO22" s="271">
        <v>2212464.5</v>
      </c>
      <c r="AP22" s="284">
        <v>245620</v>
      </c>
      <c r="AQ22" s="275">
        <f t="shared" si="5"/>
        <v>9.007672420812638</v>
      </c>
      <c r="AR22" s="293">
        <v>40921</v>
      </c>
      <c r="AS22" s="333">
        <v>6</v>
      </c>
      <c r="AT22" s="62"/>
    </row>
    <row r="23" spans="1:46" s="10" customFormat="1" ht="13.5" customHeight="1">
      <c r="A23" s="219">
        <v>13</v>
      </c>
      <c r="B23" s="302"/>
      <c r="C23" s="242"/>
      <c r="D23" s="252" t="s">
        <v>223</v>
      </c>
      <c r="E23" s="242"/>
      <c r="F23" s="242"/>
      <c r="G23" s="242"/>
      <c r="H23" s="246"/>
      <c r="I23" s="246"/>
      <c r="J23" s="245" t="s">
        <v>347</v>
      </c>
      <c r="K23" s="65" t="s">
        <v>126</v>
      </c>
      <c r="L23" s="70" t="s">
        <v>89</v>
      </c>
      <c r="M23" s="70" t="s">
        <v>359</v>
      </c>
      <c r="N23" s="316">
        <v>40914</v>
      </c>
      <c r="O23" s="68" t="s">
        <v>68</v>
      </c>
      <c r="P23" s="418">
        <v>56</v>
      </c>
      <c r="Q23" s="276">
        <v>56</v>
      </c>
      <c r="R23" s="276">
        <v>2</v>
      </c>
      <c r="S23" s="279">
        <v>14799</v>
      </c>
      <c r="T23" s="283">
        <v>1473</v>
      </c>
      <c r="U23" s="279">
        <v>51985</v>
      </c>
      <c r="V23" s="283">
        <v>4767</v>
      </c>
      <c r="W23" s="279">
        <v>46701.5</v>
      </c>
      <c r="X23" s="283">
        <v>4367</v>
      </c>
      <c r="Y23" s="436">
        <f t="shared" si="0"/>
        <v>113485.5</v>
      </c>
      <c r="Z23" s="437">
        <f t="shared" si="1"/>
        <v>10607</v>
      </c>
      <c r="AA23" s="269">
        <f t="shared" si="2"/>
        <v>189.41071428571428</v>
      </c>
      <c r="AB23" s="270">
        <f t="shared" si="3"/>
        <v>10.699113792778354</v>
      </c>
      <c r="AC23" s="280">
        <v>180690.5</v>
      </c>
      <c r="AD23" s="272">
        <f t="shared" si="4"/>
        <v>-0.37193432969635926</v>
      </c>
      <c r="AE23" s="273">
        <f t="shared" si="7"/>
        <v>99306.5</v>
      </c>
      <c r="AF23" s="269">
        <f t="shared" si="7"/>
        <v>9335</v>
      </c>
      <c r="AG23" s="321">
        <v>212792</v>
      </c>
      <c r="AH23" s="322">
        <v>19942</v>
      </c>
      <c r="AI23" s="272">
        <f>Z23*1/AH23</f>
        <v>0.5318924882158259</v>
      </c>
      <c r="AJ23" s="272">
        <f>AF23*1/AH23</f>
        <v>0.4681075117841741</v>
      </c>
      <c r="AK23" s="269">
        <f>AH23/Q23</f>
        <v>356.10714285714283</v>
      </c>
      <c r="AL23" s="270">
        <f>AG23/AH23</f>
        <v>10.670544579279913</v>
      </c>
      <c r="AM23" s="274"/>
      <c r="AN23" s="272">
        <f>IF(AM23&lt;&gt;0,-(AM23-AG23)/AM23,"")</f>
      </c>
      <c r="AO23" s="271">
        <v>326277.5</v>
      </c>
      <c r="AP23" s="284">
        <v>30549</v>
      </c>
      <c r="AQ23" s="275">
        <f t="shared" si="5"/>
        <v>10.680464172313332</v>
      </c>
      <c r="AR23" s="293">
        <v>40921</v>
      </c>
      <c r="AS23" s="333">
        <v>12</v>
      </c>
      <c r="AT23" s="62"/>
    </row>
    <row r="24" spans="1:46" s="10" customFormat="1" ht="13.5" customHeight="1">
      <c r="A24" s="219">
        <v>14</v>
      </c>
      <c r="B24" s="302"/>
      <c r="C24" s="242"/>
      <c r="D24" s="242"/>
      <c r="E24" s="242"/>
      <c r="F24" s="242"/>
      <c r="G24" s="242"/>
      <c r="H24" s="246"/>
      <c r="I24" s="246"/>
      <c r="J24" s="245" t="s">
        <v>344</v>
      </c>
      <c r="K24" s="65" t="s">
        <v>345</v>
      </c>
      <c r="L24" s="70" t="s">
        <v>189</v>
      </c>
      <c r="M24" s="70" t="s">
        <v>346</v>
      </c>
      <c r="N24" s="316">
        <v>40914</v>
      </c>
      <c r="O24" s="68" t="s">
        <v>8</v>
      </c>
      <c r="P24" s="416">
        <v>36</v>
      </c>
      <c r="Q24" s="268">
        <v>36</v>
      </c>
      <c r="R24" s="268">
        <v>2</v>
      </c>
      <c r="S24" s="289">
        <v>24430</v>
      </c>
      <c r="T24" s="290">
        <v>1874</v>
      </c>
      <c r="U24" s="289">
        <v>39845</v>
      </c>
      <c r="V24" s="290">
        <v>3061</v>
      </c>
      <c r="W24" s="289">
        <v>34352</v>
      </c>
      <c r="X24" s="290">
        <v>2622</v>
      </c>
      <c r="Y24" s="436">
        <f t="shared" si="0"/>
        <v>98627</v>
      </c>
      <c r="Z24" s="437">
        <f t="shared" si="1"/>
        <v>7557</v>
      </c>
      <c r="AA24" s="269">
        <f t="shared" si="2"/>
        <v>209.91666666666666</v>
      </c>
      <c r="AB24" s="270">
        <f t="shared" si="3"/>
        <v>13.051078470292444</v>
      </c>
      <c r="AC24" s="280">
        <v>185169</v>
      </c>
      <c r="AD24" s="272">
        <f t="shared" si="4"/>
        <v>-0.4673676479324293</v>
      </c>
      <c r="AE24" s="273">
        <f t="shared" si="7"/>
        <v>175251</v>
      </c>
      <c r="AF24" s="269">
        <f t="shared" si="7"/>
        <v>14367</v>
      </c>
      <c r="AG24" s="327">
        <v>273878</v>
      </c>
      <c r="AH24" s="328">
        <v>21924</v>
      </c>
      <c r="AI24" s="272">
        <f>Z24*1/AH24</f>
        <v>0.34469074986316367</v>
      </c>
      <c r="AJ24" s="272">
        <f>AF24*1/AH24</f>
        <v>0.6553092501368364</v>
      </c>
      <c r="AK24" s="269">
        <f>AH24/Q24</f>
        <v>609</v>
      </c>
      <c r="AL24" s="270">
        <f>AG24/AH24</f>
        <v>12.492154716292648</v>
      </c>
      <c r="AM24" s="274"/>
      <c r="AN24" s="272">
        <f>IF(AM24&lt;&gt;0,-(AM24-AG24)/AM24,"")</f>
      </c>
      <c r="AO24" s="289">
        <v>372505</v>
      </c>
      <c r="AP24" s="290">
        <v>29481</v>
      </c>
      <c r="AQ24" s="275">
        <f t="shared" si="5"/>
        <v>12.635426206709406</v>
      </c>
      <c r="AR24" s="293">
        <v>40921</v>
      </c>
      <c r="AS24" s="333">
        <v>8</v>
      </c>
      <c r="AT24" s="62"/>
    </row>
    <row r="25" spans="1:46" s="10" customFormat="1" ht="13.5" customHeight="1">
      <c r="A25" s="219">
        <v>15</v>
      </c>
      <c r="B25" s="302"/>
      <c r="C25" s="241" t="s">
        <v>261</v>
      </c>
      <c r="D25" s="258"/>
      <c r="E25" s="258"/>
      <c r="F25" s="242"/>
      <c r="G25" s="258"/>
      <c r="H25" s="259"/>
      <c r="I25" s="244" t="s">
        <v>54</v>
      </c>
      <c r="J25" s="250" t="s">
        <v>107</v>
      </c>
      <c r="K25" s="67" t="s">
        <v>123</v>
      </c>
      <c r="L25" s="69"/>
      <c r="M25" s="67" t="s">
        <v>107</v>
      </c>
      <c r="N25" s="315">
        <v>40879</v>
      </c>
      <c r="O25" s="68" t="s">
        <v>68</v>
      </c>
      <c r="P25" s="411">
        <v>202</v>
      </c>
      <c r="Q25" s="276">
        <v>77</v>
      </c>
      <c r="R25" s="276">
        <v>7</v>
      </c>
      <c r="S25" s="279">
        <v>12432.5</v>
      </c>
      <c r="T25" s="283">
        <v>2036</v>
      </c>
      <c r="U25" s="279">
        <v>19470.5</v>
      </c>
      <c r="V25" s="283">
        <v>2829</v>
      </c>
      <c r="W25" s="279">
        <v>26327.5</v>
      </c>
      <c r="X25" s="283">
        <v>3729</v>
      </c>
      <c r="Y25" s="436">
        <f t="shared" si="0"/>
        <v>58230.5</v>
      </c>
      <c r="Z25" s="437">
        <f t="shared" si="1"/>
        <v>8594</v>
      </c>
      <c r="AA25" s="269">
        <f t="shared" si="2"/>
        <v>111.6103896103896</v>
      </c>
      <c r="AB25" s="270">
        <f t="shared" si="3"/>
        <v>6.77571561554573</v>
      </c>
      <c r="AC25" s="277">
        <v>87403</v>
      </c>
      <c r="AD25" s="272">
        <f t="shared" si="4"/>
        <v>-0.33377000789446587</v>
      </c>
      <c r="AE25" s="273">
        <f t="shared" si="7"/>
        <v>73128</v>
      </c>
      <c r="AF25" s="269">
        <f t="shared" si="7"/>
        <v>10522</v>
      </c>
      <c r="AG25" s="321">
        <v>131358.5</v>
      </c>
      <c r="AH25" s="322">
        <v>19116</v>
      </c>
      <c r="AI25" s="272">
        <f>Z25*1/AH25</f>
        <v>0.4495710399665202</v>
      </c>
      <c r="AJ25" s="272">
        <f>AF25*1/AH25</f>
        <v>0.5504289600334799</v>
      </c>
      <c r="AK25" s="269">
        <f>AH25/Q25</f>
        <v>248.25974025974025</v>
      </c>
      <c r="AL25" s="270">
        <f>AG25/AH25</f>
        <v>6.871652019250889</v>
      </c>
      <c r="AM25" s="274">
        <v>299977</v>
      </c>
      <c r="AN25" s="272">
        <f>IF(AM25&lt;&gt;0,-(AM25-AG25)/AM25,"")</f>
        <v>-0.562104761365038</v>
      </c>
      <c r="AO25" s="271">
        <v>4031853</v>
      </c>
      <c r="AP25" s="284">
        <v>474983</v>
      </c>
      <c r="AQ25" s="275">
        <f t="shared" si="5"/>
        <v>8.488415374866047</v>
      </c>
      <c r="AR25" s="293">
        <v>40921</v>
      </c>
      <c r="AS25" s="333">
        <v>13</v>
      </c>
      <c r="AT25" s="62"/>
    </row>
    <row r="26" spans="1:46" s="10" customFormat="1" ht="13.5" customHeight="1">
      <c r="A26" s="219">
        <v>16</v>
      </c>
      <c r="B26" s="439" t="s">
        <v>56</v>
      </c>
      <c r="C26" s="242"/>
      <c r="D26" s="258"/>
      <c r="E26" s="258"/>
      <c r="F26" s="242"/>
      <c r="G26" s="258"/>
      <c r="H26" s="246"/>
      <c r="I26" s="254"/>
      <c r="J26" s="263" t="s">
        <v>395</v>
      </c>
      <c r="K26" s="65" t="s">
        <v>397</v>
      </c>
      <c r="L26" s="68" t="s">
        <v>260</v>
      </c>
      <c r="M26" s="68" t="s">
        <v>396</v>
      </c>
      <c r="N26" s="315">
        <v>40921</v>
      </c>
      <c r="O26" s="68" t="s">
        <v>332</v>
      </c>
      <c r="P26" s="411">
        <v>16</v>
      </c>
      <c r="Q26" s="276">
        <v>16</v>
      </c>
      <c r="R26" s="276">
        <v>1</v>
      </c>
      <c r="S26" s="271">
        <v>8561</v>
      </c>
      <c r="T26" s="288">
        <v>642</v>
      </c>
      <c r="U26" s="271">
        <v>14528</v>
      </c>
      <c r="V26" s="288">
        <v>1150</v>
      </c>
      <c r="W26" s="271">
        <v>14916.5</v>
      </c>
      <c r="X26" s="288">
        <v>1065</v>
      </c>
      <c r="Y26" s="436">
        <f t="shared" si="0"/>
        <v>38005.5</v>
      </c>
      <c r="Z26" s="437">
        <f t="shared" si="1"/>
        <v>2857</v>
      </c>
      <c r="AA26" s="269">
        <f t="shared" si="2"/>
        <v>178.5625</v>
      </c>
      <c r="AB26" s="270">
        <f t="shared" si="3"/>
        <v>13.302590129506475</v>
      </c>
      <c r="AC26" s="279"/>
      <c r="AD26" s="272">
        <f t="shared" si="4"/>
      </c>
      <c r="AE26" s="273"/>
      <c r="AF26" s="269"/>
      <c r="AG26" s="329"/>
      <c r="AH26" s="330"/>
      <c r="AI26" s="272"/>
      <c r="AJ26" s="272"/>
      <c r="AK26" s="269"/>
      <c r="AL26" s="270"/>
      <c r="AM26" s="274"/>
      <c r="AN26" s="272"/>
      <c r="AO26" s="271">
        <v>38005.5</v>
      </c>
      <c r="AP26" s="288">
        <v>2857</v>
      </c>
      <c r="AQ26" s="275">
        <f t="shared" si="5"/>
        <v>13.302590129506475</v>
      </c>
      <c r="AR26" s="293">
        <v>40921</v>
      </c>
      <c r="AS26" s="333" t="s">
        <v>357</v>
      </c>
      <c r="AT26" s="62"/>
    </row>
    <row r="27" spans="1:46" s="10" customFormat="1" ht="13.5" customHeight="1">
      <c r="A27" s="219">
        <v>17</v>
      </c>
      <c r="B27" s="302"/>
      <c r="C27" s="241" t="s">
        <v>261</v>
      </c>
      <c r="D27" s="258"/>
      <c r="E27" s="258"/>
      <c r="F27" s="242"/>
      <c r="G27" s="249" t="s">
        <v>292</v>
      </c>
      <c r="H27" s="254"/>
      <c r="I27" s="244" t="s">
        <v>54</v>
      </c>
      <c r="J27" s="260" t="s">
        <v>110</v>
      </c>
      <c r="K27" s="65" t="s">
        <v>113</v>
      </c>
      <c r="L27" s="65"/>
      <c r="M27" s="65" t="s">
        <v>110</v>
      </c>
      <c r="N27" s="315">
        <v>40879</v>
      </c>
      <c r="O27" s="68" t="s">
        <v>53</v>
      </c>
      <c r="P27" s="411">
        <v>135</v>
      </c>
      <c r="Q27" s="285">
        <v>46</v>
      </c>
      <c r="R27" s="285">
        <v>7</v>
      </c>
      <c r="S27" s="286">
        <v>7814.5</v>
      </c>
      <c r="T27" s="287">
        <v>1205</v>
      </c>
      <c r="U27" s="286">
        <v>15037.5</v>
      </c>
      <c r="V27" s="287">
        <v>2295</v>
      </c>
      <c r="W27" s="286">
        <v>14222</v>
      </c>
      <c r="X27" s="287">
        <v>2020</v>
      </c>
      <c r="Y27" s="436">
        <f t="shared" si="0"/>
        <v>37074</v>
      </c>
      <c r="Z27" s="437">
        <f t="shared" si="1"/>
        <v>5520</v>
      </c>
      <c r="AA27" s="269">
        <f t="shared" si="2"/>
        <v>120</v>
      </c>
      <c r="AB27" s="270">
        <f t="shared" si="3"/>
        <v>6.716304347826087</v>
      </c>
      <c r="AC27" s="277">
        <v>49561</v>
      </c>
      <c r="AD27" s="272">
        <f t="shared" si="4"/>
        <v>-0.2519521397873328</v>
      </c>
      <c r="AE27" s="273">
        <f aca="true" t="shared" si="8" ref="AE27:AE44">AG27-Y27</f>
        <v>36267.5</v>
      </c>
      <c r="AF27" s="269">
        <f aca="true" t="shared" si="9" ref="AF27:AF44">AH27-Z27</f>
        <v>4782</v>
      </c>
      <c r="AG27" s="292">
        <v>73341.5</v>
      </c>
      <c r="AH27" s="291">
        <v>10302</v>
      </c>
      <c r="AI27" s="272">
        <f aca="true" t="shared" si="10" ref="AI27:AI44">Z27*1/AH27</f>
        <v>0.535818287711124</v>
      </c>
      <c r="AJ27" s="272">
        <f aca="true" t="shared" si="11" ref="AJ27:AJ44">AF27*1/AH27</f>
        <v>0.46418171228887595</v>
      </c>
      <c r="AK27" s="269">
        <f aca="true" t="shared" si="12" ref="AK27:AK44">AH27/Q27</f>
        <v>223.95652173913044</v>
      </c>
      <c r="AL27" s="270">
        <f aca="true" t="shared" si="13" ref="AL27:AL44">AG27/AH27</f>
        <v>7.119151621044457</v>
      </c>
      <c r="AM27" s="271">
        <v>197271.5</v>
      </c>
      <c r="AN27" s="272">
        <f aca="true" t="shared" si="14" ref="AN27:AN44">IF(AM27&lt;&gt;0,-(AM27-AG27)/AM27,"")</f>
        <v>-0.6282204981459562</v>
      </c>
      <c r="AO27" s="286">
        <v>4297362.5</v>
      </c>
      <c r="AP27" s="287">
        <v>497874</v>
      </c>
      <c r="AQ27" s="275">
        <f t="shared" si="5"/>
        <v>8.631425822597686</v>
      </c>
      <c r="AR27" s="293">
        <v>40921</v>
      </c>
      <c r="AS27" s="333">
        <v>16</v>
      </c>
      <c r="AT27" s="62"/>
    </row>
    <row r="28" spans="1:46" s="10" customFormat="1" ht="13.5" customHeight="1">
      <c r="A28" s="219">
        <v>18</v>
      </c>
      <c r="B28" s="302"/>
      <c r="C28" s="241" t="s">
        <v>261</v>
      </c>
      <c r="D28" s="242"/>
      <c r="E28" s="242"/>
      <c r="F28" s="242"/>
      <c r="G28" s="242"/>
      <c r="H28" s="243"/>
      <c r="I28" s="244" t="s">
        <v>54</v>
      </c>
      <c r="J28" s="247" t="s">
        <v>104</v>
      </c>
      <c r="K28" s="65" t="s">
        <v>105</v>
      </c>
      <c r="L28" s="68"/>
      <c r="M28" s="68" t="s">
        <v>104</v>
      </c>
      <c r="N28" s="316">
        <v>40872</v>
      </c>
      <c r="O28" s="68" t="s">
        <v>10</v>
      </c>
      <c r="P28" s="411">
        <v>277</v>
      </c>
      <c r="Q28" s="278">
        <v>35</v>
      </c>
      <c r="R28" s="278">
        <v>8</v>
      </c>
      <c r="S28" s="289">
        <v>7098</v>
      </c>
      <c r="T28" s="290">
        <v>778</v>
      </c>
      <c r="U28" s="289">
        <v>14492</v>
      </c>
      <c r="V28" s="290">
        <v>1598</v>
      </c>
      <c r="W28" s="289">
        <v>14820</v>
      </c>
      <c r="X28" s="290">
        <v>1699</v>
      </c>
      <c r="Y28" s="436">
        <f t="shared" si="0"/>
        <v>36410</v>
      </c>
      <c r="Z28" s="437">
        <f t="shared" si="1"/>
        <v>4075</v>
      </c>
      <c r="AA28" s="269">
        <f t="shared" si="2"/>
        <v>116.42857142857143</v>
      </c>
      <c r="AB28" s="270">
        <f t="shared" si="3"/>
        <v>8.934969325153375</v>
      </c>
      <c r="AC28" s="279">
        <v>82490</v>
      </c>
      <c r="AD28" s="272">
        <f t="shared" si="4"/>
        <v>-0.5586131652321493</v>
      </c>
      <c r="AE28" s="273">
        <f t="shared" si="8"/>
        <v>93799</v>
      </c>
      <c r="AF28" s="269">
        <f t="shared" si="9"/>
        <v>11593</v>
      </c>
      <c r="AG28" s="325">
        <f>129529+680</f>
        <v>130209</v>
      </c>
      <c r="AH28" s="326">
        <f>15613+55</f>
        <v>15668</v>
      </c>
      <c r="AI28" s="272">
        <f t="shared" si="10"/>
        <v>0.2600842481490937</v>
      </c>
      <c r="AJ28" s="272">
        <f t="shared" si="11"/>
        <v>0.7399157518509063</v>
      </c>
      <c r="AK28" s="269">
        <f t="shared" si="12"/>
        <v>447.65714285714284</v>
      </c>
      <c r="AL28" s="270">
        <f t="shared" si="13"/>
        <v>8.310505488894561</v>
      </c>
      <c r="AM28" s="274">
        <v>441941</v>
      </c>
      <c r="AN28" s="272">
        <f t="shared" si="14"/>
        <v>-0.7053701738467352</v>
      </c>
      <c r="AO28" s="289">
        <v>10863913</v>
      </c>
      <c r="AP28" s="290">
        <v>1159423</v>
      </c>
      <c r="AQ28" s="275">
        <f t="shared" si="5"/>
        <v>9.370103059884098</v>
      </c>
      <c r="AR28" s="293">
        <v>40921</v>
      </c>
      <c r="AS28" s="333">
        <v>14</v>
      </c>
      <c r="AT28" s="62"/>
    </row>
    <row r="29" spans="1:46" s="10" customFormat="1" ht="13.5" customHeight="1">
      <c r="A29" s="219">
        <v>19</v>
      </c>
      <c r="B29" s="302"/>
      <c r="C29" s="242"/>
      <c r="D29" s="242"/>
      <c r="E29" s="242"/>
      <c r="F29" s="242"/>
      <c r="G29" s="242"/>
      <c r="H29" s="246"/>
      <c r="I29" s="246"/>
      <c r="J29" s="256" t="s">
        <v>214</v>
      </c>
      <c r="K29" s="70" t="s">
        <v>216</v>
      </c>
      <c r="L29" s="68" t="s">
        <v>95</v>
      </c>
      <c r="M29" s="70" t="s">
        <v>215</v>
      </c>
      <c r="N29" s="315">
        <v>40907</v>
      </c>
      <c r="O29" s="68" t="s">
        <v>10</v>
      </c>
      <c r="P29" s="413">
        <v>64</v>
      </c>
      <c r="Q29" s="278">
        <v>39</v>
      </c>
      <c r="R29" s="278">
        <v>3</v>
      </c>
      <c r="S29" s="289">
        <v>8760</v>
      </c>
      <c r="T29" s="290">
        <v>691</v>
      </c>
      <c r="U29" s="289">
        <v>15474</v>
      </c>
      <c r="V29" s="290">
        <v>1222</v>
      </c>
      <c r="W29" s="289">
        <v>11368</v>
      </c>
      <c r="X29" s="290">
        <v>912</v>
      </c>
      <c r="Y29" s="436">
        <f t="shared" si="0"/>
        <v>35602</v>
      </c>
      <c r="Z29" s="437">
        <f t="shared" si="1"/>
        <v>2825</v>
      </c>
      <c r="AA29" s="269">
        <f t="shared" si="2"/>
        <v>72.43589743589743</v>
      </c>
      <c r="AB29" s="270">
        <f t="shared" si="3"/>
        <v>12.602477876106194</v>
      </c>
      <c r="AC29" s="277">
        <v>161366</v>
      </c>
      <c r="AD29" s="272">
        <f t="shared" si="4"/>
        <v>-0.7793711190709319</v>
      </c>
      <c r="AE29" s="273">
        <f t="shared" si="8"/>
        <v>200810</v>
      </c>
      <c r="AF29" s="269">
        <f t="shared" si="9"/>
        <v>17501</v>
      </c>
      <c r="AG29" s="325">
        <f>235686+726</f>
        <v>236412</v>
      </c>
      <c r="AH29" s="326">
        <f>20261+65</f>
        <v>20326</v>
      </c>
      <c r="AI29" s="272">
        <f t="shared" si="10"/>
        <v>0.13898455180556923</v>
      </c>
      <c r="AJ29" s="272">
        <f t="shared" si="11"/>
        <v>0.8610154481944308</v>
      </c>
      <c r="AK29" s="269">
        <f t="shared" si="12"/>
        <v>521.1794871794872</v>
      </c>
      <c r="AL29" s="270">
        <f t="shared" si="13"/>
        <v>11.631014464233003</v>
      </c>
      <c r="AM29" s="274">
        <v>361708</v>
      </c>
      <c r="AN29" s="272">
        <f t="shared" si="14"/>
        <v>-0.34640096431375583</v>
      </c>
      <c r="AO29" s="289">
        <v>633721</v>
      </c>
      <c r="AP29" s="290">
        <v>55160</v>
      </c>
      <c r="AQ29" s="275">
        <f t="shared" si="5"/>
        <v>11.488778100072516</v>
      </c>
      <c r="AR29" s="293">
        <v>40921</v>
      </c>
      <c r="AS29" s="333">
        <v>10</v>
      </c>
      <c r="AT29" s="62"/>
    </row>
    <row r="30" spans="1:46" s="10" customFormat="1" ht="13.5" customHeight="1">
      <c r="A30" s="219">
        <v>20</v>
      </c>
      <c r="B30" s="302"/>
      <c r="C30" s="242"/>
      <c r="D30" s="242"/>
      <c r="E30" s="242"/>
      <c r="F30" s="242"/>
      <c r="G30" s="242"/>
      <c r="H30" s="246"/>
      <c r="I30" s="246"/>
      <c r="J30" s="247" t="s">
        <v>196</v>
      </c>
      <c r="K30" s="65" t="s">
        <v>212</v>
      </c>
      <c r="L30" s="72" t="s">
        <v>124</v>
      </c>
      <c r="M30" s="72" t="s">
        <v>203</v>
      </c>
      <c r="N30" s="315">
        <v>40907</v>
      </c>
      <c r="O30" s="68" t="s">
        <v>12</v>
      </c>
      <c r="P30" s="411">
        <v>60</v>
      </c>
      <c r="Q30" s="276">
        <v>35</v>
      </c>
      <c r="R30" s="276">
        <v>3</v>
      </c>
      <c r="S30" s="286">
        <v>6392</v>
      </c>
      <c r="T30" s="287">
        <v>634</v>
      </c>
      <c r="U30" s="286">
        <v>13343</v>
      </c>
      <c r="V30" s="287">
        <v>1403</v>
      </c>
      <c r="W30" s="286">
        <v>14221</v>
      </c>
      <c r="X30" s="287">
        <v>1478</v>
      </c>
      <c r="Y30" s="436">
        <f t="shared" si="0"/>
        <v>33956</v>
      </c>
      <c r="Z30" s="437">
        <f t="shared" si="1"/>
        <v>3515</v>
      </c>
      <c r="AA30" s="269">
        <f t="shared" si="2"/>
        <v>100.42857142857143</v>
      </c>
      <c r="AB30" s="270">
        <f t="shared" si="3"/>
        <v>9.66031294452347</v>
      </c>
      <c r="AC30" s="277">
        <v>165579</v>
      </c>
      <c r="AD30" s="272">
        <f t="shared" si="4"/>
        <v>-0.7949256850204434</v>
      </c>
      <c r="AE30" s="273">
        <f t="shared" si="8"/>
        <v>213022</v>
      </c>
      <c r="AF30" s="269">
        <f t="shared" si="9"/>
        <v>19302</v>
      </c>
      <c r="AG30" s="292">
        <v>246978</v>
      </c>
      <c r="AH30" s="291">
        <v>22817</v>
      </c>
      <c r="AI30" s="272">
        <f t="shared" si="10"/>
        <v>0.1540518034798615</v>
      </c>
      <c r="AJ30" s="272">
        <f t="shared" si="11"/>
        <v>0.8459481965201385</v>
      </c>
      <c r="AK30" s="269">
        <f t="shared" si="12"/>
        <v>651.9142857142857</v>
      </c>
      <c r="AL30" s="270">
        <f t="shared" si="13"/>
        <v>10.824297672787834</v>
      </c>
      <c r="AM30" s="271">
        <v>302499</v>
      </c>
      <c r="AN30" s="272">
        <f t="shared" si="14"/>
        <v>-0.18354110261521525</v>
      </c>
      <c r="AO30" s="286">
        <v>583433</v>
      </c>
      <c r="AP30" s="287">
        <v>55342</v>
      </c>
      <c r="AQ30" s="275">
        <f t="shared" si="5"/>
        <v>10.542318672978931</v>
      </c>
      <c r="AR30" s="293">
        <v>40921</v>
      </c>
      <c r="AS30" s="333">
        <v>9</v>
      </c>
      <c r="AT30" s="62"/>
    </row>
    <row r="31" spans="1:46" s="10" customFormat="1" ht="13.5" customHeight="1">
      <c r="A31" s="219">
        <v>21</v>
      </c>
      <c r="B31" s="302"/>
      <c r="C31" s="242"/>
      <c r="D31" s="242"/>
      <c r="E31" s="242"/>
      <c r="F31" s="242"/>
      <c r="G31" s="242"/>
      <c r="H31" s="246"/>
      <c r="I31" s="246"/>
      <c r="J31" s="250" t="s">
        <v>224</v>
      </c>
      <c r="K31" s="65" t="s">
        <v>193</v>
      </c>
      <c r="L31" s="69" t="s">
        <v>128</v>
      </c>
      <c r="M31" s="67" t="s">
        <v>191</v>
      </c>
      <c r="N31" s="316">
        <v>40907</v>
      </c>
      <c r="O31" s="68" t="s">
        <v>68</v>
      </c>
      <c r="P31" s="411">
        <v>19</v>
      </c>
      <c r="Q31" s="276">
        <v>10</v>
      </c>
      <c r="R31" s="276">
        <v>3</v>
      </c>
      <c r="S31" s="279">
        <v>3957.5</v>
      </c>
      <c r="T31" s="283">
        <v>315</v>
      </c>
      <c r="U31" s="279">
        <v>7022.5</v>
      </c>
      <c r="V31" s="283">
        <v>569</v>
      </c>
      <c r="W31" s="279">
        <v>7597</v>
      </c>
      <c r="X31" s="283">
        <v>619</v>
      </c>
      <c r="Y31" s="436">
        <f t="shared" si="0"/>
        <v>18577</v>
      </c>
      <c r="Z31" s="437">
        <f t="shared" si="1"/>
        <v>1503</v>
      </c>
      <c r="AA31" s="269">
        <f t="shared" si="2"/>
        <v>150.3</v>
      </c>
      <c r="AB31" s="270">
        <f t="shared" si="3"/>
        <v>12.359946773120425</v>
      </c>
      <c r="AC31" s="277">
        <v>78063.5</v>
      </c>
      <c r="AD31" s="272">
        <f t="shared" si="4"/>
        <v>-0.7620270677076995</v>
      </c>
      <c r="AE31" s="273">
        <f t="shared" si="8"/>
        <v>96580</v>
      </c>
      <c r="AF31" s="269">
        <f t="shared" si="9"/>
        <v>7125</v>
      </c>
      <c r="AG31" s="321">
        <v>115157</v>
      </c>
      <c r="AH31" s="322">
        <v>8628</v>
      </c>
      <c r="AI31" s="272">
        <f t="shared" si="10"/>
        <v>0.17420027816411682</v>
      </c>
      <c r="AJ31" s="272">
        <f t="shared" si="11"/>
        <v>0.8257997218358831</v>
      </c>
      <c r="AK31" s="269">
        <f t="shared" si="12"/>
        <v>862.8</v>
      </c>
      <c r="AL31" s="270">
        <f t="shared" si="13"/>
        <v>13.346893834028744</v>
      </c>
      <c r="AM31" s="274">
        <v>108199</v>
      </c>
      <c r="AN31" s="272">
        <f t="shared" si="14"/>
        <v>0.06430743352526364</v>
      </c>
      <c r="AO31" s="271">
        <v>242365</v>
      </c>
      <c r="AP31" s="284">
        <v>18683</v>
      </c>
      <c r="AQ31" s="275">
        <f t="shared" si="5"/>
        <v>12.972488358400685</v>
      </c>
      <c r="AR31" s="293">
        <v>40921</v>
      </c>
      <c r="AS31" s="333">
        <v>15</v>
      </c>
      <c r="AT31" s="62"/>
    </row>
    <row r="32" spans="1:46" s="10" customFormat="1" ht="13.5" customHeight="1">
      <c r="A32" s="219">
        <v>22</v>
      </c>
      <c r="B32" s="302"/>
      <c r="C32" s="241" t="s">
        <v>261</v>
      </c>
      <c r="D32" s="242"/>
      <c r="E32" s="242"/>
      <c r="F32" s="242"/>
      <c r="G32" s="242"/>
      <c r="H32" s="246"/>
      <c r="I32" s="244" t="s">
        <v>54</v>
      </c>
      <c r="J32" s="250" t="s">
        <v>67</v>
      </c>
      <c r="K32" s="67" t="s">
        <v>85</v>
      </c>
      <c r="L32" s="67"/>
      <c r="M32" s="67" t="s">
        <v>67</v>
      </c>
      <c r="N32" s="315">
        <v>40844</v>
      </c>
      <c r="O32" s="68" t="s">
        <v>68</v>
      </c>
      <c r="P32" s="411">
        <v>278</v>
      </c>
      <c r="Q32" s="276">
        <v>8</v>
      </c>
      <c r="R32" s="276">
        <v>12</v>
      </c>
      <c r="S32" s="279">
        <v>2144</v>
      </c>
      <c r="T32" s="283">
        <v>228</v>
      </c>
      <c r="U32" s="279">
        <v>3990</v>
      </c>
      <c r="V32" s="283">
        <v>433</v>
      </c>
      <c r="W32" s="279">
        <v>4044</v>
      </c>
      <c r="X32" s="283">
        <v>438</v>
      </c>
      <c r="Y32" s="436">
        <f t="shared" si="0"/>
        <v>10178</v>
      </c>
      <c r="Z32" s="437">
        <f t="shared" si="1"/>
        <v>1099</v>
      </c>
      <c r="AA32" s="269">
        <f t="shared" si="2"/>
        <v>137.375</v>
      </c>
      <c r="AB32" s="270">
        <f t="shared" si="3"/>
        <v>9.261146496815286</v>
      </c>
      <c r="AC32" s="277">
        <v>980</v>
      </c>
      <c r="AD32" s="272">
        <f t="shared" si="4"/>
        <v>9.385714285714286</v>
      </c>
      <c r="AE32" s="273">
        <f t="shared" si="8"/>
        <v>-6780.5</v>
      </c>
      <c r="AF32" s="269">
        <f t="shared" si="9"/>
        <v>-362</v>
      </c>
      <c r="AG32" s="321">
        <v>3397.5</v>
      </c>
      <c r="AH32" s="322">
        <v>737</v>
      </c>
      <c r="AI32" s="272">
        <f t="shared" si="10"/>
        <v>1.491180461329715</v>
      </c>
      <c r="AJ32" s="272">
        <f t="shared" si="11"/>
        <v>-0.49118046132971505</v>
      </c>
      <c r="AK32" s="269">
        <f t="shared" si="12"/>
        <v>92.125</v>
      </c>
      <c r="AL32" s="270">
        <f t="shared" si="13"/>
        <v>4.609905020352781</v>
      </c>
      <c r="AM32" s="274">
        <v>13261.5</v>
      </c>
      <c r="AN32" s="272">
        <f t="shared" si="14"/>
        <v>-0.7438072616219885</v>
      </c>
      <c r="AO32" s="271">
        <v>10244138.5</v>
      </c>
      <c r="AP32" s="284">
        <v>1182886</v>
      </c>
      <c r="AQ32" s="275">
        <f t="shared" si="5"/>
        <v>8.660292285139903</v>
      </c>
      <c r="AR32" s="293">
        <v>40921</v>
      </c>
      <c r="AS32" s="333">
        <v>32</v>
      </c>
      <c r="AT32" s="62"/>
    </row>
    <row r="33" spans="1:46" s="10" customFormat="1" ht="13.5" customHeight="1">
      <c r="A33" s="219">
        <v>23</v>
      </c>
      <c r="B33" s="305"/>
      <c r="C33" s="241" t="s">
        <v>261</v>
      </c>
      <c r="D33" s="242"/>
      <c r="E33" s="242"/>
      <c r="F33" s="242"/>
      <c r="G33" s="242"/>
      <c r="H33" s="246"/>
      <c r="I33" s="244" t="s">
        <v>54</v>
      </c>
      <c r="J33" s="250" t="s">
        <v>115</v>
      </c>
      <c r="K33" s="65" t="s">
        <v>116</v>
      </c>
      <c r="L33" s="69"/>
      <c r="M33" s="67" t="s">
        <v>115</v>
      </c>
      <c r="N33" s="315">
        <v>40886</v>
      </c>
      <c r="O33" s="68" t="s">
        <v>12</v>
      </c>
      <c r="P33" s="411">
        <v>161</v>
      </c>
      <c r="Q33" s="276">
        <v>10</v>
      </c>
      <c r="R33" s="276">
        <v>6</v>
      </c>
      <c r="S33" s="286">
        <v>1541</v>
      </c>
      <c r="T33" s="287">
        <v>294</v>
      </c>
      <c r="U33" s="286">
        <v>1981</v>
      </c>
      <c r="V33" s="287">
        <v>386</v>
      </c>
      <c r="W33" s="286">
        <v>2103</v>
      </c>
      <c r="X33" s="287">
        <v>417</v>
      </c>
      <c r="Y33" s="436">
        <f t="shared" si="0"/>
        <v>5625</v>
      </c>
      <c r="Z33" s="437">
        <f t="shared" si="1"/>
        <v>1097</v>
      </c>
      <c r="AA33" s="269">
        <f t="shared" si="2"/>
        <v>109.7</v>
      </c>
      <c r="AB33" s="270">
        <f t="shared" si="3"/>
        <v>5.127620783956244</v>
      </c>
      <c r="AC33" s="277">
        <v>6701</v>
      </c>
      <c r="AD33" s="272">
        <f t="shared" si="4"/>
        <v>-0.16057304879868675</v>
      </c>
      <c r="AE33" s="273">
        <f t="shared" si="8"/>
        <v>5564</v>
      </c>
      <c r="AF33" s="269">
        <f t="shared" si="9"/>
        <v>719</v>
      </c>
      <c r="AG33" s="292">
        <v>11189</v>
      </c>
      <c r="AH33" s="291">
        <v>1816</v>
      </c>
      <c r="AI33" s="272">
        <f t="shared" si="10"/>
        <v>0.6040748898678414</v>
      </c>
      <c r="AJ33" s="272">
        <f t="shared" si="11"/>
        <v>0.3959251101321586</v>
      </c>
      <c r="AK33" s="269">
        <f t="shared" si="12"/>
        <v>181.6</v>
      </c>
      <c r="AL33" s="270">
        <f t="shared" si="13"/>
        <v>6.161343612334802</v>
      </c>
      <c r="AM33" s="271">
        <v>23157</v>
      </c>
      <c r="AN33" s="272">
        <f t="shared" si="14"/>
        <v>-0.5168199680442199</v>
      </c>
      <c r="AO33" s="286">
        <v>869845</v>
      </c>
      <c r="AP33" s="287">
        <v>105665</v>
      </c>
      <c r="AQ33" s="275">
        <f t="shared" si="5"/>
        <v>8.2321014527043</v>
      </c>
      <c r="AR33" s="293">
        <v>40921</v>
      </c>
      <c r="AS33" s="333">
        <v>19</v>
      </c>
      <c r="AT33" s="62"/>
    </row>
    <row r="34" spans="1:46" s="10" customFormat="1" ht="13.5" customHeight="1">
      <c r="A34" s="219">
        <v>24</v>
      </c>
      <c r="B34" s="302"/>
      <c r="C34" s="241" t="s">
        <v>261</v>
      </c>
      <c r="D34" s="242"/>
      <c r="E34" s="242"/>
      <c r="F34" s="242"/>
      <c r="G34" s="242"/>
      <c r="H34" s="246"/>
      <c r="I34" s="244" t="s">
        <v>54</v>
      </c>
      <c r="J34" s="250" t="s">
        <v>143</v>
      </c>
      <c r="K34" s="65" t="s">
        <v>127</v>
      </c>
      <c r="L34" s="69"/>
      <c r="M34" s="67" t="s">
        <v>143</v>
      </c>
      <c r="N34" s="315">
        <v>40893</v>
      </c>
      <c r="O34" s="68" t="s">
        <v>68</v>
      </c>
      <c r="P34" s="411">
        <v>23</v>
      </c>
      <c r="Q34" s="276">
        <v>8</v>
      </c>
      <c r="R34" s="276">
        <v>5</v>
      </c>
      <c r="S34" s="279">
        <v>776</v>
      </c>
      <c r="T34" s="283">
        <v>112</v>
      </c>
      <c r="U34" s="279">
        <v>1147</v>
      </c>
      <c r="V34" s="283">
        <v>162</v>
      </c>
      <c r="W34" s="279">
        <v>1107</v>
      </c>
      <c r="X34" s="283">
        <v>163</v>
      </c>
      <c r="Y34" s="436">
        <f t="shared" si="0"/>
        <v>3030</v>
      </c>
      <c r="Z34" s="437">
        <f t="shared" si="1"/>
        <v>437</v>
      </c>
      <c r="AA34" s="269">
        <f t="shared" si="2"/>
        <v>54.625</v>
      </c>
      <c r="AB34" s="270">
        <f t="shared" si="3"/>
        <v>6.933638443935926</v>
      </c>
      <c r="AC34" s="277">
        <v>5394</v>
      </c>
      <c r="AD34" s="272">
        <f t="shared" si="4"/>
        <v>-0.4382647385984427</v>
      </c>
      <c r="AE34" s="273">
        <f t="shared" si="8"/>
        <v>5269</v>
      </c>
      <c r="AF34" s="269">
        <f t="shared" si="9"/>
        <v>800</v>
      </c>
      <c r="AG34" s="321">
        <v>8299</v>
      </c>
      <c r="AH34" s="322">
        <v>1237</v>
      </c>
      <c r="AI34" s="272">
        <f t="shared" si="10"/>
        <v>0.3532740501212611</v>
      </c>
      <c r="AJ34" s="272">
        <f t="shared" si="11"/>
        <v>0.6467259498787389</v>
      </c>
      <c r="AK34" s="269">
        <f t="shared" si="12"/>
        <v>154.625</v>
      </c>
      <c r="AL34" s="270">
        <f t="shared" si="13"/>
        <v>6.708973322554567</v>
      </c>
      <c r="AM34" s="274">
        <v>20298.5</v>
      </c>
      <c r="AN34" s="272">
        <f t="shared" si="14"/>
        <v>-0.5911520555706087</v>
      </c>
      <c r="AO34" s="271">
        <v>113441</v>
      </c>
      <c r="AP34" s="284">
        <v>14342</v>
      </c>
      <c r="AQ34" s="275">
        <f t="shared" si="5"/>
        <v>7.909705759308325</v>
      </c>
      <c r="AR34" s="293">
        <v>40921</v>
      </c>
      <c r="AS34" s="333">
        <v>22</v>
      </c>
      <c r="AT34" s="62"/>
    </row>
    <row r="35" spans="1:46" s="10" customFormat="1" ht="13.5" customHeight="1">
      <c r="A35" s="219">
        <v>25</v>
      </c>
      <c r="B35" s="302"/>
      <c r="C35" s="241" t="s">
        <v>261</v>
      </c>
      <c r="D35" s="242"/>
      <c r="E35" s="242"/>
      <c r="F35" s="242"/>
      <c r="G35" s="242"/>
      <c r="H35" s="246"/>
      <c r="I35" s="244" t="s">
        <v>54</v>
      </c>
      <c r="J35" s="260" t="s">
        <v>106</v>
      </c>
      <c r="K35" s="65" t="s">
        <v>114</v>
      </c>
      <c r="L35" s="65"/>
      <c r="M35" s="65" t="s">
        <v>106</v>
      </c>
      <c r="N35" s="315">
        <v>40879</v>
      </c>
      <c r="O35" s="68" t="s">
        <v>8</v>
      </c>
      <c r="P35" s="411">
        <v>39</v>
      </c>
      <c r="Q35" s="268">
        <v>8</v>
      </c>
      <c r="R35" s="268">
        <v>7</v>
      </c>
      <c r="S35" s="289">
        <v>698</v>
      </c>
      <c r="T35" s="290">
        <v>120</v>
      </c>
      <c r="U35" s="289">
        <v>1160</v>
      </c>
      <c r="V35" s="290">
        <v>199</v>
      </c>
      <c r="W35" s="289">
        <v>1112</v>
      </c>
      <c r="X35" s="290">
        <v>178</v>
      </c>
      <c r="Y35" s="436">
        <f t="shared" si="0"/>
        <v>2970</v>
      </c>
      <c r="Z35" s="437">
        <f t="shared" si="1"/>
        <v>497</v>
      </c>
      <c r="AA35" s="269">
        <f t="shared" si="2"/>
        <v>62.125</v>
      </c>
      <c r="AB35" s="270">
        <f t="shared" si="3"/>
        <v>5.9758551307847085</v>
      </c>
      <c r="AC35" s="277">
        <v>3381</v>
      </c>
      <c r="AD35" s="272">
        <f t="shared" si="4"/>
        <v>-0.12156166814551908</v>
      </c>
      <c r="AE35" s="273">
        <f t="shared" si="8"/>
        <v>2539</v>
      </c>
      <c r="AF35" s="269">
        <f t="shared" si="9"/>
        <v>393</v>
      </c>
      <c r="AG35" s="325">
        <v>5509</v>
      </c>
      <c r="AH35" s="326">
        <v>890</v>
      </c>
      <c r="AI35" s="272">
        <f t="shared" si="10"/>
        <v>0.5584269662921348</v>
      </c>
      <c r="AJ35" s="272">
        <f t="shared" si="11"/>
        <v>0.44157303370786516</v>
      </c>
      <c r="AK35" s="269">
        <f t="shared" si="12"/>
        <v>111.25</v>
      </c>
      <c r="AL35" s="270">
        <f t="shared" si="13"/>
        <v>6.189887640449438</v>
      </c>
      <c r="AM35" s="271">
        <v>6888</v>
      </c>
      <c r="AN35" s="272">
        <f t="shared" si="14"/>
        <v>-0.20020325203252032</v>
      </c>
      <c r="AO35" s="289">
        <v>216338</v>
      </c>
      <c r="AP35" s="290">
        <v>24246</v>
      </c>
      <c r="AQ35" s="275">
        <f t="shared" si="5"/>
        <v>8.92262641260414</v>
      </c>
      <c r="AR35" s="293">
        <v>40921</v>
      </c>
      <c r="AS35" s="333">
        <v>26</v>
      </c>
      <c r="AT35" s="62"/>
    </row>
    <row r="36" spans="1:46" s="10" customFormat="1" ht="13.5" customHeight="1">
      <c r="A36" s="219">
        <v>26</v>
      </c>
      <c r="B36" s="303"/>
      <c r="C36" s="241" t="s">
        <v>261</v>
      </c>
      <c r="D36" s="258"/>
      <c r="E36" s="258"/>
      <c r="F36" s="242"/>
      <c r="G36" s="258"/>
      <c r="H36" s="243"/>
      <c r="I36" s="246"/>
      <c r="J36" s="260" t="s">
        <v>137</v>
      </c>
      <c r="K36" s="65" t="s">
        <v>140</v>
      </c>
      <c r="L36" s="65" t="s">
        <v>138</v>
      </c>
      <c r="M36" s="65" t="s">
        <v>139</v>
      </c>
      <c r="N36" s="315">
        <v>40893</v>
      </c>
      <c r="O36" s="68" t="s">
        <v>53</v>
      </c>
      <c r="P36" s="411">
        <v>28</v>
      </c>
      <c r="Q36" s="285">
        <v>6</v>
      </c>
      <c r="R36" s="285">
        <v>5</v>
      </c>
      <c r="S36" s="286">
        <v>856</v>
      </c>
      <c r="T36" s="287">
        <v>97</v>
      </c>
      <c r="U36" s="286">
        <v>1036.5</v>
      </c>
      <c r="V36" s="287">
        <v>114</v>
      </c>
      <c r="W36" s="286">
        <v>980</v>
      </c>
      <c r="X36" s="287">
        <v>107</v>
      </c>
      <c r="Y36" s="436">
        <f t="shared" si="0"/>
        <v>2872.5</v>
      </c>
      <c r="Z36" s="437">
        <f t="shared" si="1"/>
        <v>318</v>
      </c>
      <c r="AA36" s="269">
        <f t="shared" si="2"/>
        <v>53</v>
      </c>
      <c r="AB36" s="270">
        <f t="shared" si="3"/>
        <v>9.033018867924529</v>
      </c>
      <c r="AC36" s="277">
        <v>3675</v>
      </c>
      <c r="AD36" s="272">
        <f t="shared" si="4"/>
        <v>-0.21836734693877552</v>
      </c>
      <c r="AE36" s="273">
        <f t="shared" si="8"/>
        <v>3005.5</v>
      </c>
      <c r="AF36" s="269">
        <f t="shared" si="9"/>
        <v>274</v>
      </c>
      <c r="AG36" s="292">
        <v>5878</v>
      </c>
      <c r="AH36" s="291">
        <v>592</v>
      </c>
      <c r="AI36" s="272">
        <f t="shared" si="10"/>
        <v>0.5371621621621622</v>
      </c>
      <c r="AJ36" s="272">
        <f t="shared" si="11"/>
        <v>0.46283783783783783</v>
      </c>
      <c r="AK36" s="269">
        <f t="shared" si="12"/>
        <v>98.66666666666667</v>
      </c>
      <c r="AL36" s="270">
        <f t="shared" si="13"/>
        <v>9.929054054054054</v>
      </c>
      <c r="AM36" s="271">
        <v>19211</v>
      </c>
      <c r="AN36" s="272">
        <f t="shared" si="14"/>
        <v>-0.6940294622872313</v>
      </c>
      <c r="AO36" s="286">
        <v>258663</v>
      </c>
      <c r="AP36" s="287">
        <v>21399</v>
      </c>
      <c r="AQ36" s="275">
        <f t="shared" si="5"/>
        <v>12.087620916865275</v>
      </c>
      <c r="AR36" s="293">
        <v>40921</v>
      </c>
      <c r="AS36" s="333">
        <v>25</v>
      </c>
      <c r="AT36" s="62"/>
    </row>
    <row r="37" spans="1:46" s="10" customFormat="1" ht="13.5" customHeight="1">
      <c r="A37" s="219">
        <v>27</v>
      </c>
      <c r="B37" s="304"/>
      <c r="C37" s="241" t="s">
        <v>261</v>
      </c>
      <c r="D37" s="257"/>
      <c r="E37" s="257"/>
      <c r="F37" s="255"/>
      <c r="G37" s="249" t="s">
        <v>292</v>
      </c>
      <c r="H37" s="254"/>
      <c r="I37" s="240"/>
      <c r="J37" s="250" t="s">
        <v>86</v>
      </c>
      <c r="K37" s="65" t="s">
        <v>90</v>
      </c>
      <c r="L37" s="70" t="s">
        <v>85</v>
      </c>
      <c r="M37" s="70" t="s">
        <v>84</v>
      </c>
      <c r="N37" s="315">
        <v>40865</v>
      </c>
      <c r="O37" s="68" t="s">
        <v>68</v>
      </c>
      <c r="P37" s="416">
        <v>269</v>
      </c>
      <c r="Q37" s="276">
        <v>10</v>
      </c>
      <c r="R37" s="276">
        <v>9</v>
      </c>
      <c r="S37" s="279">
        <v>609</v>
      </c>
      <c r="T37" s="283">
        <v>89</v>
      </c>
      <c r="U37" s="279">
        <v>989</v>
      </c>
      <c r="V37" s="283">
        <v>142</v>
      </c>
      <c r="W37" s="279">
        <v>1262</v>
      </c>
      <c r="X37" s="283">
        <v>183</v>
      </c>
      <c r="Y37" s="436">
        <f t="shared" si="0"/>
        <v>2860</v>
      </c>
      <c r="Z37" s="437">
        <f t="shared" si="1"/>
        <v>414</v>
      </c>
      <c r="AA37" s="269">
        <f t="shared" si="2"/>
        <v>41.4</v>
      </c>
      <c r="AB37" s="270">
        <f t="shared" si="3"/>
        <v>6.908212560386473</v>
      </c>
      <c r="AC37" s="271">
        <v>6095.5</v>
      </c>
      <c r="AD37" s="272">
        <f t="shared" si="4"/>
        <v>-0.5308014108768764</v>
      </c>
      <c r="AE37" s="273">
        <f t="shared" si="8"/>
        <v>6698</v>
      </c>
      <c r="AF37" s="269">
        <f t="shared" si="9"/>
        <v>1169</v>
      </c>
      <c r="AG37" s="321">
        <v>9558</v>
      </c>
      <c r="AH37" s="322">
        <v>1583</v>
      </c>
      <c r="AI37" s="272">
        <f t="shared" si="10"/>
        <v>0.2615287428932407</v>
      </c>
      <c r="AJ37" s="272">
        <f t="shared" si="11"/>
        <v>0.7384712571067593</v>
      </c>
      <c r="AK37" s="269">
        <f t="shared" si="12"/>
        <v>158.3</v>
      </c>
      <c r="AL37" s="270">
        <f t="shared" si="13"/>
        <v>6.037902716361339</v>
      </c>
      <c r="AM37" s="274">
        <v>50403.5</v>
      </c>
      <c r="AN37" s="272">
        <f t="shared" si="14"/>
        <v>-0.810370311585505</v>
      </c>
      <c r="AO37" s="271">
        <v>12198486.5</v>
      </c>
      <c r="AP37" s="284">
        <v>1377678</v>
      </c>
      <c r="AQ37" s="275">
        <f t="shared" si="5"/>
        <v>8.854381430203574</v>
      </c>
      <c r="AR37" s="293">
        <v>40921</v>
      </c>
      <c r="AS37" s="333">
        <v>21</v>
      </c>
      <c r="AT37" s="62"/>
    </row>
    <row r="38" spans="1:46" s="10" customFormat="1" ht="13.5" customHeight="1">
      <c r="A38" s="219">
        <v>28</v>
      </c>
      <c r="B38" s="302"/>
      <c r="C38" s="241" t="s">
        <v>261</v>
      </c>
      <c r="D38" s="255"/>
      <c r="E38" s="261">
        <v>3</v>
      </c>
      <c r="F38" s="255"/>
      <c r="G38" s="242"/>
      <c r="H38" s="254"/>
      <c r="I38" s="246"/>
      <c r="J38" s="260" t="s">
        <v>72</v>
      </c>
      <c r="K38" s="65" t="s">
        <v>83</v>
      </c>
      <c r="L38" s="65" t="s">
        <v>189</v>
      </c>
      <c r="M38" s="65" t="s">
        <v>182</v>
      </c>
      <c r="N38" s="315">
        <v>40858</v>
      </c>
      <c r="O38" s="68" t="s">
        <v>8</v>
      </c>
      <c r="P38" s="411">
        <v>132</v>
      </c>
      <c r="Q38" s="268">
        <v>9</v>
      </c>
      <c r="R38" s="268">
        <v>10</v>
      </c>
      <c r="S38" s="289">
        <v>603</v>
      </c>
      <c r="T38" s="290">
        <v>120</v>
      </c>
      <c r="U38" s="289">
        <v>910</v>
      </c>
      <c r="V38" s="290">
        <v>139</v>
      </c>
      <c r="W38" s="289">
        <v>1026</v>
      </c>
      <c r="X38" s="290">
        <v>145</v>
      </c>
      <c r="Y38" s="436">
        <f t="shared" si="0"/>
        <v>2539</v>
      </c>
      <c r="Z38" s="437">
        <f t="shared" si="1"/>
        <v>404</v>
      </c>
      <c r="AA38" s="269">
        <f t="shared" si="2"/>
        <v>44.888888888888886</v>
      </c>
      <c r="AB38" s="270">
        <f t="shared" si="3"/>
        <v>6.284653465346534</v>
      </c>
      <c r="AC38" s="277">
        <v>4739</v>
      </c>
      <c r="AD38" s="272">
        <f t="shared" si="4"/>
        <v>-0.46423296054019836</v>
      </c>
      <c r="AE38" s="273">
        <f t="shared" si="8"/>
        <v>4413</v>
      </c>
      <c r="AF38" s="269">
        <f t="shared" si="9"/>
        <v>564</v>
      </c>
      <c r="AG38" s="325">
        <v>6952</v>
      </c>
      <c r="AH38" s="326">
        <v>968</v>
      </c>
      <c r="AI38" s="272">
        <f t="shared" si="10"/>
        <v>0.41735537190082644</v>
      </c>
      <c r="AJ38" s="272">
        <f t="shared" si="11"/>
        <v>0.5826446280991735</v>
      </c>
      <c r="AK38" s="269">
        <f t="shared" si="12"/>
        <v>107.55555555555556</v>
      </c>
      <c r="AL38" s="270">
        <f t="shared" si="13"/>
        <v>7.181818181818182</v>
      </c>
      <c r="AM38" s="271">
        <v>11571</v>
      </c>
      <c r="AN38" s="272">
        <f t="shared" si="14"/>
        <v>-0.3991876242329963</v>
      </c>
      <c r="AO38" s="289">
        <v>6004374</v>
      </c>
      <c r="AP38" s="290">
        <v>539462</v>
      </c>
      <c r="AQ38" s="275">
        <f t="shared" si="5"/>
        <v>11.130300187965046</v>
      </c>
      <c r="AR38" s="293">
        <v>40921</v>
      </c>
      <c r="AS38" s="333">
        <v>24</v>
      </c>
      <c r="AT38" s="62"/>
    </row>
    <row r="39" spans="1:46" s="10" customFormat="1" ht="13.5" customHeight="1">
      <c r="A39" s="219">
        <v>29</v>
      </c>
      <c r="B39" s="302"/>
      <c r="C39" s="241" t="s">
        <v>261</v>
      </c>
      <c r="D39" s="258"/>
      <c r="E39" s="258"/>
      <c r="F39" s="242"/>
      <c r="G39" s="258"/>
      <c r="H39" s="246"/>
      <c r="I39" s="244" t="s">
        <v>54</v>
      </c>
      <c r="J39" s="263" t="s">
        <v>120</v>
      </c>
      <c r="K39" s="65" t="s">
        <v>122</v>
      </c>
      <c r="L39" s="68"/>
      <c r="M39" s="68" t="s">
        <v>120</v>
      </c>
      <c r="N39" s="315">
        <v>40886</v>
      </c>
      <c r="O39" s="68" t="s">
        <v>121</v>
      </c>
      <c r="P39" s="411">
        <v>82</v>
      </c>
      <c r="Q39" s="278">
        <v>8</v>
      </c>
      <c r="R39" s="278">
        <v>6</v>
      </c>
      <c r="S39" s="281">
        <v>393</v>
      </c>
      <c r="T39" s="282">
        <v>64</v>
      </c>
      <c r="U39" s="281">
        <v>866</v>
      </c>
      <c r="V39" s="282">
        <v>135</v>
      </c>
      <c r="W39" s="281">
        <v>960</v>
      </c>
      <c r="X39" s="282">
        <v>165</v>
      </c>
      <c r="Y39" s="436">
        <f t="shared" si="0"/>
        <v>2219</v>
      </c>
      <c r="Z39" s="437">
        <f t="shared" si="1"/>
        <v>364</v>
      </c>
      <c r="AA39" s="269">
        <f t="shared" si="2"/>
        <v>45.5</v>
      </c>
      <c r="AB39" s="270">
        <f t="shared" si="3"/>
        <v>6.096153846153846</v>
      </c>
      <c r="AC39" s="279">
        <v>4727</v>
      </c>
      <c r="AD39" s="272">
        <f t="shared" si="4"/>
        <v>-0.5305690712925746</v>
      </c>
      <c r="AE39" s="273">
        <f t="shared" si="8"/>
        <v>5948.5</v>
      </c>
      <c r="AF39" s="269">
        <f t="shared" si="9"/>
        <v>936</v>
      </c>
      <c r="AG39" s="329">
        <v>8167.5</v>
      </c>
      <c r="AH39" s="330">
        <v>1300</v>
      </c>
      <c r="AI39" s="272">
        <f t="shared" si="10"/>
        <v>0.28</v>
      </c>
      <c r="AJ39" s="272">
        <f t="shared" si="11"/>
        <v>0.72</v>
      </c>
      <c r="AK39" s="269">
        <f t="shared" si="12"/>
        <v>162.5</v>
      </c>
      <c r="AL39" s="270">
        <f t="shared" si="13"/>
        <v>6.282692307692308</v>
      </c>
      <c r="AM39" s="274">
        <v>27702.5</v>
      </c>
      <c r="AN39" s="272">
        <f t="shared" si="14"/>
        <v>-0.7051710134464398</v>
      </c>
      <c r="AO39" s="281">
        <v>640276</v>
      </c>
      <c r="AP39" s="282">
        <v>73609</v>
      </c>
      <c r="AQ39" s="275">
        <f t="shared" si="5"/>
        <v>8.698338518387697</v>
      </c>
      <c r="AR39" s="293">
        <v>40921</v>
      </c>
      <c r="AS39" s="333">
        <v>23</v>
      </c>
      <c r="AT39" s="62"/>
    </row>
    <row r="40" spans="1:46" s="10" customFormat="1" ht="13.5" customHeight="1">
      <c r="A40" s="219">
        <v>30</v>
      </c>
      <c r="B40" s="302"/>
      <c r="C40" s="241" t="s">
        <v>261</v>
      </c>
      <c r="D40" s="242"/>
      <c r="E40" s="242"/>
      <c r="F40" s="242"/>
      <c r="G40" s="242"/>
      <c r="H40" s="246"/>
      <c r="I40" s="246"/>
      <c r="J40" s="263" t="s">
        <v>159</v>
      </c>
      <c r="K40" s="68" t="s">
        <v>164</v>
      </c>
      <c r="L40" s="68" t="s">
        <v>79</v>
      </c>
      <c r="M40" s="68" t="s">
        <v>165</v>
      </c>
      <c r="N40" s="316">
        <v>40886</v>
      </c>
      <c r="O40" s="68" t="s">
        <v>13</v>
      </c>
      <c r="P40" s="411">
        <v>3</v>
      </c>
      <c r="Q40" s="276">
        <v>2</v>
      </c>
      <c r="R40" s="276">
        <v>5</v>
      </c>
      <c r="S40" s="271">
        <v>518</v>
      </c>
      <c r="T40" s="288">
        <v>78</v>
      </c>
      <c r="U40" s="271">
        <v>652</v>
      </c>
      <c r="V40" s="288">
        <v>98</v>
      </c>
      <c r="W40" s="271">
        <v>635</v>
      </c>
      <c r="X40" s="288">
        <v>93</v>
      </c>
      <c r="Y40" s="436">
        <f t="shared" si="0"/>
        <v>1805</v>
      </c>
      <c r="Z40" s="437">
        <f t="shared" si="1"/>
        <v>269</v>
      </c>
      <c r="AA40" s="269">
        <f t="shared" si="2"/>
        <v>134.5</v>
      </c>
      <c r="AB40" s="270">
        <f t="shared" si="3"/>
        <v>6.710037174721189</v>
      </c>
      <c r="AC40" s="277">
        <v>325</v>
      </c>
      <c r="AD40" s="272">
        <f t="shared" si="4"/>
        <v>4.553846153846154</v>
      </c>
      <c r="AE40" s="273">
        <f t="shared" si="8"/>
        <v>-1403</v>
      </c>
      <c r="AF40" s="269">
        <f t="shared" si="9"/>
        <v>-179</v>
      </c>
      <c r="AG40" s="292">
        <v>402</v>
      </c>
      <c r="AH40" s="291">
        <v>90</v>
      </c>
      <c r="AI40" s="272">
        <f t="shared" si="10"/>
        <v>2.988888888888889</v>
      </c>
      <c r="AJ40" s="272">
        <f t="shared" si="11"/>
        <v>-1.988888888888889</v>
      </c>
      <c r="AK40" s="269">
        <f t="shared" si="12"/>
        <v>45</v>
      </c>
      <c r="AL40" s="270">
        <f t="shared" si="13"/>
        <v>4.466666666666667</v>
      </c>
      <c r="AM40" s="271">
        <v>368</v>
      </c>
      <c r="AN40" s="272">
        <f t="shared" si="14"/>
        <v>0.09239130434782608</v>
      </c>
      <c r="AO40" s="271">
        <v>14161</v>
      </c>
      <c r="AP40" s="288">
        <v>2041</v>
      </c>
      <c r="AQ40" s="275">
        <f t="shared" si="5"/>
        <v>6.938265556099951</v>
      </c>
      <c r="AR40" s="293">
        <v>40921</v>
      </c>
      <c r="AS40" s="333">
        <v>60</v>
      </c>
      <c r="AT40" s="62"/>
    </row>
    <row r="41" spans="1:46" s="10" customFormat="1" ht="13.5" customHeight="1">
      <c r="A41" s="219">
        <v>31</v>
      </c>
      <c r="B41" s="302"/>
      <c r="C41" s="241" t="s">
        <v>261</v>
      </c>
      <c r="D41" s="242"/>
      <c r="E41" s="242"/>
      <c r="F41" s="242"/>
      <c r="G41" s="242"/>
      <c r="H41" s="246"/>
      <c r="I41" s="246"/>
      <c r="J41" s="250" t="s">
        <v>271</v>
      </c>
      <c r="K41" s="65" t="s">
        <v>290</v>
      </c>
      <c r="L41" s="69" t="s">
        <v>79</v>
      </c>
      <c r="M41" s="67" t="s">
        <v>287</v>
      </c>
      <c r="N41" s="315">
        <v>40823</v>
      </c>
      <c r="O41" s="68" t="s">
        <v>68</v>
      </c>
      <c r="P41" s="411">
        <v>10</v>
      </c>
      <c r="Q41" s="276">
        <v>2</v>
      </c>
      <c r="R41" s="276">
        <v>12</v>
      </c>
      <c r="S41" s="279">
        <v>340</v>
      </c>
      <c r="T41" s="283">
        <v>53</v>
      </c>
      <c r="U41" s="279">
        <v>593</v>
      </c>
      <c r="V41" s="283">
        <v>96</v>
      </c>
      <c r="W41" s="279">
        <v>640</v>
      </c>
      <c r="X41" s="283">
        <v>102</v>
      </c>
      <c r="Y41" s="436">
        <f t="shared" si="0"/>
        <v>1573</v>
      </c>
      <c r="Z41" s="437">
        <f t="shared" si="1"/>
        <v>251</v>
      </c>
      <c r="AA41" s="269">
        <f t="shared" si="2"/>
        <v>125.5</v>
      </c>
      <c r="AB41" s="270">
        <f t="shared" si="3"/>
        <v>6.266932270916334</v>
      </c>
      <c r="AC41" s="277">
        <v>0</v>
      </c>
      <c r="AD41" s="272">
        <f t="shared" si="4"/>
      </c>
      <c r="AE41" s="273">
        <f t="shared" si="8"/>
        <v>-767</v>
      </c>
      <c r="AF41" s="269">
        <f t="shared" si="9"/>
        <v>-114</v>
      </c>
      <c r="AG41" s="321">
        <v>806</v>
      </c>
      <c r="AH41" s="322">
        <v>137</v>
      </c>
      <c r="AI41" s="272">
        <f t="shared" si="10"/>
        <v>1.832116788321168</v>
      </c>
      <c r="AJ41" s="272">
        <f t="shared" si="11"/>
        <v>-0.8321167883211679</v>
      </c>
      <c r="AK41" s="269">
        <f t="shared" si="12"/>
        <v>68.5</v>
      </c>
      <c r="AL41" s="270">
        <f t="shared" si="13"/>
        <v>5.883211678832117</v>
      </c>
      <c r="AM41" s="274"/>
      <c r="AN41" s="272">
        <f t="shared" si="14"/>
      </c>
      <c r="AO41" s="271">
        <v>79376.5</v>
      </c>
      <c r="AP41" s="284">
        <v>9685</v>
      </c>
      <c r="AQ41" s="275">
        <f t="shared" si="5"/>
        <v>8.195818275684047</v>
      </c>
      <c r="AR41" s="293">
        <v>40921</v>
      </c>
      <c r="AS41" s="333">
        <v>54</v>
      </c>
      <c r="AT41" s="62"/>
    </row>
    <row r="42" spans="1:46" s="10" customFormat="1" ht="13.5" customHeight="1">
      <c r="A42" s="219">
        <v>32</v>
      </c>
      <c r="B42" s="302"/>
      <c r="C42" s="241" t="s">
        <v>261</v>
      </c>
      <c r="D42" s="242"/>
      <c r="E42" s="242"/>
      <c r="F42" s="242"/>
      <c r="G42" s="242"/>
      <c r="H42" s="246"/>
      <c r="I42" s="246"/>
      <c r="J42" s="247" t="s">
        <v>108</v>
      </c>
      <c r="K42" s="65" t="s">
        <v>125</v>
      </c>
      <c r="L42" s="72" t="s">
        <v>124</v>
      </c>
      <c r="M42" s="72" t="s">
        <v>109</v>
      </c>
      <c r="N42" s="315">
        <v>40879</v>
      </c>
      <c r="O42" s="68" t="s">
        <v>12</v>
      </c>
      <c r="P42" s="411">
        <v>38</v>
      </c>
      <c r="Q42" s="276">
        <v>2</v>
      </c>
      <c r="R42" s="276">
        <v>7</v>
      </c>
      <c r="S42" s="286">
        <v>202</v>
      </c>
      <c r="T42" s="287">
        <v>32</v>
      </c>
      <c r="U42" s="286">
        <v>599</v>
      </c>
      <c r="V42" s="287">
        <v>92</v>
      </c>
      <c r="W42" s="286">
        <v>681</v>
      </c>
      <c r="X42" s="287">
        <v>116</v>
      </c>
      <c r="Y42" s="436">
        <f t="shared" si="0"/>
        <v>1482</v>
      </c>
      <c r="Z42" s="437">
        <f t="shared" si="1"/>
        <v>240</v>
      </c>
      <c r="AA42" s="269">
        <f t="shared" si="2"/>
        <v>120</v>
      </c>
      <c r="AB42" s="270">
        <f t="shared" si="3"/>
        <v>6.175</v>
      </c>
      <c r="AC42" s="277">
        <v>3020</v>
      </c>
      <c r="AD42" s="272">
        <f t="shared" si="4"/>
        <v>-0.509271523178808</v>
      </c>
      <c r="AE42" s="273">
        <f t="shared" si="8"/>
        <v>8554</v>
      </c>
      <c r="AF42" s="269">
        <f t="shared" si="9"/>
        <v>1313</v>
      </c>
      <c r="AG42" s="292">
        <v>10036</v>
      </c>
      <c r="AH42" s="291">
        <v>1553</v>
      </c>
      <c r="AI42" s="272">
        <f t="shared" si="10"/>
        <v>0.15453960077269802</v>
      </c>
      <c r="AJ42" s="272">
        <f t="shared" si="11"/>
        <v>0.845460399227302</v>
      </c>
      <c r="AK42" s="269">
        <f t="shared" si="12"/>
        <v>776.5</v>
      </c>
      <c r="AL42" s="270">
        <f t="shared" si="13"/>
        <v>6.462330972311655</v>
      </c>
      <c r="AM42" s="271">
        <v>10036</v>
      </c>
      <c r="AN42" s="272">
        <f t="shared" si="14"/>
        <v>0</v>
      </c>
      <c r="AO42" s="286">
        <v>489380</v>
      </c>
      <c r="AP42" s="287">
        <v>46041</v>
      </c>
      <c r="AQ42" s="275">
        <f t="shared" si="5"/>
        <v>10.629221780586867</v>
      </c>
      <c r="AR42" s="293">
        <v>40921</v>
      </c>
      <c r="AS42" s="333">
        <v>20</v>
      </c>
      <c r="AT42" s="62"/>
    </row>
    <row r="43" spans="1:46" s="10" customFormat="1" ht="13.5" customHeight="1">
      <c r="A43" s="219">
        <v>33</v>
      </c>
      <c r="B43" s="302"/>
      <c r="C43" s="241" t="s">
        <v>261</v>
      </c>
      <c r="D43" s="242"/>
      <c r="E43" s="242"/>
      <c r="F43" s="242"/>
      <c r="G43" s="242"/>
      <c r="H43" s="246"/>
      <c r="I43" s="254"/>
      <c r="J43" s="250" t="s">
        <v>100</v>
      </c>
      <c r="K43" s="65" t="s">
        <v>102</v>
      </c>
      <c r="L43" s="69" t="s">
        <v>79</v>
      </c>
      <c r="M43" s="67" t="s">
        <v>101</v>
      </c>
      <c r="N43" s="315">
        <v>40872</v>
      </c>
      <c r="O43" s="68" t="s">
        <v>68</v>
      </c>
      <c r="P43" s="411">
        <v>20</v>
      </c>
      <c r="Q43" s="276">
        <v>2</v>
      </c>
      <c r="R43" s="276">
        <v>8</v>
      </c>
      <c r="S43" s="279">
        <v>259</v>
      </c>
      <c r="T43" s="283">
        <v>42</v>
      </c>
      <c r="U43" s="279">
        <v>464</v>
      </c>
      <c r="V43" s="283">
        <v>74</v>
      </c>
      <c r="W43" s="279">
        <v>745</v>
      </c>
      <c r="X43" s="283">
        <v>117</v>
      </c>
      <c r="Y43" s="436">
        <f aca="true" t="shared" si="15" ref="Y43:Y74">SUM(S43+U43+W43)</f>
        <v>1468</v>
      </c>
      <c r="Z43" s="437">
        <f aca="true" t="shared" si="16" ref="Z43:Z74">T43+V43+X43</f>
        <v>233</v>
      </c>
      <c r="AA43" s="269">
        <f aca="true" t="shared" si="17" ref="AA43:AA74">IF(Y43&lt;&gt;0,Z43/Q43,"")</f>
        <v>116.5</v>
      </c>
      <c r="AB43" s="270">
        <f aca="true" t="shared" si="18" ref="AB43:AB74">IF(Y43&lt;&gt;0,Y43/Z43,"")</f>
        <v>6.3004291845493565</v>
      </c>
      <c r="AC43" s="277">
        <v>231</v>
      </c>
      <c r="AD43" s="272">
        <f aca="true" t="shared" si="19" ref="AD43:AD74">IF(AC43&lt;&gt;0,-(AC43-Y43)/AC43,"")</f>
        <v>5.354978354978355</v>
      </c>
      <c r="AE43" s="273">
        <f t="shared" si="8"/>
        <v>-1083</v>
      </c>
      <c r="AF43" s="269">
        <f t="shared" si="9"/>
        <v>-178</v>
      </c>
      <c r="AG43" s="321">
        <v>385</v>
      </c>
      <c r="AH43" s="322">
        <v>55</v>
      </c>
      <c r="AI43" s="272">
        <f t="shared" si="10"/>
        <v>4.236363636363636</v>
      </c>
      <c r="AJ43" s="272">
        <f t="shared" si="11"/>
        <v>-3.2363636363636363</v>
      </c>
      <c r="AK43" s="269">
        <f t="shared" si="12"/>
        <v>27.5</v>
      </c>
      <c r="AL43" s="270">
        <f t="shared" si="13"/>
        <v>7</v>
      </c>
      <c r="AM43" s="274">
        <v>4568</v>
      </c>
      <c r="AN43" s="272">
        <f t="shared" si="14"/>
        <v>-0.9157180385288967</v>
      </c>
      <c r="AO43" s="271">
        <v>392909</v>
      </c>
      <c r="AP43" s="284">
        <v>32011</v>
      </c>
      <c r="AQ43" s="275">
        <f aca="true" t="shared" si="20" ref="AQ43:AQ74">AO43/AP43</f>
        <v>12.274186998219362</v>
      </c>
      <c r="AR43" s="293">
        <v>40921</v>
      </c>
      <c r="AS43" s="333">
        <v>62</v>
      </c>
      <c r="AT43" s="62"/>
    </row>
    <row r="44" spans="1:46" s="10" customFormat="1" ht="13.5" customHeight="1">
      <c r="A44" s="219">
        <v>34</v>
      </c>
      <c r="B44" s="302"/>
      <c r="C44" s="241" t="s">
        <v>261</v>
      </c>
      <c r="D44" s="242"/>
      <c r="E44" s="242"/>
      <c r="F44" s="242"/>
      <c r="G44" s="242"/>
      <c r="H44" s="243"/>
      <c r="I44" s="251"/>
      <c r="J44" s="263" t="s">
        <v>117</v>
      </c>
      <c r="K44" s="65" t="s">
        <v>118</v>
      </c>
      <c r="L44" s="68" t="s">
        <v>95</v>
      </c>
      <c r="M44" s="68" t="s">
        <v>119</v>
      </c>
      <c r="N44" s="319">
        <v>40886</v>
      </c>
      <c r="O44" s="68" t="s">
        <v>10</v>
      </c>
      <c r="P44" s="411">
        <v>25</v>
      </c>
      <c r="Q44" s="278">
        <v>3</v>
      </c>
      <c r="R44" s="278">
        <v>6</v>
      </c>
      <c r="S44" s="289">
        <v>298</v>
      </c>
      <c r="T44" s="290">
        <v>34</v>
      </c>
      <c r="U44" s="289">
        <v>442</v>
      </c>
      <c r="V44" s="290">
        <v>51</v>
      </c>
      <c r="W44" s="289">
        <v>549</v>
      </c>
      <c r="X44" s="290">
        <v>62</v>
      </c>
      <c r="Y44" s="436">
        <f t="shared" si="15"/>
        <v>1289</v>
      </c>
      <c r="Z44" s="437">
        <f t="shared" si="16"/>
        <v>147</v>
      </c>
      <c r="AA44" s="269">
        <f t="shared" si="17"/>
        <v>49</v>
      </c>
      <c r="AB44" s="270">
        <f t="shared" si="18"/>
        <v>8.768707482993197</v>
      </c>
      <c r="AC44" s="279">
        <v>1931</v>
      </c>
      <c r="AD44" s="272">
        <f t="shared" si="19"/>
        <v>-0.3324702226825479</v>
      </c>
      <c r="AE44" s="273">
        <f t="shared" si="8"/>
        <v>1769</v>
      </c>
      <c r="AF44" s="269">
        <f t="shared" si="9"/>
        <v>633</v>
      </c>
      <c r="AG44" s="325">
        <v>3058</v>
      </c>
      <c r="AH44" s="326">
        <v>780</v>
      </c>
      <c r="AI44" s="272">
        <f t="shared" si="10"/>
        <v>0.18846153846153846</v>
      </c>
      <c r="AJ44" s="272">
        <f t="shared" si="11"/>
        <v>0.8115384615384615</v>
      </c>
      <c r="AK44" s="269">
        <f t="shared" si="12"/>
        <v>260</v>
      </c>
      <c r="AL44" s="270">
        <f t="shared" si="13"/>
        <v>3.9205128205128204</v>
      </c>
      <c r="AM44" s="274">
        <v>7798</v>
      </c>
      <c r="AN44" s="272">
        <f t="shared" si="14"/>
        <v>-0.6078481661964606</v>
      </c>
      <c r="AO44" s="289">
        <v>414592</v>
      </c>
      <c r="AP44" s="290">
        <v>33281</v>
      </c>
      <c r="AQ44" s="275">
        <f t="shared" si="20"/>
        <v>12.457317989243112</v>
      </c>
      <c r="AR44" s="293">
        <v>40921</v>
      </c>
      <c r="AS44" s="333">
        <v>33</v>
      </c>
      <c r="AT44" s="62"/>
    </row>
    <row r="45" spans="1:46" s="10" customFormat="1" ht="13.5" customHeight="1">
      <c r="A45" s="219">
        <v>35</v>
      </c>
      <c r="B45" s="302"/>
      <c r="C45" s="241" t="s">
        <v>261</v>
      </c>
      <c r="D45" s="255"/>
      <c r="E45" s="242"/>
      <c r="F45" s="242"/>
      <c r="G45" s="249" t="s">
        <v>292</v>
      </c>
      <c r="H45" s="242"/>
      <c r="I45" s="246"/>
      <c r="J45" s="247" t="s">
        <v>406</v>
      </c>
      <c r="K45" s="65" t="s">
        <v>83</v>
      </c>
      <c r="L45" s="72" t="s">
        <v>94</v>
      </c>
      <c r="M45" s="72" t="s">
        <v>411</v>
      </c>
      <c r="N45" s="315">
        <v>40844</v>
      </c>
      <c r="O45" s="68" t="s">
        <v>12</v>
      </c>
      <c r="P45" s="411">
        <v>41</v>
      </c>
      <c r="Q45" s="276">
        <v>1</v>
      </c>
      <c r="R45" s="276">
        <v>12</v>
      </c>
      <c r="S45" s="286">
        <v>86</v>
      </c>
      <c r="T45" s="287">
        <v>14</v>
      </c>
      <c r="U45" s="286">
        <v>399</v>
      </c>
      <c r="V45" s="287">
        <v>61</v>
      </c>
      <c r="W45" s="286">
        <v>271</v>
      </c>
      <c r="X45" s="287">
        <v>41</v>
      </c>
      <c r="Y45" s="436">
        <f t="shared" si="15"/>
        <v>756</v>
      </c>
      <c r="Z45" s="437">
        <f t="shared" si="16"/>
        <v>116</v>
      </c>
      <c r="AA45" s="269">
        <f t="shared" si="17"/>
        <v>116</v>
      </c>
      <c r="AB45" s="270">
        <f t="shared" si="18"/>
        <v>6.517241379310345</v>
      </c>
      <c r="AC45" s="277"/>
      <c r="AD45" s="272">
        <f t="shared" si="19"/>
      </c>
      <c r="AE45" s="273"/>
      <c r="AF45" s="269"/>
      <c r="AG45" s="292"/>
      <c r="AH45" s="291"/>
      <c r="AI45" s="272"/>
      <c r="AJ45" s="272"/>
      <c r="AK45" s="269"/>
      <c r="AL45" s="270"/>
      <c r="AM45" s="271"/>
      <c r="AN45" s="272"/>
      <c r="AO45" s="286">
        <v>512817</v>
      </c>
      <c r="AP45" s="287">
        <v>42030</v>
      </c>
      <c r="AQ45" s="275">
        <f t="shared" si="20"/>
        <v>12.201213418986438</v>
      </c>
      <c r="AR45" s="293">
        <v>40921</v>
      </c>
      <c r="AS45" s="333" t="s">
        <v>357</v>
      </c>
      <c r="AT45" s="62"/>
    </row>
    <row r="46" spans="1:46" s="10" customFormat="1" ht="13.5" customHeight="1">
      <c r="A46" s="219">
        <v>36</v>
      </c>
      <c r="B46" s="302"/>
      <c r="C46" s="241" t="s">
        <v>261</v>
      </c>
      <c r="D46" s="255"/>
      <c r="E46" s="261">
        <v>3</v>
      </c>
      <c r="F46" s="242"/>
      <c r="G46" s="242"/>
      <c r="H46" s="246"/>
      <c r="I46" s="246"/>
      <c r="J46" s="256" t="s">
        <v>147</v>
      </c>
      <c r="K46" s="68" t="s">
        <v>166</v>
      </c>
      <c r="L46" s="68" t="s">
        <v>99</v>
      </c>
      <c r="M46" s="68" t="s">
        <v>153</v>
      </c>
      <c r="N46" s="315">
        <v>40900</v>
      </c>
      <c r="O46" s="68" t="s">
        <v>52</v>
      </c>
      <c r="P46" s="413">
        <v>69</v>
      </c>
      <c r="Q46" s="278">
        <v>1</v>
      </c>
      <c r="R46" s="278">
        <v>4</v>
      </c>
      <c r="S46" s="289">
        <v>98</v>
      </c>
      <c r="T46" s="290">
        <v>14</v>
      </c>
      <c r="U46" s="289">
        <v>286.5</v>
      </c>
      <c r="V46" s="290">
        <v>33</v>
      </c>
      <c r="W46" s="289">
        <v>288.5</v>
      </c>
      <c r="X46" s="290">
        <v>32</v>
      </c>
      <c r="Y46" s="436">
        <f t="shared" si="15"/>
        <v>673</v>
      </c>
      <c r="Z46" s="437">
        <f t="shared" si="16"/>
        <v>79</v>
      </c>
      <c r="AA46" s="269">
        <f t="shared" si="17"/>
        <v>79</v>
      </c>
      <c r="AB46" s="270">
        <f t="shared" si="18"/>
        <v>8.518987341772151</v>
      </c>
      <c r="AC46" s="277">
        <v>2786</v>
      </c>
      <c r="AD46" s="272">
        <f t="shared" si="19"/>
        <v>-0.758435032304379</v>
      </c>
      <c r="AE46" s="273">
        <f aca="true" t="shared" si="21" ref="AE46:AF48">AG46-Y46</f>
        <v>3501</v>
      </c>
      <c r="AF46" s="269">
        <f t="shared" si="21"/>
        <v>271</v>
      </c>
      <c r="AG46" s="331">
        <v>4174</v>
      </c>
      <c r="AH46" s="431">
        <v>350</v>
      </c>
      <c r="AI46" s="272">
        <f>Z46*1/AH46</f>
        <v>0.2257142857142857</v>
      </c>
      <c r="AJ46" s="272">
        <f>AF46*1/AH46</f>
        <v>0.7742857142857142</v>
      </c>
      <c r="AK46" s="269">
        <f>AH46/Q46</f>
        <v>350</v>
      </c>
      <c r="AL46" s="270">
        <f>AG46/AH46</f>
        <v>11.925714285714285</v>
      </c>
      <c r="AM46" s="271">
        <v>100865</v>
      </c>
      <c r="AN46" s="272">
        <f>IF(AM46&lt;&gt;0,-(AM46-AG46)/AM46,"")</f>
        <v>-0.9586179546919149</v>
      </c>
      <c r="AO46" s="429">
        <v>352958</v>
      </c>
      <c r="AP46" s="288">
        <v>35272</v>
      </c>
      <c r="AQ46" s="275">
        <f t="shared" si="20"/>
        <v>10.006747561805398</v>
      </c>
      <c r="AR46" s="293">
        <v>40921</v>
      </c>
      <c r="AS46" s="333">
        <v>29</v>
      </c>
      <c r="AT46" s="62"/>
    </row>
    <row r="47" spans="1:46" s="10" customFormat="1" ht="13.5" customHeight="1">
      <c r="A47" s="219">
        <v>37</v>
      </c>
      <c r="B47" s="302"/>
      <c r="C47" s="241" t="s">
        <v>261</v>
      </c>
      <c r="D47" s="242"/>
      <c r="E47" s="242"/>
      <c r="F47" s="242"/>
      <c r="G47" s="242"/>
      <c r="H47" s="246"/>
      <c r="I47" s="265"/>
      <c r="J47" s="260" t="s">
        <v>135</v>
      </c>
      <c r="K47" s="65" t="s">
        <v>133</v>
      </c>
      <c r="L47" s="71" t="s">
        <v>99</v>
      </c>
      <c r="M47" s="69" t="s">
        <v>134</v>
      </c>
      <c r="N47" s="316">
        <v>40851</v>
      </c>
      <c r="O47" s="68" t="s">
        <v>52</v>
      </c>
      <c r="P47" s="414">
        <v>29</v>
      </c>
      <c r="Q47" s="278">
        <v>1</v>
      </c>
      <c r="R47" s="278">
        <v>9</v>
      </c>
      <c r="S47" s="289">
        <v>56</v>
      </c>
      <c r="T47" s="290">
        <v>7</v>
      </c>
      <c r="U47" s="289">
        <v>192</v>
      </c>
      <c r="V47" s="290">
        <v>24</v>
      </c>
      <c r="W47" s="289">
        <v>352</v>
      </c>
      <c r="X47" s="290">
        <v>44</v>
      </c>
      <c r="Y47" s="436">
        <f t="shared" si="15"/>
        <v>600</v>
      </c>
      <c r="Z47" s="437">
        <f t="shared" si="16"/>
        <v>75</v>
      </c>
      <c r="AA47" s="269">
        <f t="shared" si="17"/>
        <v>75</v>
      </c>
      <c r="AB47" s="270">
        <f t="shared" si="18"/>
        <v>8</v>
      </c>
      <c r="AC47" s="277">
        <v>205</v>
      </c>
      <c r="AD47" s="272">
        <f t="shared" si="19"/>
        <v>1.9268292682926829</v>
      </c>
      <c r="AE47" s="273">
        <f t="shared" si="21"/>
        <v>-275</v>
      </c>
      <c r="AF47" s="269">
        <f t="shared" si="21"/>
        <v>-10</v>
      </c>
      <c r="AG47" s="331">
        <v>325</v>
      </c>
      <c r="AH47" s="431">
        <v>65</v>
      </c>
      <c r="AI47" s="272">
        <f>Z47*1/AH47</f>
        <v>1.1538461538461537</v>
      </c>
      <c r="AJ47" s="272">
        <f>AF47*1/AH47</f>
        <v>-0.15384615384615385</v>
      </c>
      <c r="AK47" s="269">
        <f>AH47/Q47</f>
        <v>65</v>
      </c>
      <c r="AL47" s="270">
        <f>AG47/AH47</f>
        <v>5</v>
      </c>
      <c r="AM47" s="277">
        <v>391.5</v>
      </c>
      <c r="AN47" s="272">
        <f>IF(AM47&lt;&gt;0,-(AM47-AG47)/AM47,"")</f>
        <v>-0.1698595146871009</v>
      </c>
      <c r="AO47" s="429">
        <v>88695</v>
      </c>
      <c r="AP47" s="288">
        <v>9810</v>
      </c>
      <c r="AQ47" s="275">
        <f t="shared" si="20"/>
        <v>9.041284403669724</v>
      </c>
      <c r="AR47" s="293">
        <v>40921</v>
      </c>
      <c r="AS47" s="333">
        <v>66</v>
      </c>
      <c r="AT47" s="62"/>
    </row>
    <row r="48" spans="1:46" s="10" customFormat="1" ht="13.5" customHeight="1">
      <c r="A48" s="219">
        <v>38</v>
      </c>
      <c r="B48" s="302"/>
      <c r="C48" s="241" t="s">
        <v>261</v>
      </c>
      <c r="D48" s="242"/>
      <c r="E48" s="242"/>
      <c r="F48" s="242"/>
      <c r="G48" s="242"/>
      <c r="H48" s="246"/>
      <c r="I48" s="244" t="s">
        <v>54</v>
      </c>
      <c r="J48" s="256" t="s">
        <v>148</v>
      </c>
      <c r="K48" s="68" t="s">
        <v>112</v>
      </c>
      <c r="L48" s="68"/>
      <c r="M48" s="68" t="s">
        <v>148</v>
      </c>
      <c r="N48" s="315">
        <v>40900</v>
      </c>
      <c r="O48" s="68" t="s">
        <v>52</v>
      </c>
      <c r="P48" s="413">
        <v>14</v>
      </c>
      <c r="Q48" s="278">
        <v>5</v>
      </c>
      <c r="R48" s="278">
        <v>4</v>
      </c>
      <c r="S48" s="289">
        <v>180</v>
      </c>
      <c r="T48" s="290">
        <v>22</v>
      </c>
      <c r="U48" s="289">
        <v>221</v>
      </c>
      <c r="V48" s="290">
        <v>28</v>
      </c>
      <c r="W48" s="289">
        <v>188</v>
      </c>
      <c r="X48" s="290">
        <v>24</v>
      </c>
      <c r="Y48" s="436">
        <f t="shared" si="15"/>
        <v>589</v>
      </c>
      <c r="Z48" s="437">
        <f t="shared" si="16"/>
        <v>74</v>
      </c>
      <c r="AA48" s="269">
        <f t="shared" si="17"/>
        <v>14.8</v>
      </c>
      <c r="AB48" s="270">
        <f t="shared" si="18"/>
        <v>7.95945945945946</v>
      </c>
      <c r="AC48" s="277">
        <v>2895</v>
      </c>
      <c r="AD48" s="272">
        <f t="shared" si="19"/>
        <v>-0.796545768566494</v>
      </c>
      <c r="AE48" s="273">
        <f t="shared" si="21"/>
        <v>4188</v>
      </c>
      <c r="AF48" s="269">
        <f t="shared" si="21"/>
        <v>365</v>
      </c>
      <c r="AG48" s="331">
        <v>4777</v>
      </c>
      <c r="AH48" s="431">
        <v>439</v>
      </c>
      <c r="AI48" s="272">
        <f>Z48*1/AH48</f>
        <v>0.16856492027334852</v>
      </c>
      <c r="AJ48" s="272">
        <f>AF48*1/AH48</f>
        <v>0.8314350797266514</v>
      </c>
      <c r="AK48" s="269">
        <f>AH48/Q48</f>
        <v>87.8</v>
      </c>
      <c r="AL48" s="270">
        <f>AG48/AH48</f>
        <v>10.881548974943053</v>
      </c>
      <c r="AM48" s="271">
        <v>19458.5</v>
      </c>
      <c r="AN48" s="272">
        <f>IF(AM48&lt;&gt;0,-(AM48-AG48)/AM48,"")</f>
        <v>-0.7545031734203561</v>
      </c>
      <c r="AO48" s="429">
        <v>68673</v>
      </c>
      <c r="AP48" s="288">
        <v>6127</v>
      </c>
      <c r="AQ48" s="275">
        <f t="shared" si="20"/>
        <v>11.208258527827649</v>
      </c>
      <c r="AR48" s="293">
        <v>40921</v>
      </c>
      <c r="AS48" s="333">
        <v>27</v>
      </c>
      <c r="AT48" s="62"/>
    </row>
    <row r="49" spans="1:46" s="10" customFormat="1" ht="13.5" customHeight="1">
      <c r="A49" s="219">
        <v>39</v>
      </c>
      <c r="B49" s="302"/>
      <c r="C49" s="241" t="s">
        <v>261</v>
      </c>
      <c r="D49" s="252" t="s">
        <v>223</v>
      </c>
      <c r="E49" s="261">
        <v>3</v>
      </c>
      <c r="F49" s="248">
        <v>2</v>
      </c>
      <c r="G49" s="242"/>
      <c r="H49" s="242"/>
      <c r="I49" s="246"/>
      <c r="J49" s="247" t="s">
        <v>407</v>
      </c>
      <c r="K49" s="65" t="s">
        <v>91</v>
      </c>
      <c r="L49" s="72" t="s">
        <v>94</v>
      </c>
      <c r="M49" s="72" t="s">
        <v>410</v>
      </c>
      <c r="N49" s="315">
        <v>40802</v>
      </c>
      <c r="O49" s="68" t="s">
        <v>12</v>
      </c>
      <c r="P49" s="411">
        <v>139</v>
      </c>
      <c r="Q49" s="276">
        <v>1</v>
      </c>
      <c r="R49" s="276">
        <v>18</v>
      </c>
      <c r="S49" s="286">
        <v>171</v>
      </c>
      <c r="T49" s="287">
        <v>27</v>
      </c>
      <c r="U49" s="286">
        <v>171</v>
      </c>
      <c r="V49" s="287">
        <v>27</v>
      </c>
      <c r="W49" s="286">
        <v>171</v>
      </c>
      <c r="X49" s="287">
        <v>27</v>
      </c>
      <c r="Y49" s="436">
        <f t="shared" si="15"/>
        <v>513</v>
      </c>
      <c r="Z49" s="437">
        <f t="shared" si="16"/>
        <v>81</v>
      </c>
      <c r="AA49" s="269">
        <f t="shared" si="17"/>
        <v>81</v>
      </c>
      <c r="AB49" s="270">
        <f t="shared" si="18"/>
        <v>6.333333333333333</v>
      </c>
      <c r="AC49" s="277"/>
      <c r="AD49" s="272">
        <f t="shared" si="19"/>
      </c>
      <c r="AE49" s="273"/>
      <c r="AF49" s="269"/>
      <c r="AG49" s="292"/>
      <c r="AH49" s="291"/>
      <c r="AI49" s="272"/>
      <c r="AJ49" s="272"/>
      <c r="AK49" s="269"/>
      <c r="AL49" s="270"/>
      <c r="AM49" s="271"/>
      <c r="AN49" s="272"/>
      <c r="AO49" s="286">
        <v>866578</v>
      </c>
      <c r="AP49" s="287">
        <v>93463</v>
      </c>
      <c r="AQ49" s="275">
        <f t="shared" si="20"/>
        <v>9.27188299113018</v>
      </c>
      <c r="AR49" s="293">
        <v>40921</v>
      </c>
      <c r="AS49" s="333" t="s">
        <v>357</v>
      </c>
      <c r="AT49" s="62"/>
    </row>
    <row r="50" spans="1:46" s="10" customFormat="1" ht="13.5" customHeight="1">
      <c r="A50" s="219">
        <v>40</v>
      </c>
      <c r="B50" s="304"/>
      <c r="C50" s="241" t="s">
        <v>261</v>
      </c>
      <c r="D50" s="257"/>
      <c r="E50" s="257"/>
      <c r="F50" s="242"/>
      <c r="G50" s="257"/>
      <c r="H50" s="253" t="s">
        <v>55</v>
      </c>
      <c r="I50" s="244" t="s">
        <v>54</v>
      </c>
      <c r="J50" s="256" t="s">
        <v>74</v>
      </c>
      <c r="K50" s="71" t="s">
        <v>80</v>
      </c>
      <c r="L50" s="71"/>
      <c r="M50" s="71" t="s">
        <v>74</v>
      </c>
      <c r="N50" s="315">
        <v>40851</v>
      </c>
      <c r="O50" s="68" t="s">
        <v>53</v>
      </c>
      <c r="P50" s="416">
        <v>247</v>
      </c>
      <c r="Q50" s="285">
        <v>4</v>
      </c>
      <c r="R50" s="285">
        <v>11</v>
      </c>
      <c r="S50" s="286">
        <v>199</v>
      </c>
      <c r="T50" s="287">
        <v>24</v>
      </c>
      <c r="U50" s="286">
        <v>168</v>
      </c>
      <c r="V50" s="287">
        <v>22</v>
      </c>
      <c r="W50" s="286">
        <v>104</v>
      </c>
      <c r="X50" s="287">
        <v>14</v>
      </c>
      <c r="Y50" s="436">
        <f t="shared" si="15"/>
        <v>471</v>
      </c>
      <c r="Z50" s="437">
        <f t="shared" si="16"/>
        <v>60</v>
      </c>
      <c r="AA50" s="269">
        <f t="shared" si="17"/>
        <v>15</v>
      </c>
      <c r="AB50" s="270">
        <f t="shared" si="18"/>
        <v>7.85</v>
      </c>
      <c r="AC50" s="277">
        <v>10571</v>
      </c>
      <c r="AD50" s="272">
        <f t="shared" si="19"/>
        <v>-0.9554441396272821</v>
      </c>
      <c r="AE50" s="273">
        <f aca="true" t="shared" si="22" ref="AE50:AF52">AG50-Y50</f>
        <v>12655</v>
      </c>
      <c r="AF50" s="269">
        <f t="shared" si="22"/>
        <v>1915</v>
      </c>
      <c r="AG50" s="292">
        <v>13126</v>
      </c>
      <c r="AH50" s="291">
        <v>1975</v>
      </c>
      <c r="AI50" s="272">
        <f>Z50*1/AH50</f>
        <v>0.030379746835443037</v>
      </c>
      <c r="AJ50" s="272">
        <f>AF50*1/AH50</f>
        <v>0.9696202531645569</v>
      </c>
      <c r="AK50" s="269">
        <f>AH50/Q50</f>
        <v>493.75</v>
      </c>
      <c r="AL50" s="270">
        <f>AG50/AH50</f>
        <v>6.646075949367089</v>
      </c>
      <c r="AM50" s="271">
        <v>184428</v>
      </c>
      <c r="AN50" s="272">
        <f>IF(AM50&lt;&gt;0,-(AM50-AG50)/AM50,"")</f>
        <v>-0.9288285943566053</v>
      </c>
      <c r="AO50" s="286">
        <v>15643371.75</v>
      </c>
      <c r="AP50" s="287">
        <v>2221955</v>
      </c>
      <c r="AQ50" s="275">
        <f t="shared" si="20"/>
        <v>7.040363891257924</v>
      </c>
      <c r="AR50" s="293">
        <v>40921</v>
      </c>
      <c r="AS50" s="333">
        <v>18</v>
      </c>
      <c r="AT50" s="62"/>
    </row>
    <row r="51" spans="1:46" s="10" customFormat="1" ht="13.5" customHeight="1">
      <c r="A51" s="219">
        <v>41</v>
      </c>
      <c r="B51" s="302"/>
      <c r="C51" s="241" t="s">
        <v>261</v>
      </c>
      <c r="D51" s="242"/>
      <c r="E51" s="242"/>
      <c r="F51" s="242"/>
      <c r="G51" s="242"/>
      <c r="H51" s="246"/>
      <c r="I51" s="244" t="s">
        <v>54</v>
      </c>
      <c r="J51" s="260" t="s">
        <v>71</v>
      </c>
      <c r="K51" s="65" t="s">
        <v>82</v>
      </c>
      <c r="L51" s="65"/>
      <c r="M51" s="65" t="s">
        <v>71</v>
      </c>
      <c r="N51" s="316">
        <v>40858</v>
      </c>
      <c r="O51" s="68" t="s">
        <v>53</v>
      </c>
      <c r="P51" s="411">
        <v>130</v>
      </c>
      <c r="Q51" s="285">
        <v>10</v>
      </c>
      <c r="R51" s="285">
        <v>1</v>
      </c>
      <c r="S51" s="286">
        <v>84</v>
      </c>
      <c r="T51" s="287">
        <v>12</v>
      </c>
      <c r="U51" s="286">
        <v>178</v>
      </c>
      <c r="V51" s="287">
        <v>25</v>
      </c>
      <c r="W51" s="286">
        <v>200</v>
      </c>
      <c r="X51" s="287">
        <v>28</v>
      </c>
      <c r="Y51" s="436">
        <f t="shared" si="15"/>
        <v>462</v>
      </c>
      <c r="Z51" s="437">
        <f t="shared" si="16"/>
        <v>65</v>
      </c>
      <c r="AA51" s="269">
        <f t="shared" si="17"/>
        <v>6.5</v>
      </c>
      <c r="AB51" s="270">
        <f t="shared" si="18"/>
        <v>7.107692307692307</v>
      </c>
      <c r="AC51" s="277">
        <v>705</v>
      </c>
      <c r="AD51" s="272">
        <f t="shared" si="19"/>
        <v>-0.3446808510638298</v>
      </c>
      <c r="AE51" s="273">
        <f t="shared" si="22"/>
        <v>623</v>
      </c>
      <c r="AF51" s="269">
        <f t="shared" si="22"/>
        <v>114</v>
      </c>
      <c r="AG51" s="292">
        <v>1085</v>
      </c>
      <c r="AH51" s="291">
        <v>179</v>
      </c>
      <c r="AI51" s="272">
        <f>Z51*1/AH51</f>
        <v>0.36312849162011174</v>
      </c>
      <c r="AJ51" s="272">
        <f>AF51*1/AH51</f>
        <v>0.6368715083798883</v>
      </c>
      <c r="AK51" s="269">
        <f>AH51/Q51</f>
        <v>17.9</v>
      </c>
      <c r="AL51" s="270">
        <f>AG51/AH51</f>
        <v>6.06145251396648</v>
      </c>
      <c r="AM51" s="271">
        <v>8754</v>
      </c>
      <c r="AN51" s="272">
        <f>IF(AM51&lt;&gt;0,-(AM51-AG51)/AM51,"")</f>
        <v>-0.8760566598126571</v>
      </c>
      <c r="AO51" s="286">
        <v>1385267.5</v>
      </c>
      <c r="AP51" s="287">
        <v>145726</v>
      </c>
      <c r="AQ51" s="275">
        <f t="shared" si="20"/>
        <v>9.505973539382127</v>
      </c>
      <c r="AR51" s="293">
        <v>40921</v>
      </c>
      <c r="AS51" s="333">
        <v>51</v>
      </c>
      <c r="AT51" s="62"/>
    </row>
    <row r="52" spans="1:46" s="10" customFormat="1" ht="13.5" customHeight="1">
      <c r="A52" s="219">
        <v>42</v>
      </c>
      <c r="B52" s="302"/>
      <c r="C52" s="241" t="s">
        <v>261</v>
      </c>
      <c r="D52" s="242"/>
      <c r="E52" s="242"/>
      <c r="F52" s="242"/>
      <c r="G52" s="255"/>
      <c r="H52" s="253" t="s">
        <v>55</v>
      </c>
      <c r="I52" s="240"/>
      <c r="J52" s="247" t="s">
        <v>197</v>
      </c>
      <c r="K52" s="65" t="s">
        <v>209</v>
      </c>
      <c r="L52" s="72" t="s">
        <v>94</v>
      </c>
      <c r="M52" s="72" t="s">
        <v>201</v>
      </c>
      <c r="N52" s="315">
        <v>40823</v>
      </c>
      <c r="O52" s="68" t="s">
        <v>12</v>
      </c>
      <c r="P52" s="411">
        <v>105</v>
      </c>
      <c r="Q52" s="276">
        <v>1</v>
      </c>
      <c r="R52" s="276">
        <v>15</v>
      </c>
      <c r="S52" s="286">
        <v>133</v>
      </c>
      <c r="T52" s="287">
        <v>19</v>
      </c>
      <c r="U52" s="286">
        <v>238</v>
      </c>
      <c r="V52" s="287">
        <v>34</v>
      </c>
      <c r="W52" s="286">
        <v>70</v>
      </c>
      <c r="X52" s="287">
        <v>10</v>
      </c>
      <c r="Y52" s="436">
        <f t="shared" si="15"/>
        <v>441</v>
      </c>
      <c r="Z52" s="437">
        <f t="shared" si="16"/>
        <v>63</v>
      </c>
      <c r="AA52" s="269">
        <f t="shared" si="17"/>
        <v>63</v>
      </c>
      <c r="AB52" s="270">
        <f t="shared" si="18"/>
        <v>7</v>
      </c>
      <c r="AC52" s="277">
        <v>1730</v>
      </c>
      <c r="AD52" s="272">
        <f t="shared" si="19"/>
        <v>-0.7450867052023121</v>
      </c>
      <c r="AE52" s="273">
        <f t="shared" si="22"/>
        <v>2190</v>
      </c>
      <c r="AF52" s="269">
        <f t="shared" si="22"/>
        <v>328</v>
      </c>
      <c r="AG52" s="292">
        <v>2631</v>
      </c>
      <c r="AH52" s="291">
        <v>391</v>
      </c>
      <c r="AI52" s="272">
        <f>Z52*1/AH52</f>
        <v>0.16112531969309463</v>
      </c>
      <c r="AJ52" s="272">
        <f>AF52*1/AH52</f>
        <v>0.8388746803069054</v>
      </c>
      <c r="AK52" s="269">
        <f>AH52/Q52</f>
        <v>391</v>
      </c>
      <c r="AL52" s="270">
        <f>AG52/AH52</f>
        <v>6.728900255754476</v>
      </c>
      <c r="AM52" s="271">
        <v>781</v>
      </c>
      <c r="AN52" s="272">
        <f>IF(AM52&lt;&gt;0,-(AM52-AG52)/AM52,"")</f>
        <v>2.3687580025608193</v>
      </c>
      <c r="AO52" s="286">
        <v>1141557</v>
      </c>
      <c r="AP52" s="287">
        <v>122706</v>
      </c>
      <c r="AQ52" s="275">
        <f t="shared" si="20"/>
        <v>9.30318810816097</v>
      </c>
      <c r="AR52" s="293">
        <v>40921</v>
      </c>
      <c r="AS52" s="333">
        <v>36</v>
      </c>
      <c r="AT52" s="62"/>
    </row>
    <row r="53" spans="1:46" s="10" customFormat="1" ht="13.5" customHeight="1">
      <c r="A53" s="219">
        <v>43</v>
      </c>
      <c r="B53" s="302"/>
      <c r="C53" s="241" t="s">
        <v>261</v>
      </c>
      <c r="D53" s="255"/>
      <c r="E53" s="242"/>
      <c r="F53" s="242"/>
      <c r="G53" s="242"/>
      <c r="H53" s="242"/>
      <c r="I53" s="246"/>
      <c r="J53" s="247" t="s">
        <v>408</v>
      </c>
      <c r="K53" s="65" t="s">
        <v>83</v>
      </c>
      <c r="L53" s="72" t="s">
        <v>94</v>
      </c>
      <c r="M53" s="72" t="s">
        <v>409</v>
      </c>
      <c r="N53" s="315">
        <v>40851</v>
      </c>
      <c r="O53" s="68" t="s">
        <v>12</v>
      </c>
      <c r="P53" s="411">
        <v>72</v>
      </c>
      <c r="Q53" s="276">
        <v>1</v>
      </c>
      <c r="R53" s="276">
        <v>11</v>
      </c>
      <c r="S53" s="286">
        <v>60</v>
      </c>
      <c r="T53" s="287">
        <v>10</v>
      </c>
      <c r="U53" s="286">
        <v>144</v>
      </c>
      <c r="V53" s="287">
        <v>24</v>
      </c>
      <c r="W53" s="286">
        <v>126</v>
      </c>
      <c r="X53" s="287">
        <v>21</v>
      </c>
      <c r="Y53" s="436">
        <f t="shared" si="15"/>
        <v>330</v>
      </c>
      <c r="Z53" s="437">
        <f t="shared" si="16"/>
        <v>55</v>
      </c>
      <c r="AA53" s="269">
        <f t="shared" si="17"/>
        <v>55</v>
      </c>
      <c r="AB53" s="270">
        <f t="shared" si="18"/>
        <v>6</v>
      </c>
      <c r="AC53" s="277"/>
      <c r="AD53" s="272">
        <f t="shared" si="19"/>
      </c>
      <c r="AE53" s="273"/>
      <c r="AF53" s="269"/>
      <c r="AG53" s="292"/>
      <c r="AH53" s="291"/>
      <c r="AI53" s="272"/>
      <c r="AJ53" s="272"/>
      <c r="AK53" s="269"/>
      <c r="AL53" s="270"/>
      <c r="AM53" s="271"/>
      <c r="AN53" s="272"/>
      <c r="AO53" s="286">
        <v>1116092</v>
      </c>
      <c r="AP53" s="287">
        <v>103153</v>
      </c>
      <c r="AQ53" s="275">
        <f t="shared" si="20"/>
        <v>10.819772570841371</v>
      </c>
      <c r="AR53" s="293">
        <v>40921</v>
      </c>
      <c r="AS53" s="333" t="s">
        <v>357</v>
      </c>
      <c r="AT53" s="62"/>
    </row>
    <row r="54" spans="1:46" s="10" customFormat="1" ht="13.5" customHeight="1">
      <c r="A54" s="219">
        <v>44</v>
      </c>
      <c r="B54" s="302"/>
      <c r="C54" s="241" t="s">
        <v>261</v>
      </c>
      <c r="D54" s="242"/>
      <c r="E54" s="242"/>
      <c r="F54" s="242"/>
      <c r="G54" s="242"/>
      <c r="H54" s="246"/>
      <c r="I54" s="244" t="s">
        <v>54</v>
      </c>
      <c r="J54" s="250" t="s">
        <v>73</v>
      </c>
      <c r="K54" s="67" t="s">
        <v>87</v>
      </c>
      <c r="L54" s="67"/>
      <c r="M54" s="67" t="s">
        <v>73</v>
      </c>
      <c r="N54" s="315">
        <v>40858</v>
      </c>
      <c r="O54" s="68" t="s">
        <v>68</v>
      </c>
      <c r="P54" s="411">
        <v>32</v>
      </c>
      <c r="Q54" s="276">
        <v>2</v>
      </c>
      <c r="R54" s="276">
        <v>10</v>
      </c>
      <c r="S54" s="279">
        <v>36</v>
      </c>
      <c r="T54" s="283">
        <v>6</v>
      </c>
      <c r="U54" s="279">
        <v>92</v>
      </c>
      <c r="V54" s="283">
        <v>14</v>
      </c>
      <c r="W54" s="279">
        <v>189</v>
      </c>
      <c r="X54" s="283">
        <v>26</v>
      </c>
      <c r="Y54" s="436">
        <f t="shared" si="15"/>
        <v>317</v>
      </c>
      <c r="Z54" s="437">
        <f t="shared" si="16"/>
        <v>46</v>
      </c>
      <c r="AA54" s="269">
        <f t="shared" si="17"/>
        <v>23</v>
      </c>
      <c r="AB54" s="270">
        <f t="shared" si="18"/>
        <v>6.891304347826087</v>
      </c>
      <c r="AC54" s="277">
        <v>513</v>
      </c>
      <c r="AD54" s="272">
        <f t="shared" si="19"/>
        <v>-0.3820662768031189</v>
      </c>
      <c r="AE54" s="273">
        <f aca="true" t="shared" si="23" ref="AE54:AF57">AG54-Y54</f>
        <v>620</v>
      </c>
      <c r="AF54" s="269">
        <f t="shared" si="23"/>
        <v>119</v>
      </c>
      <c r="AG54" s="321">
        <v>937</v>
      </c>
      <c r="AH54" s="322">
        <v>165</v>
      </c>
      <c r="AI54" s="272">
        <f>Z54*1/AH54</f>
        <v>0.2787878787878788</v>
      </c>
      <c r="AJ54" s="272">
        <f>AF54*1/AH54</f>
        <v>0.7212121212121212</v>
      </c>
      <c r="AK54" s="269">
        <f>AH54/Q54</f>
        <v>82.5</v>
      </c>
      <c r="AL54" s="270">
        <f>AG54/AH54</f>
        <v>5.678787878787879</v>
      </c>
      <c r="AM54" s="274">
        <v>5519</v>
      </c>
      <c r="AN54" s="272">
        <f>IF(AM54&lt;&gt;0,-(AM54-AG54)/AM54,"")</f>
        <v>-0.8302228664613155</v>
      </c>
      <c r="AO54" s="271">
        <v>276106.5</v>
      </c>
      <c r="AP54" s="284">
        <v>32911</v>
      </c>
      <c r="AQ54" s="275">
        <f t="shared" si="20"/>
        <v>8.389489836224971</v>
      </c>
      <c r="AR54" s="293">
        <v>40921</v>
      </c>
      <c r="AS54" s="333">
        <v>53</v>
      </c>
      <c r="AT54" s="62"/>
    </row>
    <row r="55" spans="1:46" s="10" customFormat="1" ht="13.5" customHeight="1">
      <c r="A55" s="219">
        <v>45</v>
      </c>
      <c r="B55" s="302"/>
      <c r="C55" s="241" t="s">
        <v>261</v>
      </c>
      <c r="D55" s="242"/>
      <c r="E55" s="242"/>
      <c r="F55" s="242"/>
      <c r="G55" s="242"/>
      <c r="H55" s="246"/>
      <c r="I55" s="262"/>
      <c r="J55" s="256" t="s">
        <v>168</v>
      </c>
      <c r="K55" s="65" t="s">
        <v>171</v>
      </c>
      <c r="L55" s="71" t="s">
        <v>99</v>
      </c>
      <c r="M55" s="69" t="s">
        <v>172</v>
      </c>
      <c r="N55" s="315">
        <v>40830</v>
      </c>
      <c r="O55" s="68" t="s">
        <v>52</v>
      </c>
      <c r="P55" s="413">
        <v>24</v>
      </c>
      <c r="Q55" s="278">
        <v>1</v>
      </c>
      <c r="R55" s="278">
        <v>8</v>
      </c>
      <c r="S55" s="289">
        <v>72</v>
      </c>
      <c r="T55" s="290">
        <v>12</v>
      </c>
      <c r="U55" s="289">
        <v>150</v>
      </c>
      <c r="V55" s="290">
        <v>25</v>
      </c>
      <c r="W55" s="289">
        <v>54</v>
      </c>
      <c r="X55" s="290">
        <v>9</v>
      </c>
      <c r="Y55" s="436">
        <f t="shared" si="15"/>
        <v>276</v>
      </c>
      <c r="Z55" s="437">
        <f t="shared" si="16"/>
        <v>46</v>
      </c>
      <c r="AA55" s="269">
        <f t="shared" si="17"/>
        <v>46</v>
      </c>
      <c r="AB55" s="270">
        <f t="shared" si="18"/>
        <v>6</v>
      </c>
      <c r="AC55" s="277">
        <v>1442.5</v>
      </c>
      <c r="AD55" s="272">
        <f t="shared" si="19"/>
        <v>-0.8086655112651646</v>
      </c>
      <c r="AE55" s="273">
        <f t="shared" si="23"/>
        <v>1499</v>
      </c>
      <c r="AF55" s="269">
        <f t="shared" si="23"/>
        <v>158</v>
      </c>
      <c r="AG55" s="324">
        <v>1775</v>
      </c>
      <c r="AH55" s="323">
        <v>204</v>
      </c>
      <c r="AI55" s="272">
        <f>Z55*1/AH55</f>
        <v>0.22549019607843138</v>
      </c>
      <c r="AJ55" s="272">
        <f>AF55*1/AH55</f>
        <v>0.7745098039215687</v>
      </c>
      <c r="AK55" s="269">
        <f>AH55/Q55</f>
        <v>204</v>
      </c>
      <c r="AL55" s="270">
        <f>AG55/AH55</f>
        <v>8.700980392156863</v>
      </c>
      <c r="AM55" s="277"/>
      <c r="AN55" s="272">
        <f>IF(AM55&lt;&gt;0,-(AM55-AG55)/AM55,"")</f>
      </c>
      <c r="AO55" s="429">
        <v>56035</v>
      </c>
      <c r="AP55" s="288">
        <v>5541</v>
      </c>
      <c r="AQ55" s="275">
        <f t="shared" si="20"/>
        <v>10.112795524273597</v>
      </c>
      <c r="AR55" s="293">
        <v>40921</v>
      </c>
      <c r="AS55" s="333" t="s">
        <v>357</v>
      </c>
      <c r="AT55" s="406"/>
    </row>
    <row r="56" spans="1:45" s="10" customFormat="1" ht="13.5" customHeight="1">
      <c r="A56" s="219">
        <v>46</v>
      </c>
      <c r="B56" s="302"/>
      <c r="C56" s="241" t="s">
        <v>261</v>
      </c>
      <c r="D56" s="257"/>
      <c r="E56" s="257"/>
      <c r="F56" s="242"/>
      <c r="G56" s="257"/>
      <c r="H56" s="246"/>
      <c r="I56" s="246"/>
      <c r="J56" s="245" t="s">
        <v>291</v>
      </c>
      <c r="K56" s="70" t="s">
        <v>296</v>
      </c>
      <c r="L56" s="68" t="s">
        <v>260</v>
      </c>
      <c r="M56" s="70" t="s">
        <v>295</v>
      </c>
      <c r="N56" s="315">
        <v>40830</v>
      </c>
      <c r="O56" s="68" t="s">
        <v>10</v>
      </c>
      <c r="P56" s="413">
        <v>62</v>
      </c>
      <c r="Q56" s="278">
        <v>1</v>
      </c>
      <c r="R56" s="278">
        <v>13</v>
      </c>
      <c r="S56" s="289">
        <v>24</v>
      </c>
      <c r="T56" s="290">
        <v>4</v>
      </c>
      <c r="U56" s="289">
        <v>96</v>
      </c>
      <c r="V56" s="290">
        <v>16</v>
      </c>
      <c r="W56" s="289">
        <v>120</v>
      </c>
      <c r="X56" s="290">
        <v>20</v>
      </c>
      <c r="Y56" s="436">
        <f t="shared" si="15"/>
        <v>240</v>
      </c>
      <c r="Z56" s="437">
        <f t="shared" si="16"/>
        <v>40</v>
      </c>
      <c r="AA56" s="269">
        <f t="shared" si="17"/>
        <v>40</v>
      </c>
      <c r="AB56" s="270">
        <f t="shared" si="18"/>
        <v>6</v>
      </c>
      <c r="AC56" s="277">
        <v>906</v>
      </c>
      <c r="AD56" s="272">
        <f t="shared" si="19"/>
        <v>-0.7350993377483444</v>
      </c>
      <c r="AE56" s="273">
        <f t="shared" si="23"/>
        <v>1370</v>
      </c>
      <c r="AF56" s="269">
        <f t="shared" si="23"/>
        <v>209</v>
      </c>
      <c r="AG56" s="325">
        <v>1610</v>
      </c>
      <c r="AH56" s="326">
        <v>249</v>
      </c>
      <c r="AI56" s="272">
        <f>Z56*1/AH56</f>
        <v>0.1606425702811245</v>
      </c>
      <c r="AJ56" s="272">
        <f>AF56*1/AH56</f>
        <v>0.8393574297188755</v>
      </c>
      <c r="AK56" s="269">
        <f>AH56/Q56</f>
        <v>249</v>
      </c>
      <c r="AL56" s="270">
        <f>AG56/AH56</f>
        <v>6.465863453815261</v>
      </c>
      <c r="AM56" s="274">
        <v>1190</v>
      </c>
      <c r="AN56" s="272">
        <f>IF(AM56&lt;&gt;0,-(AM56-AG56)/AM56,"")</f>
        <v>0.35294117647058826</v>
      </c>
      <c r="AO56" s="289">
        <v>1595940</v>
      </c>
      <c r="AP56" s="290">
        <v>149915</v>
      </c>
      <c r="AQ56" s="275">
        <f t="shared" si="20"/>
        <v>10.645632525097556</v>
      </c>
      <c r="AR56" s="293">
        <v>40921</v>
      </c>
      <c r="AS56" s="333">
        <v>45</v>
      </c>
    </row>
    <row r="57" spans="1:45" s="10" customFormat="1" ht="13.5" customHeight="1">
      <c r="A57" s="219">
        <v>47</v>
      </c>
      <c r="B57" s="302"/>
      <c r="C57" s="241" t="s">
        <v>261</v>
      </c>
      <c r="D57" s="252" t="s">
        <v>223</v>
      </c>
      <c r="E57" s="255"/>
      <c r="F57" s="242"/>
      <c r="G57" s="249" t="s">
        <v>292</v>
      </c>
      <c r="H57" s="253" t="s">
        <v>55</v>
      </c>
      <c r="I57" s="246"/>
      <c r="J57" s="264" t="s">
        <v>49</v>
      </c>
      <c r="K57" s="66" t="s">
        <v>92</v>
      </c>
      <c r="L57" s="66" t="s">
        <v>94</v>
      </c>
      <c r="M57" s="69" t="s">
        <v>59</v>
      </c>
      <c r="N57" s="315">
        <v>40774</v>
      </c>
      <c r="O57" s="68" t="s">
        <v>12</v>
      </c>
      <c r="P57" s="411">
        <v>123</v>
      </c>
      <c r="Q57" s="276">
        <v>2</v>
      </c>
      <c r="R57" s="276">
        <v>22</v>
      </c>
      <c r="S57" s="286">
        <v>52</v>
      </c>
      <c r="T57" s="287">
        <v>13</v>
      </c>
      <c r="U57" s="286">
        <v>24</v>
      </c>
      <c r="V57" s="287">
        <v>6</v>
      </c>
      <c r="W57" s="286">
        <v>99</v>
      </c>
      <c r="X57" s="287">
        <v>24</v>
      </c>
      <c r="Y57" s="436">
        <f t="shared" si="15"/>
        <v>175</v>
      </c>
      <c r="Z57" s="437">
        <f t="shared" si="16"/>
        <v>43</v>
      </c>
      <c r="AA57" s="269">
        <f t="shared" si="17"/>
        <v>21.5</v>
      </c>
      <c r="AB57" s="270">
        <f t="shared" si="18"/>
        <v>4.069767441860465</v>
      </c>
      <c r="AC57" s="277">
        <v>574</v>
      </c>
      <c r="AD57" s="272">
        <f t="shared" si="19"/>
        <v>-0.6951219512195121</v>
      </c>
      <c r="AE57" s="273">
        <f t="shared" si="23"/>
        <v>609</v>
      </c>
      <c r="AF57" s="269">
        <f t="shared" si="23"/>
        <v>110</v>
      </c>
      <c r="AG57" s="292">
        <v>784</v>
      </c>
      <c r="AH57" s="291">
        <v>153</v>
      </c>
      <c r="AI57" s="272">
        <f>Z57*1/AH57</f>
        <v>0.28104575163398693</v>
      </c>
      <c r="AJ57" s="272">
        <f>AF57*1/AH57</f>
        <v>0.7189542483660131</v>
      </c>
      <c r="AK57" s="269">
        <f>AH57/Q57</f>
        <v>76.5</v>
      </c>
      <c r="AL57" s="270">
        <f>AG57/AH57</f>
        <v>5.124183006535947</v>
      </c>
      <c r="AM57" s="271">
        <v>2279</v>
      </c>
      <c r="AN57" s="272">
        <f>IF(AM57&lt;&gt;0,-(AM57-AG57)/AM57,"")</f>
        <v>-0.6559894690653796</v>
      </c>
      <c r="AO57" s="286">
        <v>7025344</v>
      </c>
      <c r="AP57" s="287">
        <v>688316</v>
      </c>
      <c r="AQ57" s="275">
        <f t="shared" si="20"/>
        <v>10.20656791357458</v>
      </c>
      <c r="AR57" s="293">
        <v>40921</v>
      </c>
      <c r="AS57" s="333">
        <v>55</v>
      </c>
    </row>
    <row r="58" spans="1:45" s="10" customFormat="1" ht="13.5" customHeight="1">
      <c r="A58" s="219">
        <v>48</v>
      </c>
      <c r="B58" s="440"/>
      <c r="C58" s="241" t="s">
        <v>261</v>
      </c>
      <c r="D58" s="258"/>
      <c r="E58" s="258"/>
      <c r="F58" s="242"/>
      <c r="G58" s="258"/>
      <c r="H58" s="246"/>
      <c r="I58" s="254"/>
      <c r="J58" s="263" t="s">
        <v>399</v>
      </c>
      <c r="K58" s="65" t="s">
        <v>398</v>
      </c>
      <c r="L58" s="68" t="s">
        <v>248</v>
      </c>
      <c r="M58" s="68" t="s">
        <v>400</v>
      </c>
      <c r="N58" s="315">
        <v>40893</v>
      </c>
      <c r="O58" s="68" t="s">
        <v>332</v>
      </c>
      <c r="P58" s="411">
        <v>8</v>
      </c>
      <c r="Q58" s="276">
        <v>1</v>
      </c>
      <c r="R58" s="276">
        <v>3</v>
      </c>
      <c r="S58" s="271">
        <v>64</v>
      </c>
      <c r="T58" s="288">
        <v>8</v>
      </c>
      <c r="U58" s="271">
        <v>0</v>
      </c>
      <c r="V58" s="288">
        <v>0</v>
      </c>
      <c r="W58" s="271">
        <v>33</v>
      </c>
      <c r="X58" s="288">
        <v>4</v>
      </c>
      <c r="Y58" s="436">
        <f t="shared" si="15"/>
        <v>97</v>
      </c>
      <c r="Z58" s="437">
        <f t="shared" si="16"/>
        <v>12</v>
      </c>
      <c r="AA58" s="269">
        <f t="shared" si="17"/>
        <v>12</v>
      </c>
      <c r="AB58" s="270">
        <f t="shared" si="18"/>
        <v>8.083333333333334</v>
      </c>
      <c r="AC58" s="279"/>
      <c r="AD58" s="272">
        <f t="shared" si="19"/>
      </c>
      <c r="AE58" s="273"/>
      <c r="AF58" s="269"/>
      <c r="AG58" s="329"/>
      <c r="AH58" s="330"/>
      <c r="AI58" s="272"/>
      <c r="AJ58" s="272"/>
      <c r="AK58" s="269"/>
      <c r="AL58" s="270"/>
      <c r="AM58" s="274"/>
      <c r="AN58" s="272"/>
      <c r="AO58" s="271">
        <v>24528</v>
      </c>
      <c r="AP58" s="288">
        <v>1908</v>
      </c>
      <c r="AQ58" s="275">
        <f t="shared" si="20"/>
        <v>12.855345911949685</v>
      </c>
      <c r="AR58" s="293">
        <v>40921</v>
      </c>
      <c r="AS58" s="333" t="s">
        <v>357</v>
      </c>
    </row>
    <row r="59" spans="1:45" s="10" customFormat="1" ht="13.5" customHeight="1">
      <c r="A59" s="219">
        <v>49</v>
      </c>
      <c r="B59" s="302"/>
      <c r="C59" s="241" t="s">
        <v>261</v>
      </c>
      <c r="D59" s="242"/>
      <c r="E59" s="242"/>
      <c r="F59" s="242"/>
      <c r="G59" s="242"/>
      <c r="H59" s="246"/>
      <c r="I59" s="244" t="s">
        <v>54</v>
      </c>
      <c r="J59" s="260" t="s">
        <v>304</v>
      </c>
      <c r="K59" s="65" t="s">
        <v>112</v>
      </c>
      <c r="L59" s="65"/>
      <c r="M59" s="69" t="s">
        <v>111</v>
      </c>
      <c r="N59" s="315">
        <v>40886</v>
      </c>
      <c r="O59" s="68" t="s">
        <v>52</v>
      </c>
      <c r="P59" s="414">
        <v>8</v>
      </c>
      <c r="Q59" s="278">
        <v>1</v>
      </c>
      <c r="R59" s="278">
        <v>5</v>
      </c>
      <c r="S59" s="289">
        <v>18</v>
      </c>
      <c r="T59" s="290">
        <v>3</v>
      </c>
      <c r="U59" s="289">
        <v>72</v>
      </c>
      <c r="V59" s="290">
        <v>12</v>
      </c>
      <c r="W59" s="289">
        <v>6</v>
      </c>
      <c r="X59" s="290">
        <v>1</v>
      </c>
      <c r="Y59" s="436">
        <f t="shared" si="15"/>
        <v>96</v>
      </c>
      <c r="Z59" s="437">
        <f t="shared" si="16"/>
        <v>16</v>
      </c>
      <c r="AA59" s="269">
        <f t="shared" si="17"/>
        <v>16</v>
      </c>
      <c r="AB59" s="270">
        <f t="shared" si="18"/>
        <v>6</v>
      </c>
      <c r="AC59" s="277">
        <v>959</v>
      </c>
      <c r="AD59" s="272">
        <f t="shared" si="19"/>
        <v>-0.899895724713243</v>
      </c>
      <c r="AE59" s="273">
        <f aca="true" t="shared" si="24" ref="AE59:AE90">AG59-Y59</f>
        <v>1766</v>
      </c>
      <c r="AF59" s="269">
        <f aca="true" t="shared" si="25" ref="AF59:AF90">AH59-Z59</f>
        <v>225</v>
      </c>
      <c r="AG59" s="324">
        <v>1862</v>
      </c>
      <c r="AH59" s="323">
        <v>241</v>
      </c>
      <c r="AI59" s="272">
        <f aca="true" t="shared" si="26" ref="AI59:AI90">Z59*1/AH59</f>
        <v>0.06639004149377593</v>
      </c>
      <c r="AJ59" s="272">
        <f aca="true" t="shared" si="27" ref="AJ59:AJ90">AF59*1/AH59</f>
        <v>0.9336099585062241</v>
      </c>
      <c r="AK59" s="269">
        <f aca="true" t="shared" si="28" ref="AK59:AK90">AH59/Q59</f>
        <v>241</v>
      </c>
      <c r="AL59" s="270">
        <f aca="true" t="shared" si="29" ref="AL59:AL90">AG59/AH59</f>
        <v>7.726141078838174</v>
      </c>
      <c r="AM59" s="277">
        <v>695</v>
      </c>
      <c r="AN59" s="272">
        <f aca="true" t="shared" si="30" ref="AN59:AN103">IF(AM59&lt;&gt;0,-(AM59-AG59)/AM59,"")</f>
        <v>1.679136690647482</v>
      </c>
      <c r="AO59" s="429">
        <v>19190</v>
      </c>
      <c r="AP59" s="288">
        <v>2459</v>
      </c>
      <c r="AQ59" s="275">
        <f t="shared" si="20"/>
        <v>7.803985359902399</v>
      </c>
      <c r="AR59" s="293">
        <v>40921</v>
      </c>
      <c r="AS59" s="333" t="s">
        <v>357</v>
      </c>
    </row>
    <row r="60" spans="1:45" s="10" customFormat="1" ht="13.5" customHeight="1">
      <c r="A60" s="219">
        <v>50</v>
      </c>
      <c r="B60" s="304"/>
      <c r="C60" s="241" t="s">
        <v>261</v>
      </c>
      <c r="D60" s="257"/>
      <c r="E60" s="261">
        <v>3</v>
      </c>
      <c r="F60" s="242"/>
      <c r="G60" s="249" t="s">
        <v>292</v>
      </c>
      <c r="H60" s="240"/>
      <c r="I60" s="254"/>
      <c r="J60" s="263" t="s">
        <v>57</v>
      </c>
      <c r="K60" s="65" t="s">
        <v>97</v>
      </c>
      <c r="L60" s="68" t="s">
        <v>95</v>
      </c>
      <c r="M60" s="68" t="s">
        <v>58</v>
      </c>
      <c r="N60" s="316">
        <v>40795</v>
      </c>
      <c r="O60" s="68" t="s">
        <v>10</v>
      </c>
      <c r="P60" s="416">
        <v>142</v>
      </c>
      <c r="Q60" s="278">
        <v>1</v>
      </c>
      <c r="R60" s="278">
        <v>19</v>
      </c>
      <c r="S60" s="289">
        <v>30</v>
      </c>
      <c r="T60" s="290">
        <v>5</v>
      </c>
      <c r="U60" s="289">
        <v>24</v>
      </c>
      <c r="V60" s="290">
        <v>4</v>
      </c>
      <c r="W60" s="289">
        <v>24</v>
      </c>
      <c r="X60" s="290">
        <v>4</v>
      </c>
      <c r="Y60" s="436">
        <f t="shared" si="15"/>
        <v>78</v>
      </c>
      <c r="Z60" s="437">
        <f t="shared" si="16"/>
        <v>13</v>
      </c>
      <c r="AA60" s="269">
        <f t="shared" si="17"/>
        <v>13</v>
      </c>
      <c r="AB60" s="270">
        <f t="shared" si="18"/>
        <v>6</v>
      </c>
      <c r="AC60" s="277">
        <v>2376</v>
      </c>
      <c r="AD60" s="272">
        <f t="shared" si="19"/>
        <v>-0.9671717171717171</v>
      </c>
      <c r="AE60" s="273">
        <f t="shared" si="24"/>
        <v>3352</v>
      </c>
      <c r="AF60" s="269">
        <f t="shared" si="25"/>
        <v>372</v>
      </c>
      <c r="AG60" s="325">
        <v>3430</v>
      </c>
      <c r="AH60" s="326">
        <v>385</v>
      </c>
      <c r="AI60" s="272">
        <f t="shared" si="26"/>
        <v>0.033766233766233764</v>
      </c>
      <c r="AJ60" s="272">
        <f t="shared" si="27"/>
        <v>0.9662337662337662</v>
      </c>
      <c r="AK60" s="269">
        <f t="shared" si="28"/>
        <v>385</v>
      </c>
      <c r="AL60" s="270">
        <f t="shared" si="29"/>
        <v>8.909090909090908</v>
      </c>
      <c r="AM60" s="274">
        <v>948</v>
      </c>
      <c r="AN60" s="272">
        <f t="shared" si="30"/>
        <v>2.6181434599156117</v>
      </c>
      <c r="AO60" s="289">
        <v>4017123</v>
      </c>
      <c r="AP60" s="290">
        <v>390860</v>
      </c>
      <c r="AQ60" s="275">
        <f t="shared" si="20"/>
        <v>10.277651844650258</v>
      </c>
      <c r="AR60" s="293">
        <v>40921</v>
      </c>
      <c r="AS60" s="333">
        <v>31</v>
      </c>
    </row>
    <row r="61" spans="1:45" s="10" customFormat="1" ht="13.5" customHeight="1">
      <c r="A61" s="219">
        <v>51</v>
      </c>
      <c r="B61" s="302"/>
      <c r="C61" s="241" t="s">
        <v>261</v>
      </c>
      <c r="D61" s="242"/>
      <c r="E61" s="242"/>
      <c r="F61" s="242"/>
      <c r="G61" s="242"/>
      <c r="H61" s="246"/>
      <c r="I61" s="244" t="s">
        <v>54</v>
      </c>
      <c r="J61" s="256" t="s">
        <v>77</v>
      </c>
      <c r="K61" s="68" t="s">
        <v>188</v>
      </c>
      <c r="L61" s="68"/>
      <c r="M61" s="68" t="s">
        <v>173</v>
      </c>
      <c r="N61" s="315">
        <v>40865</v>
      </c>
      <c r="O61" s="68" t="s">
        <v>52</v>
      </c>
      <c r="P61" s="413">
        <v>64</v>
      </c>
      <c r="Q61" s="278">
        <v>1</v>
      </c>
      <c r="R61" s="278">
        <v>9</v>
      </c>
      <c r="S61" s="289">
        <v>0</v>
      </c>
      <c r="T61" s="290">
        <v>0</v>
      </c>
      <c r="U61" s="289">
        <v>37</v>
      </c>
      <c r="V61" s="290">
        <v>6</v>
      </c>
      <c r="W61" s="289">
        <v>37</v>
      </c>
      <c r="X61" s="290">
        <v>6</v>
      </c>
      <c r="Y61" s="436">
        <f t="shared" si="15"/>
        <v>74</v>
      </c>
      <c r="Z61" s="437">
        <f t="shared" si="16"/>
        <v>12</v>
      </c>
      <c r="AA61" s="269">
        <f t="shared" si="17"/>
        <v>12</v>
      </c>
      <c r="AB61" s="270">
        <f t="shared" si="18"/>
        <v>6.166666666666667</v>
      </c>
      <c r="AC61" s="277">
        <v>897</v>
      </c>
      <c r="AD61" s="272">
        <f t="shared" si="19"/>
        <v>-0.9175027870680045</v>
      </c>
      <c r="AE61" s="273">
        <f t="shared" si="24"/>
        <v>1911</v>
      </c>
      <c r="AF61" s="269">
        <f t="shared" si="25"/>
        <v>340</v>
      </c>
      <c r="AG61" s="331">
        <v>1985</v>
      </c>
      <c r="AH61" s="431">
        <v>352</v>
      </c>
      <c r="AI61" s="272">
        <f t="shared" si="26"/>
        <v>0.03409090909090909</v>
      </c>
      <c r="AJ61" s="272">
        <f t="shared" si="27"/>
        <v>0.9659090909090909</v>
      </c>
      <c r="AK61" s="269">
        <f t="shared" si="28"/>
        <v>352</v>
      </c>
      <c r="AL61" s="270">
        <f t="shared" si="29"/>
        <v>5.639204545454546</v>
      </c>
      <c r="AM61" s="271">
        <v>1302</v>
      </c>
      <c r="AN61" s="272">
        <f t="shared" si="30"/>
        <v>0.5245775729646698</v>
      </c>
      <c r="AO61" s="429">
        <v>428685</v>
      </c>
      <c r="AP61" s="288">
        <v>43789</v>
      </c>
      <c r="AQ61" s="275">
        <f t="shared" si="20"/>
        <v>9.78978738952705</v>
      </c>
      <c r="AR61" s="293">
        <v>40921</v>
      </c>
      <c r="AS61" s="333">
        <v>42</v>
      </c>
    </row>
    <row r="62" spans="1:45" s="10" customFormat="1" ht="13.5" customHeight="1" thickBot="1">
      <c r="A62" s="219">
        <v>52</v>
      </c>
      <c r="B62" s="306"/>
      <c r="C62" s="307" t="s">
        <v>261</v>
      </c>
      <c r="D62" s="441" t="s">
        <v>223</v>
      </c>
      <c r="E62" s="576">
        <v>3</v>
      </c>
      <c r="F62" s="308"/>
      <c r="G62" s="577"/>
      <c r="H62" s="445" t="s">
        <v>55</v>
      </c>
      <c r="I62" s="309"/>
      <c r="J62" s="578" t="s">
        <v>220</v>
      </c>
      <c r="K62" s="579" t="s">
        <v>93</v>
      </c>
      <c r="L62" s="74" t="s">
        <v>95</v>
      </c>
      <c r="M62" s="579" t="s">
        <v>60</v>
      </c>
      <c r="N62" s="317">
        <v>40760</v>
      </c>
      <c r="O62" s="74" t="s">
        <v>10</v>
      </c>
      <c r="P62" s="580">
        <v>184</v>
      </c>
      <c r="Q62" s="581">
        <v>2</v>
      </c>
      <c r="R62" s="581">
        <v>24</v>
      </c>
      <c r="S62" s="582">
        <v>0</v>
      </c>
      <c r="T62" s="583">
        <v>0</v>
      </c>
      <c r="U62" s="582">
        <v>0</v>
      </c>
      <c r="V62" s="583">
        <v>0</v>
      </c>
      <c r="W62" s="582">
        <v>40</v>
      </c>
      <c r="X62" s="583">
        <v>6</v>
      </c>
      <c r="Y62" s="584">
        <f t="shared" si="15"/>
        <v>40</v>
      </c>
      <c r="Z62" s="585">
        <f t="shared" si="16"/>
        <v>6</v>
      </c>
      <c r="AA62" s="586">
        <f t="shared" si="17"/>
        <v>3</v>
      </c>
      <c r="AB62" s="587">
        <f t="shared" si="18"/>
        <v>6.666666666666667</v>
      </c>
      <c r="AC62" s="588">
        <v>2207</v>
      </c>
      <c r="AD62" s="589">
        <f t="shared" si="19"/>
        <v>-0.9818758495695514</v>
      </c>
      <c r="AE62" s="590">
        <f t="shared" si="24"/>
        <v>2636</v>
      </c>
      <c r="AF62" s="586">
        <f t="shared" si="25"/>
        <v>698</v>
      </c>
      <c r="AG62" s="591">
        <v>2676</v>
      </c>
      <c r="AH62" s="592">
        <v>704</v>
      </c>
      <c r="AI62" s="589">
        <f t="shared" si="26"/>
        <v>0.008522727272727272</v>
      </c>
      <c r="AJ62" s="589">
        <f t="shared" si="27"/>
        <v>0.9914772727272727</v>
      </c>
      <c r="AK62" s="586">
        <f t="shared" si="28"/>
        <v>352</v>
      </c>
      <c r="AL62" s="587">
        <f t="shared" si="29"/>
        <v>3.8011363636363638</v>
      </c>
      <c r="AM62" s="593">
        <v>3227</v>
      </c>
      <c r="AN62" s="589">
        <f t="shared" si="30"/>
        <v>-0.17074682367524016</v>
      </c>
      <c r="AO62" s="582">
        <v>11509026</v>
      </c>
      <c r="AP62" s="583">
        <v>1143103</v>
      </c>
      <c r="AQ62" s="594">
        <f t="shared" si="20"/>
        <v>10.068231821629372</v>
      </c>
      <c r="AR62" s="595">
        <v>40921</v>
      </c>
      <c r="AS62" s="334">
        <v>35</v>
      </c>
    </row>
    <row r="63" spans="1:45" s="10" customFormat="1" ht="13.5" customHeight="1" hidden="1">
      <c r="A63" s="219">
        <v>53</v>
      </c>
      <c r="B63" s="314"/>
      <c r="C63" s="295"/>
      <c r="D63" s="442" t="s">
        <v>223</v>
      </c>
      <c r="E63" s="557">
        <v>3</v>
      </c>
      <c r="F63" s="295"/>
      <c r="G63" s="295"/>
      <c r="H63" s="446" t="s">
        <v>55</v>
      </c>
      <c r="I63" s="558"/>
      <c r="J63" s="559" t="s">
        <v>219</v>
      </c>
      <c r="K63" s="298" t="s">
        <v>183</v>
      </c>
      <c r="L63" s="401" t="s">
        <v>189</v>
      </c>
      <c r="M63" s="452" t="s">
        <v>181</v>
      </c>
      <c r="N63" s="318">
        <v>40907</v>
      </c>
      <c r="O63" s="300" t="s">
        <v>8</v>
      </c>
      <c r="P63" s="560">
        <v>73</v>
      </c>
      <c r="Q63" s="561">
        <v>32</v>
      </c>
      <c r="R63" s="561">
        <v>2</v>
      </c>
      <c r="S63" s="562">
        <v>1832</v>
      </c>
      <c r="T63" s="563">
        <v>182</v>
      </c>
      <c r="U63" s="562">
        <v>8454</v>
      </c>
      <c r="V63" s="563">
        <v>767</v>
      </c>
      <c r="W63" s="562">
        <v>8520</v>
      </c>
      <c r="X63" s="563">
        <v>759</v>
      </c>
      <c r="Y63" s="564">
        <f t="shared" si="15"/>
        <v>18806</v>
      </c>
      <c r="Z63" s="565">
        <f t="shared" si="16"/>
        <v>1708</v>
      </c>
      <c r="AA63" s="566">
        <f t="shared" si="17"/>
        <v>53.375</v>
      </c>
      <c r="AB63" s="567">
        <f t="shared" si="18"/>
        <v>11.010538641686182</v>
      </c>
      <c r="AC63" s="568">
        <v>18806</v>
      </c>
      <c r="AD63" s="569">
        <f t="shared" si="19"/>
        <v>0</v>
      </c>
      <c r="AE63" s="570">
        <f t="shared" si="24"/>
        <v>2940</v>
      </c>
      <c r="AF63" s="566">
        <f t="shared" si="25"/>
        <v>335</v>
      </c>
      <c r="AG63" s="571">
        <v>21746</v>
      </c>
      <c r="AH63" s="572">
        <v>2043</v>
      </c>
      <c r="AI63" s="569">
        <f t="shared" si="26"/>
        <v>0.8360254527655409</v>
      </c>
      <c r="AJ63" s="569">
        <f t="shared" si="27"/>
        <v>0.16397454723445912</v>
      </c>
      <c r="AK63" s="566">
        <f t="shared" si="28"/>
        <v>63.84375</v>
      </c>
      <c r="AL63" s="567">
        <f t="shared" si="29"/>
        <v>10.644150758688204</v>
      </c>
      <c r="AM63" s="573">
        <v>119808</v>
      </c>
      <c r="AN63" s="569">
        <f t="shared" si="30"/>
        <v>-0.8184929220085471</v>
      </c>
      <c r="AO63" s="562">
        <v>141554</v>
      </c>
      <c r="AP63" s="563">
        <v>12703</v>
      </c>
      <c r="AQ63" s="574">
        <f t="shared" si="20"/>
        <v>11.143351964102967</v>
      </c>
      <c r="AR63" s="575">
        <v>40914</v>
      </c>
      <c r="AS63" s="342">
        <v>17</v>
      </c>
    </row>
    <row r="64" spans="1:45" s="10" customFormat="1" ht="13.5" customHeight="1" hidden="1">
      <c r="A64" s="219">
        <v>54</v>
      </c>
      <c r="B64" s="304"/>
      <c r="C64" s="241" t="s">
        <v>261</v>
      </c>
      <c r="D64" s="257"/>
      <c r="E64" s="257"/>
      <c r="F64" s="242"/>
      <c r="G64" s="257"/>
      <c r="H64" s="246"/>
      <c r="I64" s="244" t="s">
        <v>54</v>
      </c>
      <c r="J64" s="245" t="s">
        <v>338</v>
      </c>
      <c r="K64" s="70" t="s">
        <v>341</v>
      </c>
      <c r="L64" s="65" t="s">
        <v>138</v>
      </c>
      <c r="M64" s="70" t="s">
        <v>338</v>
      </c>
      <c r="N64" s="315">
        <v>40830</v>
      </c>
      <c r="O64" s="68" t="s">
        <v>53</v>
      </c>
      <c r="P64" s="415">
        <v>142</v>
      </c>
      <c r="Q64" s="285">
        <v>1</v>
      </c>
      <c r="R64" s="285">
        <v>12</v>
      </c>
      <c r="S64" s="286">
        <v>652</v>
      </c>
      <c r="T64" s="287">
        <v>130</v>
      </c>
      <c r="U64" s="286">
        <v>750</v>
      </c>
      <c r="V64" s="287">
        <v>150</v>
      </c>
      <c r="W64" s="286">
        <v>1000</v>
      </c>
      <c r="X64" s="287">
        <v>200</v>
      </c>
      <c r="Y64" s="436">
        <f t="shared" si="15"/>
        <v>2402</v>
      </c>
      <c r="Z64" s="437">
        <f t="shared" si="16"/>
        <v>480</v>
      </c>
      <c r="AA64" s="269">
        <f t="shared" si="17"/>
        <v>480</v>
      </c>
      <c r="AB64" s="270">
        <f t="shared" si="18"/>
        <v>5.004166666666666</v>
      </c>
      <c r="AC64" s="277">
        <v>2402</v>
      </c>
      <c r="AD64" s="272">
        <f t="shared" si="19"/>
        <v>0</v>
      </c>
      <c r="AE64" s="273">
        <f t="shared" si="24"/>
        <v>0</v>
      </c>
      <c r="AF64" s="269">
        <f t="shared" si="25"/>
        <v>0</v>
      </c>
      <c r="AG64" s="292">
        <v>2402</v>
      </c>
      <c r="AH64" s="291">
        <v>480</v>
      </c>
      <c r="AI64" s="272">
        <f t="shared" si="26"/>
        <v>1</v>
      </c>
      <c r="AJ64" s="272">
        <f t="shared" si="27"/>
        <v>0</v>
      </c>
      <c r="AK64" s="269">
        <f t="shared" si="28"/>
        <v>480</v>
      </c>
      <c r="AL64" s="270">
        <f t="shared" si="29"/>
        <v>5.004166666666666</v>
      </c>
      <c r="AM64" s="271"/>
      <c r="AN64" s="272">
        <f t="shared" si="30"/>
      </c>
      <c r="AO64" s="271">
        <f>248732+139942.5+41015.5+4968+2270+1973+10279+6007+1097+295+261+2402</f>
        <v>459242</v>
      </c>
      <c r="AP64" s="288">
        <f>33636+19210+5940+800+378+422+1552+983+159+45+36+480</f>
        <v>63641</v>
      </c>
      <c r="AQ64" s="275">
        <f t="shared" si="20"/>
        <v>7.216134253075848</v>
      </c>
      <c r="AR64" s="293">
        <v>40914</v>
      </c>
      <c r="AS64" s="333">
        <v>38</v>
      </c>
    </row>
    <row r="65" spans="1:45" s="10" customFormat="1" ht="13.5" customHeight="1" hidden="1">
      <c r="A65" s="219">
        <v>55</v>
      </c>
      <c r="B65" s="302"/>
      <c r="C65" s="241" t="s">
        <v>261</v>
      </c>
      <c r="D65" s="242"/>
      <c r="E65" s="242"/>
      <c r="F65" s="242"/>
      <c r="G65" s="242"/>
      <c r="H65" s="246"/>
      <c r="I65" s="246"/>
      <c r="J65" s="250" t="s">
        <v>69</v>
      </c>
      <c r="K65" s="65" t="s">
        <v>88</v>
      </c>
      <c r="L65" s="67" t="s">
        <v>89</v>
      </c>
      <c r="M65" s="69" t="s">
        <v>70</v>
      </c>
      <c r="N65" s="316">
        <v>40844</v>
      </c>
      <c r="O65" s="68" t="s">
        <v>68</v>
      </c>
      <c r="P65" s="411">
        <v>65</v>
      </c>
      <c r="Q65" s="276">
        <v>3</v>
      </c>
      <c r="R65" s="276">
        <v>11</v>
      </c>
      <c r="S65" s="279">
        <v>292</v>
      </c>
      <c r="T65" s="283">
        <v>46</v>
      </c>
      <c r="U65" s="279">
        <v>785</v>
      </c>
      <c r="V65" s="283">
        <v>118</v>
      </c>
      <c r="W65" s="279">
        <v>542</v>
      </c>
      <c r="X65" s="283">
        <v>82</v>
      </c>
      <c r="Y65" s="436">
        <f t="shared" si="15"/>
        <v>1619</v>
      </c>
      <c r="Z65" s="437">
        <f t="shared" si="16"/>
        <v>246</v>
      </c>
      <c r="AA65" s="269">
        <f t="shared" si="17"/>
        <v>82</v>
      </c>
      <c r="AB65" s="270">
        <f t="shared" si="18"/>
        <v>6.58130081300813</v>
      </c>
      <c r="AC65" s="277">
        <v>1619</v>
      </c>
      <c r="AD65" s="272">
        <f t="shared" si="19"/>
        <v>0</v>
      </c>
      <c r="AE65" s="273">
        <f t="shared" si="24"/>
        <v>903</v>
      </c>
      <c r="AF65" s="269">
        <f t="shared" si="25"/>
        <v>137</v>
      </c>
      <c r="AG65" s="321">
        <v>2522</v>
      </c>
      <c r="AH65" s="322">
        <v>383</v>
      </c>
      <c r="AI65" s="272">
        <f t="shared" si="26"/>
        <v>0.6422976501305483</v>
      </c>
      <c r="AJ65" s="272">
        <f t="shared" si="27"/>
        <v>0.3577023498694517</v>
      </c>
      <c r="AK65" s="269">
        <f t="shared" si="28"/>
        <v>127.66666666666667</v>
      </c>
      <c r="AL65" s="270">
        <f t="shared" si="29"/>
        <v>6.584856396866841</v>
      </c>
      <c r="AM65" s="274">
        <v>7426</v>
      </c>
      <c r="AN65" s="272">
        <f t="shared" si="30"/>
        <v>-0.6603824400754107</v>
      </c>
      <c r="AO65" s="274">
        <f>436701.5+604505+232735.5+57290.5+18114+16414.5+17253.5+4587+2405+7426+2522</f>
        <v>1399954.5</v>
      </c>
      <c r="AP65" s="284">
        <f>39979+54264+21249+5324+1678+2463+2408+819+357+1233+383</f>
        <v>130157</v>
      </c>
      <c r="AQ65" s="275">
        <f t="shared" si="20"/>
        <v>10.755890962453037</v>
      </c>
      <c r="AR65" s="293">
        <v>40914</v>
      </c>
      <c r="AS65" s="333">
        <v>37</v>
      </c>
    </row>
    <row r="66" spans="1:45" s="10" customFormat="1" ht="13.5" customHeight="1" hidden="1">
      <c r="A66" s="219">
        <v>56</v>
      </c>
      <c r="B66" s="302"/>
      <c r="C66" s="241" t="s">
        <v>261</v>
      </c>
      <c r="D66" s="242"/>
      <c r="E66" s="242"/>
      <c r="F66" s="242"/>
      <c r="G66" s="242"/>
      <c r="H66" s="246"/>
      <c r="I66" s="244" t="s">
        <v>54</v>
      </c>
      <c r="J66" s="250" t="s">
        <v>269</v>
      </c>
      <c r="K66" s="65" t="s">
        <v>284</v>
      </c>
      <c r="L66" s="69"/>
      <c r="M66" s="67" t="s">
        <v>269</v>
      </c>
      <c r="N66" s="315">
        <v>40809</v>
      </c>
      <c r="O66" s="68" t="s">
        <v>68</v>
      </c>
      <c r="P66" s="411">
        <v>66</v>
      </c>
      <c r="Q66" s="276">
        <v>2</v>
      </c>
      <c r="R66" s="276">
        <v>16</v>
      </c>
      <c r="S66" s="279">
        <v>471</v>
      </c>
      <c r="T66" s="283">
        <v>115</v>
      </c>
      <c r="U66" s="279">
        <v>378</v>
      </c>
      <c r="V66" s="283">
        <v>54</v>
      </c>
      <c r="W66" s="279">
        <v>714</v>
      </c>
      <c r="X66" s="283">
        <v>185</v>
      </c>
      <c r="Y66" s="436">
        <f t="shared" si="15"/>
        <v>1563</v>
      </c>
      <c r="Z66" s="437">
        <f t="shared" si="16"/>
        <v>354</v>
      </c>
      <c r="AA66" s="269">
        <f t="shared" si="17"/>
        <v>177</v>
      </c>
      <c r="AB66" s="270">
        <f t="shared" si="18"/>
        <v>4.415254237288136</v>
      </c>
      <c r="AC66" s="277">
        <v>1563</v>
      </c>
      <c r="AD66" s="272">
        <f t="shared" si="19"/>
        <v>0</v>
      </c>
      <c r="AE66" s="273">
        <f t="shared" si="24"/>
        <v>3106.5</v>
      </c>
      <c r="AF66" s="269">
        <f t="shared" si="25"/>
        <v>866</v>
      </c>
      <c r="AG66" s="321">
        <v>4669.5</v>
      </c>
      <c r="AH66" s="322">
        <v>1220</v>
      </c>
      <c r="AI66" s="272">
        <f t="shared" si="26"/>
        <v>0.2901639344262295</v>
      </c>
      <c r="AJ66" s="272">
        <f t="shared" si="27"/>
        <v>0.7098360655737705</v>
      </c>
      <c r="AK66" s="269">
        <f t="shared" si="28"/>
        <v>610</v>
      </c>
      <c r="AL66" s="270">
        <f t="shared" si="29"/>
        <v>3.8274590163934428</v>
      </c>
      <c r="AM66" s="274">
        <v>2138.5</v>
      </c>
      <c r="AN66" s="272">
        <f t="shared" si="30"/>
        <v>1.1835398643909283</v>
      </c>
      <c r="AO66" s="274">
        <f>382290+386122+344313.5+244996+104138.75+43618.5+27632+12528+6812+832+1782+2257+1782+5477.5+2138.5+4669.5</f>
        <v>1571389.25</v>
      </c>
      <c r="AP66" s="284">
        <f>34863+36137+32260+23896+12188+5940+2894+1417+1234+90+446+565+446+1293+535+1220</f>
        <v>155424</v>
      </c>
      <c r="AQ66" s="275">
        <f t="shared" si="20"/>
        <v>10.110338493411572</v>
      </c>
      <c r="AR66" s="293">
        <v>40914</v>
      </c>
      <c r="AS66" s="333">
        <v>28</v>
      </c>
    </row>
    <row r="67" spans="1:45" s="10" customFormat="1" ht="13.5" customHeight="1" hidden="1">
      <c r="A67" s="219">
        <v>57</v>
      </c>
      <c r="B67" s="304"/>
      <c r="C67" s="241" t="s">
        <v>261</v>
      </c>
      <c r="D67" s="252" t="s">
        <v>223</v>
      </c>
      <c r="E67" s="257"/>
      <c r="F67" s="242"/>
      <c r="G67" s="257"/>
      <c r="H67" s="246"/>
      <c r="I67" s="246"/>
      <c r="J67" s="245" t="s">
        <v>339</v>
      </c>
      <c r="K67" s="70" t="s">
        <v>358</v>
      </c>
      <c r="L67" s="65" t="s">
        <v>138</v>
      </c>
      <c r="M67" s="70" t="s">
        <v>343</v>
      </c>
      <c r="N67" s="315">
        <v>39472</v>
      </c>
      <c r="O67" s="68" t="s">
        <v>53</v>
      </c>
      <c r="P67" s="415">
        <v>59</v>
      </c>
      <c r="Q67" s="285">
        <v>1</v>
      </c>
      <c r="R67" s="285">
        <v>41</v>
      </c>
      <c r="S67" s="286">
        <v>250</v>
      </c>
      <c r="T67" s="287">
        <v>50</v>
      </c>
      <c r="U67" s="286">
        <v>375</v>
      </c>
      <c r="V67" s="287">
        <v>75</v>
      </c>
      <c r="W67" s="286">
        <v>576</v>
      </c>
      <c r="X67" s="287">
        <v>115</v>
      </c>
      <c r="Y67" s="436">
        <f t="shared" si="15"/>
        <v>1201</v>
      </c>
      <c r="Z67" s="437">
        <f t="shared" si="16"/>
        <v>240</v>
      </c>
      <c r="AA67" s="269">
        <f t="shared" si="17"/>
        <v>240</v>
      </c>
      <c r="AB67" s="270">
        <f t="shared" si="18"/>
        <v>5.004166666666666</v>
      </c>
      <c r="AC67" s="277">
        <v>1201</v>
      </c>
      <c r="AD67" s="272">
        <f t="shared" si="19"/>
        <v>0</v>
      </c>
      <c r="AE67" s="273">
        <f t="shared" si="24"/>
        <v>0</v>
      </c>
      <c r="AF67" s="269">
        <f t="shared" si="25"/>
        <v>0</v>
      </c>
      <c r="AG67" s="292">
        <v>1201</v>
      </c>
      <c r="AH67" s="291">
        <v>240</v>
      </c>
      <c r="AI67" s="272">
        <f t="shared" si="26"/>
        <v>1</v>
      </c>
      <c r="AJ67" s="272">
        <f t="shared" si="27"/>
        <v>0</v>
      </c>
      <c r="AK67" s="269">
        <f t="shared" si="28"/>
        <v>240</v>
      </c>
      <c r="AL67" s="270">
        <f t="shared" si="29"/>
        <v>5.004166666666666</v>
      </c>
      <c r="AM67" s="271"/>
      <c r="AN67" s="272">
        <f t="shared" si="30"/>
      </c>
      <c r="AO67" s="271">
        <f>395290.5+262822+75939+23709.5+4083+1327+9321+1445+1267+2173+4575+201+1748+3343+728+28+948+1329+163+182+173+15521.5+171+40+110+75+183.5+127+124.5+1976+312+180+12+2398+1799+1799+1799+3598+1201</f>
        <v>822221.5</v>
      </c>
      <c r="AP67" s="288">
        <f>47426+32442+9866+4010+887+225+2185+263+226+460+1077+33+367+887+230+4+139+355+32+35+32+3859+49+8+22+15+68+46+45+659+52+30+2+399+300+300+300+600+240</f>
        <v>108175</v>
      </c>
      <c r="AQ67" s="275">
        <f t="shared" si="20"/>
        <v>7.6008458516293045</v>
      </c>
      <c r="AR67" s="293">
        <v>40914</v>
      </c>
      <c r="AS67" s="333">
        <v>49</v>
      </c>
    </row>
    <row r="68" spans="1:46" s="10" customFormat="1" ht="13.5" customHeight="1" hidden="1">
      <c r="A68" s="219">
        <v>58</v>
      </c>
      <c r="B68" s="302"/>
      <c r="C68" s="241" t="s">
        <v>261</v>
      </c>
      <c r="D68" s="242"/>
      <c r="E68" s="242"/>
      <c r="F68" s="242"/>
      <c r="G68" s="242"/>
      <c r="H68" s="246"/>
      <c r="I68" s="246"/>
      <c r="J68" s="250" t="s">
        <v>154</v>
      </c>
      <c r="K68" s="65" t="s">
        <v>194</v>
      </c>
      <c r="L68" s="69" t="s">
        <v>79</v>
      </c>
      <c r="M68" s="67" t="s">
        <v>155</v>
      </c>
      <c r="N68" s="316">
        <v>40781</v>
      </c>
      <c r="O68" s="68" t="s">
        <v>68</v>
      </c>
      <c r="P68" s="411">
        <v>25</v>
      </c>
      <c r="Q68" s="276">
        <v>2</v>
      </c>
      <c r="R68" s="276">
        <v>17</v>
      </c>
      <c r="S68" s="279">
        <v>256</v>
      </c>
      <c r="T68" s="283">
        <v>41</v>
      </c>
      <c r="U68" s="279">
        <v>432</v>
      </c>
      <c r="V68" s="283">
        <v>68</v>
      </c>
      <c r="W68" s="279">
        <v>386</v>
      </c>
      <c r="X68" s="283">
        <v>59</v>
      </c>
      <c r="Y68" s="436">
        <f t="shared" si="15"/>
        <v>1074</v>
      </c>
      <c r="Z68" s="437">
        <f t="shared" si="16"/>
        <v>168</v>
      </c>
      <c r="AA68" s="269">
        <f t="shared" si="17"/>
        <v>84</v>
      </c>
      <c r="AB68" s="270">
        <f t="shared" si="18"/>
        <v>6.392857142857143</v>
      </c>
      <c r="AC68" s="277">
        <v>1074</v>
      </c>
      <c r="AD68" s="272">
        <f t="shared" si="19"/>
        <v>0</v>
      </c>
      <c r="AE68" s="273">
        <f t="shared" si="24"/>
        <v>631</v>
      </c>
      <c r="AF68" s="269">
        <f t="shared" si="25"/>
        <v>103</v>
      </c>
      <c r="AG68" s="321">
        <v>1705</v>
      </c>
      <c r="AH68" s="322">
        <v>271</v>
      </c>
      <c r="AI68" s="272">
        <f t="shared" si="26"/>
        <v>0.6199261992619927</v>
      </c>
      <c r="AJ68" s="272">
        <f t="shared" si="27"/>
        <v>0.3800738007380074</v>
      </c>
      <c r="AK68" s="269">
        <f t="shared" si="28"/>
        <v>135.5</v>
      </c>
      <c r="AL68" s="270">
        <f t="shared" si="29"/>
        <v>6.291512915129151</v>
      </c>
      <c r="AM68" s="274">
        <v>3841</v>
      </c>
      <c r="AN68" s="272">
        <f t="shared" si="30"/>
        <v>-0.5561051809424629</v>
      </c>
      <c r="AO68" s="274">
        <f>144733+112570+56967.5+34113.5+30823.5+33890.5+41306+25896.5+24762.5+2776+2376+588+744+1788+950.5+3841+1705</f>
        <v>519831.5</v>
      </c>
      <c r="AP68" s="284">
        <f>11669+10065+5619+3946+3929+4284+5351+3682+3657+420+594+249+124+397+237+653+271</f>
        <v>55147</v>
      </c>
      <c r="AQ68" s="275">
        <f t="shared" si="20"/>
        <v>9.426287921373783</v>
      </c>
      <c r="AR68" s="293">
        <v>40914</v>
      </c>
      <c r="AS68" s="333">
        <v>44</v>
      </c>
      <c r="AT68" s="406"/>
    </row>
    <row r="69" spans="1:46" s="10" customFormat="1" ht="13.5" customHeight="1" hidden="1">
      <c r="A69" s="219">
        <v>59</v>
      </c>
      <c r="B69" s="302"/>
      <c r="C69" s="241" t="s">
        <v>261</v>
      </c>
      <c r="D69" s="242"/>
      <c r="E69" s="242"/>
      <c r="F69" s="242"/>
      <c r="G69" s="242"/>
      <c r="H69" s="246"/>
      <c r="I69" s="246"/>
      <c r="J69" s="247" t="s">
        <v>200</v>
      </c>
      <c r="K69" s="65" t="s">
        <v>205</v>
      </c>
      <c r="L69" s="72" t="s">
        <v>206</v>
      </c>
      <c r="M69" s="72" t="s">
        <v>204</v>
      </c>
      <c r="N69" s="315">
        <v>40872</v>
      </c>
      <c r="O69" s="68" t="s">
        <v>12</v>
      </c>
      <c r="P69" s="411">
        <v>55</v>
      </c>
      <c r="Q69" s="276">
        <v>2</v>
      </c>
      <c r="R69" s="276">
        <v>7</v>
      </c>
      <c r="S69" s="286">
        <v>213</v>
      </c>
      <c r="T69" s="287">
        <v>33</v>
      </c>
      <c r="U69" s="286">
        <v>229</v>
      </c>
      <c r="V69" s="287">
        <v>35</v>
      </c>
      <c r="W69" s="286">
        <v>236</v>
      </c>
      <c r="X69" s="287">
        <v>36</v>
      </c>
      <c r="Y69" s="436">
        <f t="shared" si="15"/>
        <v>678</v>
      </c>
      <c r="Z69" s="437">
        <f t="shared" si="16"/>
        <v>104</v>
      </c>
      <c r="AA69" s="269">
        <f t="shared" si="17"/>
        <v>52</v>
      </c>
      <c r="AB69" s="270">
        <f t="shared" si="18"/>
        <v>6.519230769230769</v>
      </c>
      <c r="AC69" s="277">
        <v>678</v>
      </c>
      <c r="AD69" s="272">
        <f t="shared" si="19"/>
        <v>0</v>
      </c>
      <c r="AE69" s="273">
        <f t="shared" si="24"/>
        <v>811</v>
      </c>
      <c r="AF69" s="269">
        <f t="shared" si="25"/>
        <v>126</v>
      </c>
      <c r="AG69" s="292">
        <v>1489</v>
      </c>
      <c r="AH69" s="291">
        <v>230</v>
      </c>
      <c r="AI69" s="272">
        <f t="shared" si="26"/>
        <v>0.45217391304347826</v>
      </c>
      <c r="AJ69" s="272">
        <f t="shared" si="27"/>
        <v>0.5478260869565217</v>
      </c>
      <c r="AK69" s="269">
        <f t="shared" si="28"/>
        <v>115</v>
      </c>
      <c r="AL69" s="270">
        <f t="shared" si="29"/>
        <v>6.473913043478261</v>
      </c>
      <c r="AM69" s="271">
        <v>433</v>
      </c>
      <c r="AN69" s="272">
        <f t="shared" si="30"/>
        <v>2.438799076212471</v>
      </c>
      <c r="AO69" s="271">
        <v>755597</v>
      </c>
      <c r="AP69" s="288">
        <v>62961</v>
      </c>
      <c r="AQ69" s="275">
        <f t="shared" si="20"/>
        <v>12.001032385127301</v>
      </c>
      <c r="AR69" s="293">
        <v>40914</v>
      </c>
      <c r="AS69" s="333">
        <v>46</v>
      </c>
      <c r="AT69" s="407"/>
    </row>
    <row r="70" spans="1:46" s="10" customFormat="1" ht="13.5" customHeight="1" hidden="1">
      <c r="A70" s="219">
        <v>60</v>
      </c>
      <c r="B70" s="302"/>
      <c r="C70" s="241" t="s">
        <v>261</v>
      </c>
      <c r="D70" s="242"/>
      <c r="E70" s="242"/>
      <c r="F70" s="242"/>
      <c r="G70" s="249" t="s">
        <v>292</v>
      </c>
      <c r="H70" s="246"/>
      <c r="I70" s="246"/>
      <c r="J70" s="247" t="s">
        <v>65</v>
      </c>
      <c r="K70" s="72" t="s">
        <v>91</v>
      </c>
      <c r="L70" s="66" t="s">
        <v>94</v>
      </c>
      <c r="M70" s="72" t="s">
        <v>65</v>
      </c>
      <c r="N70" s="316">
        <v>40837</v>
      </c>
      <c r="O70" s="68" t="s">
        <v>12</v>
      </c>
      <c r="P70" s="411">
        <v>112</v>
      </c>
      <c r="Q70" s="276">
        <v>1</v>
      </c>
      <c r="R70" s="276">
        <v>12</v>
      </c>
      <c r="S70" s="286">
        <v>139</v>
      </c>
      <c r="T70" s="287">
        <v>23</v>
      </c>
      <c r="U70" s="286">
        <v>384</v>
      </c>
      <c r="V70" s="287">
        <v>63</v>
      </c>
      <c r="W70" s="286">
        <v>154</v>
      </c>
      <c r="X70" s="287">
        <v>25</v>
      </c>
      <c r="Y70" s="436">
        <f t="shared" si="15"/>
        <v>677</v>
      </c>
      <c r="Z70" s="437">
        <f t="shared" si="16"/>
        <v>111</v>
      </c>
      <c r="AA70" s="269">
        <f t="shared" si="17"/>
        <v>111</v>
      </c>
      <c r="AB70" s="270">
        <f t="shared" si="18"/>
        <v>6.099099099099099</v>
      </c>
      <c r="AC70" s="277">
        <v>677</v>
      </c>
      <c r="AD70" s="272">
        <f t="shared" si="19"/>
        <v>0</v>
      </c>
      <c r="AE70" s="273">
        <f t="shared" si="24"/>
        <v>326</v>
      </c>
      <c r="AF70" s="269">
        <f t="shared" si="25"/>
        <v>54</v>
      </c>
      <c r="AG70" s="292">
        <v>1003</v>
      </c>
      <c r="AH70" s="291">
        <v>165</v>
      </c>
      <c r="AI70" s="272">
        <f t="shared" si="26"/>
        <v>0.6727272727272727</v>
      </c>
      <c r="AJ70" s="272">
        <f t="shared" si="27"/>
        <v>0.32727272727272727</v>
      </c>
      <c r="AK70" s="269">
        <f t="shared" si="28"/>
        <v>165</v>
      </c>
      <c r="AL70" s="270">
        <f t="shared" si="29"/>
        <v>6.078787878787879</v>
      </c>
      <c r="AM70" s="271">
        <v>4349</v>
      </c>
      <c r="AN70" s="272">
        <f t="shared" si="30"/>
        <v>-0.7693722694872385</v>
      </c>
      <c r="AO70" s="271">
        <v>2337341</v>
      </c>
      <c r="AP70" s="288">
        <v>245817</v>
      </c>
      <c r="AQ70" s="275">
        <f t="shared" si="20"/>
        <v>9.50845954510876</v>
      </c>
      <c r="AR70" s="293">
        <v>40914</v>
      </c>
      <c r="AS70" s="333">
        <v>52</v>
      </c>
      <c r="AT70" s="408"/>
    </row>
    <row r="71" spans="1:46" s="10" customFormat="1" ht="13.5" customHeight="1" hidden="1">
      <c r="A71" s="219">
        <v>61</v>
      </c>
      <c r="B71" s="302"/>
      <c r="C71" s="241" t="s">
        <v>261</v>
      </c>
      <c r="D71" s="252" t="s">
        <v>223</v>
      </c>
      <c r="E71" s="242"/>
      <c r="F71" s="242"/>
      <c r="G71" s="249" t="s">
        <v>292</v>
      </c>
      <c r="H71" s="253" t="s">
        <v>55</v>
      </c>
      <c r="I71" s="246"/>
      <c r="J71" s="247" t="s">
        <v>103</v>
      </c>
      <c r="K71" s="65" t="s">
        <v>91</v>
      </c>
      <c r="L71" s="72" t="s">
        <v>94</v>
      </c>
      <c r="M71" s="72" t="s">
        <v>103</v>
      </c>
      <c r="N71" s="315">
        <v>40704</v>
      </c>
      <c r="O71" s="68" t="s">
        <v>12</v>
      </c>
      <c r="P71" s="411">
        <v>144</v>
      </c>
      <c r="Q71" s="276">
        <v>1</v>
      </c>
      <c r="R71" s="276">
        <v>31</v>
      </c>
      <c r="S71" s="286">
        <v>171</v>
      </c>
      <c r="T71" s="287">
        <v>27</v>
      </c>
      <c r="U71" s="286">
        <v>171</v>
      </c>
      <c r="V71" s="287">
        <v>27</v>
      </c>
      <c r="W71" s="286">
        <v>171</v>
      </c>
      <c r="X71" s="287">
        <v>27</v>
      </c>
      <c r="Y71" s="436">
        <f t="shared" si="15"/>
        <v>513</v>
      </c>
      <c r="Z71" s="437">
        <f t="shared" si="16"/>
        <v>81</v>
      </c>
      <c r="AA71" s="269">
        <f t="shared" si="17"/>
        <v>81</v>
      </c>
      <c r="AB71" s="270">
        <f t="shared" si="18"/>
        <v>6.333333333333333</v>
      </c>
      <c r="AC71" s="277">
        <v>513</v>
      </c>
      <c r="AD71" s="272">
        <f t="shared" si="19"/>
        <v>0</v>
      </c>
      <c r="AE71" s="273">
        <f t="shared" si="24"/>
        <v>684</v>
      </c>
      <c r="AF71" s="269">
        <f t="shared" si="25"/>
        <v>108</v>
      </c>
      <c r="AG71" s="292">
        <v>1197</v>
      </c>
      <c r="AH71" s="291">
        <v>189</v>
      </c>
      <c r="AI71" s="272">
        <f t="shared" si="26"/>
        <v>0.42857142857142855</v>
      </c>
      <c r="AJ71" s="272">
        <f t="shared" si="27"/>
        <v>0.5714285714285714</v>
      </c>
      <c r="AK71" s="269">
        <f t="shared" si="28"/>
        <v>189</v>
      </c>
      <c r="AL71" s="270">
        <f t="shared" si="29"/>
        <v>6.333333333333333</v>
      </c>
      <c r="AM71" s="271">
        <v>45</v>
      </c>
      <c r="AN71" s="272">
        <f t="shared" si="30"/>
        <v>25.6</v>
      </c>
      <c r="AO71" s="271">
        <v>3760800</v>
      </c>
      <c r="AP71" s="288">
        <v>344761</v>
      </c>
      <c r="AQ71" s="275">
        <f t="shared" si="20"/>
        <v>10.90842641714115</v>
      </c>
      <c r="AR71" s="293">
        <v>40914</v>
      </c>
      <c r="AS71" s="333">
        <v>50</v>
      </c>
      <c r="AT71" s="409"/>
    </row>
    <row r="72" spans="1:46" s="10" customFormat="1" ht="13.5" customHeight="1" hidden="1">
      <c r="A72" s="219">
        <v>62</v>
      </c>
      <c r="B72" s="302"/>
      <c r="C72" s="241" t="s">
        <v>261</v>
      </c>
      <c r="D72" s="242"/>
      <c r="E72" s="242"/>
      <c r="F72" s="242"/>
      <c r="G72" s="242"/>
      <c r="H72" s="246"/>
      <c r="I72" s="254"/>
      <c r="J72" s="263" t="s">
        <v>156</v>
      </c>
      <c r="K72" s="68" t="s">
        <v>129</v>
      </c>
      <c r="L72" s="68" t="s">
        <v>79</v>
      </c>
      <c r="M72" s="68" t="s">
        <v>130</v>
      </c>
      <c r="N72" s="315">
        <v>40893</v>
      </c>
      <c r="O72" s="68" t="s">
        <v>13</v>
      </c>
      <c r="P72" s="411">
        <v>2</v>
      </c>
      <c r="Q72" s="276">
        <v>1</v>
      </c>
      <c r="R72" s="276">
        <v>4</v>
      </c>
      <c r="S72" s="271">
        <v>130</v>
      </c>
      <c r="T72" s="288">
        <v>12</v>
      </c>
      <c r="U72" s="271">
        <v>152</v>
      </c>
      <c r="V72" s="288">
        <v>14</v>
      </c>
      <c r="W72" s="271">
        <v>174</v>
      </c>
      <c r="X72" s="288">
        <v>16</v>
      </c>
      <c r="Y72" s="436">
        <f t="shared" si="15"/>
        <v>456</v>
      </c>
      <c r="Z72" s="437">
        <f t="shared" si="16"/>
        <v>42</v>
      </c>
      <c r="AA72" s="269">
        <f t="shared" si="17"/>
        <v>42</v>
      </c>
      <c r="AB72" s="270">
        <f t="shared" si="18"/>
        <v>10.857142857142858</v>
      </c>
      <c r="AC72" s="277">
        <v>456</v>
      </c>
      <c r="AD72" s="272">
        <f t="shared" si="19"/>
        <v>0</v>
      </c>
      <c r="AE72" s="273">
        <f t="shared" si="24"/>
        <v>301</v>
      </c>
      <c r="AF72" s="269">
        <f t="shared" si="25"/>
        <v>30</v>
      </c>
      <c r="AG72" s="292">
        <v>757</v>
      </c>
      <c r="AH72" s="291">
        <v>72</v>
      </c>
      <c r="AI72" s="272">
        <f t="shared" si="26"/>
        <v>0.5833333333333334</v>
      </c>
      <c r="AJ72" s="272">
        <f t="shared" si="27"/>
        <v>0.4166666666666667</v>
      </c>
      <c r="AK72" s="269">
        <f t="shared" si="28"/>
        <v>72</v>
      </c>
      <c r="AL72" s="270">
        <f t="shared" si="29"/>
        <v>10.51388888888889</v>
      </c>
      <c r="AM72" s="271">
        <v>1807</v>
      </c>
      <c r="AN72" s="272">
        <f t="shared" si="30"/>
        <v>-0.5810736026563365</v>
      </c>
      <c r="AO72" s="271">
        <v>10497</v>
      </c>
      <c r="AP72" s="288">
        <v>825</v>
      </c>
      <c r="AQ72" s="275">
        <f t="shared" si="20"/>
        <v>12.723636363636365</v>
      </c>
      <c r="AR72" s="293">
        <v>40914</v>
      </c>
      <c r="AS72" s="333">
        <v>56</v>
      </c>
      <c r="AT72" s="409"/>
    </row>
    <row r="73" spans="1:46" s="10" customFormat="1" ht="13.5" customHeight="1" hidden="1">
      <c r="A73" s="219">
        <v>63</v>
      </c>
      <c r="B73" s="304"/>
      <c r="C73" s="241" t="s">
        <v>261</v>
      </c>
      <c r="D73" s="257"/>
      <c r="E73" s="257"/>
      <c r="F73" s="242"/>
      <c r="G73" s="257"/>
      <c r="H73" s="246"/>
      <c r="I73" s="244" t="s">
        <v>54</v>
      </c>
      <c r="J73" s="245" t="s">
        <v>66</v>
      </c>
      <c r="K73" s="70" t="s">
        <v>81</v>
      </c>
      <c r="L73" s="70"/>
      <c r="M73" s="70" t="s">
        <v>66</v>
      </c>
      <c r="N73" s="315">
        <v>40844</v>
      </c>
      <c r="O73" s="68" t="s">
        <v>53</v>
      </c>
      <c r="P73" s="416">
        <v>245</v>
      </c>
      <c r="Q73" s="285">
        <v>1</v>
      </c>
      <c r="R73" s="285">
        <v>11</v>
      </c>
      <c r="S73" s="286">
        <v>14</v>
      </c>
      <c r="T73" s="287">
        <v>2</v>
      </c>
      <c r="U73" s="286">
        <v>195</v>
      </c>
      <c r="V73" s="287">
        <v>32</v>
      </c>
      <c r="W73" s="286">
        <v>142</v>
      </c>
      <c r="X73" s="287">
        <v>22</v>
      </c>
      <c r="Y73" s="436">
        <f t="shared" si="15"/>
        <v>351</v>
      </c>
      <c r="Z73" s="437">
        <f t="shared" si="16"/>
        <v>56</v>
      </c>
      <c r="AA73" s="269">
        <f t="shared" si="17"/>
        <v>56</v>
      </c>
      <c r="AB73" s="270">
        <f t="shared" si="18"/>
        <v>6.267857142857143</v>
      </c>
      <c r="AC73" s="277">
        <v>351</v>
      </c>
      <c r="AD73" s="272">
        <f t="shared" si="19"/>
        <v>0</v>
      </c>
      <c r="AE73" s="273">
        <f t="shared" si="24"/>
        <v>222</v>
      </c>
      <c r="AF73" s="269">
        <f t="shared" si="25"/>
        <v>38</v>
      </c>
      <c r="AG73" s="292">
        <v>573</v>
      </c>
      <c r="AH73" s="291">
        <v>94</v>
      </c>
      <c r="AI73" s="272">
        <f t="shared" si="26"/>
        <v>0.5957446808510638</v>
      </c>
      <c r="AJ73" s="272">
        <f t="shared" si="27"/>
        <v>0.40425531914893614</v>
      </c>
      <c r="AK73" s="269">
        <f t="shared" si="28"/>
        <v>94</v>
      </c>
      <c r="AL73" s="270">
        <f t="shared" si="29"/>
        <v>6.095744680851064</v>
      </c>
      <c r="AM73" s="271">
        <v>1680</v>
      </c>
      <c r="AN73" s="272">
        <f t="shared" si="30"/>
        <v>-0.6589285714285714</v>
      </c>
      <c r="AO73" s="271">
        <f>2095427.5+1865707+650031+295029.5+57559.5+69427+8354+22014.5+2923+1680+573</f>
        <v>5068726</v>
      </c>
      <c r="AP73" s="288">
        <f>212522+189875+68849+32548+6112+10910+1695+4739+564+262+94</f>
        <v>528170</v>
      </c>
      <c r="AQ73" s="275">
        <f t="shared" si="20"/>
        <v>9.596769979362705</v>
      </c>
      <c r="AR73" s="293">
        <v>40914</v>
      </c>
      <c r="AS73" s="333">
        <v>58</v>
      </c>
      <c r="AT73" s="409"/>
    </row>
    <row r="74" spans="1:46" s="10" customFormat="1" ht="13.5" customHeight="1" hidden="1">
      <c r="A74" s="219">
        <v>64</v>
      </c>
      <c r="B74" s="302"/>
      <c r="C74" s="241" t="s">
        <v>261</v>
      </c>
      <c r="D74" s="240"/>
      <c r="E74" s="246"/>
      <c r="F74" s="248">
        <v>2</v>
      </c>
      <c r="G74" s="246"/>
      <c r="H74" s="240"/>
      <c r="I74" s="246"/>
      <c r="J74" s="247" t="s">
        <v>352</v>
      </c>
      <c r="K74" s="65" t="s">
        <v>353</v>
      </c>
      <c r="L74" s="72" t="s">
        <v>94</v>
      </c>
      <c r="M74" s="72" t="s">
        <v>354</v>
      </c>
      <c r="N74" s="315">
        <v>40788</v>
      </c>
      <c r="O74" s="68" t="s">
        <v>12</v>
      </c>
      <c r="P74" s="411">
        <v>89</v>
      </c>
      <c r="Q74" s="276">
        <v>1</v>
      </c>
      <c r="R74" s="276">
        <v>19</v>
      </c>
      <c r="S74" s="286">
        <v>0</v>
      </c>
      <c r="T74" s="287">
        <v>0</v>
      </c>
      <c r="U74" s="286">
        <v>167</v>
      </c>
      <c r="V74" s="287">
        <v>27</v>
      </c>
      <c r="W74" s="286">
        <v>93</v>
      </c>
      <c r="X74" s="287">
        <v>15</v>
      </c>
      <c r="Y74" s="436">
        <f t="shared" si="15"/>
        <v>260</v>
      </c>
      <c r="Z74" s="437">
        <f t="shared" si="16"/>
        <v>42</v>
      </c>
      <c r="AA74" s="269">
        <f t="shared" si="17"/>
        <v>42</v>
      </c>
      <c r="AB74" s="270">
        <f t="shared" si="18"/>
        <v>6.190476190476191</v>
      </c>
      <c r="AC74" s="277">
        <v>260</v>
      </c>
      <c r="AD74" s="272">
        <f t="shared" si="19"/>
        <v>0</v>
      </c>
      <c r="AE74" s="273">
        <f t="shared" si="24"/>
        <v>55</v>
      </c>
      <c r="AF74" s="269">
        <f t="shared" si="25"/>
        <v>9</v>
      </c>
      <c r="AG74" s="292">
        <v>315</v>
      </c>
      <c r="AH74" s="291">
        <v>51</v>
      </c>
      <c r="AI74" s="272">
        <f t="shared" si="26"/>
        <v>0.8235294117647058</v>
      </c>
      <c r="AJ74" s="272">
        <f t="shared" si="27"/>
        <v>0.17647058823529413</v>
      </c>
      <c r="AK74" s="269">
        <f t="shared" si="28"/>
        <v>51</v>
      </c>
      <c r="AL74" s="270">
        <f t="shared" si="29"/>
        <v>6.176470588235294</v>
      </c>
      <c r="AM74" s="271"/>
      <c r="AN74" s="272">
        <f t="shared" si="30"/>
      </c>
      <c r="AO74" s="271">
        <v>2028322</v>
      </c>
      <c r="AP74" s="288">
        <v>203654</v>
      </c>
      <c r="AQ74" s="275">
        <f t="shared" si="20"/>
        <v>9.95964724483683</v>
      </c>
      <c r="AR74" s="293">
        <v>40914</v>
      </c>
      <c r="AS74" s="333">
        <v>68</v>
      </c>
      <c r="AT74" s="409"/>
    </row>
    <row r="75" spans="1:46" s="10" customFormat="1" ht="13.5" customHeight="1" hidden="1">
      <c r="A75" s="219">
        <v>65</v>
      </c>
      <c r="B75" s="302"/>
      <c r="C75" s="242"/>
      <c r="D75" s="242"/>
      <c r="E75" s="242"/>
      <c r="F75" s="242"/>
      <c r="G75" s="242"/>
      <c r="H75" s="246"/>
      <c r="I75" s="246"/>
      <c r="J75" s="263" t="s">
        <v>158</v>
      </c>
      <c r="K75" s="68" t="s">
        <v>162</v>
      </c>
      <c r="L75" s="68" t="s">
        <v>79</v>
      </c>
      <c r="M75" s="68" t="s">
        <v>161</v>
      </c>
      <c r="N75" s="316">
        <v>40907</v>
      </c>
      <c r="O75" s="68" t="s">
        <v>13</v>
      </c>
      <c r="P75" s="411">
        <v>1</v>
      </c>
      <c r="Q75" s="276">
        <v>1</v>
      </c>
      <c r="R75" s="276">
        <v>2</v>
      </c>
      <c r="S75" s="271">
        <v>64</v>
      </c>
      <c r="T75" s="288">
        <v>6</v>
      </c>
      <c r="U75" s="271">
        <v>86</v>
      </c>
      <c r="V75" s="288">
        <v>8</v>
      </c>
      <c r="W75" s="271">
        <v>94</v>
      </c>
      <c r="X75" s="288">
        <v>9</v>
      </c>
      <c r="Y75" s="436">
        <f aca="true" t="shared" si="31" ref="Y75:Y106">SUM(S75+U75+W75)</f>
        <v>244</v>
      </c>
      <c r="Z75" s="437">
        <f aca="true" t="shared" si="32" ref="Z75:Z106">T75+V75+X75</f>
        <v>23</v>
      </c>
      <c r="AA75" s="269">
        <f aca="true" t="shared" si="33" ref="AA75:AA106">IF(Y75&lt;&gt;0,Z75/Q75,"")</f>
        <v>23</v>
      </c>
      <c r="AB75" s="270">
        <f aca="true" t="shared" si="34" ref="AB75:AB106">IF(Y75&lt;&gt;0,Y75/Z75,"")</f>
        <v>10.608695652173912</v>
      </c>
      <c r="AC75" s="277">
        <v>244</v>
      </c>
      <c r="AD75" s="272">
        <f aca="true" t="shared" si="35" ref="AD75:AD106">IF(AC75&lt;&gt;0,-(AC75-Y75)/AC75,"")</f>
        <v>0</v>
      </c>
      <c r="AE75" s="273">
        <f t="shared" si="24"/>
        <v>98</v>
      </c>
      <c r="AF75" s="269">
        <f t="shared" si="25"/>
        <v>11</v>
      </c>
      <c r="AG75" s="292">
        <v>342</v>
      </c>
      <c r="AH75" s="291">
        <v>34</v>
      </c>
      <c r="AI75" s="272">
        <f t="shared" si="26"/>
        <v>0.6764705882352942</v>
      </c>
      <c r="AJ75" s="272">
        <f t="shared" si="27"/>
        <v>0.3235294117647059</v>
      </c>
      <c r="AK75" s="269">
        <f t="shared" si="28"/>
        <v>34</v>
      </c>
      <c r="AL75" s="270">
        <f t="shared" si="29"/>
        <v>10.058823529411764</v>
      </c>
      <c r="AM75" s="271">
        <v>2379</v>
      </c>
      <c r="AN75" s="272">
        <f t="shared" si="30"/>
        <v>-0.8562421185372006</v>
      </c>
      <c r="AO75" s="271">
        <v>2721</v>
      </c>
      <c r="AP75" s="288">
        <v>289</v>
      </c>
      <c r="AQ75" s="275">
        <f aca="true" t="shared" si="36" ref="AQ75:AQ106">AO75/AP75</f>
        <v>9.415224913494809</v>
      </c>
      <c r="AR75" s="293">
        <v>40914</v>
      </c>
      <c r="AS75" s="333">
        <v>63</v>
      </c>
      <c r="AT75" s="409"/>
    </row>
    <row r="76" spans="1:46" s="10" customFormat="1" ht="13.5" customHeight="1" hidden="1">
      <c r="A76" s="219">
        <v>66</v>
      </c>
      <c r="B76" s="302"/>
      <c r="C76" s="241" t="s">
        <v>261</v>
      </c>
      <c r="D76" s="255"/>
      <c r="E76" s="242"/>
      <c r="F76" s="242"/>
      <c r="G76" s="242"/>
      <c r="H76" s="253" t="s">
        <v>55</v>
      </c>
      <c r="I76" s="246"/>
      <c r="J76" s="247" t="s">
        <v>198</v>
      </c>
      <c r="K76" s="65" t="s">
        <v>208</v>
      </c>
      <c r="L76" s="72" t="s">
        <v>94</v>
      </c>
      <c r="M76" s="72" t="s">
        <v>198</v>
      </c>
      <c r="N76" s="315">
        <v>40606</v>
      </c>
      <c r="O76" s="68" t="s">
        <v>12</v>
      </c>
      <c r="P76" s="411">
        <v>104</v>
      </c>
      <c r="Q76" s="276">
        <v>1</v>
      </c>
      <c r="R76" s="276">
        <v>45</v>
      </c>
      <c r="S76" s="286">
        <v>0</v>
      </c>
      <c r="T76" s="287">
        <v>0</v>
      </c>
      <c r="U76" s="286">
        <v>177</v>
      </c>
      <c r="V76" s="287">
        <v>35</v>
      </c>
      <c r="W76" s="286">
        <v>60</v>
      </c>
      <c r="X76" s="287">
        <v>12</v>
      </c>
      <c r="Y76" s="436">
        <f t="shared" si="31"/>
        <v>237</v>
      </c>
      <c r="Z76" s="437">
        <f t="shared" si="32"/>
        <v>47</v>
      </c>
      <c r="AA76" s="269">
        <f t="shared" si="33"/>
        <v>47</v>
      </c>
      <c r="AB76" s="270">
        <f t="shared" si="34"/>
        <v>5.042553191489362</v>
      </c>
      <c r="AC76" s="277">
        <v>237</v>
      </c>
      <c r="AD76" s="272">
        <f t="shared" si="35"/>
        <v>0</v>
      </c>
      <c r="AE76" s="273">
        <f t="shared" si="24"/>
        <v>95</v>
      </c>
      <c r="AF76" s="269">
        <f t="shared" si="25"/>
        <v>19</v>
      </c>
      <c r="AG76" s="292">
        <v>332</v>
      </c>
      <c r="AH76" s="291">
        <v>66</v>
      </c>
      <c r="AI76" s="272">
        <f t="shared" si="26"/>
        <v>0.7121212121212122</v>
      </c>
      <c r="AJ76" s="272">
        <f t="shared" si="27"/>
        <v>0.2878787878787879</v>
      </c>
      <c r="AK76" s="269">
        <f t="shared" si="28"/>
        <v>66</v>
      </c>
      <c r="AL76" s="270">
        <f t="shared" si="29"/>
        <v>5.03030303030303</v>
      </c>
      <c r="AM76" s="271">
        <v>297</v>
      </c>
      <c r="AN76" s="272">
        <f t="shared" si="30"/>
        <v>0.11784511784511785</v>
      </c>
      <c r="AO76" s="271">
        <v>1287534</v>
      </c>
      <c r="AP76" s="288">
        <v>133624</v>
      </c>
      <c r="AQ76" s="275">
        <f t="shared" si="36"/>
        <v>9.63549961084835</v>
      </c>
      <c r="AR76" s="293">
        <v>40914</v>
      </c>
      <c r="AS76" s="333">
        <v>64</v>
      </c>
      <c r="AT76" s="409"/>
    </row>
    <row r="77" spans="1:46" s="10" customFormat="1" ht="13.5" customHeight="1" hidden="1">
      <c r="A77" s="219">
        <v>67</v>
      </c>
      <c r="B77" s="302"/>
      <c r="C77" s="241" t="s">
        <v>261</v>
      </c>
      <c r="D77" s="242"/>
      <c r="E77" s="242"/>
      <c r="F77" s="242"/>
      <c r="G77" s="242"/>
      <c r="H77" s="246"/>
      <c r="I77" s="246"/>
      <c r="J77" s="245" t="s">
        <v>149</v>
      </c>
      <c r="K77" s="65" t="s">
        <v>184</v>
      </c>
      <c r="L77" s="70" t="s">
        <v>189</v>
      </c>
      <c r="M77" s="70" t="s">
        <v>150</v>
      </c>
      <c r="N77" s="316">
        <v>40830</v>
      </c>
      <c r="O77" s="68" t="s">
        <v>8</v>
      </c>
      <c r="P77" s="416">
        <v>60</v>
      </c>
      <c r="Q77" s="268">
        <v>1</v>
      </c>
      <c r="R77" s="268">
        <v>10</v>
      </c>
      <c r="S77" s="289">
        <v>28</v>
      </c>
      <c r="T77" s="290">
        <v>4</v>
      </c>
      <c r="U77" s="289">
        <v>133</v>
      </c>
      <c r="V77" s="290">
        <v>19</v>
      </c>
      <c r="W77" s="289">
        <v>65</v>
      </c>
      <c r="X77" s="290">
        <v>9</v>
      </c>
      <c r="Y77" s="436">
        <f t="shared" si="31"/>
        <v>226</v>
      </c>
      <c r="Z77" s="437">
        <f t="shared" si="32"/>
        <v>32</v>
      </c>
      <c r="AA77" s="269">
        <f t="shared" si="33"/>
        <v>32</v>
      </c>
      <c r="AB77" s="270">
        <f t="shared" si="34"/>
        <v>7.0625</v>
      </c>
      <c r="AC77" s="280">
        <v>226</v>
      </c>
      <c r="AD77" s="272">
        <f t="shared" si="35"/>
        <v>0</v>
      </c>
      <c r="AE77" s="273">
        <f t="shared" si="24"/>
        <v>91</v>
      </c>
      <c r="AF77" s="269">
        <f t="shared" si="25"/>
        <v>13</v>
      </c>
      <c r="AG77" s="325">
        <v>317</v>
      </c>
      <c r="AH77" s="326">
        <v>45</v>
      </c>
      <c r="AI77" s="272">
        <f t="shared" si="26"/>
        <v>0.7111111111111111</v>
      </c>
      <c r="AJ77" s="272">
        <f t="shared" si="27"/>
        <v>0.28888888888888886</v>
      </c>
      <c r="AK77" s="269">
        <f t="shared" si="28"/>
        <v>45</v>
      </c>
      <c r="AL77" s="270">
        <f t="shared" si="29"/>
        <v>7.044444444444444</v>
      </c>
      <c r="AM77" s="274">
        <v>476</v>
      </c>
      <c r="AN77" s="272">
        <f t="shared" si="30"/>
        <v>-0.33403361344537813</v>
      </c>
      <c r="AO77" s="289">
        <v>386341</v>
      </c>
      <c r="AP77" s="290">
        <v>40318</v>
      </c>
      <c r="AQ77" s="275">
        <f t="shared" si="36"/>
        <v>9.582345354432263</v>
      </c>
      <c r="AR77" s="293">
        <v>40914</v>
      </c>
      <c r="AS77" s="333">
        <v>67</v>
      </c>
      <c r="AT77" s="409"/>
    </row>
    <row r="78" spans="1:46" s="10" customFormat="1" ht="13.5" customHeight="1" hidden="1">
      <c r="A78" s="219">
        <v>68</v>
      </c>
      <c r="B78" s="302"/>
      <c r="C78" s="241" t="s">
        <v>261</v>
      </c>
      <c r="D78" s="252" t="s">
        <v>223</v>
      </c>
      <c r="E78" s="246"/>
      <c r="F78" s="248">
        <v>2</v>
      </c>
      <c r="G78" s="242"/>
      <c r="H78" s="242"/>
      <c r="I78" s="246"/>
      <c r="J78" s="247" t="s">
        <v>349</v>
      </c>
      <c r="K78" s="65" t="s">
        <v>91</v>
      </c>
      <c r="L78" s="72" t="s">
        <v>94</v>
      </c>
      <c r="M78" s="72" t="s">
        <v>349</v>
      </c>
      <c r="N78" s="315">
        <v>40648</v>
      </c>
      <c r="O78" s="68" t="s">
        <v>12</v>
      </c>
      <c r="P78" s="411">
        <v>151</v>
      </c>
      <c r="Q78" s="276">
        <v>1</v>
      </c>
      <c r="R78" s="276">
        <v>30</v>
      </c>
      <c r="S78" s="286">
        <v>75</v>
      </c>
      <c r="T78" s="287">
        <v>15</v>
      </c>
      <c r="U78" s="286">
        <v>60</v>
      </c>
      <c r="V78" s="287">
        <v>12</v>
      </c>
      <c r="W78" s="286">
        <v>25</v>
      </c>
      <c r="X78" s="287">
        <v>5</v>
      </c>
      <c r="Y78" s="436">
        <f t="shared" si="31"/>
        <v>160</v>
      </c>
      <c r="Z78" s="437">
        <f t="shared" si="32"/>
        <v>32</v>
      </c>
      <c r="AA78" s="269">
        <f t="shared" si="33"/>
        <v>32</v>
      </c>
      <c r="AB78" s="270">
        <f t="shared" si="34"/>
        <v>5</v>
      </c>
      <c r="AC78" s="277">
        <v>160</v>
      </c>
      <c r="AD78" s="272">
        <f t="shared" si="35"/>
        <v>0</v>
      </c>
      <c r="AE78" s="273">
        <f t="shared" si="24"/>
        <v>455</v>
      </c>
      <c r="AF78" s="269">
        <f t="shared" si="25"/>
        <v>91</v>
      </c>
      <c r="AG78" s="292">
        <v>615</v>
      </c>
      <c r="AH78" s="291">
        <v>123</v>
      </c>
      <c r="AI78" s="272">
        <f t="shared" si="26"/>
        <v>0.2601626016260163</v>
      </c>
      <c r="AJ78" s="272">
        <f t="shared" si="27"/>
        <v>0.7398373983739838</v>
      </c>
      <c r="AK78" s="269">
        <f t="shared" si="28"/>
        <v>123</v>
      </c>
      <c r="AL78" s="270">
        <f t="shared" si="29"/>
        <v>5</v>
      </c>
      <c r="AM78" s="271"/>
      <c r="AN78" s="272">
        <f t="shared" si="30"/>
      </c>
      <c r="AO78" s="271">
        <v>1956708</v>
      </c>
      <c r="AP78" s="288">
        <v>218938</v>
      </c>
      <c r="AQ78" s="275">
        <f t="shared" si="36"/>
        <v>8.93726991202989</v>
      </c>
      <c r="AR78" s="293">
        <v>40914</v>
      </c>
      <c r="AS78" s="333">
        <v>57</v>
      </c>
      <c r="AT78" s="409"/>
    </row>
    <row r="79" spans="1:46" s="10" customFormat="1" ht="13.5" customHeight="1" hidden="1">
      <c r="A79" s="219">
        <v>69</v>
      </c>
      <c r="B79" s="302"/>
      <c r="C79" s="241" t="s">
        <v>261</v>
      </c>
      <c r="D79" s="242"/>
      <c r="E79" s="242"/>
      <c r="F79" s="242"/>
      <c r="G79" s="242"/>
      <c r="H79" s="246"/>
      <c r="I79" s="246"/>
      <c r="J79" s="266" t="s">
        <v>335</v>
      </c>
      <c r="K79" s="68" t="s">
        <v>337</v>
      </c>
      <c r="L79" s="68" t="s">
        <v>79</v>
      </c>
      <c r="M79" s="68" t="s">
        <v>336</v>
      </c>
      <c r="N79" s="315">
        <v>40774</v>
      </c>
      <c r="O79" s="68" t="s">
        <v>13</v>
      </c>
      <c r="P79" s="412">
        <v>7</v>
      </c>
      <c r="Q79" s="276">
        <v>1</v>
      </c>
      <c r="R79" s="276">
        <v>17</v>
      </c>
      <c r="S79" s="271">
        <v>18</v>
      </c>
      <c r="T79" s="288">
        <v>3</v>
      </c>
      <c r="U79" s="271">
        <v>91</v>
      </c>
      <c r="V79" s="288">
        <v>15</v>
      </c>
      <c r="W79" s="271">
        <v>37</v>
      </c>
      <c r="X79" s="288">
        <v>6</v>
      </c>
      <c r="Y79" s="436">
        <f t="shared" si="31"/>
        <v>146</v>
      </c>
      <c r="Z79" s="437">
        <f t="shared" si="32"/>
        <v>24</v>
      </c>
      <c r="AA79" s="269">
        <f t="shared" si="33"/>
        <v>24</v>
      </c>
      <c r="AB79" s="270">
        <f t="shared" si="34"/>
        <v>6.083333333333333</v>
      </c>
      <c r="AC79" s="277">
        <v>146</v>
      </c>
      <c r="AD79" s="272">
        <f t="shared" si="35"/>
        <v>0</v>
      </c>
      <c r="AE79" s="273">
        <f t="shared" si="24"/>
        <v>180</v>
      </c>
      <c r="AF79" s="269">
        <f t="shared" si="25"/>
        <v>30</v>
      </c>
      <c r="AG79" s="292">
        <v>326</v>
      </c>
      <c r="AH79" s="291">
        <v>54</v>
      </c>
      <c r="AI79" s="272">
        <f t="shared" si="26"/>
        <v>0.4444444444444444</v>
      </c>
      <c r="AJ79" s="272">
        <f t="shared" si="27"/>
        <v>0.5555555555555556</v>
      </c>
      <c r="AK79" s="269">
        <f t="shared" si="28"/>
        <v>54</v>
      </c>
      <c r="AL79" s="270">
        <f t="shared" si="29"/>
        <v>6.037037037037037</v>
      </c>
      <c r="AM79" s="271"/>
      <c r="AN79" s="272">
        <f t="shared" si="30"/>
      </c>
      <c r="AO79" s="271">
        <v>139204</v>
      </c>
      <c r="AP79" s="288">
        <v>17398</v>
      </c>
      <c r="AQ79" s="275">
        <f t="shared" si="36"/>
        <v>8.001149557420392</v>
      </c>
      <c r="AR79" s="293">
        <v>40914</v>
      </c>
      <c r="AS79" s="333">
        <v>65</v>
      </c>
      <c r="AT79" s="409"/>
    </row>
    <row r="80" spans="1:46" s="10" customFormat="1" ht="13.5" customHeight="1" hidden="1">
      <c r="A80" s="219">
        <v>70</v>
      </c>
      <c r="B80" s="302"/>
      <c r="C80" s="242"/>
      <c r="D80" s="242"/>
      <c r="E80" s="242"/>
      <c r="F80" s="242"/>
      <c r="G80" s="242"/>
      <c r="H80" s="253" t="s">
        <v>55</v>
      </c>
      <c r="I80" s="246"/>
      <c r="J80" s="263" t="s">
        <v>157</v>
      </c>
      <c r="K80" s="68" t="s">
        <v>163</v>
      </c>
      <c r="L80" s="68" t="s">
        <v>128</v>
      </c>
      <c r="M80" s="68" t="s">
        <v>160</v>
      </c>
      <c r="N80" s="315">
        <v>40907</v>
      </c>
      <c r="O80" s="68" t="s">
        <v>13</v>
      </c>
      <c r="P80" s="411">
        <v>2</v>
      </c>
      <c r="Q80" s="276">
        <v>1</v>
      </c>
      <c r="R80" s="276">
        <v>2</v>
      </c>
      <c r="S80" s="271">
        <v>74</v>
      </c>
      <c r="T80" s="288">
        <v>7</v>
      </c>
      <c r="U80" s="271">
        <v>46</v>
      </c>
      <c r="V80" s="288">
        <v>4</v>
      </c>
      <c r="W80" s="271">
        <v>0</v>
      </c>
      <c r="X80" s="288">
        <v>0</v>
      </c>
      <c r="Y80" s="436">
        <f t="shared" si="31"/>
        <v>120</v>
      </c>
      <c r="Z80" s="437">
        <f t="shared" si="32"/>
        <v>11</v>
      </c>
      <c r="AA80" s="269">
        <f t="shared" si="33"/>
        <v>11</v>
      </c>
      <c r="AB80" s="270">
        <f t="shared" si="34"/>
        <v>10.909090909090908</v>
      </c>
      <c r="AC80" s="277">
        <v>120</v>
      </c>
      <c r="AD80" s="272">
        <f t="shared" si="35"/>
        <v>0</v>
      </c>
      <c r="AE80" s="273">
        <f t="shared" si="24"/>
        <v>0</v>
      </c>
      <c r="AF80" s="269">
        <f t="shared" si="25"/>
        <v>0</v>
      </c>
      <c r="AG80" s="292">
        <v>120</v>
      </c>
      <c r="AH80" s="291">
        <v>11</v>
      </c>
      <c r="AI80" s="272">
        <f t="shared" si="26"/>
        <v>1</v>
      </c>
      <c r="AJ80" s="272">
        <f t="shared" si="27"/>
        <v>0</v>
      </c>
      <c r="AK80" s="269">
        <f t="shared" si="28"/>
        <v>11</v>
      </c>
      <c r="AL80" s="270">
        <f t="shared" si="29"/>
        <v>10.909090909090908</v>
      </c>
      <c r="AM80" s="271">
        <v>2845</v>
      </c>
      <c r="AN80" s="272">
        <f t="shared" si="30"/>
        <v>-0.9578207381370826</v>
      </c>
      <c r="AO80" s="271">
        <v>2965</v>
      </c>
      <c r="AP80" s="288">
        <v>448</v>
      </c>
      <c r="AQ80" s="275">
        <f t="shared" si="36"/>
        <v>6.618303571428571</v>
      </c>
      <c r="AR80" s="293">
        <v>40914</v>
      </c>
      <c r="AS80" s="333">
        <v>71</v>
      </c>
      <c r="AT80" s="409"/>
    </row>
    <row r="81" spans="1:46" s="10" customFormat="1" ht="13.5" customHeight="1" hidden="1">
      <c r="A81" s="219">
        <v>71</v>
      </c>
      <c r="B81" s="302"/>
      <c r="C81" s="241" t="s">
        <v>261</v>
      </c>
      <c r="D81" s="242"/>
      <c r="E81" s="261">
        <v>3</v>
      </c>
      <c r="F81" s="242"/>
      <c r="G81" s="242"/>
      <c r="H81" s="246"/>
      <c r="I81" s="265"/>
      <c r="J81" s="256" t="s">
        <v>167</v>
      </c>
      <c r="K81" s="65" t="s">
        <v>170</v>
      </c>
      <c r="L81" s="71" t="s">
        <v>99</v>
      </c>
      <c r="M81" s="69" t="s">
        <v>169</v>
      </c>
      <c r="N81" s="316">
        <v>40872</v>
      </c>
      <c r="O81" s="68" t="s">
        <v>52</v>
      </c>
      <c r="P81" s="413">
        <v>21</v>
      </c>
      <c r="Q81" s="278">
        <v>1</v>
      </c>
      <c r="R81" s="278">
        <v>6</v>
      </c>
      <c r="S81" s="281">
        <v>14</v>
      </c>
      <c r="T81" s="282">
        <v>2</v>
      </c>
      <c r="U81" s="281">
        <v>0</v>
      </c>
      <c r="V81" s="282">
        <v>0</v>
      </c>
      <c r="W81" s="281">
        <v>84</v>
      </c>
      <c r="X81" s="282">
        <v>12</v>
      </c>
      <c r="Y81" s="436">
        <f t="shared" si="31"/>
        <v>98</v>
      </c>
      <c r="Z81" s="437">
        <f t="shared" si="32"/>
        <v>14</v>
      </c>
      <c r="AA81" s="269">
        <f t="shared" si="33"/>
        <v>14</v>
      </c>
      <c r="AB81" s="270">
        <f t="shared" si="34"/>
        <v>7</v>
      </c>
      <c r="AC81" s="277">
        <v>98</v>
      </c>
      <c r="AD81" s="272">
        <f t="shared" si="35"/>
        <v>0</v>
      </c>
      <c r="AE81" s="273">
        <f t="shared" si="24"/>
        <v>146</v>
      </c>
      <c r="AF81" s="269">
        <f t="shared" si="25"/>
        <v>22</v>
      </c>
      <c r="AG81" s="331">
        <v>244</v>
      </c>
      <c r="AH81" s="431">
        <v>36</v>
      </c>
      <c r="AI81" s="272">
        <f t="shared" si="26"/>
        <v>0.3888888888888889</v>
      </c>
      <c r="AJ81" s="272">
        <f t="shared" si="27"/>
        <v>0.6111111111111112</v>
      </c>
      <c r="AK81" s="269">
        <f t="shared" si="28"/>
        <v>36</v>
      </c>
      <c r="AL81" s="270">
        <f t="shared" si="29"/>
        <v>6.777777777777778</v>
      </c>
      <c r="AM81" s="277">
        <v>3616.5</v>
      </c>
      <c r="AN81" s="272">
        <f t="shared" si="30"/>
        <v>-0.9325314530623531</v>
      </c>
      <c r="AO81" s="428">
        <f>48871+740+512+11538+3616.5+244</f>
        <v>65521.5</v>
      </c>
      <c r="AP81" s="288">
        <f>5142+80+52+1109+459+36</f>
        <v>6878</v>
      </c>
      <c r="AQ81" s="275">
        <f t="shared" si="36"/>
        <v>9.526243093922652</v>
      </c>
      <c r="AR81" s="293">
        <v>40914</v>
      </c>
      <c r="AS81" s="333">
        <v>69</v>
      </c>
      <c r="AT81" s="409"/>
    </row>
    <row r="82" spans="1:46" s="10" customFormat="1" ht="13.5" customHeight="1" hidden="1">
      <c r="A82" s="219">
        <v>72</v>
      </c>
      <c r="B82" s="302"/>
      <c r="C82" s="241" t="s">
        <v>261</v>
      </c>
      <c r="D82" s="257"/>
      <c r="E82" s="257"/>
      <c r="F82" s="242"/>
      <c r="G82" s="257"/>
      <c r="H82" s="246"/>
      <c r="I82" s="246"/>
      <c r="J82" s="245" t="s">
        <v>355</v>
      </c>
      <c r="K82" s="70" t="s">
        <v>96</v>
      </c>
      <c r="L82" s="68" t="s">
        <v>95</v>
      </c>
      <c r="M82" s="70" t="s">
        <v>356</v>
      </c>
      <c r="N82" s="315">
        <v>40837</v>
      </c>
      <c r="O82" s="68" t="s">
        <v>10</v>
      </c>
      <c r="P82" s="413">
        <v>79</v>
      </c>
      <c r="Q82" s="278">
        <v>1</v>
      </c>
      <c r="R82" s="278">
        <v>10</v>
      </c>
      <c r="S82" s="289">
        <v>0</v>
      </c>
      <c r="T82" s="290">
        <v>0</v>
      </c>
      <c r="U82" s="289">
        <v>35</v>
      </c>
      <c r="V82" s="290">
        <v>5</v>
      </c>
      <c r="W82" s="289">
        <v>0</v>
      </c>
      <c r="X82" s="290">
        <v>0</v>
      </c>
      <c r="Y82" s="436">
        <f t="shared" si="31"/>
        <v>35</v>
      </c>
      <c r="Z82" s="437">
        <f t="shared" si="32"/>
        <v>5</v>
      </c>
      <c r="AA82" s="269">
        <f t="shared" si="33"/>
        <v>5</v>
      </c>
      <c r="AB82" s="270">
        <f t="shared" si="34"/>
        <v>7</v>
      </c>
      <c r="AC82" s="277">
        <v>35</v>
      </c>
      <c r="AD82" s="272">
        <f t="shared" si="35"/>
        <v>0</v>
      </c>
      <c r="AE82" s="273">
        <f t="shared" si="24"/>
        <v>86</v>
      </c>
      <c r="AF82" s="269">
        <f t="shared" si="25"/>
        <v>13</v>
      </c>
      <c r="AG82" s="325">
        <v>121</v>
      </c>
      <c r="AH82" s="326">
        <v>18</v>
      </c>
      <c r="AI82" s="272">
        <f t="shared" si="26"/>
        <v>0.2777777777777778</v>
      </c>
      <c r="AJ82" s="272">
        <f t="shared" si="27"/>
        <v>0.7222222222222222</v>
      </c>
      <c r="AK82" s="269">
        <f t="shared" si="28"/>
        <v>18</v>
      </c>
      <c r="AL82" s="270">
        <f t="shared" si="29"/>
        <v>6.722222222222222</v>
      </c>
      <c r="AM82" s="274"/>
      <c r="AN82" s="272">
        <f t="shared" si="30"/>
      </c>
      <c r="AO82" s="289">
        <v>1094365</v>
      </c>
      <c r="AP82" s="290">
        <v>100179</v>
      </c>
      <c r="AQ82" s="275">
        <f t="shared" si="36"/>
        <v>10.924095868395572</v>
      </c>
      <c r="AR82" s="293">
        <v>40914</v>
      </c>
      <c r="AS82" s="333">
        <v>70</v>
      </c>
      <c r="AT82" s="409"/>
    </row>
    <row r="83" spans="1:46" s="10" customFormat="1" ht="13.5" customHeight="1" hidden="1">
      <c r="A83" s="219">
        <v>73</v>
      </c>
      <c r="B83" s="302"/>
      <c r="C83" s="241" t="s">
        <v>261</v>
      </c>
      <c r="D83" s="242"/>
      <c r="E83" s="242"/>
      <c r="F83" s="242"/>
      <c r="G83" s="242"/>
      <c r="H83" s="246"/>
      <c r="I83" s="246"/>
      <c r="J83" s="266" t="s">
        <v>258</v>
      </c>
      <c r="K83" s="68" t="s">
        <v>259</v>
      </c>
      <c r="L83" s="68" t="s">
        <v>260</v>
      </c>
      <c r="M83" s="68" t="s">
        <v>239</v>
      </c>
      <c r="N83" s="315">
        <v>40725</v>
      </c>
      <c r="O83" s="68" t="s">
        <v>13</v>
      </c>
      <c r="P83" s="411">
        <v>3</v>
      </c>
      <c r="Q83" s="276">
        <v>1</v>
      </c>
      <c r="R83" s="276">
        <v>20</v>
      </c>
      <c r="S83" s="271">
        <v>0</v>
      </c>
      <c r="T83" s="288">
        <v>0</v>
      </c>
      <c r="U83" s="271">
        <v>0</v>
      </c>
      <c r="V83" s="288">
        <v>0</v>
      </c>
      <c r="W83" s="271">
        <v>0</v>
      </c>
      <c r="X83" s="288">
        <v>0</v>
      </c>
      <c r="Y83" s="436">
        <f t="shared" si="31"/>
        <v>0</v>
      </c>
      <c r="Z83" s="437">
        <f t="shared" si="32"/>
        <v>0</v>
      </c>
      <c r="AA83" s="269">
        <f t="shared" si="33"/>
      </c>
      <c r="AB83" s="270">
        <f t="shared" si="34"/>
      </c>
      <c r="AC83" s="277">
        <v>0</v>
      </c>
      <c r="AD83" s="272">
        <f t="shared" si="35"/>
      </c>
      <c r="AE83" s="273">
        <f t="shared" si="24"/>
        <v>2970</v>
      </c>
      <c r="AF83" s="269">
        <f t="shared" si="25"/>
        <v>594</v>
      </c>
      <c r="AG83" s="292">
        <v>2970</v>
      </c>
      <c r="AH83" s="291">
        <v>594</v>
      </c>
      <c r="AI83" s="272">
        <f t="shared" si="26"/>
        <v>0</v>
      </c>
      <c r="AJ83" s="272">
        <f t="shared" si="27"/>
        <v>1</v>
      </c>
      <c r="AK83" s="269">
        <f t="shared" si="28"/>
        <v>594</v>
      </c>
      <c r="AL83" s="270">
        <f t="shared" si="29"/>
        <v>5</v>
      </c>
      <c r="AM83" s="271"/>
      <c r="AN83" s="272">
        <f t="shared" si="30"/>
      </c>
      <c r="AO83" s="271">
        <v>65729</v>
      </c>
      <c r="AP83" s="288">
        <v>8049</v>
      </c>
      <c r="AQ83" s="275">
        <f t="shared" si="36"/>
        <v>8.166107591005094</v>
      </c>
      <c r="AR83" s="293">
        <v>40914</v>
      </c>
      <c r="AS83" s="333">
        <v>34</v>
      </c>
      <c r="AT83" s="409"/>
    </row>
    <row r="84" spans="1:46" s="10" customFormat="1" ht="13.5" customHeight="1" hidden="1">
      <c r="A84" s="219">
        <v>74</v>
      </c>
      <c r="B84" s="302"/>
      <c r="C84" s="241" t="s">
        <v>261</v>
      </c>
      <c r="D84" s="242"/>
      <c r="E84" s="242"/>
      <c r="F84" s="242"/>
      <c r="G84" s="242"/>
      <c r="H84" s="246"/>
      <c r="I84" s="244" t="s">
        <v>54</v>
      </c>
      <c r="J84" s="250" t="s">
        <v>362</v>
      </c>
      <c r="K84" s="67" t="s">
        <v>376</v>
      </c>
      <c r="L84" s="69"/>
      <c r="M84" s="67" t="s">
        <v>362</v>
      </c>
      <c r="N84" s="315">
        <v>40676</v>
      </c>
      <c r="O84" s="68" t="s">
        <v>68</v>
      </c>
      <c r="P84" s="411">
        <v>10</v>
      </c>
      <c r="Q84" s="276">
        <v>1</v>
      </c>
      <c r="R84" s="276">
        <v>20</v>
      </c>
      <c r="S84" s="279"/>
      <c r="T84" s="283"/>
      <c r="U84" s="279"/>
      <c r="V84" s="283"/>
      <c r="W84" s="279"/>
      <c r="X84" s="283"/>
      <c r="Y84" s="436">
        <f t="shared" si="31"/>
        <v>0</v>
      </c>
      <c r="Z84" s="437">
        <f t="shared" si="32"/>
        <v>0</v>
      </c>
      <c r="AA84" s="269">
        <f t="shared" si="33"/>
      </c>
      <c r="AB84" s="270">
        <f t="shared" si="34"/>
      </c>
      <c r="AC84" s="277"/>
      <c r="AD84" s="272">
        <f t="shared" si="35"/>
      </c>
      <c r="AE84" s="273">
        <f t="shared" si="24"/>
        <v>3801.5</v>
      </c>
      <c r="AF84" s="269">
        <f t="shared" si="25"/>
        <v>950</v>
      </c>
      <c r="AG84" s="321">
        <v>3801.5</v>
      </c>
      <c r="AH84" s="322">
        <v>950</v>
      </c>
      <c r="AI84" s="272">
        <f t="shared" si="26"/>
        <v>0</v>
      </c>
      <c r="AJ84" s="272">
        <f t="shared" si="27"/>
        <v>1</v>
      </c>
      <c r="AK84" s="269">
        <f t="shared" si="28"/>
        <v>950</v>
      </c>
      <c r="AL84" s="270">
        <f t="shared" si="29"/>
        <v>4.001578947368421</v>
      </c>
      <c r="AM84" s="274"/>
      <c r="AN84" s="272">
        <f t="shared" si="30"/>
      </c>
      <c r="AO84" s="274">
        <f>19776.5+5289.5+3941.5+4149+6030.5+491+2263+886+669+235+576+182+578+116+1188+1782+1782+1782+1782+3801.5</f>
        <v>57300.5</v>
      </c>
      <c r="AP84" s="284">
        <f>2214+710+772+646+1024+103+434+139+105+46+100+16+62+13+297+446+446+446+446+950</f>
        <v>9415</v>
      </c>
      <c r="AQ84" s="275">
        <f t="shared" si="36"/>
        <v>6.086086032926182</v>
      </c>
      <c r="AR84" s="293">
        <v>40914</v>
      </c>
      <c r="AS84" s="333">
        <v>30</v>
      </c>
      <c r="AT84" s="409"/>
    </row>
    <row r="85" spans="1:46" s="10" customFormat="1" ht="13.5" customHeight="1" hidden="1">
      <c r="A85" s="219">
        <v>75</v>
      </c>
      <c r="B85" s="302"/>
      <c r="C85" s="241" t="s">
        <v>261</v>
      </c>
      <c r="D85" s="242"/>
      <c r="E85" s="242"/>
      <c r="F85" s="242"/>
      <c r="G85" s="242"/>
      <c r="H85" s="253" t="s">
        <v>55</v>
      </c>
      <c r="I85" s="254"/>
      <c r="J85" s="250" t="s">
        <v>363</v>
      </c>
      <c r="K85" s="67" t="s">
        <v>126</v>
      </c>
      <c r="L85" s="69" t="s">
        <v>418</v>
      </c>
      <c r="M85" s="67" t="s">
        <v>363</v>
      </c>
      <c r="N85" s="315">
        <v>40641</v>
      </c>
      <c r="O85" s="68" t="s">
        <v>68</v>
      </c>
      <c r="P85" s="411">
        <v>137</v>
      </c>
      <c r="Q85" s="276">
        <v>1</v>
      </c>
      <c r="R85" s="276">
        <v>38</v>
      </c>
      <c r="S85" s="279"/>
      <c r="T85" s="283"/>
      <c r="U85" s="279"/>
      <c r="V85" s="283"/>
      <c r="W85" s="279"/>
      <c r="X85" s="283"/>
      <c r="Y85" s="436">
        <f t="shared" si="31"/>
        <v>0</v>
      </c>
      <c r="Z85" s="437">
        <f t="shared" si="32"/>
        <v>0</v>
      </c>
      <c r="AA85" s="269">
        <f t="shared" si="33"/>
      </c>
      <c r="AB85" s="270">
        <f t="shared" si="34"/>
      </c>
      <c r="AC85" s="277"/>
      <c r="AD85" s="272">
        <f t="shared" si="35"/>
      </c>
      <c r="AE85" s="273">
        <f t="shared" si="24"/>
        <v>2318</v>
      </c>
      <c r="AF85" s="269">
        <f t="shared" si="25"/>
        <v>1120</v>
      </c>
      <c r="AG85" s="321">
        <v>2318</v>
      </c>
      <c r="AH85" s="322">
        <v>1120</v>
      </c>
      <c r="AI85" s="272">
        <f t="shared" si="26"/>
        <v>0</v>
      </c>
      <c r="AJ85" s="272">
        <f t="shared" si="27"/>
        <v>1</v>
      </c>
      <c r="AK85" s="269">
        <f t="shared" si="28"/>
        <v>1120</v>
      </c>
      <c r="AL85" s="270">
        <f t="shared" si="29"/>
        <v>2.069642857142857</v>
      </c>
      <c r="AM85" s="274"/>
      <c r="AN85" s="272">
        <f t="shared" si="30"/>
      </c>
      <c r="AO85" s="274">
        <f>1093950.25+883807.25+882248.49+232093.5+101981.5+57830.5+19947.5+33359.5+10973.5+10465+4630+3501.5+10659+9758.5+3633+5790+6145.5+1329.5+1868.5+1128+2980.5+1299.5+16988+15449+14138+200+1908+7960+4871+1544.5+1533+891+3175+713+425+224+993+2318</f>
        <v>3452710.99</v>
      </c>
      <c r="AP85" s="284">
        <f>103570+88345+90215+25333+13427+8958+3731+5336+2366+2057+997+691+1831+2140+654+1021+736+207+401+189+424+234+4142+3841+3526+40+471+1991+1218+386+96+56+735+178+84+42+228+1120</f>
        <v>371017</v>
      </c>
      <c r="AQ85" s="275">
        <f t="shared" si="36"/>
        <v>9.306072201543326</v>
      </c>
      <c r="AR85" s="293">
        <v>40914</v>
      </c>
      <c r="AS85" s="333">
        <v>39</v>
      </c>
      <c r="AT85" s="409"/>
    </row>
    <row r="86" spans="1:46" s="10" customFormat="1" ht="13.5" customHeight="1" hidden="1">
      <c r="A86" s="219">
        <v>76</v>
      </c>
      <c r="B86" s="240"/>
      <c r="C86" s="241" t="s">
        <v>261</v>
      </c>
      <c r="D86" s="242"/>
      <c r="E86" s="242"/>
      <c r="F86" s="242"/>
      <c r="G86" s="242"/>
      <c r="H86" s="253" t="s">
        <v>55</v>
      </c>
      <c r="I86" s="254"/>
      <c r="J86" s="250" t="s">
        <v>364</v>
      </c>
      <c r="K86" s="67" t="s">
        <v>377</v>
      </c>
      <c r="L86" s="67" t="s">
        <v>85</v>
      </c>
      <c r="M86" s="67" t="s">
        <v>374</v>
      </c>
      <c r="N86" s="315">
        <v>40347</v>
      </c>
      <c r="O86" s="68" t="s">
        <v>68</v>
      </c>
      <c r="P86" s="411">
        <v>66</v>
      </c>
      <c r="Q86" s="276">
        <v>1</v>
      </c>
      <c r="R86" s="276">
        <v>34</v>
      </c>
      <c r="S86" s="279"/>
      <c r="T86" s="283"/>
      <c r="U86" s="279"/>
      <c r="V86" s="283"/>
      <c r="W86" s="279"/>
      <c r="X86" s="283"/>
      <c r="Y86" s="436">
        <f t="shared" si="31"/>
        <v>0</v>
      </c>
      <c r="Z86" s="437">
        <f t="shared" si="32"/>
        <v>0</v>
      </c>
      <c r="AA86" s="269">
        <f t="shared" si="33"/>
      </c>
      <c r="AB86" s="270">
        <f t="shared" si="34"/>
      </c>
      <c r="AC86" s="277"/>
      <c r="AD86" s="272">
        <f t="shared" si="35"/>
      </c>
      <c r="AE86" s="273">
        <f t="shared" si="24"/>
        <v>2138.5</v>
      </c>
      <c r="AF86" s="269">
        <f t="shared" si="25"/>
        <v>535</v>
      </c>
      <c r="AG86" s="321">
        <v>2138.5</v>
      </c>
      <c r="AH86" s="322">
        <v>535</v>
      </c>
      <c r="AI86" s="272">
        <f t="shared" si="26"/>
        <v>0</v>
      </c>
      <c r="AJ86" s="272">
        <f t="shared" si="27"/>
        <v>1</v>
      </c>
      <c r="AK86" s="269">
        <f t="shared" si="28"/>
        <v>535</v>
      </c>
      <c r="AL86" s="270">
        <f t="shared" si="29"/>
        <v>3.997196261682243</v>
      </c>
      <c r="AM86" s="274"/>
      <c r="AN86" s="272">
        <f t="shared" si="30"/>
      </c>
      <c r="AO86" s="274">
        <f>478213+7083+3309.5+6055+4900+8378+4378.5+2349+3103+2074+7679.5+6108+2991.5+2180+2234+642+2775.5+1757+1151+3382+60+1782+2851+1188+713+286+2138.5</f>
        <v>559762</v>
      </c>
      <c r="AP86" s="284">
        <f>55327+1259+553+1133+756+1285+650+408+682+334+1688+1394+539+483+475+201+677+260+202+852+20+445+712+297+178+67+535</f>
        <v>71412</v>
      </c>
      <c r="AQ86" s="275">
        <f t="shared" si="36"/>
        <v>7.838486528874699</v>
      </c>
      <c r="AR86" s="293">
        <v>40914</v>
      </c>
      <c r="AS86" s="333">
        <v>40</v>
      </c>
      <c r="AT86" s="409"/>
    </row>
    <row r="87" spans="1:46" s="10" customFormat="1" ht="13.5" customHeight="1" hidden="1">
      <c r="A87" s="219">
        <v>77</v>
      </c>
      <c r="B87" s="302"/>
      <c r="C87" s="241" t="s">
        <v>261</v>
      </c>
      <c r="D87" s="242"/>
      <c r="E87" s="242"/>
      <c r="F87" s="242"/>
      <c r="G87" s="242"/>
      <c r="H87" s="253" t="s">
        <v>55</v>
      </c>
      <c r="I87" s="254"/>
      <c r="J87" s="250" t="s">
        <v>383</v>
      </c>
      <c r="K87" s="67" t="s">
        <v>382</v>
      </c>
      <c r="L87" s="67" t="s">
        <v>128</v>
      </c>
      <c r="M87" s="67" t="s">
        <v>375</v>
      </c>
      <c r="N87" s="315">
        <v>40746</v>
      </c>
      <c r="O87" s="68" t="s">
        <v>68</v>
      </c>
      <c r="P87" s="411">
        <v>1</v>
      </c>
      <c r="Q87" s="276">
        <v>1</v>
      </c>
      <c r="R87" s="276">
        <v>8</v>
      </c>
      <c r="S87" s="279"/>
      <c r="T87" s="283"/>
      <c r="U87" s="279"/>
      <c r="V87" s="283"/>
      <c r="W87" s="279"/>
      <c r="X87" s="283"/>
      <c r="Y87" s="436">
        <f t="shared" si="31"/>
        <v>0</v>
      </c>
      <c r="Z87" s="437">
        <f t="shared" si="32"/>
        <v>0</v>
      </c>
      <c r="AA87" s="269">
        <f t="shared" si="33"/>
      </c>
      <c r="AB87" s="270">
        <f t="shared" si="34"/>
      </c>
      <c r="AC87" s="277"/>
      <c r="AD87" s="272">
        <f t="shared" si="35"/>
      </c>
      <c r="AE87" s="273">
        <f t="shared" si="24"/>
        <v>2138.5</v>
      </c>
      <c r="AF87" s="269">
        <f t="shared" si="25"/>
        <v>535</v>
      </c>
      <c r="AG87" s="321">
        <v>2138.5</v>
      </c>
      <c r="AH87" s="322">
        <v>535</v>
      </c>
      <c r="AI87" s="272">
        <f t="shared" si="26"/>
        <v>0</v>
      </c>
      <c r="AJ87" s="272">
        <f t="shared" si="27"/>
        <v>1</v>
      </c>
      <c r="AK87" s="269">
        <f t="shared" si="28"/>
        <v>535</v>
      </c>
      <c r="AL87" s="270">
        <f t="shared" si="29"/>
        <v>3.997196261682243</v>
      </c>
      <c r="AM87" s="274"/>
      <c r="AN87" s="272">
        <f t="shared" si="30"/>
      </c>
      <c r="AO87" s="274">
        <f>5298+3611+922.5+907+181+268.5+2138.5+2138.5</f>
        <v>15465</v>
      </c>
      <c r="AP87" s="284">
        <f>334+225+67+122+18+21+535+535</f>
        <v>1857</v>
      </c>
      <c r="AQ87" s="275">
        <f t="shared" si="36"/>
        <v>8.32794830371567</v>
      </c>
      <c r="AR87" s="293">
        <v>40914</v>
      </c>
      <c r="AS87" s="333">
        <v>41</v>
      </c>
      <c r="AT87" s="62"/>
    </row>
    <row r="88" spans="1:46" s="10" customFormat="1" ht="13.5" customHeight="1" hidden="1">
      <c r="A88" s="219">
        <v>78</v>
      </c>
      <c r="B88" s="302"/>
      <c r="C88" s="241" t="s">
        <v>261</v>
      </c>
      <c r="D88" s="242"/>
      <c r="E88" s="242"/>
      <c r="F88" s="242"/>
      <c r="G88" s="242"/>
      <c r="H88" s="246"/>
      <c r="I88" s="244" t="s">
        <v>54</v>
      </c>
      <c r="J88" s="250" t="s">
        <v>365</v>
      </c>
      <c r="K88" s="67" t="s">
        <v>378</v>
      </c>
      <c r="L88" s="69"/>
      <c r="M88" s="67" t="s">
        <v>365</v>
      </c>
      <c r="N88" s="315">
        <v>40795</v>
      </c>
      <c r="O88" s="68" t="s">
        <v>68</v>
      </c>
      <c r="P88" s="411">
        <v>3</v>
      </c>
      <c r="Q88" s="276">
        <v>1</v>
      </c>
      <c r="R88" s="276">
        <v>8</v>
      </c>
      <c r="S88" s="279"/>
      <c r="T88" s="283"/>
      <c r="U88" s="279"/>
      <c r="V88" s="283"/>
      <c r="W88" s="279"/>
      <c r="X88" s="283"/>
      <c r="Y88" s="436">
        <f t="shared" si="31"/>
        <v>0</v>
      </c>
      <c r="Z88" s="437">
        <f t="shared" si="32"/>
        <v>0</v>
      </c>
      <c r="AA88" s="269">
        <f t="shared" si="33"/>
      </c>
      <c r="AB88" s="270">
        <f t="shared" si="34"/>
      </c>
      <c r="AC88" s="277"/>
      <c r="AD88" s="272">
        <f t="shared" si="35"/>
      </c>
      <c r="AE88" s="273">
        <f t="shared" si="24"/>
        <v>1782</v>
      </c>
      <c r="AF88" s="269">
        <f t="shared" si="25"/>
        <v>446</v>
      </c>
      <c r="AG88" s="321">
        <v>1782</v>
      </c>
      <c r="AH88" s="322">
        <v>446</v>
      </c>
      <c r="AI88" s="272">
        <f t="shared" si="26"/>
        <v>0</v>
      </c>
      <c r="AJ88" s="272">
        <f t="shared" si="27"/>
        <v>1</v>
      </c>
      <c r="AK88" s="269">
        <f t="shared" si="28"/>
        <v>446</v>
      </c>
      <c r="AL88" s="270">
        <f t="shared" si="29"/>
        <v>3.995515695067265</v>
      </c>
      <c r="AM88" s="274"/>
      <c r="AN88" s="272">
        <f t="shared" si="30"/>
      </c>
      <c r="AO88" s="274">
        <f>4125+2511+398+1048+854+482+594+1782</f>
        <v>11794</v>
      </c>
      <c r="AP88" s="284">
        <f>422+287+52+100+134+61+149+446</f>
        <v>1651</v>
      </c>
      <c r="AQ88" s="275">
        <f t="shared" si="36"/>
        <v>7.143549364021805</v>
      </c>
      <c r="AR88" s="293">
        <v>40914</v>
      </c>
      <c r="AS88" s="333">
        <v>43</v>
      </c>
      <c r="AT88" s="62"/>
    </row>
    <row r="89" spans="1:46" s="10" customFormat="1" ht="16.5" hidden="1" thickBot="1">
      <c r="A89" s="219">
        <v>79</v>
      </c>
      <c r="B89" s="306"/>
      <c r="C89" s="307" t="s">
        <v>261</v>
      </c>
      <c r="D89" s="441" t="s">
        <v>223</v>
      </c>
      <c r="E89" s="308"/>
      <c r="F89" s="443" t="s">
        <v>292</v>
      </c>
      <c r="G89" s="308"/>
      <c r="H89" s="445" t="s">
        <v>55</v>
      </c>
      <c r="I89" s="320"/>
      <c r="J89" s="311" t="s">
        <v>366</v>
      </c>
      <c r="K89" s="313" t="s">
        <v>126</v>
      </c>
      <c r="L89" s="312" t="s">
        <v>89</v>
      </c>
      <c r="M89" s="313" t="s">
        <v>373</v>
      </c>
      <c r="N89" s="317">
        <v>40172</v>
      </c>
      <c r="O89" s="74" t="s">
        <v>68</v>
      </c>
      <c r="P89" s="419">
        <v>60</v>
      </c>
      <c r="Q89" s="276">
        <v>1</v>
      </c>
      <c r="R89" s="276">
        <v>40</v>
      </c>
      <c r="S89" s="279"/>
      <c r="T89" s="283"/>
      <c r="U89" s="279"/>
      <c r="V89" s="283"/>
      <c r="W89" s="279"/>
      <c r="X89" s="283"/>
      <c r="Y89" s="436">
        <f t="shared" si="31"/>
        <v>0</v>
      </c>
      <c r="Z89" s="437">
        <f t="shared" si="32"/>
        <v>0</v>
      </c>
      <c r="AA89" s="269">
        <f t="shared" si="33"/>
      </c>
      <c r="AB89" s="270">
        <f t="shared" si="34"/>
      </c>
      <c r="AC89" s="277"/>
      <c r="AD89" s="272">
        <f t="shared" si="35"/>
      </c>
      <c r="AE89" s="273">
        <f t="shared" si="24"/>
        <v>1425.5</v>
      </c>
      <c r="AF89" s="269">
        <f t="shared" si="25"/>
        <v>356</v>
      </c>
      <c r="AG89" s="321">
        <v>1425.5</v>
      </c>
      <c r="AH89" s="322">
        <v>356</v>
      </c>
      <c r="AI89" s="272">
        <f t="shared" si="26"/>
        <v>0</v>
      </c>
      <c r="AJ89" s="272">
        <f t="shared" si="27"/>
        <v>1</v>
      </c>
      <c r="AK89" s="269">
        <f t="shared" si="28"/>
        <v>356</v>
      </c>
      <c r="AL89" s="270">
        <f t="shared" si="29"/>
        <v>4.004213483146067</v>
      </c>
      <c r="AM89" s="274"/>
      <c r="AN89" s="272">
        <f t="shared" si="30"/>
      </c>
      <c r="AO89" s="274">
        <f>421775.5+397095.5+287050+215248.5+189819.5+180729.5+86816.5+23840+19148+14942.5+8798.5+9599+13618.5+4298+4028+3310+8547+6712.5+1803+1172+973+2291+380.5+3015+1103.5+65+2061.5+1262+1020+2232+2970+5074+2970+1188+250+200+70+4277+2138.5+1425.5</f>
        <v>1933318.5</v>
      </c>
      <c r="AP89" s="284">
        <f>43739+40732+31780+27356+25902+24895+12153+4496+3179+3069+1650+2236+3335+954+829+540+1945+1297+429+261+173+594+53+613+200+10+480+240+102+533+743+1267+742+297+28+20+7+1068+534+356</f>
        <v>238837</v>
      </c>
      <c r="AQ89" s="275">
        <f t="shared" si="36"/>
        <v>8.094719411146514</v>
      </c>
      <c r="AR89" s="293">
        <v>40914</v>
      </c>
      <c r="AS89" s="334">
        <v>47</v>
      </c>
      <c r="AT89" s="62"/>
    </row>
    <row r="90" spans="1:46" s="10" customFormat="1" ht="15.75" hidden="1">
      <c r="A90" s="219">
        <v>80</v>
      </c>
      <c r="B90" s="314"/>
      <c r="C90" s="294" t="s">
        <v>261</v>
      </c>
      <c r="D90" s="442" t="s">
        <v>223</v>
      </c>
      <c r="E90" s="295"/>
      <c r="F90" s="444" t="s">
        <v>292</v>
      </c>
      <c r="G90" s="295"/>
      <c r="H90" s="446" t="s">
        <v>55</v>
      </c>
      <c r="I90" s="448"/>
      <c r="J90" s="297" t="s">
        <v>367</v>
      </c>
      <c r="K90" s="299" t="s">
        <v>371</v>
      </c>
      <c r="L90" s="298" t="s">
        <v>89</v>
      </c>
      <c r="M90" s="299" t="s">
        <v>370</v>
      </c>
      <c r="N90" s="318">
        <v>39829</v>
      </c>
      <c r="O90" s="300" t="s">
        <v>68</v>
      </c>
      <c r="P90" s="410">
        <v>65</v>
      </c>
      <c r="Q90" s="276">
        <v>1</v>
      </c>
      <c r="R90" s="276">
        <v>44</v>
      </c>
      <c r="S90" s="279"/>
      <c r="T90" s="283"/>
      <c r="U90" s="279"/>
      <c r="V90" s="283"/>
      <c r="W90" s="279"/>
      <c r="X90" s="283"/>
      <c r="Y90" s="436">
        <f t="shared" si="31"/>
        <v>0</v>
      </c>
      <c r="Z90" s="437">
        <f t="shared" si="32"/>
        <v>0</v>
      </c>
      <c r="AA90" s="269">
        <f t="shared" si="33"/>
      </c>
      <c r="AB90" s="270">
        <f t="shared" si="34"/>
      </c>
      <c r="AC90" s="277"/>
      <c r="AD90" s="272">
        <f t="shared" si="35"/>
      </c>
      <c r="AE90" s="273">
        <f t="shared" si="24"/>
        <v>1424</v>
      </c>
      <c r="AF90" s="269">
        <f t="shared" si="25"/>
        <v>356</v>
      </c>
      <c r="AG90" s="321">
        <v>1424</v>
      </c>
      <c r="AH90" s="322">
        <v>356</v>
      </c>
      <c r="AI90" s="272">
        <f t="shared" si="26"/>
        <v>0</v>
      </c>
      <c r="AJ90" s="272">
        <f t="shared" si="27"/>
        <v>1</v>
      </c>
      <c r="AK90" s="269">
        <f t="shared" si="28"/>
        <v>356</v>
      </c>
      <c r="AL90" s="270">
        <f t="shared" si="29"/>
        <v>4</v>
      </c>
      <c r="AM90" s="274"/>
      <c r="AN90" s="272">
        <f t="shared" si="30"/>
      </c>
      <c r="AO90" s="274">
        <f>237023+244842+160469+47021+21536+18820+18020.5+26440+10695+9162.5+9870+6322+1787+2032+757+348+420.5+158+4053+339.5+3161.5+1729.5+752+1417+1780+64+1208+952+552+139.5+544+40+8072+1780+1424+1780+440+1780+1188+2612+952+712+4276+1424</f>
        <v>858895.5</v>
      </c>
      <c r="AP90" s="284">
        <f>25678+28966+21290+6590+4890+3520+3479+4786+1907+1716+2388+1533+368+541+126+70+67+48+991+81+743+414+155+169+445+16+302+238+117+23+48+12+2018+445+356+445+55+445+297+653+238+178+1069+356</f>
        <v>118272</v>
      </c>
      <c r="AQ90" s="275">
        <f t="shared" si="36"/>
        <v>7.262035815746753</v>
      </c>
      <c r="AR90" s="293">
        <v>40914</v>
      </c>
      <c r="AS90" s="342">
        <v>48</v>
      </c>
      <c r="AT90" s="62"/>
    </row>
    <row r="91" spans="1:46" s="10" customFormat="1" ht="15.75" hidden="1">
      <c r="A91" s="219">
        <v>81</v>
      </c>
      <c r="B91" s="302"/>
      <c r="C91" s="241" t="s">
        <v>261</v>
      </c>
      <c r="D91" s="255"/>
      <c r="E91" s="261">
        <v>3</v>
      </c>
      <c r="F91" s="255"/>
      <c r="G91" s="242"/>
      <c r="H91" s="254"/>
      <c r="I91" s="246"/>
      <c r="J91" s="250" t="s">
        <v>274</v>
      </c>
      <c r="K91" s="65" t="s">
        <v>140</v>
      </c>
      <c r="L91" s="69" t="s">
        <v>85</v>
      </c>
      <c r="M91" s="67" t="s">
        <v>286</v>
      </c>
      <c r="N91" s="315">
        <v>40830</v>
      </c>
      <c r="O91" s="68" t="s">
        <v>68</v>
      </c>
      <c r="P91" s="411">
        <v>98</v>
      </c>
      <c r="Q91" s="276">
        <v>4</v>
      </c>
      <c r="R91" s="276">
        <v>12</v>
      </c>
      <c r="S91" s="279">
        <v>0</v>
      </c>
      <c r="T91" s="283">
        <v>0</v>
      </c>
      <c r="U91" s="279">
        <v>0</v>
      </c>
      <c r="V91" s="283">
        <v>0</v>
      </c>
      <c r="W91" s="279">
        <v>0</v>
      </c>
      <c r="X91" s="283">
        <v>0</v>
      </c>
      <c r="Y91" s="436">
        <f t="shared" si="31"/>
        <v>0</v>
      </c>
      <c r="Z91" s="437">
        <f t="shared" si="32"/>
        <v>0</v>
      </c>
      <c r="AA91" s="269">
        <f t="shared" si="33"/>
      </c>
      <c r="AB91" s="270">
        <f t="shared" si="34"/>
      </c>
      <c r="AC91" s="277">
        <v>0</v>
      </c>
      <c r="AD91" s="272">
        <f t="shared" si="35"/>
      </c>
      <c r="AE91" s="273">
        <f aca="true" t="shared" si="37" ref="AE91:AE114">AG91-Y91</f>
        <v>488</v>
      </c>
      <c r="AF91" s="269">
        <f aca="true" t="shared" si="38" ref="AF91:AF114">AH91-Z91</f>
        <v>70</v>
      </c>
      <c r="AG91" s="321">
        <v>488</v>
      </c>
      <c r="AH91" s="322">
        <v>70</v>
      </c>
      <c r="AI91" s="272">
        <f aca="true" t="shared" si="39" ref="AI91:AI122">Z91*1/AH91</f>
        <v>0</v>
      </c>
      <c r="AJ91" s="272">
        <f aca="true" t="shared" si="40" ref="AJ91:AJ114">AF91*1/AH91</f>
        <v>1</v>
      </c>
      <c r="AK91" s="269">
        <f aca="true" t="shared" si="41" ref="AK91:AK114">AH91/Q91</f>
        <v>17.5</v>
      </c>
      <c r="AL91" s="270">
        <f aca="true" t="shared" si="42" ref="AL91:AL114">AG91/AH91</f>
        <v>6.9714285714285715</v>
      </c>
      <c r="AM91" s="274"/>
      <c r="AN91" s="272">
        <f t="shared" si="30"/>
      </c>
      <c r="AO91" s="274">
        <f>573965.5+340647.5+298149+37925.5+16221+796+1713.5+3994+1930+1403+3582+6668.5+488</f>
        <v>1287483.5</v>
      </c>
      <c r="AP91" s="284">
        <f>50953+31140+27249+4634+2655+127+438+632+617+597+1015+1646+70</f>
        <v>121773</v>
      </c>
      <c r="AQ91" s="275">
        <f t="shared" si="36"/>
        <v>10.57281581302916</v>
      </c>
      <c r="AR91" s="293">
        <v>40914</v>
      </c>
      <c r="AS91" s="333">
        <v>59</v>
      </c>
      <c r="AT91" s="62"/>
    </row>
    <row r="92" spans="1:46" s="10" customFormat="1" ht="15.75" hidden="1">
      <c r="A92" s="219">
        <v>82</v>
      </c>
      <c r="B92" s="302"/>
      <c r="C92" s="241" t="s">
        <v>261</v>
      </c>
      <c r="D92" s="242"/>
      <c r="E92" s="261">
        <v>3</v>
      </c>
      <c r="F92" s="255"/>
      <c r="G92" s="242"/>
      <c r="H92" s="246"/>
      <c r="I92" s="254"/>
      <c r="J92" s="250" t="s">
        <v>282</v>
      </c>
      <c r="K92" s="65" t="s">
        <v>281</v>
      </c>
      <c r="L92" s="69" t="s">
        <v>248</v>
      </c>
      <c r="M92" s="67" t="s">
        <v>280</v>
      </c>
      <c r="N92" s="315">
        <v>40767</v>
      </c>
      <c r="O92" s="68" t="s">
        <v>68</v>
      </c>
      <c r="P92" s="411">
        <v>39</v>
      </c>
      <c r="Q92" s="276">
        <v>1</v>
      </c>
      <c r="R92" s="276">
        <v>17</v>
      </c>
      <c r="S92" s="279">
        <v>0</v>
      </c>
      <c r="T92" s="283">
        <v>0</v>
      </c>
      <c r="U92" s="279">
        <v>0</v>
      </c>
      <c r="V92" s="283">
        <v>0</v>
      </c>
      <c r="W92" s="279">
        <v>0</v>
      </c>
      <c r="X92" s="283">
        <v>0</v>
      </c>
      <c r="Y92" s="436">
        <f t="shared" si="31"/>
        <v>0</v>
      </c>
      <c r="Z92" s="437">
        <f t="shared" si="32"/>
        <v>0</v>
      </c>
      <c r="AA92" s="269">
        <f t="shared" si="33"/>
      </c>
      <c r="AB92" s="270">
        <f t="shared" si="34"/>
      </c>
      <c r="AC92" s="277">
        <v>0</v>
      </c>
      <c r="AD92" s="272">
        <f t="shared" si="35"/>
      </c>
      <c r="AE92" s="273">
        <f t="shared" si="37"/>
        <v>389.5</v>
      </c>
      <c r="AF92" s="269">
        <f t="shared" si="38"/>
        <v>56</v>
      </c>
      <c r="AG92" s="321">
        <v>389.5</v>
      </c>
      <c r="AH92" s="322">
        <v>56</v>
      </c>
      <c r="AI92" s="272">
        <f t="shared" si="39"/>
        <v>0</v>
      </c>
      <c r="AJ92" s="272">
        <f t="shared" si="40"/>
        <v>1</v>
      </c>
      <c r="AK92" s="269">
        <f t="shared" si="41"/>
        <v>56</v>
      </c>
      <c r="AL92" s="270">
        <f t="shared" si="42"/>
        <v>6.955357142857143</v>
      </c>
      <c r="AM92" s="274"/>
      <c r="AN92" s="272">
        <f t="shared" si="30"/>
      </c>
      <c r="AO92" s="274">
        <f>227782+93706+36180+21819+14718.5+11547.5+9757.5+8598+8681+8538+4936.5+48+662+5495+26+1437+754.5+389.5</f>
        <v>455076</v>
      </c>
      <c r="AP92" s="284">
        <f>21125+9522+4298+2881+1947+1746+1401+1176+1202+1176+682+7+103+939+4+204+110+56</f>
        <v>48579</v>
      </c>
      <c r="AQ92" s="275">
        <f t="shared" si="36"/>
        <v>9.367751497560674</v>
      </c>
      <c r="AR92" s="293">
        <v>40914</v>
      </c>
      <c r="AS92" s="333">
        <v>61</v>
      </c>
      <c r="AT92" s="62"/>
    </row>
    <row r="93" spans="1:46" s="10" customFormat="1" ht="15.75" hidden="1">
      <c r="A93" s="219">
        <v>83</v>
      </c>
      <c r="B93" s="302"/>
      <c r="C93" s="241" t="s">
        <v>261</v>
      </c>
      <c r="D93" s="242"/>
      <c r="E93" s="242"/>
      <c r="F93" s="242"/>
      <c r="G93" s="242"/>
      <c r="H93" s="246"/>
      <c r="I93" s="244" t="s">
        <v>54</v>
      </c>
      <c r="J93" s="250" t="s">
        <v>368</v>
      </c>
      <c r="K93" s="67" t="s">
        <v>379</v>
      </c>
      <c r="L93" s="67"/>
      <c r="M93" s="67" t="s">
        <v>368</v>
      </c>
      <c r="N93" s="315">
        <v>40648</v>
      </c>
      <c r="O93" s="68" t="s">
        <v>68</v>
      </c>
      <c r="P93" s="411">
        <v>28</v>
      </c>
      <c r="Q93" s="276">
        <v>1</v>
      </c>
      <c r="R93" s="276">
        <v>26</v>
      </c>
      <c r="S93" s="279"/>
      <c r="T93" s="283"/>
      <c r="U93" s="279"/>
      <c r="V93" s="283"/>
      <c r="W93" s="279"/>
      <c r="X93" s="283"/>
      <c r="Y93" s="436">
        <f t="shared" si="31"/>
        <v>0</v>
      </c>
      <c r="Z93" s="437">
        <f t="shared" si="32"/>
        <v>0</v>
      </c>
      <c r="AA93" s="269">
        <f t="shared" si="33"/>
      </c>
      <c r="AB93" s="270">
        <f t="shared" si="34"/>
      </c>
      <c r="AC93" s="277"/>
      <c r="AD93" s="272">
        <f t="shared" si="35"/>
      </c>
      <c r="AE93" s="273">
        <f t="shared" si="37"/>
        <v>40</v>
      </c>
      <c r="AF93" s="269">
        <f t="shared" si="38"/>
        <v>8</v>
      </c>
      <c r="AG93" s="321">
        <v>40</v>
      </c>
      <c r="AH93" s="322">
        <v>8</v>
      </c>
      <c r="AI93" s="272">
        <f t="shared" si="39"/>
        <v>0</v>
      </c>
      <c r="AJ93" s="272">
        <f t="shared" si="40"/>
        <v>1</v>
      </c>
      <c r="AK93" s="269">
        <f t="shared" si="41"/>
        <v>8</v>
      </c>
      <c r="AL93" s="270">
        <f t="shared" si="42"/>
        <v>5</v>
      </c>
      <c r="AM93" s="274"/>
      <c r="AN93" s="272">
        <f t="shared" si="30"/>
      </c>
      <c r="AO93" s="274">
        <f>67573+47761.5+14206.5+4949+3617+1080.5+492+714+1413.5+3743.5+735+1502.5+825+1147+1818+154+295+2263+179+160+3326.5+950.5+1782+1425.5+594+40</f>
        <v>162747.5</v>
      </c>
      <c r="AP93" s="284">
        <f>6695+4901+2068+559+504+215+178+122+205+836+119+235+131+174+400+22+45+527+35+28+831+237+446+356+149+8</f>
        <v>20026</v>
      </c>
      <c r="AQ93" s="275">
        <f t="shared" si="36"/>
        <v>8.126810146809149</v>
      </c>
      <c r="AR93" s="293">
        <v>40914</v>
      </c>
      <c r="AS93" s="333">
        <v>72</v>
      </c>
      <c r="AT93" s="62"/>
    </row>
    <row r="94" spans="1:46" s="10" customFormat="1" ht="15.75" hidden="1">
      <c r="A94" s="219">
        <v>84</v>
      </c>
      <c r="B94" s="302"/>
      <c r="C94" s="241" t="s">
        <v>261</v>
      </c>
      <c r="D94" s="242"/>
      <c r="E94" s="242"/>
      <c r="F94" s="242"/>
      <c r="G94" s="242"/>
      <c r="H94" s="246"/>
      <c r="I94" s="254"/>
      <c r="J94" s="250" t="s">
        <v>369</v>
      </c>
      <c r="K94" s="67" t="s">
        <v>385</v>
      </c>
      <c r="L94" s="69" t="s">
        <v>128</v>
      </c>
      <c r="M94" s="67" t="s">
        <v>372</v>
      </c>
      <c r="N94" s="315">
        <v>40683</v>
      </c>
      <c r="O94" s="68" t="s">
        <v>68</v>
      </c>
      <c r="P94" s="411">
        <v>6</v>
      </c>
      <c r="Q94" s="276">
        <v>1</v>
      </c>
      <c r="R94" s="276">
        <v>20</v>
      </c>
      <c r="S94" s="279"/>
      <c r="T94" s="283"/>
      <c r="U94" s="279"/>
      <c r="V94" s="283"/>
      <c r="W94" s="279"/>
      <c r="X94" s="283"/>
      <c r="Y94" s="436">
        <f t="shared" si="31"/>
        <v>0</v>
      </c>
      <c r="Z94" s="437">
        <f t="shared" si="32"/>
        <v>0</v>
      </c>
      <c r="AA94" s="269">
        <f t="shared" si="33"/>
      </c>
      <c r="AB94" s="270">
        <f t="shared" si="34"/>
      </c>
      <c r="AC94" s="277"/>
      <c r="AD94" s="272">
        <f t="shared" si="35"/>
      </c>
      <c r="AE94" s="273">
        <f t="shared" si="37"/>
        <v>25</v>
      </c>
      <c r="AF94" s="269">
        <f t="shared" si="38"/>
        <v>5</v>
      </c>
      <c r="AG94" s="321">
        <v>25</v>
      </c>
      <c r="AH94" s="322">
        <v>5</v>
      </c>
      <c r="AI94" s="272">
        <f t="shared" si="39"/>
        <v>0</v>
      </c>
      <c r="AJ94" s="272">
        <f t="shared" si="40"/>
        <v>1</v>
      </c>
      <c r="AK94" s="269">
        <f t="shared" si="41"/>
        <v>5</v>
      </c>
      <c r="AL94" s="270">
        <f t="shared" si="42"/>
        <v>5</v>
      </c>
      <c r="AM94" s="274"/>
      <c r="AN94" s="272">
        <f t="shared" si="30"/>
      </c>
      <c r="AO94" s="274">
        <f>16905.5+10044+3710+2342+9911.5+7248+6024+1678+1960+374+2139+2655.5+2562+447+1328+1270+869+1782+475+25</f>
        <v>73749.5</v>
      </c>
      <c r="AP94" s="284">
        <f>1241+811+837+224+905+1125+738+283+277+57+267+346+338+61+166+189+146+446+119+5</f>
        <v>8581</v>
      </c>
      <c r="AQ94" s="275">
        <f t="shared" si="36"/>
        <v>8.594511129239017</v>
      </c>
      <c r="AR94" s="293">
        <v>40914</v>
      </c>
      <c r="AS94" s="333">
        <v>73</v>
      </c>
      <c r="AT94" s="62"/>
    </row>
    <row r="95" spans="1:46" s="10" customFormat="1" ht="15.75" hidden="1">
      <c r="A95" s="219">
        <v>85</v>
      </c>
      <c r="B95" s="302"/>
      <c r="C95" s="241" t="s">
        <v>261</v>
      </c>
      <c r="D95" s="242"/>
      <c r="E95" s="242"/>
      <c r="F95" s="242"/>
      <c r="G95" s="242"/>
      <c r="H95" s="246"/>
      <c r="I95" s="254"/>
      <c r="J95" s="250" t="s">
        <v>381</v>
      </c>
      <c r="K95" s="67" t="s">
        <v>384</v>
      </c>
      <c r="L95" s="69" t="s">
        <v>128</v>
      </c>
      <c r="M95" s="67" t="s">
        <v>380</v>
      </c>
      <c r="N95" s="315">
        <v>40613</v>
      </c>
      <c r="O95" s="68" t="s">
        <v>68</v>
      </c>
      <c r="P95" s="411">
        <v>22</v>
      </c>
      <c r="Q95" s="276">
        <v>1</v>
      </c>
      <c r="R95" s="276">
        <v>18</v>
      </c>
      <c r="S95" s="279"/>
      <c r="T95" s="283"/>
      <c r="U95" s="279"/>
      <c r="V95" s="283"/>
      <c r="W95" s="279"/>
      <c r="X95" s="283"/>
      <c r="Y95" s="436">
        <f t="shared" si="31"/>
        <v>0</v>
      </c>
      <c r="Z95" s="437">
        <f t="shared" si="32"/>
        <v>0</v>
      </c>
      <c r="AA95" s="269">
        <f t="shared" si="33"/>
      </c>
      <c r="AB95" s="270">
        <f t="shared" si="34"/>
      </c>
      <c r="AC95" s="277"/>
      <c r="AD95" s="272">
        <f t="shared" si="35"/>
      </c>
      <c r="AE95" s="273">
        <f t="shared" si="37"/>
        <v>5</v>
      </c>
      <c r="AF95" s="269">
        <f t="shared" si="38"/>
        <v>1</v>
      </c>
      <c r="AG95" s="321">
        <v>5</v>
      </c>
      <c r="AH95" s="322">
        <v>1</v>
      </c>
      <c r="AI95" s="272">
        <f t="shared" si="39"/>
        <v>0</v>
      </c>
      <c r="AJ95" s="272">
        <f t="shared" si="40"/>
        <v>1</v>
      </c>
      <c r="AK95" s="269">
        <f t="shared" si="41"/>
        <v>1</v>
      </c>
      <c r="AL95" s="270">
        <f t="shared" si="42"/>
        <v>5</v>
      </c>
      <c r="AM95" s="274"/>
      <c r="AN95" s="272">
        <f t="shared" si="30"/>
      </c>
      <c r="AO95" s="274">
        <f>116753+45641.5+1507+3664+4533+723.5+456.5+2184+2545+520.5+610+1419+1872+2025.5+1249+6798+2626.5+5</f>
        <v>195133</v>
      </c>
      <c r="AP95" s="284">
        <f>8727+3759+162+393+667+140+67+296+333+73+92+210+173+255+140+905+299+1</f>
        <v>16692</v>
      </c>
      <c r="AQ95" s="275">
        <f t="shared" si="36"/>
        <v>11.690210879463216</v>
      </c>
      <c r="AR95" s="293">
        <v>40914</v>
      </c>
      <c r="AS95" s="333">
        <v>74</v>
      </c>
      <c r="AT95" s="62"/>
    </row>
    <row r="96" spans="1:46" s="10" customFormat="1" ht="15.75" hidden="1">
      <c r="A96" s="219">
        <v>86</v>
      </c>
      <c r="B96" s="302"/>
      <c r="C96" s="241" t="s">
        <v>261</v>
      </c>
      <c r="D96" s="242"/>
      <c r="E96" s="255"/>
      <c r="F96" s="242"/>
      <c r="G96" s="242"/>
      <c r="H96" s="246"/>
      <c r="I96" s="246"/>
      <c r="J96" s="250" t="s">
        <v>190</v>
      </c>
      <c r="K96" s="67" t="s">
        <v>195</v>
      </c>
      <c r="L96" s="69" t="s">
        <v>79</v>
      </c>
      <c r="M96" s="67" t="s">
        <v>192</v>
      </c>
      <c r="N96" s="315">
        <v>40816</v>
      </c>
      <c r="O96" s="68" t="s">
        <v>68</v>
      </c>
      <c r="P96" s="411">
        <v>25</v>
      </c>
      <c r="Q96" s="276">
        <v>13</v>
      </c>
      <c r="R96" s="276">
        <v>3</v>
      </c>
      <c r="S96" s="279">
        <v>450</v>
      </c>
      <c r="T96" s="283">
        <v>75</v>
      </c>
      <c r="U96" s="279">
        <v>582</v>
      </c>
      <c r="V96" s="283">
        <v>97</v>
      </c>
      <c r="W96" s="279">
        <v>618</v>
      </c>
      <c r="X96" s="283">
        <v>103</v>
      </c>
      <c r="Y96" s="436">
        <f t="shared" si="31"/>
        <v>1650</v>
      </c>
      <c r="Z96" s="437">
        <f t="shared" si="32"/>
        <v>275</v>
      </c>
      <c r="AA96" s="269">
        <f t="shared" si="33"/>
        <v>21.153846153846153</v>
      </c>
      <c r="AB96" s="270">
        <f t="shared" si="34"/>
        <v>6</v>
      </c>
      <c r="AC96" s="277">
        <v>1650</v>
      </c>
      <c r="AD96" s="272">
        <f t="shared" si="35"/>
        <v>0</v>
      </c>
      <c r="AE96" s="273">
        <f t="shared" si="37"/>
        <v>1670</v>
      </c>
      <c r="AF96" s="269">
        <f t="shared" si="38"/>
        <v>290</v>
      </c>
      <c r="AG96" s="321">
        <v>3320</v>
      </c>
      <c r="AH96" s="322">
        <v>565</v>
      </c>
      <c r="AI96" s="272">
        <f t="shared" si="39"/>
        <v>0.48672566371681414</v>
      </c>
      <c r="AJ96" s="272">
        <f t="shared" si="40"/>
        <v>0.5132743362831859</v>
      </c>
      <c r="AK96" s="269">
        <f t="shared" si="41"/>
        <v>43.46153846153846</v>
      </c>
      <c r="AL96" s="270">
        <f t="shared" si="42"/>
        <v>5.876106194690266</v>
      </c>
      <c r="AM96" s="274"/>
      <c r="AN96" s="272">
        <f t="shared" si="30"/>
      </c>
      <c r="AO96" s="274">
        <f>80510.5+53296+49611.5+29276.5+2781+46429+5648+1635+6908.5+15320.5+732+943+3320</f>
        <v>296411.5</v>
      </c>
      <c r="AP96" s="284">
        <f>8978+6079+6067+4144+482+6937+761+224+842+1960+107+134+565</f>
        <v>37280</v>
      </c>
      <c r="AQ96" s="275">
        <f t="shared" si="36"/>
        <v>7.950952253218884</v>
      </c>
      <c r="AR96" s="293">
        <v>40907</v>
      </c>
      <c r="AS96" s="333" t="s">
        <v>357</v>
      </c>
      <c r="AT96" s="62"/>
    </row>
    <row r="97" spans="1:46" s="10" customFormat="1" ht="15.75" hidden="1">
      <c r="A97" s="219">
        <v>87</v>
      </c>
      <c r="B97" s="304"/>
      <c r="C97" s="241" t="s">
        <v>261</v>
      </c>
      <c r="D97" s="252" t="s">
        <v>223</v>
      </c>
      <c r="E97" s="257"/>
      <c r="F97" s="242"/>
      <c r="G97" s="249" t="s">
        <v>292</v>
      </c>
      <c r="H97" s="253" t="s">
        <v>55</v>
      </c>
      <c r="I97" s="265"/>
      <c r="J97" s="245" t="s">
        <v>175</v>
      </c>
      <c r="K97" s="70" t="s">
        <v>187</v>
      </c>
      <c r="L97" s="70" t="s">
        <v>138</v>
      </c>
      <c r="M97" s="70" t="s">
        <v>178</v>
      </c>
      <c r="N97" s="315">
        <v>39682</v>
      </c>
      <c r="O97" s="68" t="s">
        <v>53</v>
      </c>
      <c r="P97" s="417">
        <v>60</v>
      </c>
      <c r="Q97" s="285">
        <v>1</v>
      </c>
      <c r="R97" s="285">
        <v>23</v>
      </c>
      <c r="S97" s="286">
        <v>626</v>
      </c>
      <c r="T97" s="287">
        <v>125</v>
      </c>
      <c r="U97" s="286">
        <v>575</v>
      </c>
      <c r="V97" s="287">
        <v>115</v>
      </c>
      <c r="W97" s="286">
        <v>0</v>
      </c>
      <c r="X97" s="287">
        <v>0</v>
      </c>
      <c r="Y97" s="436">
        <f t="shared" si="31"/>
        <v>1201</v>
      </c>
      <c r="Z97" s="437">
        <f t="shared" si="32"/>
        <v>240</v>
      </c>
      <c r="AA97" s="269">
        <f t="shared" si="33"/>
        <v>240</v>
      </c>
      <c r="AB97" s="270">
        <f t="shared" si="34"/>
        <v>5.004166666666666</v>
      </c>
      <c r="AC97" s="277">
        <v>1201</v>
      </c>
      <c r="AD97" s="272">
        <f t="shared" si="35"/>
        <v>0</v>
      </c>
      <c r="AE97" s="273">
        <f t="shared" si="37"/>
        <v>0</v>
      </c>
      <c r="AF97" s="269">
        <f t="shared" si="38"/>
        <v>0</v>
      </c>
      <c r="AG97" s="292">
        <v>1201</v>
      </c>
      <c r="AH97" s="291">
        <v>240</v>
      </c>
      <c r="AI97" s="272">
        <f t="shared" si="39"/>
        <v>1</v>
      </c>
      <c r="AJ97" s="272">
        <f t="shared" si="40"/>
        <v>0</v>
      </c>
      <c r="AK97" s="269">
        <f t="shared" si="41"/>
        <v>240</v>
      </c>
      <c r="AL97" s="270">
        <f t="shared" si="42"/>
        <v>5.004166666666666</v>
      </c>
      <c r="AM97" s="271"/>
      <c r="AN97" s="272">
        <f t="shared" si="30"/>
      </c>
      <c r="AO97" s="271">
        <f>111737+37434.5+11042+9412+0.5+6921+5282+0.5+1449+105+269+162+117+442+7259+305+4320+1922+1799+1799+135+1799+3598+1201</f>
        <v>208510.5</v>
      </c>
      <c r="AP97" s="288">
        <f>13345+4357+1377+1694+1346+1248+225+18+64+40+37+108+2420+61+783+385+300+300+15+300+600+240</f>
        <v>29263</v>
      </c>
      <c r="AQ97" s="275">
        <f t="shared" si="36"/>
        <v>7.12539725933773</v>
      </c>
      <c r="AR97" s="293">
        <v>40907</v>
      </c>
      <c r="AS97" s="333" t="s">
        <v>357</v>
      </c>
      <c r="AT97" s="62"/>
    </row>
    <row r="98" spans="1:46" s="10" customFormat="1" ht="15.75" hidden="1">
      <c r="A98" s="219">
        <v>88</v>
      </c>
      <c r="B98" s="304"/>
      <c r="C98" s="241" t="s">
        <v>261</v>
      </c>
      <c r="D98" s="252" t="s">
        <v>223</v>
      </c>
      <c r="E98" s="261">
        <v>3</v>
      </c>
      <c r="F98" s="242"/>
      <c r="G98" s="242"/>
      <c r="H98" s="253" t="s">
        <v>55</v>
      </c>
      <c r="I98" s="265"/>
      <c r="J98" s="245" t="s">
        <v>174</v>
      </c>
      <c r="K98" s="70" t="s">
        <v>185</v>
      </c>
      <c r="L98" s="70" t="s">
        <v>186</v>
      </c>
      <c r="M98" s="70" t="s">
        <v>177</v>
      </c>
      <c r="N98" s="315">
        <v>39710</v>
      </c>
      <c r="O98" s="68" t="s">
        <v>53</v>
      </c>
      <c r="P98" s="417">
        <v>66</v>
      </c>
      <c r="Q98" s="285">
        <v>1</v>
      </c>
      <c r="R98" s="285">
        <v>29</v>
      </c>
      <c r="S98" s="286">
        <v>576</v>
      </c>
      <c r="T98" s="287">
        <v>115</v>
      </c>
      <c r="U98" s="286">
        <v>625</v>
      </c>
      <c r="V98" s="287">
        <v>125</v>
      </c>
      <c r="W98" s="286">
        <v>0</v>
      </c>
      <c r="X98" s="287">
        <v>0</v>
      </c>
      <c r="Y98" s="436">
        <f t="shared" si="31"/>
        <v>1201</v>
      </c>
      <c r="Z98" s="437">
        <f t="shared" si="32"/>
        <v>240</v>
      </c>
      <c r="AA98" s="269">
        <f t="shared" si="33"/>
        <v>240</v>
      </c>
      <c r="AB98" s="270">
        <f t="shared" si="34"/>
        <v>5.004166666666666</v>
      </c>
      <c r="AC98" s="277">
        <v>1201</v>
      </c>
      <c r="AD98" s="272">
        <f t="shared" si="35"/>
        <v>0</v>
      </c>
      <c r="AE98" s="273">
        <f t="shared" si="37"/>
        <v>0</v>
      </c>
      <c r="AF98" s="269">
        <f t="shared" si="38"/>
        <v>0</v>
      </c>
      <c r="AG98" s="292">
        <v>1201</v>
      </c>
      <c r="AH98" s="291">
        <v>240</v>
      </c>
      <c r="AI98" s="272">
        <f t="shared" si="39"/>
        <v>1</v>
      </c>
      <c r="AJ98" s="272">
        <f t="shared" si="40"/>
        <v>0</v>
      </c>
      <c r="AK98" s="269">
        <f t="shared" si="41"/>
        <v>240</v>
      </c>
      <c r="AL98" s="270">
        <f t="shared" si="42"/>
        <v>5.004166666666666</v>
      </c>
      <c r="AM98" s="271"/>
      <c r="AN98" s="272">
        <f t="shared" si="30"/>
      </c>
      <c r="AO98" s="271">
        <f>152576+127511+68854.5+21974+10111.5+7103+7290+0.5+1014+3149+989+3524+0.5+3768+138+2528+257+351.5+573.5+184+3655+10+15+10+210+156+3603+3603+1922+1201</f>
        <v>426282</v>
      </c>
      <c r="AP98" s="288">
        <f>50018+825+47+65+137+67+1215+2+3+2+35+26+721+720+384+240</f>
        <v>54507</v>
      </c>
      <c r="AQ98" s="275">
        <f t="shared" si="36"/>
        <v>7.820683581925257</v>
      </c>
      <c r="AR98" s="293">
        <v>40907</v>
      </c>
      <c r="AS98" s="333" t="s">
        <v>357</v>
      </c>
      <c r="AT98" s="62"/>
    </row>
    <row r="99" spans="1:46" s="10" customFormat="1" ht="15.75" hidden="1">
      <c r="A99" s="219">
        <v>89</v>
      </c>
      <c r="B99" s="302"/>
      <c r="C99" s="241" t="s">
        <v>261</v>
      </c>
      <c r="D99" s="242"/>
      <c r="E99" s="261">
        <v>3</v>
      </c>
      <c r="F99" s="242"/>
      <c r="G99" s="242"/>
      <c r="H99" s="246"/>
      <c r="I99" s="246"/>
      <c r="J99" s="247" t="s">
        <v>202</v>
      </c>
      <c r="K99" s="65" t="s">
        <v>210</v>
      </c>
      <c r="L99" s="72" t="s">
        <v>211</v>
      </c>
      <c r="M99" s="72" t="s">
        <v>202</v>
      </c>
      <c r="N99" s="315">
        <v>40837</v>
      </c>
      <c r="O99" s="68" t="s">
        <v>12</v>
      </c>
      <c r="P99" s="411">
        <v>130</v>
      </c>
      <c r="Q99" s="276">
        <v>1</v>
      </c>
      <c r="R99" s="276">
        <v>10</v>
      </c>
      <c r="S99" s="286">
        <v>91</v>
      </c>
      <c r="T99" s="287">
        <v>13</v>
      </c>
      <c r="U99" s="286">
        <v>175</v>
      </c>
      <c r="V99" s="287">
        <v>25</v>
      </c>
      <c r="W99" s="286">
        <v>294</v>
      </c>
      <c r="X99" s="287">
        <v>42</v>
      </c>
      <c r="Y99" s="436">
        <f t="shared" si="31"/>
        <v>560</v>
      </c>
      <c r="Z99" s="437">
        <f t="shared" si="32"/>
        <v>80</v>
      </c>
      <c r="AA99" s="269">
        <f t="shared" si="33"/>
        <v>80</v>
      </c>
      <c r="AB99" s="270">
        <f t="shared" si="34"/>
        <v>7</v>
      </c>
      <c r="AC99" s="277">
        <v>560</v>
      </c>
      <c r="AD99" s="272">
        <f t="shared" si="35"/>
        <v>0</v>
      </c>
      <c r="AE99" s="273">
        <f t="shared" si="37"/>
        <v>423</v>
      </c>
      <c r="AF99" s="269">
        <f t="shared" si="38"/>
        <v>61</v>
      </c>
      <c r="AG99" s="292">
        <v>983</v>
      </c>
      <c r="AH99" s="291">
        <v>141</v>
      </c>
      <c r="AI99" s="272">
        <f t="shared" si="39"/>
        <v>0.5673758865248227</v>
      </c>
      <c r="AJ99" s="272">
        <f t="shared" si="40"/>
        <v>0.4326241134751773</v>
      </c>
      <c r="AK99" s="269">
        <f t="shared" si="41"/>
        <v>141</v>
      </c>
      <c r="AL99" s="270">
        <f t="shared" si="42"/>
        <v>6.971631205673759</v>
      </c>
      <c r="AM99" s="271"/>
      <c r="AN99" s="272">
        <f t="shared" si="30"/>
      </c>
      <c r="AO99" s="271">
        <v>893705</v>
      </c>
      <c r="AP99" s="288">
        <v>90187</v>
      </c>
      <c r="AQ99" s="275">
        <f t="shared" si="36"/>
        <v>9.909465887544767</v>
      </c>
      <c r="AR99" s="293">
        <v>40907</v>
      </c>
      <c r="AS99" s="333" t="s">
        <v>357</v>
      </c>
      <c r="AT99" s="62"/>
    </row>
    <row r="100" spans="1:46" s="10" customFormat="1" ht="15.75" hidden="1">
      <c r="A100" s="219">
        <v>90</v>
      </c>
      <c r="B100" s="304"/>
      <c r="C100" s="241" t="s">
        <v>261</v>
      </c>
      <c r="D100" s="252" t="s">
        <v>223</v>
      </c>
      <c r="E100" s="257"/>
      <c r="F100" s="242"/>
      <c r="G100" s="257"/>
      <c r="H100" s="246"/>
      <c r="I100" s="265"/>
      <c r="J100" s="245" t="s">
        <v>176</v>
      </c>
      <c r="K100" s="70" t="s">
        <v>179</v>
      </c>
      <c r="L100" s="65" t="s">
        <v>138</v>
      </c>
      <c r="M100" s="70" t="s">
        <v>180</v>
      </c>
      <c r="N100" s="315">
        <v>40837</v>
      </c>
      <c r="O100" s="68" t="s">
        <v>53</v>
      </c>
      <c r="P100" s="417">
        <v>33</v>
      </c>
      <c r="Q100" s="285">
        <v>1</v>
      </c>
      <c r="R100" s="285">
        <v>5</v>
      </c>
      <c r="S100" s="286">
        <v>0</v>
      </c>
      <c r="T100" s="287">
        <v>0</v>
      </c>
      <c r="U100" s="286">
        <v>153</v>
      </c>
      <c r="V100" s="287">
        <v>15</v>
      </c>
      <c r="W100" s="286">
        <v>358</v>
      </c>
      <c r="X100" s="287">
        <v>35</v>
      </c>
      <c r="Y100" s="436">
        <f t="shared" si="31"/>
        <v>511</v>
      </c>
      <c r="Z100" s="437">
        <f t="shared" si="32"/>
        <v>50</v>
      </c>
      <c r="AA100" s="269">
        <f t="shared" si="33"/>
        <v>50</v>
      </c>
      <c r="AB100" s="270">
        <f t="shared" si="34"/>
        <v>10.22</v>
      </c>
      <c r="AC100" s="277">
        <v>511</v>
      </c>
      <c r="AD100" s="272">
        <f t="shared" si="35"/>
        <v>0</v>
      </c>
      <c r="AE100" s="273">
        <f t="shared" si="37"/>
        <v>0</v>
      </c>
      <c r="AF100" s="269">
        <f t="shared" si="38"/>
        <v>0</v>
      </c>
      <c r="AG100" s="292">
        <v>511</v>
      </c>
      <c r="AH100" s="291">
        <v>50</v>
      </c>
      <c r="AI100" s="272">
        <f t="shared" si="39"/>
        <v>1</v>
      </c>
      <c r="AJ100" s="272">
        <f t="shared" si="40"/>
        <v>0</v>
      </c>
      <c r="AK100" s="269">
        <f t="shared" si="41"/>
        <v>50</v>
      </c>
      <c r="AL100" s="270">
        <f t="shared" si="42"/>
        <v>10.22</v>
      </c>
      <c r="AM100" s="271"/>
      <c r="AN100" s="272">
        <f t="shared" si="30"/>
      </c>
      <c r="AO100" s="286">
        <v>307870</v>
      </c>
      <c r="AP100" s="287">
        <v>23173</v>
      </c>
      <c r="AQ100" s="275">
        <f t="shared" si="36"/>
        <v>13.285720450524318</v>
      </c>
      <c r="AR100" s="293">
        <v>40907</v>
      </c>
      <c r="AS100" s="333" t="s">
        <v>357</v>
      </c>
      <c r="AT100" s="62"/>
    </row>
    <row r="101" spans="1:46" s="10" customFormat="1" ht="15.75" hidden="1">
      <c r="A101" s="219">
        <v>91</v>
      </c>
      <c r="B101" s="302"/>
      <c r="C101" s="241" t="s">
        <v>261</v>
      </c>
      <c r="D101" s="252" t="s">
        <v>223</v>
      </c>
      <c r="E101" s="242"/>
      <c r="F101" s="242"/>
      <c r="G101" s="242"/>
      <c r="H101" s="253" t="s">
        <v>55</v>
      </c>
      <c r="I101" s="254"/>
      <c r="J101" s="263" t="s">
        <v>152</v>
      </c>
      <c r="K101" s="65" t="s">
        <v>217</v>
      </c>
      <c r="L101" s="66" t="s">
        <v>94</v>
      </c>
      <c r="M101" s="68" t="s">
        <v>152</v>
      </c>
      <c r="N101" s="315">
        <v>40676</v>
      </c>
      <c r="O101" s="68" t="s">
        <v>12</v>
      </c>
      <c r="P101" s="411">
        <v>100</v>
      </c>
      <c r="Q101" s="276">
        <v>1</v>
      </c>
      <c r="R101" s="276">
        <v>34</v>
      </c>
      <c r="S101" s="286">
        <v>0</v>
      </c>
      <c r="T101" s="287">
        <v>0</v>
      </c>
      <c r="U101" s="286">
        <v>154</v>
      </c>
      <c r="V101" s="287">
        <v>19</v>
      </c>
      <c r="W101" s="286">
        <v>170</v>
      </c>
      <c r="X101" s="287">
        <v>21</v>
      </c>
      <c r="Y101" s="436">
        <f t="shared" si="31"/>
        <v>324</v>
      </c>
      <c r="Z101" s="437">
        <f t="shared" si="32"/>
        <v>40</v>
      </c>
      <c r="AA101" s="269">
        <f t="shared" si="33"/>
        <v>40</v>
      </c>
      <c r="AB101" s="270">
        <f t="shared" si="34"/>
        <v>8.1</v>
      </c>
      <c r="AC101" s="277">
        <v>324</v>
      </c>
      <c r="AD101" s="272">
        <f t="shared" si="35"/>
        <v>0</v>
      </c>
      <c r="AE101" s="273">
        <f t="shared" si="37"/>
        <v>48</v>
      </c>
      <c r="AF101" s="269">
        <f t="shared" si="38"/>
        <v>6</v>
      </c>
      <c r="AG101" s="292">
        <v>372</v>
      </c>
      <c r="AH101" s="291">
        <v>46</v>
      </c>
      <c r="AI101" s="272">
        <f t="shared" si="39"/>
        <v>0.8695652173913043</v>
      </c>
      <c r="AJ101" s="272">
        <f t="shared" si="40"/>
        <v>0.13043478260869565</v>
      </c>
      <c r="AK101" s="269">
        <f t="shared" si="41"/>
        <v>46</v>
      </c>
      <c r="AL101" s="270">
        <f t="shared" si="42"/>
        <v>8.08695652173913</v>
      </c>
      <c r="AM101" s="271">
        <v>2369</v>
      </c>
      <c r="AN101" s="272">
        <f t="shared" si="30"/>
        <v>-0.8429717180244829</v>
      </c>
      <c r="AO101" s="271">
        <v>1184752</v>
      </c>
      <c r="AP101" s="288">
        <v>129821</v>
      </c>
      <c r="AQ101" s="275">
        <f t="shared" si="36"/>
        <v>9.126042781984424</v>
      </c>
      <c r="AR101" s="293">
        <v>40907</v>
      </c>
      <c r="AS101" s="333" t="s">
        <v>357</v>
      </c>
      <c r="AT101" s="62"/>
    </row>
    <row r="102" spans="1:46" s="10" customFormat="1" ht="15.75" hidden="1">
      <c r="A102" s="219">
        <v>92</v>
      </c>
      <c r="B102" s="302"/>
      <c r="C102" s="241" t="s">
        <v>261</v>
      </c>
      <c r="D102" s="252" t="s">
        <v>223</v>
      </c>
      <c r="E102" s="242"/>
      <c r="F102" s="242"/>
      <c r="G102" s="242"/>
      <c r="H102" s="253" t="s">
        <v>55</v>
      </c>
      <c r="I102" s="240"/>
      <c r="J102" s="247" t="s">
        <v>199</v>
      </c>
      <c r="K102" s="65" t="s">
        <v>207</v>
      </c>
      <c r="L102" s="72" t="s">
        <v>94</v>
      </c>
      <c r="M102" s="72" t="s">
        <v>199</v>
      </c>
      <c r="N102" s="316">
        <v>40648</v>
      </c>
      <c r="O102" s="68" t="s">
        <v>12</v>
      </c>
      <c r="P102" s="411">
        <v>76</v>
      </c>
      <c r="Q102" s="276">
        <v>1</v>
      </c>
      <c r="R102" s="276">
        <v>38</v>
      </c>
      <c r="S102" s="286">
        <v>0</v>
      </c>
      <c r="T102" s="287">
        <v>0</v>
      </c>
      <c r="U102" s="286">
        <v>82</v>
      </c>
      <c r="V102" s="287">
        <v>15</v>
      </c>
      <c r="W102" s="286">
        <v>76</v>
      </c>
      <c r="X102" s="287">
        <v>14</v>
      </c>
      <c r="Y102" s="436">
        <f t="shared" si="31"/>
        <v>158</v>
      </c>
      <c r="Z102" s="437">
        <f t="shared" si="32"/>
        <v>29</v>
      </c>
      <c r="AA102" s="269">
        <f t="shared" si="33"/>
        <v>29</v>
      </c>
      <c r="AB102" s="270">
        <f t="shared" si="34"/>
        <v>5.448275862068965</v>
      </c>
      <c r="AC102" s="277">
        <v>158</v>
      </c>
      <c r="AD102" s="272">
        <f t="shared" si="35"/>
        <v>0</v>
      </c>
      <c r="AE102" s="273">
        <f t="shared" si="37"/>
        <v>450</v>
      </c>
      <c r="AF102" s="269">
        <f t="shared" si="38"/>
        <v>90</v>
      </c>
      <c r="AG102" s="292">
        <v>608</v>
      </c>
      <c r="AH102" s="291">
        <v>119</v>
      </c>
      <c r="AI102" s="272">
        <f t="shared" si="39"/>
        <v>0.24369747899159663</v>
      </c>
      <c r="AJ102" s="272">
        <f t="shared" si="40"/>
        <v>0.7563025210084033</v>
      </c>
      <c r="AK102" s="269">
        <f t="shared" si="41"/>
        <v>119</v>
      </c>
      <c r="AL102" s="270">
        <f t="shared" si="42"/>
        <v>5.109243697478991</v>
      </c>
      <c r="AM102" s="271"/>
      <c r="AN102" s="272">
        <f t="shared" si="30"/>
      </c>
      <c r="AO102" s="271">
        <v>571364</v>
      </c>
      <c r="AP102" s="288">
        <v>61448</v>
      </c>
      <c r="AQ102" s="275">
        <f t="shared" si="36"/>
        <v>9.298333550318969</v>
      </c>
      <c r="AR102" s="293">
        <v>40907</v>
      </c>
      <c r="AS102" s="333" t="s">
        <v>357</v>
      </c>
      <c r="AT102" s="62"/>
    </row>
    <row r="103" spans="1:46" s="10" customFormat="1" ht="15.75" hidden="1">
      <c r="A103" s="219">
        <v>93</v>
      </c>
      <c r="B103" s="302"/>
      <c r="C103" s="241" t="s">
        <v>261</v>
      </c>
      <c r="D103" s="242"/>
      <c r="E103" s="242"/>
      <c r="F103" s="242"/>
      <c r="G103" s="242"/>
      <c r="H103" s="246"/>
      <c r="I103" s="265"/>
      <c r="J103" s="260" t="s">
        <v>131</v>
      </c>
      <c r="K103" s="65" t="s">
        <v>132</v>
      </c>
      <c r="L103" s="71" t="s">
        <v>99</v>
      </c>
      <c r="M103" s="69" t="s">
        <v>136</v>
      </c>
      <c r="N103" s="315">
        <v>40746</v>
      </c>
      <c r="O103" s="68" t="s">
        <v>52</v>
      </c>
      <c r="P103" s="414">
        <v>23</v>
      </c>
      <c r="Q103" s="278">
        <v>1</v>
      </c>
      <c r="R103" s="278">
        <v>18</v>
      </c>
      <c r="S103" s="274">
        <v>12</v>
      </c>
      <c r="T103" s="284">
        <v>2</v>
      </c>
      <c r="U103" s="274">
        <v>24</v>
      </c>
      <c r="V103" s="284">
        <v>4</v>
      </c>
      <c r="W103" s="274">
        <v>0</v>
      </c>
      <c r="X103" s="284">
        <v>0</v>
      </c>
      <c r="Y103" s="436">
        <f t="shared" si="31"/>
        <v>36</v>
      </c>
      <c r="Z103" s="437">
        <f t="shared" si="32"/>
        <v>6</v>
      </c>
      <c r="AA103" s="269">
        <f t="shared" si="33"/>
        <v>6</v>
      </c>
      <c r="AB103" s="270">
        <f t="shared" si="34"/>
        <v>6</v>
      </c>
      <c r="AC103" s="277">
        <v>36</v>
      </c>
      <c r="AD103" s="272">
        <f t="shared" si="35"/>
        <v>0</v>
      </c>
      <c r="AE103" s="273">
        <f t="shared" si="37"/>
        <v>0</v>
      </c>
      <c r="AF103" s="269">
        <f t="shared" si="38"/>
        <v>0</v>
      </c>
      <c r="AG103" s="324">
        <v>36</v>
      </c>
      <c r="AH103" s="323">
        <v>6</v>
      </c>
      <c r="AI103" s="272">
        <f t="shared" si="39"/>
        <v>1</v>
      </c>
      <c r="AJ103" s="272">
        <f t="shared" si="40"/>
        <v>0</v>
      </c>
      <c r="AK103" s="269">
        <f t="shared" si="41"/>
        <v>6</v>
      </c>
      <c r="AL103" s="270">
        <f t="shared" si="42"/>
        <v>6</v>
      </c>
      <c r="AM103" s="277">
        <v>69</v>
      </c>
      <c r="AN103" s="272">
        <f t="shared" si="30"/>
        <v>-0.4782608695652174</v>
      </c>
      <c r="AO103" s="429">
        <f>47685+27229.5+17697.5+18612+19593.5+16691+6089.5+2551.5+2254+4358+2609+1310+356+168+150+121+69+36</f>
        <v>167580.5</v>
      </c>
      <c r="AP103" s="288">
        <f>4321+2419+2108+2430+2448+2072+892+397+346+639+377+205+49+24+23+19+11+6</f>
        <v>18786</v>
      </c>
      <c r="AQ103" s="275">
        <f t="shared" si="36"/>
        <v>8.920499307995316</v>
      </c>
      <c r="AR103" s="293">
        <v>40907</v>
      </c>
      <c r="AS103" s="333" t="s">
        <v>357</v>
      </c>
      <c r="AT103" s="62"/>
    </row>
    <row r="104" spans="1:46" s="10" customFormat="1" ht="15.75" hidden="1">
      <c r="A104" s="219">
        <v>94</v>
      </c>
      <c r="B104" s="302"/>
      <c r="C104" s="241" t="s">
        <v>261</v>
      </c>
      <c r="D104" s="242"/>
      <c r="E104" s="242"/>
      <c r="F104" s="242"/>
      <c r="G104" s="242"/>
      <c r="H104" s="246"/>
      <c r="I104" s="246"/>
      <c r="J104" s="266" t="s">
        <v>256</v>
      </c>
      <c r="K104" s="68" t="s">
        <v>257</v>
      </c>
      <c r="L104" s="68" t="s">
        <v>248</v>
      </c>
      <c r="M104" s="68" t="s">
        <v>240</v>
      </c>
      <c r="N104" s="315">
        <v>40739</v>
      </c>
      <c r="O104" s="68" t="s">
        <v>13</v>
      </c>
      <c r="P104" s="411">
        <v>3</v>
      </c>
      <c r="Q104" s="276">
        <v>2</v>
      </c>
      <c r="R104" s="276">
        <v>17</v>
      </c>
      <c r="S104" s="271">
        <v>0</v>
      </c>
      <c r="T104" s="288">
        <v>0</v>
      </c>
      <c r="U104" s="271">
        <v>0</v>
      </c>
      <c r="V104" s="288">
        <v>0</v>
      </c>
      <c r="W104" s="271">
        <v>0</v>
      </c>
      <c r="X104" s="288">
        <v>0</v>
      </c>
      <c r="Y104" s="436">
        <f t="shared" si="31"/>
        <v>0</v>
      </c>
      <c r="Z104" s="437">
        <f t="shared" si="32"/>
        <v>0</v>
      </c>
      <c r="AA104" s="269">
        <f t="shared" si="33"/>
      </c>
      <c r="AB104" s="270">
        <f t="shared" si="34"/>
      </c>
      <c r="AC104" s="277">
        <v>0</v>
      </c>
      <c r="AD104" s="272">
        <f t="shared" si="35"/>
      </c>
      <c r="AE104" s="273">
        <f t="shared" si="37"/>
        <v>2608</v>
      </c>
      <c r="AF104" s="269">
        <f t="shared" si="38"/>
        <v>520</v>
      </c>
      <c r="AG104" s="292">
        <v>2608</v>
      </c>
      <c r="AH104" s="291">
        <v>520</v>
      </c>
      <c r="AI104" s="272">
        <f t="shared" si="39"/>
        <v>0</v>
      </c>
      <c r="AJ104" s="272">
        <f t="shared" si="40"/>
        <v>1</v>
      </c>
      <c r="AK104" s="269">
        <f t="shared" si="41"/>
        <v>260</v>
      </c>
      <c r="AL104" s="270">
        <f t="shared" si="42"/>
        <v>5.015384615384615</v>
      </c>
      <c r="AM104" s="271"/>
      <c r="AN104" s="272"/>
      <c r="AO104" s="271">
        <v>43756.5</v>
      </c>
      <c r="AP104" s="288">
        <v>5487</v>
      </c>
      <c r="AQ104" s="275">
        <f t="shared" si="36"/>
        <v>7.97457627118644</v>
      </c>
      <c r="AR104" s="293">
        <v>40907</v>
      </c>
      <c r="AS104" s="333" t="s">
        <v>357</v>
      </c>
      <c r="AT104" s="62"/>
    </row>
    <row r="105" spans="1:46" s="10" customFormat="1" ht="15.75" hidden="1">
      <c r="A105" s="219">
        <v>95</v>
      </c>
      <c r="B105" s="302"/>
      <c r="C105" s="241" t="s">
        <v>261</v>
      </c>
      <c r="D105" s="242"/>
      <c r="E105" s="242"/>
      <c r="F105" s="242"/>
      <c r="G105" s="242"/>
      <c r="H105" s="246"/>
      <c r="I105" s="246"/>
      <c r="J105" s="266" t="s">
        <v>249</v>
      </c>
      <c r="K105" s="68" t="s">
        <v>250</v>
      </c>
      <c r="L105" s="68" t="s">
        <v>79</v>
      </c>
      <c r="M105" s="68" t="s">
        <v>243</v>
      </c>
      <c r="N105" s="316">
        <v>40718</v>
      </c>
      <c r="O105" s="68" t="s">
        <v>13</v>
      </c>
      <c r="P105" s="411">
        <v>5</v>
      </c>
      <c r="Q105" s="276">
        <v>1</v>
      </c>
      <c r="R105" s="276">
        <v>14</v>
      </c>
      <c r="S105" s="271">
        <v>0</v>
      </c>
      <c r="T105" s="288">
        <v>0</v>
      </c>
      <c r="U105" s="271">
        <v>0</v>
      </c>
      <c r="V105" s="288">
        <v>0</v>
      </c>
      <c r="W105" s="271">
        <v>0</v>
      </c>
      <c r="X105" s="288">
        <v>0</v>
      </c>
      <c r="Y105" s="436">
        <f t="shared" si="31"/>
        <v>0</v>
      </c>
      <c r="Z105" s="437">
        <f t="shared" si="32"/>
        <v>0</v>
      </c>
      <c r="AA105" s="269">
        <f t="shared" si="33"/>
      </c>
      <c r="AB105" s="270">
        <f t="shared" si="34"/>
      </c>
      <c r="AC105" s="277">
        <v>0</v>
      </c>
      <c r="AD105" s="272">
        <f t="shared" si="35"/>
      </c>
      <c r="AE105" s="273">
        <f t="shared" si="37"/>
        <v>1188</v>
      </c>
      <c r="AF105" s="269">
        <f t="shared" si="38"/>
        <v>237</v>
      </c>
      <c r="AG105" s="292">
        <v>1188</v>
      </c>
      <c r="AH105" s="291">
        <v>237</v>
      </c>
      <c r="AI105" s="272">
        <f t="shared" si="39"/>
        <v>0</v>
      </c>
      <c r="AJ105" s="272">
        <f t="shared" si="40"/>
        <v>1</v>
      </c>
      <c r="AK105" s="269">
        <f t="shared" si="41"/>
        <v>237</v>
      </c>
      <c r="AL105" s="270">
        <f t="shared" si="42"/>
        <v>5.012658227848101</v>
      </c>
      <c r="AM105" s="271"/>
      <c r="AN105" s="272"/>
      <c r="AO105" s="271">
        <v>30216.25</v>
      </c>
      <c r="AP105" s="288">
        <v>3201</v>
      </c>
      <c r="AQ105" s="275">
        <f t="shared" si="36"/>
        <v>9.439628241174633</v>
      </c>
      <c r="AR105" s="293">
        <v>40907</v>
      </c>
      <c r="AS105" s="333" t="s">
        <v>357</v>
      </c>
      <c r="AT105" s="62"/>
    </row>
    <row r="106" spans="1:46" s="10" customFormat="1" ht="15.75" hidden="1">
      <c r="A106" s="219">
        <v>96</v>
      </c>
      <c r="B106" s="240"/>
      <c r="C106" s="241" t="s">
        <v>261</v>
      </c>
      <c r="D106" s="242"/>
      <c r="E106" s="242"/>
      <c r="F106" s="242"/>
      <c r="G106" s="242"/>
      <c r="H106" s="246"/>
      <c r="I106" s="246"/>
      <c r="J106" s="266" t="s">
        <v>244</v>
      </c>
      <c r="K106" s="68" t="s">
        <v>247</v>
      </c>
      <c r="L106" s="68" t="s">
        <v>248</v>
      </c>
      <c r="M106" s="68" t="s">
        <v>245</v>
      </c>
      <c r="N106" s="315">
        <v>40753</v>
      </c>
      <c r="O106" s="68" t="s">
        <v>13</v>
      </c>
      <c r="P106" s="411">
        <v>3</v>
      </c>
      <c r="Q106" s="276">
        <v>1</v>
      </c>
      <c r="R106" s="276">
        <v>7</v>
      </c>
      <c r="S106" s="271">
        <v>0</v>
      </c>
      <c r="T106" s="288">
        <v>0</v>
      </c>
      <c r="U106" s="271">
        <v>0</v>
      </c>
      <c r="V106" s="288">
        <v>0</v>
      </c>
      <c r="W106" s="271">
        <v>0</v>
      </c>
      <c r="X106" s="288">
        <v>0</v>
      </c>
      <c r="Y106" s="436">
        <f t="shared" si="31"/>
        <v>0</v>
      </c>
      <c r="Z106" s="437">
        <f t="shared" si="32"/>
        <v>0</v>
      </c>
      <c r="AA106" s="269">
        <f t="shared" si="33"/>
      </c>
      <c r="AB106" s="270">
        <f t="shared" si="34"/>
      </c>
      <c r="AC106" s="277">
        <v>0</v>
      </c>
      <c r="AD106" s="272">
        <f t="shared" si="35"/>
      </c>
      <c r="AE106" s="273">
        <f t="shared" si="37"/>
        <v>1188</v>
      </c>
      <c r="AF106" s="269">
        <f t="shared" si="38"/>
        <v>237</v>
      </c>
      <c r="AG106" s="292">
        <v>1188</v>
      </c>
      <c r="AH106" s="291">
        <v>237</v>
      </c>
      <c r="AI106" s="272">
        <f t="shared" si="39"/>
        <v>0</v>
      </c>
      <c r="AJ106" s="272">
        <f t="shared" si="40"/>
        <v>1</v>
      </c>
      <c r="AK106" s="269">
        <f t="shared" si="41"/>
        <v>237</v>
      </c>
      <c r="AL106" s="270">
        <f t="shared" si="42"/>
        <v>5.012658227848101</v>
      </c>
      <c r="AM106" s="271"/>
      <c r="AN106" s="272"/>
      <c r="AO106" s="271">
        <v>16007.5</v>
      </c>
      <c r="AP106" s="288">
        <v>1536</v>
      </c>
      <c r="AQ106" s="275">
        <f t="shared" si="36"/>
        <v>10.421549479166666</v>
      </c>
      <c r="AR106" s="293">
        <v>40907</v>
      </c>
      <c r="AS106" s="333" t="s">
        <v>357</v>
      </c>
      <c r="AT106" s="62"/>
    </row>
    <row r="107" spans="1:46" s="10" customFormat="1" ht="15.75" hidden="1">
      <c r="A107" s="219">
        <v>97</v>
      </c>
      <c r="B107" s="302"/>
      <c r="C107" s="241" t="s">
        <v>261</v>
      </c>
      <c r="D107" s="242"/>
      <c r="E107" s="242"/>
      <c r="F107" s="242"/>
      <c r="G107" s="242"/>
      <c r="H107" s="246"/>
      <c r="I107" s="246"/>
      <c r="J107" s="266" t="s">
        <v>241</v>
      </c>
      <c r="K107" s="68" t="s">
        <v>129</v>
      </c>
      <c r="L107" s="68" t="s">
        <v>79</v>
      </c>
      <c r="M107" s="68" t="s">
        <v>242</v>
      </c>
      <c r="N107" s="315">
        <v>40781</v>
      </c>
      <c r="O107" s="68" t="s">
        <v>13</v>
      </c>
      <c r="P107" s="411">
        <v>10</v>
      </c>
      <c r="Q107" s="276">
        <v>1</v>
      </c>
      <c r="R107" s="276">
        <v>9</v>
      </c>
      <c r="S107" s="271">
        <v>0</v>
      </c>
      <c r="T107" s="288">
        <v>0</v>
      </c>
      <c r="U107" s="271">
        <v>0</v>
      </c>
      <c r="V107" s="288">
        <v>0</v>
      </c>
      <c r="W107" s="271">
        <v>0</v>
      </c>
      <c r="X107" s="288">
        <v>0</v>
      </c>
      <c r="Y107" s="436">
        <f aca="true" t="shared" si="43" ref="Y107:Y114">SUM(S107+U107+W107)</f>
        <v>0</v>
      </c>
      <c r="Z107" s="437">
        <f aca="true" t="shared" si="44" ref="Z107:Z114">T107+V107+X107</f>
        <v>0</v>
      </c>
      <c r="AA107" s="269">
        <f>IF(Y107&lt;&gt;0,Z107/Q107,"")</f>
      </c>
      <c r="AB107" s="270">
        <f aca="true" t="shared" si="45" ref="AB107:AB115">IF(Y107&lt;&gt;0,Y107/Z107,"")</f>
      </c>
      <c r="AC107" s="277">
        <v>0</v>
      </c>
      <c r="AD107" s="272">
        <f>IF(AC107&lt;&gt;0,-(AC107-Y107)/AC107,"")</f>
      </c>
      <c r="AE107" s="273">
        <f t="shared" si="37"/>
        <v>1188</v>
      </c>
      <c r="AF107" s="269">
        <f t="shared" si="38"/>
        <v>237</v>
      </c>
      <c r="AG107" s="292">
        <v>1188</v>
      </c>
      <c r="AH107" s="291">
        <v>237</v>
      </c>
      <c r="AI107" s="272">
        <f t="shared" si="39"/>
        <v>0</v>
      </c>
      <c r="AJ107" s="272">
        <f t="shared" si="40"/>
        <v>1</v>
      </c>
      <c r="AK107" s="269">
        <f t="shared" si="41"/>
        <v>237</v>
      </c>
      <c r="AL107" s="270">
        <f t="shared" si="42"/>
        <v>5.012658227848101</v>
      </c>
      <c r="AM107" s="271"/>
      <c r="AN107" s="272"/>
      <c r="AO107" s="271">
        <v>32436</v>
      </c>
      <c r="AP107" s="288">
        <v>4095</v>
      </c>
      <c r="AQ107" s="275">
        <f>AO107/AP107</f>
        <v>7.920879120879121</v>
      </c>
      <c r="AR107" s="293">
        <v>40907</v>
      </c>
      <c r="AS107" s="333" t="s">
        <v>357</v>
      </c>
      <c r="AT107" s="62"/>
    </row>
    <row r="108" spans="1:46" s="10" customFormat="1" ht="15.75" hidden="1">
      <c r="A108" s="219">
        <v>98</v>
      </c>
      <c r="B108" s="302"/>
      <c r="C108" s="241" t="s">
        <v>261</v>
      </c>
      <c r="D108" s="242"/>
      <c r="E108" s="242"/>
      <c r="F108" s="242"/>
      <c r="G108" s="242"/>
      <c r="H108" s="246"/>
      <c r="I108" s="246"/>
      <c r="J108" s="266" t="s">
        <v>251</v>
      </c>
      <c r="K108" s="68" t="s">
        <v>252</v>
      </c>
      <c r="L108" s="68" t="s">
        <v>248</v>
      </c>
      <c r="M108" s="68" t="s">
        <v>246</v>
      </c>
      <c r="N108" s="315">
        <v>40564</v>
      </c>
      <c r="O108" s="68" t="s">
        <v>13</v>
      </c>
      <c r="P108" s="411">
        <v>3</v>
      </c>
      <c r="Q108" s="276">
        <v>1</v>
      </c>
      <c r="R108" s="276">
        <v>6</v>
      </c>
      <c r="S108" s="271">
        <v>0</v>
      </c>
      <c r="T108" s="288">
        <v>0</v>
      </c>
      <c r="U108" s="271">
        <v>0</v>
      </c>
      <c r="V108" s="288">
        <v>0</v>
      </c>
      <c r="W108" s="271">
        <v>0</v>
      </c>
      <c r="X108" s="288">
        <v>0</v>
      </c>
      <c r="Y108" s="436">
        <f t="shared" si="43"/>
        <v>0</v>
      </c>
      <c r="Z108" s="437">
        <f t="shared" si="44"/>
        <v>0</v>
      </c>
      <c r="AA108" s="269">
        <f>IF(Y108&lt;&gt;0,Z108/Q108,"")</f>
      </c>
      <c r="AB108" s="270">
        <f t="shared" si="45"/>
      </c>
      <c r="AC108" s="277">
        <v>0</v>
      </c>
      <c r="AD108" s="272">
        <f>IF(AC108&lt;&gt;0,-(AC108-Y108)/AC108,"")</f>
      </c>
      <c r="AE108" s="273">
        <f t="shared" si="37"/>
        <v>594</v>
      </c>
      <c r="AF108" s="269">
        <f t="shared" si="38"/>
        <v>118</v>
      </c>
      <c r="AG108" s="292">
        <v>594</v>
      </c>
      <c r="AH108" s="291">
        <v>118</v>
      </c>
      <c r="AI108" s="272">
        <f t="shared" si="39"/>
        <v>0</v>
      </c>
      <c r="AJ108" s="272">
        <f t="shared" si="40"/>
        <v>1</v>
      </c>
      <c r="AK108" s="269">
        <f t="shared" si="41"/>
        <v>118</v>
      </c>
      <c r="AL108" s="270">
        <f t="shared" si="42"/>
        <v>5.033898305084746</v>
      </c>
      <c r="AM108" s="271"/>
      <c r="AN108" s="272"/>
      <c r="AO108" s="271">
        <v>13140.5</v>
      </c>
      <c r="AP108" s="288">
        <v>1009</v>
      </c>
      <c r="AQ108" s="275">
        <f>AO108/AP108</f>
        <v>13.023290386521309</v>
      </c>
      <c r="AR108" s="293">
        <v>40907</v>
      </c>
      <c r="AS108" s="333" t="s">
        <v>357</v>
      </c>
      <c r="AT108" s="62"/>
    </row>
    <row r="109" spans="1:46" s="10" customFormat="1" ht="15.75" hidden="1">
      <c r="A109" s="219">
        <v>99</v>
      </c>
      <c r="B109" s="302"/>
      <c r="C109" s="241" t="s">
        <v>261</v>
      </c>
      <c r="D109" s="242"/>
      <c r="E109" s="242"/>
      <c r="F109" s="242"/>
      <c r="G109" s="242"/>
      <c r="H109" s="254"/>
      <c r="I109" s="244" t="s">
        <v>54</v>
      </c>
      <c r="J109" s="266" t="s">
        <v>237</v>
      </c>
      <c r="K109" s="68" t="s">
        <v>238</v>
      </c>
      <c r="L109" s="68"/>
      <c r="M109" s="68" t="s">
        <v>237</v>
      </c>
      <c r="N109" s="315">
        <v>40613</v>
      </c>
      <c r="O109" s="68" t="s">
        <v>13</v>
      </c>
      <c r="P109" s="411">
        <v>25</v>
      </c>
      <c r="Q109" s="276">
        <v>1</v>
      </c>
      <c r="R109" s="276">
        <v>19</v>
      </c>
      <c r="S109" s="271">
        <v>0</v>
      </c>
      <c r="T109" s="288">
        <v>0</v>
      </c>
      <c r="U109" s="271">
        <v>0</v>
      </c>
      <c r="V109" s="288">
        <v>0</v>
      </c>
      <c r="W109" s="271">
        <v>0</v>
      </c>
      <c r="X109" s="288">
        <v>0</v>
      </c>
      <c r="Y109" s="436">
        <f t="shared" si="43"/>
        <v>0</v>
      </c>
      <c r="Z109" s="437">
        <f t="shared" si="44"/>
        <v>0</v>
      </c>
      <c r="AA109" s="269">
        <f>IF(Y109&lt;&gt;0,Z109/Q109,"")</f>
      </c>
      <c r="AB109" s="270">
        <f t="shared" si="45"/>
      </c>
      <c r="AC109" s="277">
        <v>0</v>
      </c>
      <c r="AD109" s="272">
        <f>IF(AC109&lt;&gt;0,-(AC109-Y109)/AC109,"")</f>
      </c>
      <c r="AE109" s="273">
        <f t="shared" si="37"/>
        <v>594</v>
      </c>
      <c r="AF109" s="269">
        <f t="shared" si="38"/>
        <v>118</v>
      </c>
      <c r="AG109" s="292">
        <v>594</v>
      </c>
      <c r="AH109" s="291">
        <v>118</v>
      </c>
      <c r="AI109" s="272">
        <f t="shared" si="39"/>
        <v>0</v>
      </c>
      <c r="AJ109" s="272">
        <f t="shared" si="40"/>
        <v>1</v>
      </c>
      <c r="AK109" s="269">
        <f t="shared" si="41"/>
        <v>118</v>
      </c>
      <c r="AL109" s="270">
        <f t="shared" si="42"/>
        <v>5.033898305084746</v>
      </c>
      <c r="AM109" s="271"/>
      <c r="AN109" s="272"/>
      <c r="AO109" s="271">
        <v>211543.5</v>
      </c>
      <c r="AP109" s="288">
        <v>28466</v>
      </c>
      <c r="AQ109" s="275">
        <f>AO109/AP109</f>
        <v>7.4314445303168695</v>
      </c>
      <c r="AR109" s="293">
        <v>40907</v>
      </c>
      <c r="AS109" s="333" t="s">
        <v>357</v>
      </c>
      <c r="AT109" s="62"/>
    </row>
    <row r="110" spans="1:46" s="10" customFormat="1" ht="15.75" hidden="1">
      <c r="A110" s="219">
        <v>100</v>
      </c>
      <c r="B110" s="302"/>
      <c r="C110" s="241" t="s">
        <v>261</v>
      </c>
      <c r="D110" s="242"/>
      <c r="E110" s="242"/>
      <c r="F110" s="242"/>
      <c r="G110" s="242"/>
      <c r="H110" s="246"/>
      <c r="I110" s="246"/>
      <c r="J110" s="266" t="s">
        <v>253</v>
      </c>
      <c r="K110" s="68" t="s">
        <v>254</v>
      </c>
      <c r="L110" s="68" t="s">
        <v>79</v>
      </c>
      <c r="M110" s="68" t="s">
        <v>255</v>
      </c>
      <c r="N110" s="315">
        <v>40802</v>
      </c>
      <c r="O110" s="68" t="s">
        <v>13</v>
      </c>
      <c r="P110" s="411">
        <v>8</v>
      </c>
      <c r="Q110" s="276">
        <v>1</v>
      </c>
      <c r="R110" s="276">
        <v>14</v>
      </c>
      <c r="S110" s="271">
        <v>0</v>
      </c>
      <c r="T110" s="288">
        <v>0</v>
      </c>
      <c r="U110" s="271">
        <v>0</v>
      </c>
      <c r="V110" s="288">
        <v>0</v>
      </c>
      <c r="W110" s="271">
        <v>0</v>
      </c>
      <c r="X110" s="288">
        <v>0</v>
      </c>
      <c r="Y110" s="436">
        <f t="shared" si="43"/>
        <v>0</v>
      </c>
      <c r="Z110" s="437">
        <f t="shared" si="44"/>
        <v>0</v>
      </c>
      <c r="AA110" s="269">
        <f>IF(Y110&lt;&gt;0,Z110/Q110,"")</f>
      </c>
      <c r="AB110" s="270">
        <f t="shared" si="45"/>
      </c>
      <c r="AC110" s="277">
        <v>0</v>
      </c>
      <c r="AD110" s="272">
        <f>IF(AC110&lt;&gt;0,-(AC110-Y110)/AC110,"")</f>
      </c>
      <c r="AE110" s="273">
        <f t="shared" si="37"/>
        <v>302.5</v>
      </c>
      <c r="AF110" s="269">
        <f t="shared" si="38"/>
        <v>67</v>
      </c>
      <c r="AG110" s="292">
        <v>302.5</v>
      </c>
      <c r="AH110" s="291">
        <v>67</v>
      </c>
      <c r="AI110" s="272">
        <f t="shared" si="39"/>
        <v>0</v>
      </c>
      <c r="AJ110" s="272">
        <f t="shared" si="40"/>
        <v>1</v>
      </c>
      <c r="AK110" s="269">
        <f t="shared" si="41"/>
        <v>67</v>
      </c>
      <c r="AL110" s="270">
        <f t="shared" si="42"/>
        <v>4.514925373134329</v>
      </c>
      <c r="AM110" s="271"/>
      <c r="AN110" s="272"/>
      <c r="AO110" s="271">
        <v>73390</v>
      </c>
      <c r="AP110" s="288">
        <v>8093</v>
      </c>
      <c r="AQ110" s="275">
        <f>AO110/AP110</f>
        <v>9.068330656122574</v>
      </c>
      <c r="AR110" s="293">
        <v>40907</v>
      </c>
      <c r="AS110" s="333" t="s">
        <v>357</v>
      </c>
      <c r="AT110" s="62"/>
    </row>
    <row r="111" spans="1:46" s="10" customFormat="1" ht="15.75" hidden="1">
      <c r="A111" s="219">
        <v>101</v>
      </c>
      <c r="B111" s="304"/>
      <c r="C111" s="241" t="s">
        <v>261</v>
      </c>
      <c r="D111" s="252" t="s">
        <v>223</v>
      </c>
      <c r="E111" s="257"/>
      <c r="F111" s="242"/>
      <c r="G111" s="267"/>
      <c r="H111" s="253" t="s">
        <v>55</v>
      </c>
      <c r="I111" s="265"/>
      <c r="J111" s="245" t="s">
        <v>266</v>
      </c>
      <c r="K111" s="70"/>
      <c r="L111" s="65" t="s">
        <v>186</v>
      </c>
      <c r="M111" s="70" t="s">
        <v>267</v>
      </c>
      <c r="N111" s="316">
        <v>39073</v>
      </c>
      <c r="O111" s="68" t="s">
        <v>53</v>
      </c>
      <c r="P111" s="417">
        <v>51</v>
      </c>
      <c r="Q111" s="285">
        <v>1</v>
      </c>
      <c r="R111" s="285">
        <v>20</v>
      </c>
      <c r="S111" s="271">
        <v>0</v>
      </c>
      <c r="T111" s="288">
        <v>0</v>
      </c>
      <c r="U111" s="271">
        <v>0</v>
      </c>
      <c r="V111" s="288">
        <v>0</v>
      </c>
      <c r="W111" s="271">
        <v>0</v>
      </c>
      <c r="X111" s="288">
        <v>0</v>
      </c>
      <c r="Y111" s="436">
        <f t="shared" si="43"/>
        <v>0</v>
      </c>
      <c r="Z111" s="437">
        <f t="shared" si="44"/>
        <v>0</v>
      </c>
      <c r="AA111" s="269">
        <f>IF(Y111&lt;&gt;0,Z111/Q111,"")</f>
      </c>
      <c r="AB111" s="270">
        <f t="shared" si="45"/>
      </c>
      <c r="AC111" s="277">
        <v>0</v>
      </c>
      <c r="AD111" s="272">
        <f>IF(AC111&lt;&gt;0,-(AC111-Y111)/AC111,"")</f>
      </c>
      <c r="AE111" s="273">
        <f t="shared" si="37"/>
        <v>1201</v>
      </c>
      <c r="AF111" s="269">
        <f t="shared" si="38"/>
        <v>240</v>
      </c>
      <c r="AG111" s="292">
        <v>1201</v>
      </c>
      <c r="AH111" s="291">
        <v>240</v>
      </c>
      <c r="AI111" s="272">
        <f t="shared" si="39"/>
        <v>0</v>
      </c>
      <c r="AJ111" s="272">
        <f t="shared" si="40"/>
        <v>1</v>
      </c>
      <c r="AK111" s="269">
        <f t="shared" si="41"/>
        <v>240</v>
      </c>
      <c r="AL111" s="270">
        <f t="shared" si="42"/>
        <v>5.004166666666666</v>
      </c>
      <c r="AM111" s="271"/>
      <c r="AN111" s="272"/>
      <c r="AO111" s="271">
        <f>145565+155630+55982+15271+7453.5+9440+11300.5+7141.5+2772.5+2945+30+431+4621+226+400+118+79+0+1201</f>
        <v>420607</v>
      </c>
      <c r="AP111" s="288">
        <f>17748+18932+7628+2641+1317+1724+2010+1184+553+655+5+131+1001+24+110+22+13+0+240</f>
        <v>55938</v>
      </c>
      <c r="AQ111" s="275">
        <f>AO111/AP111</f>
        <v>7.519164074511066</v>
      </c>
      <c r="AR111" s="293">
        <v>40907</v>
      </c>
      <c r="AS111" s="333" t="s">
        <v>357</v>
      </c>
      <c r="AT111" s="62"/>
    </row>
    <row r="112" spans="1:46" s="10" customFormat="1" ht="15.75" hidden="1">
      <c r="A112" s="219">
        <v>102</v>
      </c>
      <c r="B112" s="302"/>
      <c r="C112" s="241" t="s">
        <v>261</v>
      </c>
      <c r="D112" s="242"/>
      <c r="E112" s="242"/>
      <c r="F112" s="242"/>
      <c r="G112" s="242"/>
      <c r="H112" s="246"/>
      <c r="I112" s="246"/>
      <c r="J112" s="250" t="s">
        <v>268</v>
      </c>
      <c r="K112" s="67" t="s">
        <v>275</v>
      </c>
      <c r="L112" s="69" t="s">
        <v>273</v>
      </c>
      <c r="M112" s="67" t="s">
        <v>285</v>
      </c>
      <c r="N112" s="315">
        <v>40641</v>
      </c>
      <c r="O112" s="68" t="s">
        <v>68</v>
      </c>
      <c r="P112" s="411">
        <v>22</v>
      </c>
      <c r="Q112" s="276">
        <v>1</v>
      </c>
      <c r="R112" s="276">
        <v>21</v>
      </c>
      <c r="S112" s="279">
        <v>0</v>
      </c>
      <c r="T112" s="283">
        <v>0</v>
      </c>
      <c r="U112" s="279">
        <v>0</v>
      </c>
      <c r="V112" s="283">
        <v>0</v>
      </c>
      <c r="W112" s="279">
        <v>0</v>
      </c>
      <c r="X112" s="283">
        <v>0</v>
      </c>
      <c r="Y112" s="436">
        <f t="shared" si="43"/>
        <v>0</v>
      </c>
      <c r="Z112" s="437">
        <f t="shared" si="44"/>
        <v>0</v>
      </c>
      <c r="AA112" s="269">
        <f>IF(Y112&lt;&gt;0,Z112/Q112,"")</f>
      </c>
      <c r="AB112" s="270">
        <f t="shared" si="45"/>
      </c>
      <c r="AC112" s="277">
        <v>0</v>
      </c>
      <c r="AD112" s="272">
        <f>IF(AC112&lt;&gt;0,-(AC112-Y112)/AC112,"")</f>
      </c>
      <c r="AE112" s="273">
        <f t="shared" si="37"/>
        <v>3801.5</v>
      </c>
      <c r="AF112" s="269">
        <f t="shared" si="38"/>
        <v>950</v>
      </c>
      <c r="AG112" s="321">
        <v>3801.5</v>
      </c>
      <c r="AH112" s="322">
        <v>950</v>
      </c>
      <c r="AI112" s="272">
        <f t="shared" si="39"/>
        <v>0</v>
      </c>
      <c r="AJ112" s="272">
        <f t="shared" si="40"/>
        <v>1</v>
      </c>
      <c r="AK112" s="269">
        <f t="shared" si="41"/>
        <v>950</v>
      </c>
      <c r="AL112" s="270">
        <f t="shared" si="42"/>
        <v>4.001578947368421</v>
      </c>
      <c r="AM112" s="274"/>
      <c r="AN112" s="272"/>
      <c r="AO112" s="274">
        <f>116634.25+59106.5+23134.5+13753.5+15970+8455.5+1576+1761+10125.5+2018+2376+1505+1606+4951.5+5289.5+5175+120+1367+4606+1218+3801.5</f>
        <v>284550.25</v>
      </c>
      <c r="AP112" s="284">
        <f>8833+4531+2274+1803+2249+1097+201+284+1149+305+594+210+182+582+643+704+20+163+464+300+950</f>
        <v>27538</v>
      </c>
      <c r="AQ112" s="275">
        <f>AO112/AP112</f>
        <v>10.333003486091945</v>
      </c>
      <c r="AR112" s="293">
        <v>40907</v>
      </c>
      <c r="AS112" s="333" t="s">
        <v>357</v>
      </c>
      <c r="AT112" s="62"/>
    </row>
    <row r="113" spans="1:46" s="10" customFormat="1" ht="15.75" hidden="1">
      <c r="A113" s="219">
        <v>103</v>
      </c>
      <c r="B113" s="302"/>
      <c r="C113" s="241" t="s">
        <v>261</v>
      </c>
      <c r="D113" s="242"/>
      <c r="E113" s="242"/>
      <c r="F113" s="242"/>
      <c r="G113" s="255"/>
      <c r="H113" s="246"/>
      <c r="I113" s="244" t="s">
        <v>54</v>
      </c>
      <c r="J113" s="250" t="s">
        <v>270</v>
      </c>
      <c r="K113" s="65" t="s">
        <v>283</v>
      </c>
      <c r="L113" s="69"/>
      <c r="M113" s="67" t="s">
        <v>270</v>
      </c>
      <c r="N113" s="316">
        <v>40095</v>
      </c>
      <c r="O113" s="68" t="s">
        <v>68</v>
      </c>
      <c r="P113" s="411">
        <v>52</v>
      </c>
      <c r="Q113" s="276">
        <v>1</v>
      </c>
      <c r="R113" s="276">
        <v>16</v>
      </c>
      <c r="S113" s="279">
        <v>0</v>
      </c>
      <c r="T113" s="283">
        <v>0</v>
      </c>
      <c r="U113" s="279">
        <v>0</v>
      </c>
      <c r="V113" s="283">
        <v>0</v>
      </c>
      <c r="W113" s="279">
        <v>0</v>
      </c>
      <c r="X113" s="283">
        <v>0</v>
      </c>
      <c r="Y113" s="436">
        <f t="shared" si="43"/>
        <v>0</v>
      </c>
      <c r="Z113" s="437">
        <f t="shared" si="44"/>
        <v>0</v>
      </c>
      <c r="AA113" s="269">
        <f>IF(Y113&lt;&gt;0,Z113/Q113,"")</f>
      </c>
      <c r="AB113" s="270">
        <f t="shared" si="45"/>
      </c>
      <c r="AC113" s="277">
        <v>0</v>
      </c>
      <c r="AD113" s="272">
        <f>IF(AC113&lt;&gt;0,-(AC113-Y113)/AC113,"")</f>
      </c>
      <c r="AE113" s="273">
        <f t="shared" si="37"/>
        <v>952</v>
      </c>
      <c r="AF113" s="269">
        <f t="shared" si="38"/>
        <v>238</v>
      </c>
      <c r="AG113" s="321">
        <v>952</v>
      </c>
      <c r="AH113" s="322">
        <v>238</v>
      </c>
      <c r="AI113" s="272">
        <f t="shared" si="39"/>
        <v>0</v>
      </c>
      <c r="AJ113" s="272">
        <f t="shared" si="40"/>
        <v>1</v>
      </c>
      <c r="AK113" s="269">
        <f t="shared" si="41"/>
        <v>238</v>
      </c>
      <c r="AL113" s="270">
        <f t="shared" si="42"/>
        <v>4</v>
      </c>
      <c r="AM113" s="274"/>
      <c r="AN113" s="272"/>
      <c r="AO113" s="274">
        <f>108013.25+68864+27976+10214+2402+2209+1188+2968+1780+1780+2427.4+364.82+248.58+1780+1188+952</f>
        <v>234355.05</v>
      </c>
      <c r="AP113" s="284">
        <f>12202+8144+4339+1841+481+460+297+742+445+445+599+87+57+445+297+238</f>
        <v>31119</v>
      </c>
      <c r="AQ113" s="275">
        <f>AO113/AP113</f>
        <v>7.5309312638580925</v>
      </c>
      <c r="AR113" s="293">
        <v>40907</v>
      </c>
      <c r="AS113" s="333" t="s">
        <v>357</v>
      </c>
      <c r="AT113" s="62"/>
    </row>
    <row r="114" spans="1:46" s="10" customFormat="1" ht="16.5" hidden="1" thickBot="1">
      <c r="A114" s="219">
        <v>104</v>
      </c>
      <c r="B114" s="306"/>
      <c r="C114" s="307" t="s">
        <v>261</v>
      </c>
      <c r="D114" s="441" t="s">
        <v>223</v>
      </c>
      <c r="E114" s="308"/>
      <c r="F114" s="308"/>
      <c r="G114" s="308"/>
      <c r="H114" s="445" t="s">
        <v>55</v>
      </c>
      <c r="I114" s="309"/>
      <c r="J114" s="311" t="s">
        <v>272</v>
      </c>
      <c r="K114" s="73" t="s">
        <v>289</v>
      </c>
      <c r="L114" s="312" t="s">
        <v>85</v>
      </c>
      <c r="M114" s="313" t="s">
        <v>288</v>
      </c>
      <c r="N114" s="317">
        <v>40655</v>
      </c>
      <c r="O114" s="74" t="s">
        <v>68</v>
      </c>
      <c r="P114" s="419">
        <v>156</v>
      </c>
      <c r="Q114" s="276">
        <v>1</v>
      </c>
      <c r="R114" s="276">
        <v>24</v>
      </c>
      <c r="S114" s="279">
        <v>0</v>
      </c>
      <c r="T114" s="283">
        <v>0</v>
      </c>
      <c r="U114" s="279">
        <v>0</v>
      </c>
      <c r="V114" s="283">
        <v>0</v>
      </c>
      <c r="W114" s="279">
        <v>0</v>
      </c>
      <c r="X114" s="283">
        <v>0</v>
      </c>
      <c r="Y114" s="436">
        <f t="shared" si="43"/>
        <v>0</v>
      </c>
      <c r="Z114" s="437">
        <f t="shared" si="44"/>
        <v>0</v>
      </c>
      <c r="AA114" s="269">
        <f>IF(Y114&lt;&gt;0,Z114/Q114,"")</f>
      </c>
      <c r="AB114" s="270">
        <f t="shared" si="45"/>
      </c>
      <c r="AC114" s="277">
        <v>0</v>
      </c>
      <c r="AD114" s="272">
        <f>IF(AC114&lt;&gt;0,-(AC114-Y114)/AC114,"")</f>
      </c>
      <c r="AE114" s="273">
        <f t="shared" si="37"/>
        <v>84</v>
      </c>
      <c r="AF114" s="269">
        <f t="shared" si="38"/>
        <v>12</v>
      </c>
      <c r="AG114" s="321">
        <v>84</v>
      </c>
      <c r="AH114" s="322">
        <v>12</v>
      </c>
      <c r="AI114" s="272">
        <f t="shared" si="39"/>
        <v>0</v>
      </c>
      <c r="AJ114" s="272">
        <f t="shared" si="40"/>
        <v>1</v>
      </c>
      <c r="AK114" s="269">
        <f t="shared" si="41"/>
        <v>12</v>
      </c>
      <c r="AL114" s="270">
        <f t="shared" si="42"/>
        <v>7</v>
      </c>
      <c r="AM114" s="274"/>
      <c r="AN114" s="272"/>
      <c r="AO114" s="274">
        <f>633760.5+136320.5+35218.5+12632+4659.5+2946+8058+2678+3172+3399.5+598+564+1471+2243+357+860+1425.5+8382.5+1782+968+1958+1164+407.5+84</f>
        <v>865109</v>
      </c>
      <c r="AP114" s="284">
        <f>74640+17307+4811+1875+917+522+1372+426+632+730+116+93+159+384+67+172+356+2088+446+190+480+372+60+12</f>
        <v>108227</v>
      </c>
      <c r="AQ114" s="275">
        <f>AO114/AP114</f>
        <v>7.993467434189251</v>
      </c>
      <c r="AR114" s="293">
        <v>40907</v>
      </c>
      <c r="AS114" s="334" t="s">
        <v>357</v>
      </c>
      <c r="AT114" s="62"/>
    </row>
    <row r="115" spans="1:45" s="10" customFormat="1" ht="18" thickBot="1">
      <c r="A115" s="131"/>
      <c r="B115" s="220"/>
      <c r="C115" s="220"/>
      <c r="D115" s="220"/>
      <c r="E115" s="220"/>
      <c r="F115" s="220"/>
      <c r="G115" s="220"/>
      <c r="H115" s="220"/>
      <c r="I115" s="221"/>
      <c r="J115" s="222"/>
      <c r="K115" s="222"/>
      <c r="L115" s="222"/>
      <c r="M115" s="222"/>
      <c r="N115" s="223"/>
      <c r="O115" s="224"/>
      <c r="P115" s="225"/>
      <c r="Q115" s="225"/>
      <c r="R115" s="225"/>
      <c r="S115" s="226"/>
      <c r="T115" s="227"/>
      <c r="U115" s="226"/>
      <c r="V115" s="227"/>
      <c r="W115" s="226"/>
      <c r="X115" s="227"/>
      <c r="Y115" s="228"/>
      <c r="Z115" s="229"/>
      <c r="AA115" s="230"/>
      <c r="AB115" s="231">
        <f t="shared" si="45"/>
      </c>
      <c r="AC115" s="228"/>
      <c r="AD115" s="232">
        <f>IF(AC115&lt;&gt;0,-(AC115-Y115)/AC115,"")</f>
      </c>
      <c r="AE115" s="231"/>
      <c r="AF115" s="230"/>
      <c r="AG115" s="233"/>
      <c r="AH115" s="234"/>
      <c r="AI115" s="235"/>
      <c r="AJ115" s="235"/>
      <c r="AK115" s="236"/>
      <c r="AL115" s="237"/>
      <c r="AM115" s="237"/>
      <c r="AN115" s="237"/>
      <c r="AO115" s="238"/>
      <c r="AP115" s="238"/>
      <c r="AQ115" s="237"/>
      <c r="AR115" s="237"/>
      <c r="AS115" s="239"/>
    </row>
    <row r="116" spans="1:45" s="99" customFormat="1" ht="12.75">
      <c r="A116" s="489" t="s">
        <v>235</v>
      </c>
      <c r="B116" s="490"/>
      <c r="C116" s="490"/>
      <c r="D116" s="490"/>
      <c r="E116" s="490"/>
      <c r="F116" s="490"/>
      <c r="G116" s="490"/>
      <c r="H116" s="490"/>
      <c r="I116" s="490"/>
      <c r="J116" s="490"/>
      <c r="K116" s="490"/>
      <c r="L116" s="490"/>
      <c r="M116" s="490"/>
      <c r="N116" s="490"/>
      <c r="O116" s="490"/>
      <c r="P116" s="490"/>
      <c r="Q116" s="490"/>
      <c r="R116" s="490"/>
      <c r="S116" s="490"/>
      <c r="T116" s="490"/>
      <c r="U116" s="490"/>
      <c r="V116" s="490"/>
      <c r="W116" s="490"/>
      <c r="X116" s="490"/>
      <c r="Y116" s="490"/>
      <c r="Z116" s="490"/>
      <c r="AA116" s="490"/>
      <c r="AB116" s="490"/>
      <c r="AC116" s="490"/>
      <c r="AD116" s="490"/>
      <c r="AE116" s="490"/>
      <c r="AF116" s="490"/>
      <c r="AG116" s="490"/>
      <c r="AH116" s="490"/>
      <c r="AI116" s="490"/>
      <c r="AJ116" s="490"/>
      <c r="AK116" s="490"/>
      <c r="AL116" s="490"/>
      <c r="AM116" s="490"/>
      <c r="AN116" s="490"/>
      <c r="AO116" s="490"/>
      <c r="AP116" s="490"/>
      <c r="AQ116" s="491"/>
      <c r="AR116" s="491"/>
      <c r="AS116" s="491"/>
    </row>
    <row r="117" spans="1:45" s="99" customFormat="1" ht="12.75">
      <c r="A117" s="492"/>
      <c r="B117" s="490"/>
      <c r="C117" s="490"/>
      <c r="D117" s="490"/>
      <c r="E117" s="490"/>
      <c r="F117" s="490"/>
      <c r="G117" s="490"/>
      <c r="H117" s="490"/>
      <c r="I117" s="490"/>
      <c r="J117" s="490"/>
      <c r="K117" s="490"/>
      <c r="L117" s="490"/>
      <c r="M117" s="490"/>
      <c r="N117" s="490"/>
      <c r="O117" s="490"/>
      <c r="P117" s="490"/>
      <c r="Q117" s="490"/>
      <c r="R117" s="490"/>
      <c r="S117" s="490"/>
      <c r="T117" s="490"/>
      <c r="U117" s="490"/>
      <c r="V117" s="490"/>
      <c r="W117" s="490"/>
      <c r="X117" s="490"/>
      <c r="Y117" s="490"/>
      <c r="Z117" s="490"/>
      <c r="AA117" s="490"/>
      <c r="AB117" s="490"/>
      <c r="AC117" s="490"/>
      <c r="AD117" s="490"/>
      <c r="AE117" s="490"/>
      <c r="AF117" s="490"/>
      <c r="AG117" s="490"/>
      <c r="AH117" s="490"/>
      <c r="AI117" s="490"/>
      <c r="AJ117" s="490"/>
      <c r="AK117" s="490"/>
      <c r="AL117" s="490"/>
      <c r="AM117" s="490"/>
      <c r="AN117" s="490"/>
      <c r="AO117" s="490"/>
      <c r="AP117" s="490"/>
      <c r="AQ117" s="491"/>
      <c r="AR117" s="491"/>
      <c r="AS117" s="491"/>
    </row>
    <row r="118" spans="1:45" s="99" customFormat="1" ht="12.75">
      <c r="A118" s="492"/>
      <c r="B118" s="490"/>
      <c r="C118" s="490"/>
      <c r="D118" s="490"/>
      <c r="E118" s="490"/>
      <c r="F118" s="490"/>
      <c r="G118" s="490"/>
      <c r="H118" s="490"/>
      <c r="I118" s="490"/>
      <c r="J118" s="490"/>
      <c r="K118" s="490"/>
      <c r="L118" s="490"/>
      <c r="M118" s="490"/>
      <c r="N118" s="490"/>
      <c r="O118" s="490"/>
      <c r="P118" s="490"/>
      <c r="Q118" s="490"/>
      <c r="R118" s="490"/>
      <c r="S118" s="490"/>
      <c r="T118" s="490"/>
      <c r="U118" s="490"/>
      <c r="V118" s="490"/>
      <c r="W118" s="490"/>
      <c r="X118" s="490"/>
      <c r="Y118" s="490"/>
      <c r="Z118" s="490"/>
      <c r="AA118" s="490"/>
      <c r="AB118" s="490"/>
      <c r="AC118" s="490"/>
      <c r="AD118" s="490"/>
      <c r="AE118" s="490"/>
      <c r="AF118" s="490"/>
      <c r="AG118" s="490"/>
      <c r="AH118" s="490"/>
      <c r="AI118" s="490"/>
      <c r="AJ118" s="490"/>
      <c r="AK118" s="490"/>
      <c r="AL118" s="490"/>
      <c r="AM118" s="490"/>
      <c r="AN118" s="490"/>
      <c r="AO118" s="490"/>
      <c r="AP118" s="490"/>
      <c r="AQ118" s="491"/>
      <c r="AR118" s="491"/>
      <c r="AS118" s="491"/>
    </row>
    <row r="119" spans="1:45" s="99" customFormat="1" ht="12.75">
      <c r="A119" s="492"/>
      <c r="B119" s="490"/>
      <c r="C119" s="490"/>
      <c r="D119" s="490"/>
      <c r="E119" s="490"/>
      <c r="F119" s="490"/>
      <c r="G119" s="490"/>
      <c r="H119" s="490"/>
      <c r="I119" s="490"/>
      <c r="J119" s="490"/>
      <c r="K119" s="490"/>
      <c r="L119" s="490"/>
      <c r="M119" s="490"/>
      <c r="N119" s="490"/>
      <c r="O119" s="490"/>
      <c r="P119" s="490"/>
      <c r="Q119" s="490"/>
      <c r="R119" s="490"/>
      <c r="S119" s="490"/>
      <c r="T119" s="490"/>
      <c r="U119" s="490"/>
      <c r="V119" s="490"/>
      <c r="W119" s="490"/>
      <c r="X119" s="490"/>
      <c r="Y119" s="490"/>
      <c r="Z119" s="490"/>
      <c r="AA119" s="490"/>
      <c r="AB119" s="490"/>
      <c r="AC119" s="490"/>
      <c r="AD119" s="490"/>
      <c r="AE119" s="490"/>
      <c r="AF119" s="490"/>
      <c r="AG119" s="490"/>
      <c r="AH119" s="490"/>
      <c r="AI119" s="490"/>
      <c r="AJ119" s="490"/>
      <c r="AK119" s="490"/>
      <c r="AL119" s="490"/>
      <c r="AM119" s="490"/>
      <c r="AN119" s="490"/>
      <c r="AO119" s="490"/>
      <c r="AP119" s="490"/>
      <c r="AQ119" s="491"/>
      <c r="AR119" s="491"/>
      <c r="AS119" s="491"/>
    </row>
    <row r="120" spans="1:45" s="99" customFormat="1" ht="12.75">
      <c r="A120" s="492"/>
      <c r="B120" s="490"/>
      <c r="C120" s="490"/>
      <c r="D120" s="490"/>
      <c r="E120" s="490"/>
      <c r="F120" s="490"/>
      <c r="G120" s="490"/>
      <c r="H120" s="490"/>
      <c r="I120" s="490"/>
      <c r="J120" s="490"/>
      <c r="K120" s="490"/>
      <c r="L120" s="490"/>
      <c r="M120" s="490"/>
      <c r="N120" s="490"/>
      <c r="O120" s="490"/>
      <c r="P120" s="490"/>
      <c r="Q120" s="490"/>
      <c r="R120" s="490"/>
      <c r="S120" s="490"/>
      <c r="T120" s="490"/>
      <c r="U120" s="490"/>
      <c r="V120" s="490"/>
      <c r="W120" s="490"/>
      <c r="X120" s="490"/>
      <c r="Y120" s="490"/>
      <c r="Z120" s="490"/>
      <c r="AA120" s="490"/>
      <c r="AB120" s="490"/>
      <c r="AC120" s="490"/>
      <c r="AD120" s="490"/>
      <c r="AE120" s="490"/>
      <c r="AF120" s="490"/>
      <c r="AG120" s="490"/>
      <c r="AH120" s="490"/>
      <c r="AI120" s="490"/>
      <c r="AJ120" s="490"/>
      <c r="AK120" s="490"/>
      <c r="AL120" s="490"/>
      <c r="AM120" s="490"/>
      <c r="AN120" s="490"/>
      <c r="AO120" s="490"/>
      <c r="AP120" s="490"/>
      <c r="AQ120" s="491"/>
      <c r="AR120" s="491"/>
      <c r="AS120" s="491"/>
    </row>
    <row r="121" spans="1:45" s="99" customFormat="1" ht="12.75">
      <c r="A121" s="492"/>
      <c r="B121" s="490"/>
      <c r="C121" s="490"/>
      <c r="D121" s="490"/>
      <c r="E121" s="490"/>
      <c r="F121" s="490"/>
      <c r="G121" s="490"/>
      <c r="H121" s="490"/>
      <c r="I121" s="490"/>
      <c r="J121" s="490"/>
      <c r="K121" s="490"/>
      <c r="L121" s="490"/>
      <c r="M121" s="490"/>
      <c r="N121" s="490"/>
      <c r="O121" s="490"/>
      <c r="P121" s="490"/>
      <c r="Q121" s="490"/>
      <c r="R121" s="490"/>
      <c r="S121" s="490"/>
      <c r="T121" s="490"/>
      <c r="U121" s="490"/>
      <c r="V121" s="490"/>
      <c r="W121" s="490"/>
      <c r="X121" s="490"/>
      <c r="Y121" s="490"/>
      <c r="Z121" s="490"/>
      <c r="AA121" s="490"/>
      <c r="AB121" s="490"/>
      <c r="AC121" s="490"/>
      <c r="AD121" s="490"/>
      <c r="AE121" s="490"/>
      <c r="AF121" s="490"/>
      <c r="AG121" s="490"/>
      <c r="AH121" s="490"/>
      <c r="AI121" s="490"/>
      <c r="AJ121" s="490"/>
      <c r="AK121" s="490"/>
      <c r="AL121" s="490"/>
      <c r="AM121" s="490"/>
      <c r="AN121" s="490"/>
      <c r="AO121" s="490"/>
      <c r="AP121" s="490"/>
      <c r="AQ121" s="491"/>
      <c r="AR121" s="491"/>
      <c r="AS121" s="491"/>
    </row>
    <row r="122" spans="2:10" ht="18.75">
      <c r="B122" s="523" t="s">
        <v>294</v>
      </c>
      <c r="C122" s="523"/>
      <c r="D122" s="523"/>
      <c r="E122" s="523"/>
      <c r="F122" s="523"/>
      <c r="G122" s="523"/>
      <c r="H122" s="523"/>
      <c r="I122" s="524"/>
      <c r="J122" s="523"/>
    </row>
    <row r="123" spans="2:10" ht="18">
      <c r="B123" s="335" t="s">
        <v>56</v>
      </c>
      <c r="C123" s="496" t="s">
        <v>277</v>
      </c>
      <c r="D123" s="497"/>
      <c r="E123" s="497"/>
      <c r="F123" s="497"/>
      <c r="G123" s="497"/>
      <c r="H123" s="497"/>
      <c r="I123" s="497"/>
      <c r="J123" s="497"/>
    </row>
    <row r="124" spans="2:10" ht="18" customHeight="1">
      <c r="B124" s="336" t="s">
        <v>261</v>
      </c>
      <c r="C124" s="526" t="s">
        <v>262</v>
      </c>
      <c r="D124" s="526"/>
      <c r="E124" s="526"/>
      <c r="F124" s="526"/>
      <c r="G124" s="526"/>
      <c r="H124" s="526"/>
      <c r="I124" s="526"/>
      <c r="J124" s="526"/>
    </row>
    <row r="125" spans="2:10" ht="18">
      <c r="B125" s="337" t="s">
        <v>223</v>
      </c>
      <c r="C125" s="481" t="s">
        <v>276</v>
      </c>
      <c r="D125" s="482"/>
      <c r="E125" s="482"/>
      <c r="F125" s="482"/>
      <c r="G125" s="482"/>
      <c r="H125" s="482"/>
      <c r="I125" s="482"/>
      <c r="J125" s="482"/>
    </row>
    <row r="126" spans="2:10" ht="18" customHeight="1">
      <c r="B126" s="338">
        <v>3</v>
      </c>
      <c r="C126" s="480" t="s">
        <v>265</v>
      </c>
      <c r="D126" s="480"/>
      <c r="E126" s="480"/>
      <c r="F126" s="480"/>
      <c r="G126" s="480"/>
      <c r="H126" s="480"/>
      <c r="I126" s="480"/>
      <c r="J126" s="480"/>
    </row>
    <row r="127" spans="2:10" ht="18" customHeight="1">
      <c r="B127" s="248">
        <v>2</v>
      </c>
      <c r="C127" s="525" t="s">
        <v>306</v>
      </c>
      <c r="D127" s="525"/>
      <c r="E127" s="525"/>
      <c r="F127" s="525"/>
      <c r="G127" s="525"/>
      <c r="H127" s="525"/>
      <c r="I127" s="525"/>
      <c r="J127" s="525"/>
    </row>
    <row r="128" spans="2:10" ht="18" customHeight="1">
      <c r="B128" s="339" t="s">
        <v>292</v>
      </c>
      <c r="C128" s="522" t="s">
        <v>293</v>
      </c>
      <c r="D128" s="522"/>
      <c r="E128" s="522"/>
      <c r="F128" s="522"/>
      <c r="G128" s="522"/>
      <c r="H128" s="522"/>
      <c r="I128" s="522"/>
      <c r="J128" s="522"/>
    </row>
    <row r="129" spans="2:10" ht="18" customHeight="1">
      <c r="B129" s="340" t="s">
        <v>55</v>
      </c>
      <c r="C129" s="478" t="s">
        <v>263</v>
      </c>
      <c r="D129" s="478"/>
      <c r="E129" s="478"/>
      <c r="F129" s="478"/>
      <c r="G129" s="478"/>
      <c r="H129" s="478"/>
      <c r="I129" s="478"/>
      <c r="J129" s="478"/>
    </row>
    <row r="130" spans="2:10" ht="18" customHeight="1">
      <c r="B130" s="341" t="s">
        <v>54</v>
      </c>
      <c r="C130" s="479" t="s">
        <v>264</v>
      </c>
      <c r="D130" s="479"/>
      <c r="E130" s="479"/>
      <c r="F130" s="479"/>
      <c r="G130" s="479"/>
      <c r="H130" s="479"/>
      <c r="I130" s="479"/>
      <c r="J130" s="479"/>
    </row>
  </sheetData>
  <sheetProtection formatCells="0" formatColumns="0" formatRows="0" insertColumns="0" insertRows="0" insertHyperlinks="0" deleteColumns="0" deleteRows="0" sort="0" autoFilter="0" pivotTables="0"/>
  <mergeCells count="60">
    <mergeCell ref="B10:I10"/>
    <mergeCell ref="B8:I8"/>
    <mergeCell ref="C128:J128"/>
    <mergeCell ref="B122:J122"/>
    <mergeCell ref="C127:J127"/>
    <mergeCell ref="AO7:AP7"/>
    <mergeCell ref="AM9:AN9"/>
    <mergeCell ref="C124:J124"/>
    <mergeCell ref="S9:T9"/>
    <mergeCell ref="U9:V9"/>
    <mergeCell ref="AQ2:AS3"/>
    <mergeCell ref="AO4:AP5"/>
    <mergeCell ref="AQ4:AS5"/>
    <mergeCell ref="AA9:AB9"/>
    <mergeCell ref="AC9:AD9"/>
    <mergeCell ref="AE7:AF7"/>
    <mergeCell ref="AE6:AF6"/>
    <mergeCell ref="AK6:AL6"/>
    <mergeCell ref="AM7:AN7"/>
    <mergeCell ref="AK7:AL7"/>
    <mergeCell ref="Y5:AD5"/>
    <mergeCell ref="AG4:AK4"/>
    <mergeCell ref="AI9:AJ9"/>
    <mergeCell ref="AG7:AH7"/>
    <mergeCell ref="AK9:AL9"/>
    <mergeCell ref="AI7:AJ7"/>
    <mergeCell ref="AG6:AH6"/>
    <mergeCell ref="AI6:AJ6"/>
    <mergeCell ref="Y9:Z9"/>
    <mergeCell ref="Y4:AD4"/>
    <mergeCell ref="X4:X5"/>
    <mergeCell ref="J6:P6"/>
    <mergeCell ref="Q6:R6"/>
    <mergeCell ref="S6:AD6"/>
    <mergeCell ref="S7:T7"/>
    <mergeCell ref="U7:V7"/>
    <mergeCell ref="W7:X7"/>
    <mergeCell ref="Y7:Z7"/>
    <mergeCell ref="AA7:AB7"/>
    <mergeCell ref="AC7:AD7"/>
    <mergeCell ref="C123:J123"/>
    <mergeCell ref="X1:AS1"/>
    <mergeCell ref="X2:X3"/>
    <mergeCell ref="W4:W5"/>
    <mergeCell ref="AO2:AP3"/>
    <mergeCell ref="A4:N5"/>
    <mergeCell ref="V2:V5"/>
    <mergeCell ref="Y2:AD2"/>
    <mergeCell ref="Y3:AD3"/>
    <mergeCell ref="W2:W3"/>
    <mergeCell ref="W9:X9"/>
    <mergeCell ref="C129:J129"/>
    <mergeCell ref="C130:J130"/>
    <mergeCell ref="C126:J126"/>
    <mergeCell ref="C125:J125"/>
    <mergeCell ref="A1:R1"/>
    <mergeCell ref="A2:R2"/>
    <mergeCell ref="A3:R3"/>
    <mergeCell ref="A116:AS121"/>
    <mergeCell ref="AO6:AS6"/>
  </mergeCells>
  <hyperlinks>
    <hyperlink ref="A3" r:id="rId1" display="http://www.antraktsinema.com"/>
  </hyperlinks>
  <printOptions/>
  <pageMargins left="0.3" right="0.13" top="0.18" bottom="0.21" header="0.13" footer="0.16"/>
  <pageSetup orientation="landscape" paperSize="9" scale="40" r:id="rId3"/>
  <ignoredErrors>
    <ignoredError sqref="AA115 AQ115 AE115:AF115 AC115 AI115:AN115" formula="1"/>
  </ignoredErrors>
  <drawing r:id="rId2"/>
</worksheet>
</file>

<file path=xl/worksheets/sheet2.xml><?xml version="1.0" encoding="utf-8"?>
<worksheet xmlns="http://schemas.openxmlformats.org/spreadsheetml/2006/main" xmlns:r="http://schemas.openxmlformats.org/officeDocument/2006/relationships">
  <dimension ref="A1:F36"/>
  <sheetViews>
    <sheetView zoomScalePageLayoutView="0" workbookViewId="0" topLeftCell="A1">
      <pane ySplit="11" topLeftCell="A12" activePane="bottomLeft" state="frozen"/>
      <selection pane="topLeft" activeCell="A1" sqref="A1"/>
      <selection pane="bottomLeft" activeCell="A6" sqref="A6"/>
    </sheetView>
  </sheetViews>
  <sheetFormatPr defaultColWidth="4.421875" defaultRowHeight="12.75"/>
  <cols>
    <col min="1" max="1" width="3.28125" style="11" bestFit="1" customWidth="1"/>
    <col min="2" max="2" width="44.8515625" style="14" bestFit="1" customWidth="1"/>
    <col min="3" max="3" width="29.00390625" style="14" bestFit="1" customWidth="1"/>
    <col min="4" max="4" width="42.7109375" style="14" bestFit="1" customWidth="1"/>
    <col min="5" max="5" width="13.140625" style="20" bestFit="1" customWidth="1"/>
    <col min="6" max="6" width="8.421875" style="21" bestFit="1" customWidth="1"/>
    <col min="7" max="16384" width="4.421875" style="14" customWidth="1"/>
  </cols>
  <sheetData>
    <row r="1" spans="1:6" s="2" customFormat="1" ht="35.25" customHeight="1" thickBot="1">
      <c r="A1" s="541" t="s">
        <v>47</v>
      </c>
      <c r="B1" s="542"/>
      <c r="C1" s="542"/>
      <c r="D1" s="542"/>
      <c r="E1" s="536">
        <v>20</v>
      </c>
      <c r="F1" s="536"/>
    </row>
    <row r="2" spans="1:6" s="2" customFormat="1" ht="24" customHeight="1">
      <c r="A2" s="543" t="s">
        <v>48</v>
      </c>
      <c r="B2" s="544"/>
      <c r="C2" s="544"/>
      <c r="D2" s="544"/>
      <c r="E2" s="537"/>
      <c r="F2" s="537"/>
    </row>
    <row r="3" spans="1:6" s="2" customFormat="1" ht="27" thickBot="1">
      <c r="A3" s="487" t="s">
        <v>46</v>
      </c>
      <c r="B3" s="488"/>
      <c r="C3" s="488"/>
      <c r="D3" s="488"/>
      <c r="E3" s="538"/>
      <c r="F3" s="538"/>
    </row>
    <row r="4" spans="1:6" s="2" customFormat="1" ht="32.25" customHeight="1">
      <c r="A4" s="545" t="s">
        <v>394</v>
      </c>
      <c r="B4" s="546"/>
      <c r="C4" s="546"/>
      <c r="D4" s="546"/>
      <c r="E4" s="3"/>
      <c r="F4" s="3"/>
    </row>
    <row r="5" spans="1:6" s="2" customFormat="1" ht="33" customHeight="1" thickBot="1">
      <c r="A5" s="547"/>
      <c r="B5" s="547"/>
      <c r="C5" s="547"/>
      <c r="D5" s="547"/>
      <c r="E5" s="4"/>
      <c r="F5" s="4"/>
    </row>
    <row r="6" spans="1:6" s="5" customFormat="1" ht="15.75" customHeight="1" thickBot="1">
      <c r="A6" s="38"/>
      <c r="B6" s="548" t="s">
        <v>236</v>
      </c>
      <c r="C6" s="548"/>
      <c r="D6" s="548"/>
      <c r="E6" s="548"/>
      <c r="F6" s="548"/>
    </row>
    <row r="7" spans="1:6" s="6" customFormat="1" ht="12.75" customHeight="1">
      <c r="A7" s="39"/>
      <c r="B7" s="1"/>
      <c r="C7" s="1"/>
      <c r="D7" s="1"/>
      <c r="E7" s="540" t="s">
        <v>11</v>
      </c>
      <c r="F7" s="540"/>
    </row>
    <row r="8" spans="1:6" s="6" customFormat="1" ht="13.5" thickBot="1">
      <c r="A8" s="40"/>
      <c r="B8" s="8" t="s">
        <v>9</v>
      </c>
      <c r="C8" s="61" t="s">
        <v>76</v>
      </c>
      <c r="D8" s="61" t="s">
        <v>62</v>
      </c>
      <c r="E8" s="7" t="s">
        <v>7</v>
      </c>
      <c r="F8" s="7" t="s">
        <v>6</v>
      </c>
    </row>
    <row r="9" spans="1:6" s="9" customFormat="1" ht="12.75" customHeight="1">
      <c r="A9" s="85"/>
      <c r="B9" s="101"/>
      <c r="C9" s="102"/>
      <c r="D9" s="102"/>
      <c r="E9" s="539" t="s">
        <v>43</v>
      </c>
      <c r="F9" s="539"/>
    </row>
    <row r="10" spans="1:6" s="9" customFormat="1" ht="13.5" thickBot="1">
      <c r="A10" s="95"/>
      <c r="B10" s="106" t="s">
        <v>21</v>
      </c>
      <c r="C10" s="107" t="s">
        <v>75</v>
      </c>
      <c r="D10" s="107" t="s">
        <v>63</v>
      </c>
      <c r="E10" s="108" t="s">
        <v>38</v>
      </c>
      <c r="F10" s="108" t="s">
        <v>35</v>
      </c>
    </row>
    <row r="11" spans="1:6" s="10" customFormat="1" ht="13.5" customHeight="1">
      <c r="A11" s="105">
        <v>1</v>
      </c>
      <c r="B11" s="399" t="s">
        <v>404</v>
      </c>
      <c r="C11" s="63" t="s">
        <v>217</v>
      </c>
      <c r="D11" s="400" t="s">
        <v>405</v>
      </c>
      <c r="E11" s="96">
        <v>1556488</v>
      </c>
      <c r="F11" s="109">
        <v>137455</v>
      </c>
    </row>
    <row r="12" spans="1:6" s="10" customFormat="1" ht="13.5" customHeight="1">
      <c r="A12" s="103">
        <v>2</v>
      </c>
      <c r="B12" s="466" t="s">
        <v>141</v>
      </c>
      <c r="C12" s="467" t="s">
        <v>142</v>
      </c>
      <c r="D12" s="468" t="s">
        <v>141</v>
      </c>
      <c r="E12" s="97">
        <v>951995</v>
      </c>
      <c r="F12" s="110">
        <v>98489</v>
      </c>
    </row>
    <row r="13" spans="1:6" s="10" customFormat="1" ht="13.5" customHeight="1">
      <c r="A13" s="103">
        <v>3</v>
      </c>
      <c r="B13" s="469" t="s">
        <v>350</v>
      </c>
      <c r="C13" s="467" t="s">
        <v>351</v>
      </c>
      <c r="D13" s="470" t="s">
        <v>350</v>
      </c>
      <c r="E13" s="97">
        <v>908558</v>
      </c>
      <c r="F13" s="110">
        <v>88247</v>
      </c>
    </row>
    <row r="14" spans="1:6" s="10" customFormat="1" ht="13.5" customHeight="1">
      <c r="A14" s="103">
        <v>4</v>
      </c>
      <c r="B14" s="405" t="s">
        <v>412</v>
      </c>
      <c r="C14" s="401" t="s">
        <v>93</v>
      </c>
      <c r="D14" s="300" t="s">
        <v>413</v>
      </c>
      <c r="E14" s="97">
        <v>495356</v>
      </c>
      <c r="F14" s="110">
        <v>40278</v>
      </c>
    </row>
    <row r="15" spans="1:6" s="10" customFormat="1" ht="13.5" customHeight="1">
      <c r="A15" s="103">
        <v>5</v>
      </c>
      <c r="B15" s="250" t="s">
        <v>222</v>
      </c>
      <c r="C15" s="65" t="s">
        <v>213</v>
      </c>
      <c r="D15" s="67" t="s">
        <v>222</v>
      </c>
      <c r="E15" s="97">
        <v>459614</v>
      </c>
      <c r="F15" s="110">
        <v>42063</v>
      </c>
    </row>
    <row r="16" spans="1:6" s="10" customFormat="1" ht="13.5" customHeight="1">
      <c r="A16" s="103">
        <v>6</v>
      </c>
      <c r="B16" s="247" t="s">
        <v>221</v>
      </c>
      <c r="C16" s="65" t="s">
        <v>96</v>
      </c>
      <c r="D16" s="68" t="s">
        <v>146</v>
      </c>
      <c r="E16" s="97">
        <v>330959</v>
      </c>
      <c r="F16" s="110">
        <v>30371</v>
      </c>
    </row>
    <row r="17" spans="1:6" s="10" customFormat="1" ht="13.5" customHeight="1">
      <c r="A17" s="103">
        <v>7</v>
      </c>
      <c r="B17" s="245" t="s">
        <v>348</v>
      </c>
      <c r="C17" s="65" t="s">
        <v>126</v>
      </c>
      <c r="D17" s="70" t="s">
        <v>360</v>
      </c>
      <c r="E17" s="97">
        <v>315079.5</v>
      </c>
      <c r="F17" s="110">
        <v>28180</v>
      </c>
    </row>
    <row r="18" spans="1:6" s="10" customFormat="1" ht="13.5" customHeight="1">
      <c r="A18" s="103">
        <v>8</v>
      </c>
      <c r="B18" s="471" t="s">
        <v>402</v>
      </c>
      <c r="C18" s="368" t="s">
        <v>403</v>
      </c>
      <c r="D18" s="368" t="s">
        <v>402</v>
      </c>
      <c r="E18" s="97">
        <v>208299.5</v>
      </c>
      <c r="F18" s="110">
        <v>17500</v>
      </c>
    </row>
    <row r="19" spans="1:6" s="10" customFormat="1" ht="13.5" customHeight="1">
      <c r="A19" s="103">
        <v>9</v>
      </c>
      <c r="B19" s="250" t="s">
        <v>144</v>
      </c>
      <c r="C19" s="65" t="s">
        <v>126</v>
      </c>
      <c r="D19" s="67" t="s">
        <v>145</v>
      </c>
      <c r="E19" s="97">
        <v>161684</v>
      </c>
      <c r="F19" s="110">
        <v>17983</v>
      </c>
    </row>
    <row r="20" spans="1:6" s="10" customFormat="1" ht="13.5" customHeight="1">
      <c r="A20" s="103">
        <v>10</v>
      </c>
      <c r="B20" s="263" t="s">
        <v>414</v>
      </c>
      <c r="C20" s="65" t="s">
        <v>417</v>
      </c>
      <c r="D20" s="68" t="s">
        <v>416</v>
      </c>
      <c r="E20" s="97">
        <v>130369</v>
      </c>
      <c r="F20" s="110">
        <v>8721</v>
      </c>
    </row>
    <row r="21" spans="1:6" s="10" customFormat="1" ht="13.5" customHeight="1">
      <c r="A21" s="103">
        <v>11</v>
      </c>
      <c r="B21" s="472" t="s">
        <v>340</v>
      </c>
      <c r="C21" s="367" t="s">
        <v>342</v>
      </c>
      <c r="D21" s="367" t="s">
        <v>340</v>
      </c>
      <c r="E21" s="97">
        <v>118459.5</v>
      </c>
      <c r="F21" s="110">
        <v>14021</v>
      </c>
    </row>
    <row r="22" spans="1:6" s="10" customFormat="1" ht="13.5" customHeight="1">
      <c r="A22" s="103">
        <v>12</v>
      </c>
      <c r="B22" s="473" t="s">
        <v>151</v>
      </c>
      <c r="C22" s="362" t="s">
        <v>218</v>
      </c>
      <c r="D22" s="365" t="s">
        <v>151</v>
      </c>
      <c r="E22" s="97">
        <v>114888</v>
      </c>
      <c r="F22" s="110">
        <v>15118</v>
      </c>
    </row>
    <row r="23" spans="1:6" s="10" customFormat="1" ht="13.5" customHeight="1">
      <c r="A23" s="103">
        <v>13</v>
      </c>
      <c r="B23" s="245" t="s">
        <v>347</v>
      </c>
      <c r="C23" s="65" t="s">
        <v>126</v>
      </c>
      <c r="D23" s="70" t="s">
        <v>359</v>
      </c>
      <c r="E23" s="97">
        <v>113485.5</v>
      </c>
      <c r="F23" s="110">
        <v>10607</v>
      </c>
    </row>
    <row r="24" spans="1:6" s="10" customFormat="1" ht="13.5" customHeight="1">
      <c r="A24" s="103">
        <v>14</v>
      </c>
      <c r="B24" s="245" t="s">
        <v>344</v>
      </c>
      <c r="C24" s="65" t="s">
        <v>345</v>
      </c>
      <c r="D24" s="70" t="s">
        <v>346</v>
      </c>
      <c r="E24" s="97">
        <v>98627</v>
      </c>
      <c r="F24" s="110">
        <v>7557</v>
      </c>
    </row>
    <row r="25" spans="1:6" s="10" customFormat="1" ht="13.5" customHeight="1">
      <c r="A25" s="103">
        <v>15</v>
      </c>
      <c r="B25" s="473" t="s">
        <v>107</v>
      </c>
      <c r="C25" s="365" t="s">
        <v>123</v>
      </c>
      <c r="D25" s="365" t="s">
        <v>107</v>
      </c>
      <c r="E25" s="97">
        <v>58230.5</v>
      </c>
      <c r="F25" s="110">
        <v>8594</v>
      </c>
    </row>
    <row r="26" spans="1:6" s="10" customFormat="1" ht="13.5" customHeight="1">
      <c r="A26" s="103">
        <v>16</v>
      </c>
      <c r="B26" s="263" t="s">
        <v>395</v>
      </c>
      <c r="C26" s="65" t="s">
        <v>397</v>
      </c>
      <c r="D26" s="68" t="s">
        <v>396</v>
      </c>
      <c r="E26" s="97">
        <v>38005.5</v>
      </c>
      <c r="F26" s="110">
        <v>2857</v>
      </c>
    </row>
    <row r="27" spans="1:6" s="10" customFormat="1" ht="13.5" customHeight="1">
      <c r="A27" s="103">
        <v>17</v>
      </c>
      <c r="B27" s="474" t="s">
        <v>110</v>
      </c>
      <c r="C27" s="362" t="s">
        <v>113</v>
      </c>
      <c r="D27" s="362" t="s">
        <v>110</v>
      </c>
      <c r="E27" s="97">
        <v>37074</v>
      </c>
      <c r="F27" s="110">
        <v>5520</v>
      </c>
    </row>
    <row r="28" spans="1:6" s="10" customFormat="1" ht="13.5" customHeight="1">
      <c r="A28" s="103">
        <v>18</v>
      </c>
      <c r="B28" s="475" t="s">
        <v>104</v>
      </c>
      <c r="C28" s="362" t="s">
        <v>105</v>
      </c>
      <c r="D28" s="368" t="s">
        <v>104</v>
      </c>
      <c r="E28" s="97">
        <v>36410</v>
      </c>
      <c r="F28" s="110">
        <v>4075</v>
      </c>
    </row>
    <row r="29" spans="1:6" s="10" customFormat="1" ht="13.5" customHeight="1">
      <c r="A29" s="103">
        <v>19</v>
      </c>
      <c r="B29" s="256" t="s">
        <v>214</v>
      </c>
      <c r="C29" s="70" t="s">
        <v>216</v>
      </c>
      <c r="D29" s="70" t="s">
        <v>215</v>
      </c>
      <c r="E29" s="97">
        <v>35602</v>
      </c>
      <c r="F29" s="110">
        <v>2825</v>
      </c>
    </row>
    <row r="30" spans="1:6" s="10" customFormat="1" ht="13.5" customHeight="1" thickBot="1">
      <c r="A30" s="104">
        <v>20</v>
      </c>
      <c r="B30" s="247" t="s">
        <v>196</v>
      </c>
      <c r="C30" s="65" t="s">
        <v>212</v>
      </c>
      <c r="D30" s="72" t="s">
        <v>203</v>
      </c>
      <c r="E30" s="98">
        <v>33956</v>
      </c>
      <c r="F30" s="111">
        <v>3515</v>
      </c>
    </row>
    <row r="31" spans="1:6" ht="18">
      <c r="A31" s="527" t="s">
        <v>14</v>
      </c>
      <c r="B31" s="528"/>
      <c r="C31" s="528"/>
      <c r="D31" s="528"/>
      <c r="E31" s="528"/>
      <c r="F31" s="529"/>
    </row>
    <row r="32" spans="1:6" ht="18">
      <c r="A32" s="530"/>
      <c r="B32" s="531"/>
      <c r="C32" s="531"/>
      <c r="D32" s="531"/>
      <c r="E32" s="531"/>
      <c r="F32" s="532"/>
    </row>
    <row r="33" spans="1:6" ht="18">
      <c r="A33" s="530"/>
      <c r="B33" s="531"/>
      <c r="C33" s="531"/>
      <c r="D33" s="531"/>
      <c r="E33" s="531"/>
      <c r="F33" s="532"/>
    </row>
    <row r="34" spans="1:6" ht="18">
      <c r="A34" s="530"/>
      <c r="B34" s="531"/>
      <c r="C34" s="531"/>
      <c r="D34" s="531"/>
      <c r="E34" s="531"/>
      <c r="F34" s="532"/>
    </row>
    <row r="35" spans="1:6" ht="18">
      <c r="A35" s="530"/>
      <c r="B35" s="531"/>
      <c r="C35" s="531"/>
      <c r="D35" s="531"/>
      <c r="E35" s="531"/>
      <c r="F35" s="532"/>
    </row>
    <row r="36" spans="1:6" ht="18.75" thickBot="1">
      <c r="A36" s="533"/>
      <c r="B36" s="534"/>
      <c r="C36" s="534"/>
      <c r="D36" s="534"/>
      <c r="E36" s="534"/>
      <c r="F36" s="535"/>
    </row>
  </sheetData>
  <sheetProtection/>
  <mergeCells count="10">
    <mergeCell ref="A31:F36"/>
    <mergeCell ref="E1:F3"/>
    <mergeCell ref="E9:F9"/>
    <mergeCell ref="E7:F7"/>
    <mergeCell ref="A1:D1"/>
    <mergeCell ref="A2:D2"/>
    <mergeCell ref="A3:D3"/>
    <mergeCell ref="A4:D5"/>
    <mergeCell ref="B6:D6"/>
    <mergeCell ref="E6:F6"/>
  </mergeCells>
  <hyperlinks>
    <hyperlink ref="A3" r:id="rId1" display="http://www.antraktsinema.com"/>
  </hyperlinks>
  <printOptions/>
  <pageMargins left="0.75" right="0.75" top="1" bottom="1" header="0.5" footer="0.5"/>
  <pageSetup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dimension ref="A1:F36"/>
  <sheetViews>
    <sheetView zoomScalePageLayoutView="0" workbookViewId="0" topLeftCell="A1">
      <selection activeCell="A6" sqref="A6"/>
    </sheetView>
  </sheetViews>
  <sheetFormatPr defaultColWidth="4.421875" defaultRowHeight="12.75"/>
  <cols>
    <col min="1" max="1" width="3.28125" style="11" bestFit="1" customWidth="1"/>
    <col min="2" max="2" width="44.8515625" style="14" bestFit="1" customWidth="1"/>
    <col min="3" max="3" width="29.00390625" style="14" bestFit="1" customWidth="1"/>
    <col min="4" max="4" width="42.7109375" style="14" bestFit="1" customWidth="1"/>
    <col min="5" max="5" width="13.140625" style="20" bestFit="1" customWidth="1"/>
    <col min="6" max="6" width="8.421875" style="21" bestFit="1" customWidth="1"/>
    <col min="7" max="16384" width="4.421875" style="14" customWidth="1"/>
  </cols>
  <sheetData>
    <row r="1" spans="1:6" s="2" customFormat="1" ht="35.25" customHeight="1" thickBot="1">
      <c r="A1" s="541" t="s">
        <v>305</v>
      </c>
      <c r="B1" s="542"/>
      <c r="C1" s="542"/>
      <c r="D1" s="542"/>
      <c r="E1" s="536">
        <v>20</v>
      </c>
      <c r="F1" s="536"/>
    </row>
    <row r="2" spans="1:6" s="2" customFormat="1" ht="24" customHeight="1">
      <c r="A2" s="543" t="s">
        <v>48</v>
      </c>
      <c r="B2" s="544"/>
      <c r="C2" s="544"/>
      <c r="D2" s="544"/>
      <c r="E2" s="537"/>
      <c r="F2" s="537"/>
    </row>
    <row r="3" spans="1:6" s="2" customFormat="1" ht="27" thickBot="1">
      <c r="A3" s="487" t="s">
        <v>46</v>
      </c>
      <c r="B3" s="488"/>
      <c r="C3" s="488"/>
      <c r="D3" s="488"/>
      <c r="E3" s="538"/>
      <c r="F3" s="538"/>
    </row>
    <row r="4" spans="1:6" s="2" customFormat="1" ht="32.25" customHeight="1">
      <c r="A4" s="545" t="s">
        <v>361</v>
      </c>
      <c r="B4" s="546"/>
      <c r="C4" s="546"/>
      <c r="D4" s="546"/>
      <c r="E4" s="3"/>
      <c r="F4" s="3"/>
    </row>
    <row r="5" spans="1:6" s="2" customFormat="1" ht="33" customHeight="1" thickBot="1">
      <c r="A5" s="547"/>
      <c r="B5" s="547"/>
      <c r="C5" s="547"/>
      <c r="D5" s="547"/>
      <c r="E5" s="4"/>
      <c r="F5" s="4"/>
    </row>
    <row r="6" spans="1:6" s="5" customFormat="1" ht="15.75" customHeight="1" thickBot="1">
      <c r="A6" s="38"/>
      <c r="B6" s="548" t="s">
        <v>236</v>
      </c>
      <c r="C6" s="548"/>
      <c r="D6" s="548"/>
      <c r="E6" s="548"/>
      <c r="F6" s="548"/>
    </row>
    <row r="7" spans="1:6" s="6" customFormat="1" ht="12.75" customHeight="1">
      <c r="A7" s="39"/>
      <c r="B7" s="1"/>
      <c r="C7" s="1"/>
      <c r="D7" s="1"/>
      <c r="E7" s="540" t="s">
        <v>11</v>
      </c>
      <c r="F7" s="540"/>
    </row>
    <row r="8" spans="1:6" s="6" customFormat="1" ht="13.5" thickBot="1">
      <c r="A8" s="40"/>
      <c r="B8" s="8" t="s">
        <v>9</v>
      </c>
      <c r="C8" s="61" t="s">
        <v>76</v>
      </c>
      <c r="D8" s="61" t="s">
        <v>62</v>
      </c>
      <c r="E8" s="7" t="s">
        <v>7</v>
      </c>
      <c r="F8" s="7" t="s">
        <v>6</v>
      </c>
    </row>
    <row r="9" spans="1:6" s="9" customFormat="1" ht="12.75" customHeight="1">
      <c r="A9" s="85"/>
      <c r="B9" s="101"/>
      <c r="C9" s="102"/>
      <c r="D9" s="102"/>
      <c r="E9" s="539" t="s">
        <v>43</v>
      </c>
      <c r="F9" s="539"/>
    </row>
    <row r="10" spans="1:6" s="9" customFormat="1" ht="13.5" thickBot="1">
      <c r="A10" s="95"/>
      <c r="B10" s="106" t="s">
        <v>21</v>
      </c>
      <c r="C10" s="107" t="s">
        <v>75</v>
      </c>
      <c r="D10" s="107" t="s">
        <v>63</v>
      </c>
      <c r="E10" s="108" t="s">
        <v>38</v>
      </c>
      <c r="F10" s="108" t="s">
        <v>35</v>
      </c>
    </row>
    <row r="11" spans="1:6" s="10" customFormat="1" ht="13.5" customHeight="1">
      <c r="A11" s="105">
        <v>1</v>
      </c>
      <c r="B11" s="358" t="s">
        <v>141</v>
      </c>
      <c r="C11" s="359" t="s">
        <v>142</v>
      </c>
      <c r="D11" s="360" t="s">
        <v>141</v>
      </c>
      <c r="E11" s="345">
        <v>1826075</v>
      </c>
      <c r="F11" s="352">
        <v>198737</v>
      </c>
    </row>
    <row r="12" spans="1:6" s="10" customFormat="1" ht="13.5" customHeight="1">
      <c r="A12" s="103">
        <v>2</v>
      </c>
      <c r="B12" s="361" t="s">
        <v>350</v>
      </c>
      <c r="C12" s="362" t="s">
        <v>351</v>
      </c>
      <c r="D12" s="363" t="s">
        <v>350</v>
      </c>
      <c r="E12" s="346">
        <v>1571916</v>
      </c>
      <c r="F12" s="353">
        <v>166869</v>
      </c>
    </row>
    <row r="13" spans="1:6" s="10" customFormat="1" ht="13.5" customHeight="1">
      <c r="A13" s="103">
        <v>3</v>
      </c>
      <c r="B13" s="132" t="s">
        <v>222</v>
      </c>
      <c r="C13" s="65" t="s">
        <v>213</v>
      </c>
      <c r="D13" s="67" t="s">
        <v>222</v>
      </c>
      <c r="E13" s="346">
        <v>924297</v>
      </c>
      <c r="F13" s="353">
        <v>89902</v>
      </c>
    </row>
    <row r="14" spans="1:6" s="10" customFormat="1" ht="13.5" customHeight="1">
      <c r="A14" s="103">
        <v>4</v>
      </c>
      <c r="B14" s="134" t="s">
        <v>221</v>
      </c>
      <c r="C14" s="65" t="s">
        <v>96</v>
      </c>
      <c r="D14" s="68" t="s">
        <v>146</v>
      </c>
      <c r="E14" s="347">
        <f>765772+1082</f>
        <v>766854</v>
      </c>
      <c r="F14" s="354">
        <f>73798+89</f>
        <v>73887</v>
      </c>
    </row>
    <row r="15" spans="1:6" s="10" customFormat="1" ht="13.5" customHeight="1">
      <c r="A15" s="103">
        <v>5</v>
      </c>
      <c r="B15" s="310" t="s">
        <v>348</v>
      </c>
      <c r="C15" s="65" t="s">
        <v>126</v>
      </c>
      <c r="D15" s="70" t="s">
        <v>360</v>
      </c>
      <c r="E15" s="348">
        <v>683638.5</v>
      </c>
      <c r="F15" s="355">
        <v>65177</v>
      </c>
    </row>
    <row r="16" spans="1:6" s="10" customFormat="1" ht="13.5" customHeight="1">
      <c r="A16" s="103">
        <v>6</v>
      </c>
      <c r="B16" s="364" t="s">
        <v>151</v>
      </c>
      <c r="C16" s="362" t="s">
        <v>218</v>
      </c>
      <c r="D16" s="365" t="s">
        <v>151</v>
      </c>
      <c r="E16" s="348">
        <v>454728.5</v>
      </c>
      <c r="F16" s="355">
        <v>50608</v>
      </c>
    </row>
    <row r="17" spans="1:6" s="10" customFormat="1" ht="13.5" customHeight="1">
      <c r="A17" s="103">
        <v>7</v>
      </c>
      <c r="B17" s="132" t="s">
        <v>144</v>
      </c>
      <c r="C17" s="65" t="s">
        <v>126</v>
      </c>
      <c r="D17" s="67" t="s">
        <v>145</v>
      </c>
      <c r="E17" s="348">
        <v>445722</v>
      </c>
      <c r="F17" s="355">
        <v>49146</v>
      </c>
    </row>
    <row r="18" spans="1:6" s="10" customFormat="1" ht="13.5" customHeight="1">
      <c r="A18" s="103">
        <v>8</v>
      </c>
      <c r="B18" s="310" t="s">
        <v>344</v>
      </c>
      <c r="C18" s="65" t="s">
        <v>345</v>
      </c>
      <c r="D18" s="70" t="s">
        <v>346</v>
      </c>
      <c r="E18" s="349">
        <v>273878</v>
      </c>
      <c r="F18" s="356">
        <v>21924</v>
      </c>
    </row>
    <row r="19" spans="1:6" s="10" customFormat="1" ht="13.5" customHeight="1">
      <c r="A19" s="103">
        <v>9</v>
      </c>
      <c r="B19" s="134" t="s">
        <v>196</v>
      </c>
      <c r="C19" s="65" t="s">
        <v>212</v>
      </c>
      <c r="D19" s="72" t="s">
        <v>203</v>
      </c>
      <c r="E19" s="346">
        <v>246978</v>
      </c>
      <c r="F19" s="353">
        <v>22817</v>
      </c>
    </row>
    <row r="20" spans="1:6" s="10" customFormat="1" ht="13.5" customHeight="1">
      <c r="A20" s="103">
        <v>10</v>
      </c>
      <c r="B20" s="133" t="s">
        <v>214</v>
      </c>
      <c r="C20" s="70" t="s">
        <v>216</v>
      </c>
      <c r="D20" s="70" t="s">
        <v>215</v>
      </c>
      <c r="E20" s="347">
        <f>235686+726</f>
        <v>236412</v>
      </c>
      <c r="F20" s="354">
        <f>20261+65</f>
        <v>20326</v>
      </c>
    </row>
    <row r="21" spans="1:6" s="10" customFormat="1" ht="13.5" customHeight="1">
      <c r="A21" s="103">
        <v>11</v>
      </c>
      <c r="B21" s="366" t="s">
        <v>340</v>
      </c>
      <c r="C21" s="367" t="s">
        <v>342</v>
      </c>
      <c r="D21" s="367" t="s">
        <v>340</v>
      </c>
      <c r="E21" s="350">
        <v>216520</v>
      </c>
      <c r="F21" s="353">
        <v>26831</v>
      </c>
    </row>
    <row r="22" spans="1:6" s="10" customFormat="1" ht="13.5" customHeight="1">
      <c r="A22" s="103">
        <v>12</v>
      </c>
      <c r="B22" s="310" t="s">
        <v>347</v>
      </c>
      <c r="C22" s="65" t="s">
        <v>126</v>
      </c>
      <c r="D22" s="70" t="s">
        <v>359</v>
      </c>
      <c r="E22" s="348">
        <v>212792</v>
      </c>
      <c r="F22" s="355">
        <v>19942</v>
      </c>
    </row>
    <row r="23" spans="1:6" s="10" customFormat="1" ht="13.5" customHeight="1">
      <c r="A23" s="103">
        <v>13</v>
      </c>
      <c r="B23" s="364" t="s">
        <v>107</v>
      </c>
      <c r="C23" s="365" t="s">
        <v>123</v>
      </c>
      <c r="D23" s="365" t="s">
        <v>107</v>
      </c>
      <c r="E23" s="348">
        <v>131358.5</v>
      </c>
      <c r="F23" s="355">
        <v>19116</v>
      </c>
    </row>
    <row r="24" spans="1:6" s="10" customFormat="1" ht="13.5" customHeight="1">
      <c r="A24" s="103">
        <v>14</v>
      </c>
      <c r="B24" s="361" t="s">
        <v>104</v>
      </c>
      <c r="C24" s="362" t="s">
        <v>105</v>
      </c>
      <c r="D24" s="368" t="s">
        <v>104</v>
      </c>
      <c r="E24" s="347">
        <f>129529+680</f>
        <v>130209</v>
      </c>
      <c r="F24" s="354">
        <f>15613+55</f>
        <v>15668</v>
      </c>
    </row>
    <row r="25" spans="1:6" s="10" customFormat="1" ht="13.5" customHeight="1">
      <c r="A25" s="103">
        <v>15</v>
      </c>
      <c r="B25" s="132" t="s">
        <v>224</v>
      </c>
      <c r="C25" s="65" t="s">
        <v>193</v>
      </c>
      <c r="D25" s="67" t="s">
        <v>191</v>
      </c>
      <c r="E25" s="348">
        <v>115157</v>
      </c>
      <c r="F25" s="355">
        <v>8628</v>
      </c>
    </row>
    <row r="26" spans="1:6" s="10" customFormat="1" ht="13.5" customHeight="1">
      <c r="A26" s="103">
        <v>16</v>
      </c>
      <c r="B26" s="369" t="s">
        <v>110</v>
      </c>
      <c r="C26" s="362" t="s">
        <v>113</v>
      </c>
      <c r="D26" s="362" t="s">
        <v>110</v>
      </c>
      <c r="E26" s="350">
        <v>73341.5</v>
      </c>
      <c r="F26" s="353">
        <v>10302</v>
      </c>
    </row>
    <row r="27" spans="1:6" s="10" customFormat="1" ht="13.5" customHeight="1">
      <c r="A27" s="103">
        <v>17</v>
      </c>
      <c r="B27" s="135" t="s">
        <v>219</v>
      </c>
      <c r="C27" s="69" t="s">
        <v>183</v>
      </c>
      <c r="D27" s="70" t="s">
        <v>181</v>
      </c>
      <c r="E27" s="347">
        <v>21746</v>
      </c>
      <c r="F27" s="354">
        <v>2043</v>
      </c>
    </row>
    <row r="28" spans="1:6" s="10" customFormat="1" ht="13.5" customHeight="1">
      <c r="A28" s="103">
        <v>18</v>
      </c>
      <c r="B28" s="370" t="s">
        <v>74</v>
      </c>
      <c r="C28" s="371" t="s">
        <v>80</v>
      </c>
      <c r="D28" s="371" t="s">
        <v>74</v>
      </c>
      <c r="E28" s="350">
        <v>13126</v>
      </c>
      <c r="F28" s="353">
        <v>1975</v>
      </c>
    </row>
    <row r="29" spans="1:6" s="10" customFormat="1" ht="13.5" customHeight="1">
      <c r="A29" s="103">
        <v>19</v>
      </c>
      <c r="B29" s="364" t="s">
        <v>115</v>
      </c>
      <c r="C29" s="362" t="s">
        <v>116</v>
      </c>
      <c r="D29" s="365" t="s">
        <v>115</v>
      </c>
      <c r="E29" s="346">
        <v>11189</v>
      </c>
      <c r="F29" s="353">
        <v>1816</v>
      </c>
    </row>
    <row r="30" spans="1:6" s="10" customFormat="1" ht="13.5" customHeight="1" thickBot="1">
      <c r="A30" s="104">
        <v>20</v>
      </c>
      <c r="B30" s="343" t="s">
        <v>108</v>
      </c>
      <c r="C30" s="73" t="s">
        <v>125</v>
      </c>
      <c r="D30" s="344" t="s">
        <v>109</v>
      </c>
      <c r="E30" s="351">
        <v>10036</v>
      </c>
      <c r="F30" s="357">
        <v>1553</v>
      </c>
    </row>
    <row r="31" spans="1:6" ht="18">
      <c r="A31" s="527" t="s">
        <v>14</v>
      </c>
      <c r="B31" s="528"/>
      <c r="C31" s="528"/>
      <c r="D31" s="528"/>
      <c r="E31" s="528"/>
      <c r="F31" s="529"/>
    </row>
    <row r="32" spans="1:6" ht="18">
      <c r="A32" s="530"/>
      <c r="B32" s="531"/>
      <c r="C32" s="531"/>
      <c r="D32" s="531"/>
      <c r="E32" s="531"/>
      <c r="F32" s="532"/>
    </row>
    <row r="33" spans="1:6" ht="18">
      <c r="A33" s="530"/>
      <c r="B33" s="531"/>
      <c r="C33" s="531"/>
      <c r="D33" s="531"/>
      <c r="E33" s="531"/>
      <c r="F33" s="532"/>
    </row>
    <row r="34" spans="1:6" ht="18">
      <c r="A34" s="530"/>
      <c r="B34" s="531"/>
      <c r="C34" s="531"/>
      <c r="D34" s="531"/>
      <c r="E34" s="531"/>
      <c r="F34" s="532"/>
    </row>
    <row r="35" spans="1:6" ht="18">
      <c r="A35" s="530"/>
      <c r="B35" s="531"/>
      <c r="C35" s="531"/>
      <c r="D35" s="531"/>
      <c r="E35" s="531"/>
      <c r="F35" s="532"/>
    </row>
    <row r="36" spans="1:6" ht="18.75" thickBot="1">
      <c r="A36" s="533"/>
      <c r="B36" s="534"/>
      <c r="C36" s="534"/>
      <c r="D36" s="534"/>
      <c r="E36" s="534"/>
      <c r="F36" s="535"/>
    </row>
  </sheetData>
  <sheetProtection/>
  <mergeCells count="10">
    <mergeCell ref="E7:F7"/>
    <mergeCell ref="E9:F9"/>
    <mergeCell ref="A31:F36"/>
    <mergeCell ref="A1:D1"/>
    <mergeCell ref="E1:F3"/>
    <mergeCell ref="A2:D2"/>
    <mergeCell ref="A3:D3"/>
    <mergeCell ref="A4:D5"/>
    <mergeCell ref="B6:D6"/>
    <mergeCell ref="E6:F6"/>
  </mergeCells>
  <hyperlinks>
    <hyperlink ref="A3" r:id="rId1" display="http://www.antraktsinema.com"/>
  </hyperlinks>
  <printOptions/>
  <pageMargins left="0.7" right="0.7" top="0.75" bottom="0.75" header="0.3" footer="0.3"/>
  <pageSetup orientation="portrait" paperSize="9"/>
  <ignoredErrors>
    <ignoredError sqref="E14:F29" unlockedFormula="1"/>
  </ignoredErrors>
  <drawing r:id="rId2"/>
</worksheet>
</file>

<file path=xl/worksheets/sheet4.xml><?xml version="1.0" encoding="utf-8"?>
<worksheet xmlns="http://schemas.openxmlformats.org/spreadsheetml/2006/main" xmlns:r="http://schemas.openxmlformats.org/officeDocument/2006/relationships">
  <dimension ref="A1:K17"/>
  <sheetViews>
    <sheetView zoomScalePageLayoutView="0" workbookViewId="0" topLeftCell="A1">
      <selection activeCell="A11" sqref="A11"/>
    </sheetView>
  </sheetViews>
  <sheetFormatPr defaultColWidth="9.140625" defaultRowHeight="12.75"/>
  <cols>
    <col min="1" max="1" width="7.00390625" style="137" bestFit="1" customWidth="1"/>
    <col min="2" max="2" width="11.28125" style="138" bestFit="1" customWidth="1"/>
    <col min="3" max="3" width="15.7109375" style="139" customWidth="1"/>
    <col min="4" max="4" width="18.421875" style="140" customWidth="1"/>
    <col min="5" max="5" width="18.421875" style="141" customWidth="1"/>
    <col min="6" max="6" width="14.28125" style="141" bestFit="1" customWidth="1"/>
    <col min="7" max="7" width="18.421875" style="140" customWidth="1"/>
    <col min="8" max="8" width="18.421875" style="141" bestFit="1" customWidth="1"/>
    <col min="9" max="9" width="15.7109375" style="137" bestFit="1" customWidth="1"/>
    <col min="10" max="10" width="34.421875" style="136" bestFit="1" customWidth="1"/>
    <col min="11" max="11" width="18.421875" style="141" customWidth="1"/>
    <col min="12" max="16384" width="9.140625" style="137" customWidth="1"/>
  </cols>
  <sheetData>
    <row r="1" spans="1:11" ht="18.75">
      <c r="A1" s="549" t="s">
        <v>326</v>
      </c>
      <c r="B1" s="550"/>
      <c r="C1" s="550"/>
      <c r="D1" s="550"/>
      <c r="E1" s="550"/>
      <c r="F1" s="550"/>
      <c r="G1" s="550"/>
      <c r="H1" s="550"/>
      <c r="I1" s="550"/>
      <c r="J1" s="550"/>
      <c r="K1" s="550"/>
    </row>
    <row r="2" spans="1:11" s="136" customFormat="1" ht="18.75">
      <c r="A2" s="142"/>
      <c r="B2" s="143"/>
      <c r="C2" s="144" t="s">
        <v>311</v>
      </c>
      <c r="D2" s="145"/>
      <c r="E2" s="146" t="s">
        <v>314</v>
      </c>
      <c r="F2" s="142" t="s">
        <v>314</v>
      </c>
      <c r="G2" s="145" t="s">
        <v>318</v>
      </c>
      <c r="H2" s="145" t="s">
        <v>318</v>
      </c>
      <c r="I2" s="142" t="s">
        <v>319</v>
      </c>
      <c r="J2" s="142" t="s">
        <v>322</v>
      </c>
      <c r="K2" s="146" t="s">
        <v>316</v>
      </c>
    </row>
    <row r="3" spans="1:11" s="136" customFormat="1" ht="18.75">
      <c r="A3" s="142"/>
      <c r="B3" s="143"/>
      <c r="C3" s="144" t="s">
        <v>312</v>
      </c>
      <c r="D3" s="145" t="s">
        <v>314</v>
      </c>
      <c r="E3" s="146" t="s">
        <v>316</v>
      </c>
      <c r="F3" s="142" t="s">
        <v>328</v>
      </c>
      <c r="G3" s="145" t="s">
        <v>314</v>
      </c>
      <c r="H3" s="145" t="s">
        <v>314</v>
      </c>
      <c r="I3" s="142" t="s">
        <v>320</v>
      </c>
      <c r="J3" s="142" t="s">
        <v>323</v>
      </c>
      <c r="K3" s="146" t="s">
        <v>325</v>
      </c>
    </row>
    <row r="4" spans="1:11" s="136" customFormat="1" ht="19.5" thickBot="1">
      <c r="A4" s="154" t="s">
        <v>309</v>
      </c>
      <c r="B4" s="155" t="s">
        <v>310</v>
      </c>
      <c r="C4" s="156" t="s">
        <v>313</v>
      </c>
      <c r="D4" s="157" t="s">
        <v>315</v>
      </c>
      <c r="E4" s="158" t="s">
        <v>317</v>
      </c>
      <c r="F4" s="154" t="s">
        <v>327</v>
      </c>
      <c r="G4" s="157" t="s">
        <v>315</v>
      </c>
      <c r="H4" s="157" t="s">
        <v>316</v>
      </c>
      <c r="I4" s="154" t="s">
        <v>321</v>
      </c>
      <c r="J4" s="154" t="s">
        <v>324</v>
      </c>
      <c r="K4" s="158" t="s">
        <v>313</v>
      </c>
    </row>
    <row r="5" spans="1:11" ht="18.75">
      <c r="A5" s="147">
        <v>2012</v>
      </c>
      <c r="B5" s="148">
        <v>40907</v>
      </c>
      <c r="C5" s="149">
        <v>74</v>
      </c>
      <c r="D5" s="150">
        <v>8200954.5</v>
      </c>
      <c r="E5" s="166">
        <v>908539</v>
      </c>
      <c r="F5" s="551">
        <f>IF(E6&lt;&gt;0,-(E6-E5)/E6,"")</f>
        <v>0.432929627801269</v>
      </c>
      <c r="G5" s="168">
        <v>4378379</v>
      </c>
      <c r="H5" s="151">
        <v>513723</v>
      </c>
      <c r="I5" s="152">
        <v>0.57</v>
      </c>
      <c r="J5" s="153" t="s">
        <v>141</v>
      </c>
      <c r="K5" s="151">
        <v>273690</v>
      </c>
    </row>
    <row r="6" spans="1:11" ht="19.5" thickBot="1">
      <c r="A6" s="159">
        <v>2011</v>
      </c>
      <c r="B6" s="160">
        <v>40543</v>
      </c>
      <c r="C6" s="161" t="s">
        <v>307</v>
      </c>
      <c r="D6" s="162">
        <v>6313693</v>
      </c>
      <c r="E6" s="167">
        <v>634043</v>
      </c>
      <c r="F6" s="552"/>
      <c r="G6" s="169">
        <v>2910042.5</v>
      </c>
      <c r="H6" s="163">
        <v>321979</v>
      </c>
      <c r="I6" s="164">
        <v>0.51</v>
      </c>
      <c r="J6" s="165" t="s">
        <v>308</v>
      </c>
      <c r="K6" s="163">
        <v>182375</v>
      </c>
    </row>
    <row r="7" ht="19.5" thickBot="1"/>
    <row r="8" spans="1:11" ht="18.75">
      <c r="A8" s="387">
        <v>2012</v>
      </c>
      <c r="B8" s="388">
        <v>40914</v>
      </c>
      <c r="C8" s="389" t="s">
        <v>389</v>
      </c>
      <c r="D8" s="390">
        <v>8481996</v>
      </c>
      <c r="E8" s="391">
        <v>884882</v>
      </c>
      <c r="F8" s="553">
        <f>IF(E9&lt;&gt;0,-(E9-E8)/E9,"")</f>
        <v>-0.5217898361655077</v>
      </c>
      <c r="G8" s="390">
        <v>4475888.5</v>
      </c>
      <c r="H8" s="391">
        <v>500419</v>
      </c>
      <c r="I8" s="392">
        <v>0.57</v>
      </c>
      <c r="J8" s="393" t="s">
        <v>141</v>
      </c>
      <c r="K8" s="391">
        <v>198737</v>
      </c>
    </row>
    <row r="9" spans="1:11" ht="19.5" thickBot="1">
      <c r="A9" s="159">
        <v>2011</v>
      </c>
      <c r="B9" s="160">
        <v>40550</v>
      </c>
      <c r="C9" s="161" t="s">
        <v>390</v>
      </c>
      <c r="D9" s="162">
        <v>17210409</v>
      </c>
      <c r="E9" s="163">
        <v>1850404</v>
      </c>
      <c r="F9" s="554"/>
      <c r="G9" s="162">
        <v>15725804</v>
      </c>
      <c r="H9" s="163">
        <v>1715171</v>
      </c>
      <c r="I9" s="164">
        <v>0.93</v>
      </c>
      <c r="J9" s="165" t="s">
        <v>391</v>
      </c>
      <c r="K9" s="163">
        <v>1226038</v>
      </c>
    </row>
    <row r="11" ht="18.75">
      <c r="K11" s="137"/>
    </row>
    <row r="12" ht="18.75">
      <c r="K12" s="137"/>
    </row>
    <row r="13" ht="18.75">
      <c r="K13" s="137"/>
    </row>
    <row r="14" ht="18.75">
      <c r="K14" s="137"/>
    </row>
    <row r="15" ht="18.75">
      <c r="K15" s="137"/>
    </row>
    <row r="16" ht="18.75">
      <c r="K16" s="137"/>
    </row>
    <row r="17" ht="18.75">
      <c r="K17" s="137"/>
    </row>
  </sheetData>
  <sheetProtection/>
  <mergeCells count="3">
    <mergeCell ref="A1:K1"/>
    <mergeCell ref="F5:F6"/>
    <mergeCell ref="F8:F9"/>
  </mergeCells>
  <printOptions/>
  <pageMargins left="0.7" right="0.7" top="0.75" bottom="0.75" header="0.3" footer="0.3"/>
  <pageSetup orientation="portrait" paperSize="9"/>
  <ignoredErrors>
    <ignoredError sqref="C6" numberStoredAsText="1"/>
  </ignoredErrors>
</worksheet>
</file>

<file path=xl/worksheets/sheet5.xml><?xml version="1.0" encoding="utf-8"?>
<worksheet xmlns="http://schemas.openxmlformats.org/spreadsheetml/2006/main" xmlns:r="http://schemas.openxmlformats.org/officeDocument/2006/relationships">
  <dimension ref="A1:X40"/>
  <sheetViews>
    <sheetView zoomScalePageLayoutView="0" workbookViewId="0" topLeftCell="A13">
      <selection activeCell="P39" sqref="P39"/>
    </sheetView>
  </sheetViews>
  <sheetFormatPr defaultColWidth="9.140625" defaultRowHeight="12.75"/>
  <cols>
    <col min="1" max="1" width="3.00390625" style="181" bestFit="1" customWidth="1"/>
    <col min="2" max="2" width="4.7109375" style="181" bestFit="1" customWidth="1"/>
    <col min="3" max="3" width="31.00390625" style="194" bestFit="1" customWidth="1"/>
    <col min="4" max="4" width="8.8515625" style="183" bestFit="1" customWidth="1"/>
    <col min="5" max="9" width="4.57421875" style="0" bestFit="1" customWidth="1"/>
    <col min="10" max="11" width="5.140625" style="0" bestFit="1" customWidth="1"/>
    <col min="12" max="13" width="5.57421875" style="0" bestFit="1" customWidth="1"/>
    <col min="14" max="21" width="4.57421875" style="0" bestFit="1" customWidth="1"/>
    <col min="22" max="22" width="5.57421875" style="0" bestFit="1" customWidth="1"/>
    <col min="23" max="24" width="7.00390625" style="0" bestFit="1" customWidth="1"/>
    <col min="25" max="48" width="9.140625" style="217" customWidth="1"/>
  </cols>
  <sheetData>
    <row r="1" spans="1:24" ht="15.75">
      <c r="A1" s="196"/>
      <c r="B1" s="196"/>
      <c r="C1" s="197"/>
      <c r="D1" s="555" t="s">
        <v>334</v>
      </c>
      <c r="E1" s="556"/>
      <c r="F1" s="556"/>
      <c r="G1" s="556"/>
      <c r="H1" s="556"/>
      <c r="I1" s="556"/>
      <c r="J1" s="556"/>
      <c r="K1" s="556"/>
      <c r="L1" s="556"/>
      <c r="M1" s="556"/>
      <c r="N1" s="556"/>
      <c r="O1" s="556"/>
      <c r="P1" s="556"/>
      <c r="Q1" s="556"/>
      <c r="R1" s="556"/>
      <c r="S1" s="556"/>
      <c r="T1" s="556"/>
      <c r="U1" s="556"/>
      <c r="V1" s="556"/>
      <c r="W1" s="556"/>
      <c r="X1" s="556"/>
    </row>
    <row r="2" spans="1:24" ht="15.75">
      <c r="A2" s="196"/>
      <c r="B2" s="196"/>
      <c r="C2" s="197"/>
      <c r="D2" s="556"/>
      <c r="E2" s="556"/>
      <c r="F2" s="556"/>
      <c r="G2" s="556"/>
      <c r="H2" s="556"/>
      <c r="I2" s="556"/>
      <c r="J2" s="556"/>
      <c r="K2" s="556"/>
      <c r="L2" s="556"/>
      <c r="M2" s="556"/>
      <c r="N2" s="556"/>
      <c r="O2" s="556"/>
      <c r="P2" s="556"/>
      <c r="Q2" s="556"/>
      <c r="R2" s="556"/>
      <c r="S2" s="556"/>
      <c r="T2" s="556"/>
      <c r="U2" s="556"/>
      <c r="V2" s="556"/>
      <c r="W2" s="556"/>
      <c r="X2" s="556"/>
    </row>
    <row r="3" spans="1:24" ht="15.75">
      <c r="A3" s="196"/>
      <c r="B3" s="196"/>
      <c r="C3" s="198"/>
      <c r="D3" s="182" t="s">
        <v>329</v>
      </c>
      <c r="E3" s="171">
        <v>1</v>
      </c>
      <c r="F3" s="171">
        <v>2</v>
      </c>
      <c r="G3" s="171">
        <v>3</v>
      </c>
      <c r="H3" s="171">
        <v>4</v>
      </c>
      <c r="I3" s="171">
        <v>5</v>
      </c>
      <c r="J3" s="171">
        <v>6</v>
      </c>
      <c r="K3" s="171">
        <v>7</v>
      </c>
      <c r="L3" s="171">
        <v>8</v>
      </c>
      <c r="M3" s="171">
        <v>9</v>
      </c>
      <c r="N3" s="171">
        <v>10</v>
      </c>
      <c r="O3" s="171">
        <v>11</v>
      </c>
      <c r="P3" s="171">
        <v>12</v>
      </c>
      <c r="Q3" s="171">
        <v>13</v>
      </c>
      <c r="R3" s="171">
        <v>14</v>
      </c>
      <c r="S3" s="171">
        <v>15</v>
      </c>
      <c r="T3" s="171">
        <v>16</v>
      </c>
      <c r="U3" s="171">
        <v>17</v>
      </c>
      <c r="V3" s="171">
        <v>18</v>
      </c>
      <c r="W3" s="172" t="s">
        <v>310</v>
      </c>
      <c r="X3" s="173"/>
    </row>
    <row r="4" spans="1:24" ht="16.5" thickBot="1">
      <c r="A4" s="199"/>
      <c r="B4" s="199"/>
      <c r="C4" s="200"/>
      <c r="D4" s="186" t="s">
        <v>331</v>
      </c>
      <c r="E4" s="201">
        <v>0.75</v>
      </c>
      <c r="F4" s="201">
        <v>0.25</v>
      </c>
      <c r="G4" s="201">
        <v>3</v>
      </c>
      <c r="H4" s="201">
        <v>2</v>
      </c>
      <c r="I4" s="201">
        <v>0.75</v>
      </c>
      <c r="J4" s="201">
        <v>-3</v>
      </c>
      <c r="K4" s="201">
        <v>-4</v>
      </c>
      <c r="L4" s="201">
        <v>20</v>
      </c>
      <c r="M4" s="201">
        <v>10</v>
      </c>
      <c r="N4" s="201">
        <v>5</v>
      </c>
      <c r="O4" s="201">
        <v>3</v>
      </c>
      <c r="P4" s="201">
        <v>5</v>
      </c>
      <c r="Q4" s="201">
        <v>7</v>
      </c>
      <c r="R4" s="201">
        <v>3</v>
      </c>
      <c r="S4" s="201">
        <v>3</v>
      </c>
      <c r="T4" s="201">
        <v>3</v>
      </c>
      <c r="U4" s="201">
        <v>8.25</v>
      </c>
      <c r="V4" s="201">
        <v>16</v>
      </c>
      <c r="W4" s="187" t="s">
        <v>330</v>
      </c>
      <c r="X4" s="188" t="s">
        <v>310</v>
      </c>
    </row>
    <row r="5" spans="1:24" ht="16.5">
      <c r="A5" s="195">
        <v>1</v>
      </c>
      <c r="B5" s="195"/>
      <c r="C5" s="202" t="s">
        <v>8</v>
      </c>
      <c r="D5" s="184">
        <v>27.25</v>
      </c>
      <c r="E5" s="175">
        <v>1.5</v>
      </c>
      <c r="F5" s="175">
        <v>0.75</v>
      </c>
      <c r="G5" s="175">
        <v>0</v>
      </c>
      <c r="H5" s="175">
        <v>2</v>
      </c>
      <c r="I5" s="175">
        <v>0</v>
      </c>
      <c r="J5" s="175">
        <v>0</v>
      </c>
      <c r="K5" s="175">
        <v>0</v>
      </c>
      <c r="L5" s="174">
        <v>0</v>
      </c>
      <c r="M5" s="174">
        <v>0</v>
      </c>
      <c r="N5" s="175">
        <v>5</v>
      </c>
      <c r="O5" s="175">
        <v>3</v>
      </c>
      <c r="P5" s="175">
        <v>5</v>
      </c>
      <c r="Q5" s="175">
        <v>7</v>
      </c>
      <c r="R5" s="175">
        <v>3</v>
      </c>
      <c r="S5" s="175">
        <v>0</v>
      </c>
      <c r="T5" s="175">
        <v>0</v>
      </c>
      <c r="U5" s="175">
        <v>0</v>
      </c>
      <c r="V5" s="175">
        <v>0</v>
      </c>
      <c r="W5" s="175">
        <v>27.25</v>
      </c>
      <c r="X5" s="176">
        <v>1</v>
      </c>
    </row>
    <row r="6" spans="1:24" ht="16.5">
      <c r="A6" s="181">
        <v>2</v>
      </c>
      <c r="C6" s="203" t="s">
        <v>333</v>
      </c>
      <c r="D6" s="184">
        <v>13.5</v>
      </c>
      <c r="E6" s="175">
        <v>5.25</v>
      </c>
      <c r="F6" s="175">
        <v>3.5</v>
      </c>
      <c r="G6" s="175">
        <v>0</v>
      </c>
      <c r="H6" s="175">
        <v>4</v>
      </c>
      <c r="I6" s="177">
        <v>0.75</v>
      </c>
      <c r="J6" s="175">
        <v>0</v>
      </c>
      <c r="K6" s="175">
        <v>0</v>
      </c>
      <c r="L6" s="174">
        <v>0</v>
      </c>
      <c r="M6" s="174">
        <v>0</v>
      </c>
      <c r="N6" s="177">
        <v>0</v>
      </c>
      <c r="O6" s="177">
        <v>0</v>
      </c>
      <c r="P6" s="177">
        <v>0</v>
      </c>
      <c r="Q6" s="177">
        <v>0</v>
      </c>
      <c r="R6" s="177">
        <v>0</v>
      </c>
      <c r="S6" s="177">
        <v>0</v>
      </c>
      <c r="T6" s="177">
        <v>0</v>
      </c>
      <c r="U6" s="177">
        <v>0</v>
      </c>
      <c r="V6" s="177">
        <v>0</v>
      </c>
      <c r="W6" s="175">
        <v>13.5</v>
      </c>
      <c r="X6" s="176">
        <v>1</v>
      </c>
    </row>
    <row r="7" spans="1:24" ht="16.5">
      <c r="A7" s="195">
        <v>3</v>
      </c>
      <c r="B7" s="195"/>
      <c r="C7" s="204" t="s">
        <v>10</v>
      </c>
      <c r="D7" s="184">
        <v>6.75</v>
      </c>
      <c r="E7" s="174">
        <v>0.75</v>
      </c>
      <c r="F7" s="174">
        <v>1</v>
      </c>
      <c r="G7" s="174">
        <v>0</v>
      </c>
      <c r="H7" s="174">
        <v>2</v>
      </c>
      <c r="I7" s="174">
        <v>0</v>
      </c>
      <c r="J7" s="174">
        <v>0</v>
      </c>
      <c r="K7" s="174">
        <v>0</v>
      </c>
      <c r="L7" s="174">
        <v>0</v>
      </c>
      <c r="M7" s="174">
        <v>0</v>
      </c>
      <c r="N7" s="174">
        <v>0</v>
      </c>
      <c r="O7" s="174">
        <v>0</v>
      </c>
      <c r="P7" s="174">
        <v>0</v>
      </c>
      <c r="Q7" s="174">
        <v>0</v>
      </c>
      <c r="R7" s="174">
        <v>0</v>
      </c>
      <c r="S7" s="174">
        <v>0</v>
      </c>
      <c r="T7" s="174">
        <v>3</v>
      </c>
      <c r="U7" s="174">
        <v>0</v>
      </c>
      <c r="V7" s="174">
        <v>0</v>
      </c>
      <c r="W7" s="175">
        <v>6.75</v>
      </c>
      <c r="X7" s="176">
        <v>1</v>
      </c>
    </row>
    <row r="8" spans="1:24" ht="16.5">
      <c r="A8" s="181">
        <v>4</v>
      </c>
      <c r="C8" s="203" t="s">
        <v>12</v>
      </c>
      <c r="D8" s="184">
        <v>6.25</v>
      </c>
      <c r="E8" s="175">
        <v>0.75</v>
      </c>
      <c r="F8" s="175">
        <v>2.5</v>
      </c>
      <c r="G8" s="175">
        <v>0</v>
      </c>
      <c r="H8" s="175">
        <v>0</v>
      </c>
      <c r="I8" s="175">
        <v>0</v>
      </c>
      <c r="J8" s="175">
        <v>0</v>
      </c>
      <c r="K8" s="175">
        <v>0</v>
      </c>
      <c r="L8" s="174">
        <v>0</v>
      </c>
      <c r="M8" s="174">
        <v>0</v>
      </c>
      <c r="N8" s="175">
        <v>0</v>
      </c>
      <c r="O8" s="175">
        <v>0</v>
      </c>
      <c r="P8" s="175">
        <v>0</v>
      </c>
      <c r="Q8" s="175">
        <v>0</v>
      </c>
      <c r="R8" s="175">
        <v>0</v>
      </c>
      <c r="S8" s="175">
        <v>3</v>
      </c>
      <c r="T8" s="175">
        <v>0</v>
      </c>
      <c r="U8" s="175">
        <v>0</v>
      </c>
      <c r="V8" s="175">
        <v>0</v>
      </c>
      <c r="W8" s="175">
        <v>6.25</v>
      </c>
      <c r="X8" s="176">
        <v>1</v>
      </c>
    </row>
    <row r="9" spans="1:24" ht="16.5">
      <c r="A9" s="195">
        <v>5</v>
      </c>
      <c r="B9" s="195"/>
      <c r="C9" s="202" t="s">
        <v>53</v>
      </c>
      <c r="D9" s="184">
        <v>3.5</v>
      </c>
      <c r="E9" s="175">
        <v>3</v>
      </c>
      <c r="F9" s="175">
        <v>0.5</v>
      </c>
      <c r="G9" s="175">
        <v>0</v>
      </c>
      <c r="H9" s="175">
        <v>0</v>
      </c>
      <c r="I9" s="175">
        <v>0</v>
      </c>
      <c r="J9" s="175">
        <v>0</v>
      </c>
      <c r="K9" s="175">
        <v>0</v>
      </c>
      <c r="L9" s="174">
        <v>0</v>
      </c>
      <c r="M9" s="174">
        <v>0</v>
      </c>
      <c r="N9" s="175">
        <v>0</v>
      </c>
      <c r="O9" s="175">
        <v>0</v>
      </c>
      <c r="P9" s="175">
        <v>0</v>
      </c>
      <c r="Q9" s="175">
        <v>0</v>
      </c>
      <c r="R9" s="175">
        <v>0</v>
      </c>
      <c r="S9" s="175">
        <v>0</v>
      </c>
      <c r="T9" s="175">
        <v>0</v>
      </c>
      <c r="U9" s="175">
        <v>0</v>
      </c>
      <c r="V9" s="175">
        <v>0</v>
      </c>
      <c r="W9" s="175">
        <v>3.5</v>
      </c>
      <c r="X9" s="176">
        <v>1</v>
      </c>
    </row>
    <row r="10" spans="1:24" ht="16.5">
      <c r="A10" s="196">
        <v>6</v>
      </c>
      <c r="B10" s="196"/>
      <c r="C10" s="203" t="s">
        <v>52</v>
      </c>
      <c r="D10" s="184">
        <v>2.25</v>
      </c>
      <c r="E10" s="175">
        <v>1.5</v>
      </c>
      <c r="F10" s="175">
        <v>0.75</v>
      </c>
      <c r="G10" s="175">
        <v>0</v>
      </c>
      <c r="H10" s="175">
        <v>0</v>
      </c>
      <c r="I10" s="175">
        <v>0</v>
      </c>
      <c r="J10" s="175">
        <v>0</v>
      </c>
      <c r="K10" s="175">
        <v>0</v>
      </c>
      <c r="L10" s="174">
        <v>0</v>
      </c>
      <c r="M10" s="174">
        <v>0</v>
      </c>
      <c r="N10" s="175">
        <v>0</v>
      </c>
      <c r="O10" s="175">
        <v>0</v>
      </c>
      <c r="P10" s="175">
        <v>0</v>
      </c>
      <c r="Q10" s="175">
        <v>0</v>
      </c>
      <c r="R10" s="175">
        <v>0</v>
      </c>
      <c r="S10" s="175">
        <v>0</v>
      </c>
      <c r="T10" s="175">
        <v>0</v>
      </c>
      <c r="U10" s="175">
        <v>0</v>
      </c>
      <c r="V10" s="175">
        <v>0</v>
      </c>
      <c r="W10" s="175">
        <v>2.25</v>
      </c>
      <c r="X10" s="176">
        <v>1</v>
      </c>
    </row>
    <row r="11" spans="1:24" ht="16.5">
      <c r="A11" s="195">
        <v>7</v>
      </c>
      <c r="B11" s="195"/>
      <c r="C11" s="202" t="s">
        <v>121</v>
      </c>
      <c r="D11" s="184">
        <v>0.75</v>
      </c>
      <c r="E11" s="175">
        <v>0.75</v>
      </c>
      <c r="F11" s="175">
        <v>0</v>
      </c>
      <c r="G11" s="175">
        <v>0</v>
      </c>
      <c r="H11" s="175">
        <v>0</v>
      </c>
      <c r="I11" s="175">
        <v>0</v>
      </c>
      <c r="J11" s="175">
        <v>0</v>
      </c>
      <c r="K11" s="175">
        <v>0</v>
      </c>
      <c r="L11" s="174">
        <v>0</v>
      </c>
      <c r="M11" s="174">
        <v>0</v>
      </c>
      <c r="N11" s="175">
        <v>0</v>
      </c>
      <c r="O11" s="175">
        <v>0</v>
      </c>
      <c r="P11" s="175">
        <v>0</v>
      </c>
      <c r="Q11" s="175">
        <v>0</v>
      </c>
      <c r="R11" s="175">
        <v>0</v>
      </c>
      <c r="S11" s="175">
        <v>0</v>
      </c>
      <c r="T11" s="175">
        <v>0</v>
      </c>
      <c r="U11" s="175">
        <v>0</v>
      </c>
      <c r="V11" s="175">
        <v>0</v>
      </c>
      <c r="W11" s="175">
        <v>0.75</v>
      </c>
      <c r="X11" s="176">
        <v>1</v>
      </c>
    </row>
    <row r="12" spans="1:24" ht="17.25" thickBot="1">
      <c r="A12" s="199">
        <v>8</v>
      </c>
      <c r="B12" s="199"/>
      <c r="C12" s="205" t="s">
        <v>332</v>
      </c>
      <c r="D12" s="190">
        <v>-1</v>
      </c>
      <c r="E12" s="191">
        <v>0</v>
      </c>
      <c r="F12" s="191">
        <v>1</v>
      </c>
      <c r="G12" s="191">
        <v>0</v>
      </c>
      <c r="H12" s="191">
        <v>4</v>
      </c>
      <c r="I12" s="191">
        <v>0</v>
      </c>
      <c r="J12" s="191">
        <v>-6</v>
      </c>
      <c r="K12" s="191">
        <v>0</v>
      </c>
      <c r="L12" s="193">
        <v>0</v>
      </c>
      <c r="M12" s="193">
        <v>0</v>
      </c>
      <c r="N12" s="191">
        <v>0</v>
      </c>
      <c r="O12" s="191">
        <v>0</v>
      </c>
      <c r="P12" s="191">
        <v>0</v>
      </c>
      <c r="Q12" s="191">
        <v>0</v>
      </c>
      <c r="R12" s="191">
        <v>0</v>
      </c>
      <c r="S12" s="191">
        <v>0</v>
      </c>
      <c r="T12" s="191">
        <v>0</v>
      </c>
      <c r="U12" s="191">
        <v>0</v>
      </c>
      <c r="V12" s="191">
        <v>0</v>
      </c>
      <c r="W12" s="191">
        <v>-1</v>
      </c>
      <c r="X12" s="192">
        <v>1</v>
      </c>
    </row>
    <row r="13" spans="1:24" ht="15.75">
      <c r="A13" s="196"/>
      <c r="B13" s="196"/>
      <c r="C13" s="198"/>
      <c r="D13" s="185"/>
      <c r="E13" s="178"/>
      <c r="F13" s="178"/>
      <c r="G13" s="178"/>
      <c r="H13" s="179"/>
      <c r="I13" s="179"/>
      <c r="J13" s="178"/>
      <c r="K13" s="178"/>
      <c r="L13" s="178"/>
      <c r="M13" s="178"/>
      <c r="N13" s="178"/>
      <c r="O13" s="178"/>
      <c r="P13" s="178"/>
      <c r="Q13" s="178"/>
      <c r="R13" s="178"/>
      <c r="S13" s="178"/>
      <c r="T13" s="178"/>
      <c r="U13" s="178"/>
      <c r="V13" s="178"/>
      <c r="W13" s="180"/>
      <c r="X13" s="170"/>
    </row>
    <row r="14" spans="1:24" ht="15.75">
      <c r="A14" s="196"/>
      <c r="B14" s="196"/>
      <c r="C14" s="198"/>
      <c r="D14" s="555" t="s">
        <v>387</v>
      </c>
      <c r="E14" s="556"/>
      <c r="F14" s="556"/>
      <c r="G14" s="556"/>
      <c r="H14" s="556"/>
      <c r="I14" s="556"/>
      <c r="J14" s="556"/>
      <c r="K14" s="556"/>
      <c r="L14" s="556"/>
      <c r="M14" s="556"/>
      <c r="N14" s="556"/>
      <c r="O14" s="556"/>
      <c r="P14" s="556"/>
      <c r="Q14" s="556"/>
      <c r="R14" s="556"/>
      <c r="S14" s="556"/>
      <c r="T14" s="556"/>
      <c r="U14" s="556"/>
      <c r="V14" s="556"/>
      <c r="W14" s="556"/>
      <c r="X14" s="556"/>
    </row>
    <row r="15" spans="1:24" ht="15.75">
      <c r="A15" s="196"/>
      <c r="B15" s="196"/>
      <c r="C15" s="198"/>
      <c r="D15" s="556"/>
      <c r="E15" s="556"/>
      <c r="F15" s="556"/>
      <c r="G15" s="556"/>
      <c r="H15" s="556"/>
      <c r="I15" s="556"/>
      <c r="J15" s="556"/>
      <c r="K15" s="556"/>
      <c r="L15" s="556"/>
      <c r="M15" s="556"/>
      <c r="N15" s="556"/>
      <c r="O15" s="556"/>
      <c r="P15" s="556"/>
      <c r="Q15" s="556"/>
      <c r="R15" s="556"/>
      <c r="S15" s="556"/>
      <c r="T15" s="556"/>
      <c r="U15" s="556"/>
      <c r="V15" s="556"/>
      <c r="W15" s="556"/>
      <c r="X15" s="556"/>
    </row>
    <row r="16" spans="1:24" ht="15.75">
      <c r="A16" s="196"/>
      <c r="B16" s="196"/>
      <c r="C16" s="198"/>
      <c r="D16" s="182" t="s">
        <v>329</v>
      </c>
      <c r="E16" s="171">
        <v>1</v>
      </c>
      <c r="F16" s="171">
        <v>2</v>
      </c>
      <c r="G16" s="171">
        <v>3</v>
      </c>
      <c r="H16" s="171">
        <v>4</v>
      </c>
      <c r="I16" s="171">
        <v>5</v>
      </c>
      <c r="J16" s="171">
        <v>6</v>
      </c>
      <c r="K16" s="171">
        <v>7</v>
      </c>
      <c r="L16" s="171">
        <v>8</v>
      </c>
      <c r="M16" s="171">
        <v>9</v>
      </c>
      <c r="N16" s="171">
        <v>10</v>
      </c>
      <c r="O16" s="171">
        <v>11</v>
      </c>
      <c r="P16" s="171">
        <v>12</v>
      </c>
      <c r="Q16" s="171">
        <v>13</v>
      </c>
      <c r="R16" s="171">
        <v>14</v>
      </c>
      <c r="S16" s="171">
        <v>15</v>
      </c>
      <c r="T16" s="171">
        <v>16</v>
      </c>
      <c r="U16" s="171">
        <v>17</v>
      </c>
      <c r="V16" s="171">
        <v>18</v>
      </c>
      <c r="W16" s="172" t="s">
        <v>310</v>
      </c>
      <c r="X16" s="173"/>
    </row>
    <row r="17" spans="1:24" ht="16.5" thickBot="1">
      <c r="A17" s="199"/>
      <c r="B17" s="199"/>
      <c r="C17" s="200"/>
      <c r="D17" s="186" t="s">
        <v>331</v>
      </c>
      <c r="E17" s="201">
        <v>0.75</v>
      </c>
      <c r="F17" s="201">
        <v>0.25</v>
      </c>
      <c r="G17" s="201">
        <v>3</v>
      </c>
      <c r="H17" s="201">
        <v>2</v>
      </c>
      <c r="I17" s="201">
        <v>0.75</v>
      </c>
      <c r="J17" s="201">
        <v>-3</v>
      </c>
      <c r="K17" s="201">
        <v>-4</v>
      </c>
      <c r="L17" s="201">
        <v>20</v>
      </c>
      <c r="M17" s="201">
        <v>10</v>
      </c>
      <c r="N17" s="201">
        <v>5</v>
      </c>
      <c r="O17" s="201">
        <v>3</v>
      </c>
      <c r="P17" s="201">
        <v>5</v>
      </c>
      <c r="Q17" s="201">
        <v>7</v>
      </c>
      <c r="R17" s="201">
        <v>3</v>
      </c>
      <c r="S17" s="201">
        <v>3</v>
      </c>
      <c r="T17" s="201">
        <v>3</v>
      </c>
      <c r="U17" s="201">
        <v>8.25</v>
      </c>
      <c r="V17" s="201">
        <v>16</v>
      </c>
      <c r="W17" s="187" t="s">
        <v>330</v>
      </c>
      <c r="X17" s="188" t="s">
        <v>310</v>
      </c>
    </row>
    <row r="18" spans="1:24" ht="19.5">
      <c r="A18" s="195">
        <v>1</v>
      </c>
      <c r="B18" s="210">
        <v>4</v>
      </c>
      <c r="C18" s="206" t="s">
        <v>8</v>
      </c>
      <c r="D18" s="184">
        <f>W5+W18</f>
        <v>39.5</v>
      </c>
      <c r="E18" s="175">
        <v>1.5</v>
      </c>
      <c r="F18" s="175">
        <v>0.75</v>
      </c>
      <c r="G18" s="175">
        <v>0</v>
      </c>
      <c r="H18" s="175">
        <v>2</v>
      </c>
      <c r="I18" s="175">
        <v>0</v>
      </c>
      <c r="J18" s="175">
        <v>0</v>
      </c>
      <c r="K18" s="175">
        <v>0</v>
      </c>
      <c r="L18" s="175">
        <v>0</v>
      </c>
      <c r="M18" s="175">
        <v>0</v>
      </c>
      <c r="N18" s="175">
        <v>0</v>
      </c>
      <c r="O18" s="175">
        <v>0</v>
      </c>
      <c r="P18" s="175">
        <v>5</v>
      </c>
      <c r="Q18" s="175">
        <v>0</v>
      </c>
      <c r="R18" s="175">
        <v>3</v>
      </c>
      <c r="S18" s="175">
        <v>0</v>
      </c>
      <c r="T18" s="175">
        <v>0</v>
      </c>
      <c r="U18" s="175">
        <v>0</v>
      </c>
      <c r="V18" s="175">
        <v>0</v>
      </c>
      <c r="W18" s="175">
        <f>SUM(E18:V18)</f>
        <v>12.25</v>
      </c>
      <c r="X18" s="176">
        <v>2</v>
      </c>
    </row>
    <row r="19" spans="1:24" ht="19.5">
      <c r="A19" s="181">
        <v>2</v>
      </c>
      <c r="B19" s="211">
        <v>4</v>
      </c>
      <c r="C19" s="207" t="s">
        <v>333</v>
      </c>
      <c r="D19" s="184">
        <f aca="true" t="shared" si="0" ref="D19:D25">W6+W19</f>
        <v>36.5</v>
      </c>
      <c r="E19" s="175">
        <v>6.75</v>
      </c>
      <c r="F19" s="175">
        <v>4.5</v>
      </c>
      <c r="G19" s="175">
        <v>0</v>
      </c>
      <c r="H19" s="175">
        <v>4</v>
      </c>
      <c r="I19" s="175">
        <v>0.75</v>
      </c>
      <c r="J19" s="175">
        <v>0</v>
      </c>
      <c r="K19" s="175">
        <v>0</v>
      </c>
      <c r="L19" s="175">
        <v>0</v>
      </c>
      <c r="M19" s="175">
        <v>0</v>
      </c>
      <c r="N19" s="175">
        <v>0</v>
      </c>
      <c r="O19" s="175">
        <v>0</v>
      </c>
      <c r="P19" s="175">
        <v>0</v>
      </c>
      <c r="Q19" s="175">
        <v>7</v>
      </c>
      <c r="R19" s="175">
        <v>0</v>
      </c>
      <c r="S19" s="175">
        <v>0</v>
      </c>
      <c r="T19" s="175">
        <v>0</v>
      </c>
      <c r="U19" s="175">
        <v>0</v>
      </c>
      <c r="V19" s="175">
        <v>0</v>
      </c>
      <c r="W19" s="175">
        <f aca="true" t="shared" si="1" ref="W19:W25">SUM(E19:V19)</f>
        <v>23</v>
      </c>
      <c r="X19" s="176">
        <v>2</v>
      </c>
    </row>
    <row r="20" spans="1:24" ht="19.5">
      <c r="A20" s="195">
        <v>3</v>
      </c>
      <c r="B20" s="212">
        <v>5</v>
      </c>
      <c r="C20" s="206" t="s">
        <v>12</v>
      </c>
      <c r="D20" s="184">
        <f t="shared" si="0"/>
        <v>22.75</v>
      </c>
      <c r="E20" s="175">
        <v>1.5</v>
      </c>
      <c r="F20" s="175">
        <v>2.5</v>
      </c>
      <c r="G20" s="175">
        <v>3</v>
      </c>
      <c r="H20" s="175">
        <v>0</v>
      </c>
      <c r="I20" s="175">
        <v>0</v>
      </c>
      <c r="J20" s="175">
        <v>0</v>
      </c>
      <c r="K20" s="175">
        <v>0</v>
      </c>
      <c r="L20" s="175">
        <v>0</v>
      </c>
      <c r="M20" s="175">
        <v>0</v>
      </c>
      <c r="N20" s="175">
        <v>0</v>
      </c>
      <c r="O20" s="175">
        <v>3</v>
      </c>
      <c r="P20" s="175">
        <v>0</v>
      </c>
      <c r="Q20" s="175">
        <v>0</v>
      </c>
      <c r="R20" s="175">
        <v>0</v>
      </c>
      <c r="S20" s="175">
        <v>3</v>
      </c>
      <c r="T20" s="175">
        <v>3</v>
      </c>
      <c r="U20" s="175">
        <v>0</v>
      </c>
      <c r="V20" s="175">
        <v>0</v>
      </c>
      <c r="W20" s="175">
        <f t="shared" si="1"/>
        <v>16</v>
      </c>
      <c r="X20" s="176">
        <v>2</v>
      </c>
    </row>
    <row r="21" spans="1:24" ht="19.5">
      <c r="A21" s="181">
        <v>4</v>
      </c>
      <c r="B21" s="213">
        <v>5</v>
      </c>
      <c r="C21" s="207" t="s">
        <v>53</v>
      </c>
      <c r="D21" s="184">
        <f t="shared" si="0"/>
        <v>13.25</v>
      </c>
      <c r="E21" s="175">
        <v>3.75</v>
      </c>
      <c r="F21" s="175">
        <v>0.25</v>
      </c>
      <c r="G21" s="175">
        <v>3</v>
      </c>
      <c r="H21" s="175">
        <v>0</v>
      </c>
      <c r="I21" s="175">
        <v>0</v>
      </c>
      <c r="J21" s="175">
        <v>0</v>
      </c>
      <c r="K21" s="175">
        <v>0</v>
      </c>
      <c r="L21" s="175">
        <v>0</v>
      </c>
      <c r="M21" s="175">
        <v>0</v>
      </c>
      <c r="N21" s="175">
        <v>0</v>
      </c>
      <c r="O21" s="175">
        <v>0</v>
      </c>
      <c r="P21" s="175">
        <v>0</v>
      </c>
      <c r="Q21" s="175">
        <v>0</v>
      </c>
      <c r="R21" s="175">
        <v>0</v>
      </c>
      <c r="S21" s="175">
        <v>0</v>
      </c>
      <c r="T21" s="175">
        <v>0</v>
      </c>
      <c r="U21" s="175">
        <v>0</v>
      </c>
      <c r="V21" s="175">
        <v>0</v>
      </c>
      <c r="W21" s="175">
        <f t="shared" si="1"/>
        <v>7</v>
      </c>
      <c r="X21" s="176">
        <v>2</v>
      </c>
    </row>
    <row r="22" spans="1:24" ht="19.5">
      <c r="A22" s="195">
        <v>5</v>
      </c>
      <c r="B22" s="214">
        <v>6</v>
      </c>
      <c r="C22" s="208" t="s">
        <v>10</v>
      </c>
      <c r="D22" s="184">
        <f t="shared" si="0"/>
        <v>4.5</v>
      </c>
      <c r="E22" s="372">
        <v>0</v>
      </c>
      <c r="F22" s="372">
        <v>1</v>
      </c>
      <c r="G22" s="372">
        <v>0</v>
      </c>
      <c r="H22" s="372">
        <v>0</v>
      </c>
      <c r="I22" s="372">
        <v>0</v>
      </c>
      <c r="J22" s="372">
        <v>0</v>
      </c>
      <c r="K22" s="372">
        <v>0</v>
      </c>
      <c r="L22" s="372">
        <v>0</v>
      </c>
      <c r="M22" s="372">
        <v>0</v>
      </c>
      <c r="N22" s="372">
        <v>0</v>
      </c>
      <c r="O22" s="372">
        <v>0</v>
      </c>
      <c r="P22" s="372">
        <v>0</v>
      </c>
      <c r="Q22" s="372">
        <v>0</v>
      </c>
      <c r="R22" s="372">
        <v>0</v>
      </c>
      <c r="S22" s="372">
        <v>0</v>
      </c>
      <c r="T22" s="372">
        <v>0</v>
      </c>
      <c r="U22" s="372">
        <v>0</v>
      </c>
      <c r="V22" s="372">
        <v>0</v>
      </c>
      <c r="W22" s="175">
        <f t="shared" si="1"/>
        <v>1</v>
      </c>
      <c r="X22" s="176">
        <v>2</v>
      </c>
    </row>
    <row r="23" spans="1:24" ht="19.5">
      <c r="A23" s="196">
        <v>6</v>
      </c>
      <c r="B23" s="215">
        <v>4</v>
      </c>
      <c r="C23" s="207" t="s">
        <v>52</v>
      </c>
      <c r="D23" s="184">
        <f t="shared" si="0"/>
        <v>3.25</v>
      </c>
      <c r="E23" s="175">
        <v>0.75</v>
      </c>
      <c r="F23" s="175">
        <v>0.25</v>
      </c>
      <c r="G23" s="175">
        <v>0</v>
      </c>
      <c r="H23" s="175">
        <v>0</v>
      </c>
      <c r="I23" s="175">
        <v>0</v>
      </c>
      <c r="J23" s="175">
        <v>0</v>
      </c>
      <c r="K23" s="175">
        <v>0</v>
      </c>
      <c r="L23" s="175">
        <v>0</v>
      </c>
      <c r="M23" s="175">
        <v>0</v>
      </c>
      <c r="N23" s="175">
        <v>0</v>
      </c>
      <c r="O23" s="175">
        <v>0</v>
      </c>
      <c r="P23" s="175">
        <v>0</v>
      </c>
      <c r="Q23" s="175">
        <v>0</v>
      </c>
      <c r="R23" s="175">
        <v>0</v>
      </c>
      <c r="S23" s="175">
        <v>0</v>
      </c>
      <c r="T23" s="175">
        <v>0</v>
      </c>
      <c r="U23" s="175">
        <v>0</v>
      </c>
      <c r="V23" s="175">
        <v>0</v>
      </c>
      <c r="W23" s="175">
        <f t="shared" si="1"/>
        <v>1</v>
      </c>
      <c r="X23" s="176">
        <v>2</v>
      </c>
    </row>
    <row r="24" spans="1:24" ht="19.5">
      <c r="A24" s="195">
        <v>7</v>
      </c>
      <c r="B24" s="210">
        <v>4</v>
      </c>
      <c r="C24" s="206" t="s">
        <v>121</v>
      </c>
      <c r="D24" s="184">
        <f t="shared" si="0"/>
        <v>1.5</v>
      </c>
      <c r="E24" s="175">
        <v>0.75</v>
      </c>
      <c r="F24" s="175">
        <v>0</v>
      </c>
      <c r="G24" s="175">
        <v>0</v>
      </c>
      <c r="H24" s="175">
        <v>0</v>
      </c>
      <c r="I24" s="175">
        <v>0</v>
      </c>
      <c r="J24" s="175">
        <v>0</v>
      </c>
      <c r="K24" s="175">
        <v>0</v>
      </c>
      <c r="L24" s="175">
        <v>0</v>
      </c>
      <c r="M24" s="175">
        <v>0</v>
      </c>
      <c r="N24" s="175">
        <v>0</v>
      </c>
      <c r="O24" s="175">
        <v>0</v>
      </c>
      <c r="P24" s="175">
        <v>0</v>
      </c>
      <c r="Q24" s="175">
        <v>0</v>
      </c>
      <c r="R24" s="175">
        <v>0</v>
      </c>
      <c r="S24" s="175">
        <v>0</v>
      </c>
      <c r="T24" s="175">
        <v>0</v>
      </c>
      <c r="U24" s="175">
        <v>0</v>
      </c>
      <c r="V24" s="175">
        <v>0</v>
      </c>
      <c r="W24" s="175">
        <f t="shared" si="1"/>
        <v>0.75</v>
      </c>
      <c r="X24" s="176">
        <v>2</v>
      </c>
    </row>
    <row r="25" spans="1:24" ht="20.25" thickBot="1">
      <c r="A25" s="189">
        <v>8</v>
      </c>
      <c r="B25" s="216">
        <v>6</v>
      </c>
      <c r="C25" s="209" t="s">
        <v>332</v>
      </c>
      <c r="D25" s="190">
        <f t="shared" si="0"/>
        <v>0.5</v>
      </c>
      <c r="E25" s="191">
        <v>0</v>
      </c>
      <c r="F25" s="191">
        <v>1.5</v>
      </c>
      <c r="G25" s="191">
        <v>0</v>
      </c>
      <c r="H25" s="191">
        <v>0</v>
      </c>
      <c r="I25" s="191">
        <v>0</v>
      </c>
      <c r="J25" s="191">
        <v>0</v>
      </c>
      <c r="K25" s="191">
        <v>0</v>
      </c>
      <c r="L25" s="191">
        <v>0</v>
      </c>
      <c r="M25" s="191">
        <v>0</v>
      </c>
      <c r="N25" s="191">
        <v>0</v>
      </c>
      <c r="O25" s="191">
        <v>0</v>
      </c>
      <c r="P25" s="191">
        <v>0</v>
      </c>
      <c r="Q25" s="191">
        <v>0</v>
      </c>
      <c r="R25" s="191">
        <v>0</v>
      </c>
      <c r="S25" s="191">
        <v>0</v>
      </c>
      <c r="T25" s="191">
        <v>0</v>
      </c>
      <c r="U25" s="191">
        <v>0</v>
      </c>
      <c r="V25" s="191">
        <v>0</v>
      </c>
      <c r="W25" s="191">
        <f t="shared" si="1"/>
        <v>1.5</v>
      </c>
      <c r="X25" s="192">
        <v>2</v>
      </c>
    </row>
    <row r="26" ht="15.75"/>
    <row r="27" spans="1:24" ht="15.75">
      <c r="A27" s="196"/>
      <c r="B27" s="196"/>
      <c r="C27" s="198"/>
      <c r="D27" s="555" t="s">
        <v>386</v>
      </c>
      <c r="E27" s="556"/>
      <c r="F27" s="556"/>
      <c r="G27" s="556"/>
      <c r="H27" s="556"/>
      <c r="I27" s="556"/>
      <c r="J27" s="556"/>
      <c r="K27" s="556"/>
      <c r="L27" s="556"/>
      <c r="M27" s="556"/>
      <c r="N27" s="556"/>
      <c r="O27" s="556"/>
      <c r="P27" s="556"/>
      <c r="Q27" s="556"/>
      <c r="R27" s="556"/>
      <c r="S27" s="556"/>
      <c r="T27" s="556"/>
      <c r="U27" s="556"/>
      <c r="V27" s="556"/>
      <c r="W27" s="556"/>
      <c r="X27" s="556"/>
    </row>
    <row r="28" spans="1:24" ht="15.75">
      <c r="A28" s="196"/>
      <c r="B28" s="196"/>
      <c r="C28" s="198"/>
      <c r="D28" s="556"/>
      <c r="E28" s="556"/>
      <c r="F28" s="556"/>
      <c r="G28" s="556"/>
      <c r="H28" s="556"/>
      <c r="I28" s="556"/>
      <c r="J28" s="556"/>
      <c r="K28" s="556"/>
      <c r="L28" s="556"/>
      <c r="M28" s="556"/>
      <c r="N28" s="556"/>
      <c r="O28" s="556"/>
      <c r="P28" s="556"/>
      <c r="Q28" s="556"/>
      <c r="R28" s="556"/>
      <c r="S28" s="556"/>
      <c r="T28" s="556"/>
      <c r="U28" s="556"/>
      <c r="V28" s="556"/>
      <c r="W28" s="556"/>
      <c r="X28" s="556"/>
    </row>
    <row r="29" spans="1:24" ht="15.75">
      <c r="A29" s="196"/>
      <c r="B29" s="196"/>
      <c r="C29" s="198"/>
      <c r="D29" s="182" t="s">
        <v>329</v>
      </c>
      <c r="E29" s="171">
        <v>1</v>
      </c>
      <c r="F29" s="171">
        <v>2</v>
      </c>
      <c r="G29" s="171">
        <v>3</v>
      </c>
      <c r="H29" s="171">
        <v>4</v>
      </c>
      <c r="I29" s="171">
        <v>5</v>
      </c>
      <c r="J29" s="171">
        <v>6</v>
      </c>
      <c r="K29" s="171">
        <v>7</v>
      </c>
      <c r="L29" s="171">
        <v>8</v>
      </c>
      <c r="M29" s="171">
        <v>9</v>
      </c>
      <c r="N29" s="171">
        <v>10</v>
      </c>
      <c r="O29" s="171">
        <v>11</v>
      </c>
      <c r="P29" s="171">
        <v>12</v>
      </c>
      <c r="Q29" s="171">
        <v>13</v>
      </c>
      <c r="R29" s="171">
        <v>14</v>
      </c>
      <c r="S29" s="171">
        <v>15</v>
      </c>
      <c r="T29" s="171">
        <v>16</v>
      </c>
      <c r="U29" s="171">
        <v>17</v>
      </c>
      <c r="V29" s="171">
        <v>18</v>
      </c>
      <c r="W29" s="172" t="s">
        <v>310</v>
      </c>
      <c r="X29" s="173"/>
    </row>
    <row r="30" spans="1:24" ht="16.5" thickBot="1">
      <c r="A30" s="199"/>
      <c r="B30" s="199"/>
      <c r="C30" s="200"/>
      <c r="D30" s="186" t="s">
        <v>331</v>
      </c>
      <c r="E30" s="201">
        <v>0.75</v>
      </c>
      <c r="F30" s="201">
        <v>0.25</v>
      </c>
      <c r="G30" s="201">
        <v>3</v>
      </c>
      <c r="H30" s="201">
        <v>2</v>
      </c>
      <c r="I30" s="201">
        <v>0.75</v>
      </c>
      <c r="J30" s="201">
        <v>-3</v>
      </c>
      <c r="K30" s="201">
        <v>-4</v>
      </c>
      <c r="L30" s="201">
        <v>20</v>
      </c>
      <c r="M30" s="201">
        <v>10</v>
      </c>
      <c r="N30" s="201">
        <v>5</v>
      </c>
      <c r="O30" s="201">
        <v>3</v>
      </c>
      <c r="P30" s="201">
        <v>5</v>
      </c>
      <c r="Q30" s="201">
        <v>7</v>
      </c>
      <c r="R30" s="201">
        <v>3</v>
      </c>
      <c r="S30" s="201">
        <v>3</v>
      </c>
      <c r="T30" s="201">
        <v>3</v>
      </c>
      <c r="U30" s="201">
        <v>8.25</v>
      </c>
      <c r="V30" s="201">
        <v>16</v>
      </c>
      <c r="W30" s="187" t="s">
        <v>330</v>
      </c>
      <c r="X30" s="188" t="s">
        <v>310</v>
      </c>
    </row>
    <row r="31" spans="1:24" ht="19.5">
      <c r="A31" s="195">
        <v>1</v>
      </c>
      <c r="B31" s="212">
        <v>5</v>
      </c>
      <c r="C31" s="202" t="s">
        <v>333</v>
      </c>
      <c r="D31" s="382">
        <v>48.25</v>
      </c>
      <c r="E31" s="175">
        <v>6.75</v>
      </c>
      <c r="F31" s="175">
        <v>4.25</v>
      </c>
      <c r="G31" s="175">
        <v>0</v>
      </c>
      <c r="H31" s="175">
        <v>0</v>
      </c>
      <c r="I31" s="175">
        <v>0.75</v>
      </c>
      <c r="J31" s="175">
        <v>0</v>
      </c>
      <c r="K31" s="175">
        <v>0</v>
      </c>
      <c r="L31" s="175"/>
      <c r="M31" s="175"/>
      <c r="N31" s="175"/>
      <c r="O31" s="175"/>
      <c r="P31" s="175"/>
      <c r="Q31" s="175"/>
      <c r="R31" s="175"/>
      <c r="S31" s="175"/>
      <c r="T31" s="175"/>
      <c r="U31" s="175"/>
      <c r="V31" s="175"/>
      <c r="W31" s="175">
        <v>11.75</v>
      </c>
      <c r="X31" s="176">
        <v>3</v>
      </c>
    </row>
    <row r="32" spans="1:24" ht="19.5">
      <c r="A32" s="181">
        <v>2</v>
      </c>
      <c r="B32" s="375">
        <v>6</v>
      </c>
      <c r="C32" s="207" t="s">
        <v>8</v>
      </c>
      <c r="D32" s="382">
        <v>42</v>
      </c>
      <c r="E32" s="175">
        <v>1.5</v>
      </c>
      <c r="F32" s="175">
        <v>1</v>
      </c>
      <c r="G32" s="175">
        <v>0</v>
      </c>
      <c r="H32" s="175">
        <v>0</v>
      </c>
      <c r="I32" s="175">
        <v>0</v>
      </c>
      <c r="J32" s="175">
        <v>0</v>
      </c>
      <c r="K32" s="175">
        <v>0</v>
      </c>
      <c r="L32" s="175"/>
      <c r="M32" s="175"/>
      <c r="N32" s="175"/>
      <c r="O32" s="175"/>
      <c r="P32" s="175"/>
      <c r="Q32" s="175"/>
      <c r="R32" s="175"/>
      <c r="S32" s="175"/>
      <c r="T32" s="175"/>
      <c r="U32" s="175"/>
      <c r="V32" s="175"/>
      <c r="W32" s="175">
        <v>2.5</v>
      </c>
      <c r="X32" s="176">
        <v>3</v>
      </c>
    </row>
    <row r="33" spans="1:24" ht="19.5">
      <c r="A33" s="195">
        <v>3</v>
      </c>
      <c r="B33" s="210">
        <v>4</v>
      </c>
      <c r="C33" s="206" t="s">
        <v>12</v>
      </c>
      <c r="D33" s="382">
        <v>28.25</v>
      </c>
      <c r="E33" s="175">
        <v>1.5</v>
      </c>
      <c r="F33" s="175">
        <v>2</v>
      </c>
      <c r="G33" s="175">
        <v>0</v>
      </c>
      <c r="H33" s="175">
        <v>2</v>
      </c>
      <c r="I33" s="175">
        <v>0</v>
      </c>
      <c r="J33" s="175">
        <v>0</v>
      </c>
      <c r="K33" s="175">
        <v>0</v>
      </c>
      <c r="L33" s="175"/>
      <c r="M33" s="175"/>
      <c r="N33" s="175"/>
      <c r="O33" s="175"/>
      <c r="P33" s="175"/>
      <c r="Q33" s="175"/>
      <c r="R33" s="175"/>
      <c r="S33" s="175"/>
      <c r="T33" s="175"/>
      <c r="U33" s="175"/>
      <c r="V33" s="175"/>
      <c r="W33" s="175">
        <v>5.5</v>
      </c>
      <c r="X33" s="176">
        <v>3</v>
      </c>
    </row>
    <row r="34" spans="1:24" ht="19.5">
      <c r="A34" s="181">
        <v>4</v>
      </c>
      <c r="B34" s="215">
        <v>4</v>
      </c>
      <c r="C34" s="207" t="s">
        <v>53</v>
      </c>
      <c r="D34" s="382">
        <v>16.5</v>
      </c>
      <c r="E34" s="175">
        <v>3</v>
      </c>
      <c r="F34" s="175">
        <v>0.25</v>
      </c>
      <c r="G34" s="175">
        <v>0</v>
      </c>
      <c r="H34" s="175">
        <v>0</v>
      </c>
      <c r="I34" s="175">
        <v>0</v>
      </c>
      <c r="J34" s="175">
        <v>0</v>
      </c>
      <c r="K34" s="175">
        <v>0</v>
      </c>
      <c r="L34" s="175"/>
      <c r="M34" s="175"/>
      <c r="N34" s="175"/>
      <c r="O34" s="175"/>
      <c r="P34" s="175"/>
      <c r="Q34" s="175"/>
      <c r="R34" s="175"/>
      <c r="S34" s="175"/>
      <c r="T34" s="175"/>
      <c r="U34" s="175"/>
      <c r="V34" s="175"/>
      <c r="W34" s="175">
        <v>3.25</v>
      </c>
      <c r="X34" s="176">
        <v>3</v>
      </c>
    </row>
    <row r="35" spans="1:24" ht="19.5">
      <c r="A35" s="195">
        <v>5</v>
      </c>
      <c r="B35" s="210">
        <v>4</v>
      </c>
      <c r="C35" s="208" t="s">
        <v>10</v>
      </c>
      <c r="D35" s="382">
        <v>8.25</v>
      </c>
      <c r="E35" s="372">
        <v>0.75</v>
      </c>
      <c r="F35" s="372">
        <v>1</v>
      </c>
      <c r="G35" s="372">
        <v>0</v>
      </c>
      <c r="H35" s="372">
        <v>2</v>
      </c>
      <c r="I35" s="372">
        <v>0</v>
      </c>
      <c r="J35" s="372">
        <v>0</v>
      </c>
      <c r="K35" s="372">
        <v>0</v>
      </c>
      <c r="L35" s="372"/>
      <c r="M35" s="372"/>
      <c r="N35" s="372"/>
      <c r="O35" s="372"/>
      <c r="P35" s="372"/>
      <c r="Q35" s="372"/>
      <c r="R35" s="372"/>
      <c r="S35" s="372"/>
      <c r="T35" s="372"/>
      <c r="U35" s="372"/>
      <c r="V35" s="372"/>
      <c r="W35" s="175">
        <v>3.75</v>
      </c>
      <c r="X35" s="176">
        <v>3</v>
      </c>
    </row>
    <row r="36" spans="1:24" ht="19.5">
      <c r="A36" s="196">
        <v>6</v>
      </c>
      <c r="B36" s="215">
        <v>4</v>
      </c>
      <c r="C36" s="207" t="s">
        <v>52</v>
      </c>
      <c r="D36" s="382">
        <v>8</v>
      </c>
      <c r="E36" s="175">
        <v>1.5</v>
      </c>
      <c r="F36" s="175">
        <v>0.25</v>
      </c>
      <c r="G36" s="175">
        <v>3</v>
      </c>
      <c r="H36" s="175">
        <v>0</v>
      </c>
      <c r="I36" s="175">
        <v>0</v>
      </c>
      <c r="J36" s="175">
        <v>0</v>
      </c>
      <c r="K36" s="175">
        <v>0</v>
      </c>
      <c r="L36" s="175"/>
      <c r="M36" s="175"/>
      <c r="N36" s="175"/>
      <c r="O36" s="175"/>
      <c r="P36" s="175"/>
      <c r="Q36" s="175"/>
      <c r="R36" s="175"/>
      <c r="S36" s="175"/>
      <c r="T36" s="175"/>
      <c r="U36" s="175"/>
      <c r="V36" s="175"/>
      <c r="W36" s="175">
        <v>4.75</v>
      </c>
      <c r="X36" s="176">
        <v>3</v>
      </c>
    </row>
    <row r="37" spans="1:24" ht="19.5">
      <c r="A37" s="195">
        <v>7</v>
      </c>
      <c r="B37" s="212">
        <v>5</v>
      </c>
      <c r="C37" s="206" t="s">
        <v>332</v>
      </c>
      <c r="D37" s="382">
        <v>3.25</v>
      </c>
      <c r="E37" s="175">
        <v>0</v>
      </c>
      <c r="F37" s="175">
        <v>0.75</v>
      </c>
      <c r="G37" s="175">
        <v>0</v>
      </c>
      <c r="H37" s="175">
        <v>2</v>
      </c>
      <c r="I37" s="175">
        <v>0</v>
      </c>
      <c r="J37" s="175">
        <v>0</v>
      </c>
      <c r="K37" s="175">
        <v>0</v>
      </c>
      <c r="L37" s="175"/>
      <c r="M37" s="175"/>
      <c r="N37" s="175"/>
      <c r="O37" s="175"/>
      <c r="P37" s="175"/>
      <c r="Q37" s="175"/>
      <c r="R37" s="175"/>
      <c r="S37" s="175"/>
      <c r="T37" s="175"/>
      <c r="U37" s="175"/>
      <c r="V37" s="175"/>
      <c r="W37" s="175">
        <v>2.75</v>
      </c>
      <c r="X37" s="176">
        <v>3</v>
      </c>
    </row>
    <row r="38" spans="1:24" ht="19.5">
      <c r="A38" s="376">
        <v>8</v>
      </c>
      <c r="B38" s="375">
        <v>6</v>
      </c>
      <c r="C38" s="377" t="s">
        <v>121</v>
      </c>
      <c r="D38" s="382">
        <v>2.25</v>
      </c>
      <c r="E38" s="177">
        <v>0.75</v>
      </c>
      <c r="F38" s="177">
        <v>0</v>
      </c>
      <c r="G38" s="177">
        <v>0</v>
      </c>
      <c r="H38" s="177">
        <v>0</v>
      </c>
      <c r="I38" s="177">
        <v>0</v>
      </c>
      <c r="J38" s="177">
        <v>0</v>
      </c>
      <c r="K38" s="177">
        <v>0</v>
      </c>
      <c r="L38" s="177"/>
      <c r="M38" s="177"/>
      <c r="N38" s="177"/>
      <c r="O38" s="177"/>
      <c r="P38" s="177"/>
      <c r="Q38" s="177"/>
      <c r="R38" s="177"/>
      <c r="S38" s="177"/>
      <c r="T38" s="177"/>
      <c r="U38" s="177"/>
      <c r="V38" s="177"/>
      <c r="W38" s="177">
        <v>0.75</v>
      </c>
      <c r="X38" s="378">
        <v>3</v>
      </c>
    </row>
    <row r="39" spans="1:24" ht="20.25" thickBot="1">
      <c r="A39" s="383">
        <v>9</v>
      </c>
      <c r="B39" s="373"/>
      <c r="C39" s="374" t="s">
        <v>388</v>
      </c>
      <c r="D39" s="384">
        <v>2.25</v>
      </c>
      <c r="E39" s="385">
        <v>0</v>
      </c>
      <c r="F39" s="385">
        <v>0.25</v>
      </c>
      <c r="G39" s="385">
        <v>0</v>
      </c>
      <c r="H39" s="385">
        <v>2</v>
      </c>
      <c r="I39" s="385">
        <v>0</v>
      </c>
      <c r="J39" s="385">
        <v>0</v>
      </c>
      <c r="K39" s="385">
        <v>0</v>
      </c>
      <c r="L39" s="385"/>
      <c r="M39" s="385"/>
      <c r="N39" s="385"/>
      <c r="O39" s="385"/>
      <c r="P39" s="385"/>
      <c r="Q39" s="385"/>
      <c r="R39" s="385"/>
      <c r="S39" s="385"/>
      <c r="T39" s="385"/>
      <c r="U39" s="385"/>
      <c r="V39" s="385"/>
      <c r="W39" s="385">
        <v>2.25</v>
      </c>
      <c r="X39" s="386">
        <v>3</v>
      </c>
    </row>
    <row r="40" spans="1:24" ht="15.75">
      <c r="A40" s="376"/>
      <c r="B40" s="376"/>
      <c r="C40" s="379"/>
      <c r="D40" s="380"/>
      <c r="E40" s="381"/>
      <c r="F40" s="381"/>
      <c r="G40" s="381"/>
      <c r="H40" s="381"/>
      <c r="I40" s="381"/>
      <c r="J40" s="381"/>
      <c r="K40" s="381"/>
      <c r="L40" s="381"/>
      <c r="M40" s="381"/>
      <c r="N40" s="381"/>
      <c r="O40" s="381"/>
      <c r="P40" s="381"/>
      <c r="Q40" s="381"/>
      <c r="R40" s="381"/>
      <c r="S40" s="381"/>
      <c r="T40" s="381"/>
      <c r="U40" s="381"/>
      <c r="V40" s="381"/>
      <c r="W40" s="381"/>
      <c r="X40" s="381"/>
    </row>
  </sheetData>
  <sheetProtection/>
  <mergeCells count="3">
    <mergeCell ref="D1:X2"/>
    <mergeCell ref="D14:X15"/>
    <mergeCell ref="D27:X28"/>
  </mergeCell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DY</cp:lastModifiedBy>
  <cp:lastPrinted>2011-05-24T12:35:07Z</cp:lastPrinted>
  <dcterms:created xsi:type="dcterms:W3CDTF">2006-03-15T09:07:04Z</dcterms:created>
  <dcterms:modified xsi:type="dcterms:W3CDTF">2012-01-17T16:28:14Z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